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omments2.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https://d.docs.live.net/d08144d28462779f/ABJ/Database/Dashboard/"/>
    </mc:Choice>
  </mc:AlternateContent>
  <xr:revisionPtr revIDLastSave="14213" documentId="6_{688E62C6-BC94-4232-843C-5E79E31A2635}" xr6:coauthVersionLast="47" xr6:coauthVersionMax="47" xr10:uidLastSave="{09AFCAF8-21BE-4AC0-A461-518616F42FF0}"/>
  <bookViews>
    <workbookView xWindow="-120" yWindow="-120" windowWidth="26040" windowHeight="18645" xr2:uid="{4FE7D1C8-325D-4B0D-A290-A375FA0449E6}"/>
  </bookViews>
  <sheets>
    <sheet name="Database MK" sheetId="2" r:id="rId1"/>
    <sheet name="Review" sheetId="10" r:id="rId2"/>
    <sheet name="Summary PR PO GR" sheetId="3" r:id="rId3"/>
    <sheet name="Exsum Apr 26" sheetId="5" r:id="rId4"/>
    <sheet name="Monitoring BIM April 2026" sheetId="12" r:id="rId5"/>
    <sheet name="Tree Apr 26" sheetId="11" r:id="rId6"/>
    <sheet name="Tree Okt 26" sheetId="9" r:id="rId7"/>
  </sheets>
  <externalReferences>
    <externalReference r:id="rId8"/>
    <externalReference r:id="rId9"/>
  </externalReferences>
  <definedNames>
    <definedName name="_xlnm._FilterDatabase" localSheetId="0" hidden="1">'Database MK'!$V$470:$V$470</definedName>
    <definedName name="_xlnm._FilterDatabase" localSheetId="4" hidden="1">'Monitoring BIM April 2026'!$A$7:$CW$115</definedName>
    <definedName name="BIMABD">'Monitoring BIM April 2026'!$R$8:$R$116</definedName>
    <definedName name="BIMBAFlushing">'Monitoring BIM April 2026'!$AP$8:$AP$116</definedName>
    <definedName name="BIMBAHydro">'Monitoring BIM April 2026'!$AN$8:$AN$116</definedName>
    <definedName name="BIMBAPL">'Monitoring BIM April 2026'!$AJ$8:$AJ$116</definedName>
    <definedName name="BIMBASinggem">'Monitoring BIM April 2026'!$AR$8:$AR$116</definedName>
    <definedName name="BIMBATC">'Monitoring BIM April 2026'!$AD$8:$AD$116</definedName>
    <definedName name="BIMBATestPit">'Monitoring BIM April 2026'!$AX$8:$AX$116</definedName>
    <definedName name="BIMBATF">'Monitoring BIM April 2026'!$AL$8:$AL$116</definedName>
    <definedName name="BIMDPPK">'Monitoring BIM April 2026'!$N$8:$N$116</definedName>
    <definedName name="BIMDPPP">'Monitoring BIM April 2026'!$BM$8:$BM$116</definedName>
    <definedName name="BIMJustek">'Monitoring BIM April 2026'!$AT$8:$AT$116</definedName>
    <definedName name="BIMJustfin">'Monitoring BIM April 2026'!$AV$8:$AV$116</definedName>
    <definedName name="BIMLHLMLB">'Monitoring BIM April 2026'!$BF$8:$BF$116</definedName>
    <definedName name="BIMMC0">'Monitoring BIM April 2026'!$AF$8:$AF$116</definedName>
    <definedName name="BIMMC100">'Monitoring BIM April 2026'!$AH$8:$AH$116</definedName>
    <definedName name="BIMPelatihan">'Monitoring BIM April 2026'!$T$8:$T$116</definedName>
    <definedName name="BIMPerizinan">'Monitoring BIM April 2026'!$V$8:$V$116</definedName>
    <definedName name="BIMPKPI">'Monitoring BIM April 2026'!$P$8:$P$116</definedName>
    <definedName name="BIMPropMod">'Monitoring BIM April 2026'!$BH$8:$BH$116</definedName>
    <definedName name="BIMRAB">'Monitoring BIM April 2026'!$Z$8:$Z$116</definedName>
    <definedName name="BIMRDA">'Monitoring BIM April 2026'!$X$8:$X$116</definedName>
    <definedName name="BIMRNA">'Monitoring BIM April 2026'!$AB$8:$AB$116</definedName>
    <definedName name="BIMStatusProyek">'Monitoring BIM April 2026'!$I$8:$I$116</definedName>
    <definedName name="BIMUjiLab">'Monitoring BIM April 2026'!$AZ$8:$AZ$116</definedName>
    <definedName name="BIMUjiLogger">'Monitoring BIM April 2026'!$BB$8:$BB$116</definedName>
    <definedName name="BIMUmum">'Monitoring BIM April 2026'!$BD$8:$BD$116</definedName>
    <definedName name="Kategori">#REF!</definedName>
    <definedName name="KomitmenABD">#REF!</definedName>
    <definedName name="KomitmenBAFlush">#REF!</definedName>
    <definedName name="KomitmenBAHydro">#REF!</definedName>
    <definedName name="KomitmenBAMC0">#REF!</definedName>
    <definedName name="KomitmenBAMC100">#REF!</definedName>
    <definedName name="KomitmenBAPL">#REF!</definedName>
    <definedName name="KomitmenBASinggem">#REF!</definedName>
    <definedName name="KomitmenBATC">#REF!</definedName>
    <definedName name="KomitmenBATestpit">#REF!</definedName>
    <definedName name="KomitmenBATF">#REF!</definedName>
    <definedName name="KomitmenDataLogger">#REF!</definedName>
    <definedName name="KomitmenDPPK">#REF!</definedName>
    <definedName name="KomitmenJusfin">#REF!</definedName>
    <definedName name="KomitmenJustek">#REF!</definedName>
    <definedName name="KomitmenLHLMLB">#REF!</definedName>
    <definedName name="KomitmenPelatihan">#REF!</definedName>
    <definedName name="KomitmenPerizinan">#REF!</definedName>
    <definedName name="KomitmenPKPI">#REF!</definedName>
    <definedName name="KomitmenPropmod">#REF!</definedName>
    <definedName name="KomitmenRAB">#REF!</definedName>
    <definedName name="KomitmenRDA">#REF!</definedName>
    <definedName name="KomitmenRNA">#REF!</definedName>
    <definedName name="KomitmenSubmitDP3">#REF!</definedName>
    <definedName name="KomitmenUjiLab">#REF!</definedName>
    <definedName name="KomitmenUmumK3">#REF!</definedName>
    <definedName name="PICABD">#REF!</definedName>
    <definedName name="PICBAFlush">#REF!</definedName>
    <definedName name="PICBAHydro">#REF!</definedName>
    <definedName name="PICBAMC0">#REF!</definedName>
    <definedName name="PICBAMC100">#REF!</definedName>
    <definedName name="PICBAPL">#REF!</definedName>
    <definedName name="PICBASinggem">#REF!</definedName>
    <definedName name="PICBATC">#REF!</definedName>
    <definedName name="PICBATestpit">#REF!</definedName>
    <definedName name="PICBATF">#REF!</definedName>
    <definedName name="PICDataLogger">#REF!</definedName>
    <definedName name="PICDPPK">#REF!</definedName>
    <definedName name="PICJusfin">#REF!</definedName>
    <definedName name="PICJustek">#REF!</definedName>
    <definedName name="PICLHLMLB">#REF!</definedName>
    <definedName name="PICPelatihan">#REF!</definedName>
    <definedName name="PICPerizinan">#REF!</definedName>
    <definedName name="PICPKPI">#REF!</definedName>
    <definedName name="PICPropmod">#REF!</definedName>
    <definedName name="PICRAB">#REF!</definedName>
    <definedName name="PICRDA">#REF!</definedName>
    <definedName name="PICRNA">#REF!</definedName>
    <definedName name="PICSubmitDP3">#REF!</definedName>
    <definedName name="PICUjiLab">#REF!</definedName>
    <definedName name="PICUmumK3">#REF!</definedName>
    <definedName name="_xlnm.Print_Area" localSheetId="0">'Database MK'!$B$3:$CW$344</definedName>
    <definedName name="_xlnm.Print_Area" localSheetId="4">'Monitoring BIM April 2026'!$A$1:$BM$129</definedName>
    <definedName name="_xlnm.Print_Titles" localSheetId="0">'Database MK'!$4:$4</definedName>
    <definedName name="Slicer_Directorat">#N/A</definedName>
    <definedName name="Slicer_Jadwal_TOK">#N/A</definedName>
    <definedName name="Slicer_Kategori">#N/A</definedName>
    <definedName name="Slicer_Kategori_Jadwal">#N/A</definedName>
    <definedName name="Slicer_Proyek">#N/A</definedName>
    <definedName name="StatusABD">#REF!</definedName>
    <definedName name="StatusBAFlush">#REF!</definedName>
    <definedName name="StatusBAHydro">#REF!</definedName>
    <definedName name="StatusBAMC0">#REF!</definedName>
    <definedName name="StatusBAMC100">#REF!</definedName>
    <definedName name="StatusBAPL">#REF!</definedName>
    <definedName name="StatusBASinggem">#REF!</definedName>
    <definedName name="StatusBATC">#REF!</definedName>
    <definedName name="StatusBATestpit">#REF!</definedName>
    <definedName name="StatusBATF">#REF!</definedName>
    <definedName name="StatusDataLogger">#REF!</definedName>
    <definedName name="StatusDPPK">#REF!</definedName>
    <definedName name="StatusJusfin">#REF!</definedName>
    <definedName name="StatusJustek">#REF!</definedName>
    <definedName name="StatusLHLMLB">#REF!</definedName>
    <definedName name="StatusPelatihan">#REF!</definedName>
    <definedName name="StatusPerizinan">#REF!</definedName>
    <definedName name="StatusPKPI">#REF!</definedName>
    <definedName name="StatusProgram">#REF!</definedName>
    <definedName name="StatusPropmod">#REF!</definedName>
    <definedName name="StatusRAB">#REF!</definedName>
    <definedName name="StatusRDA">#REF!</definedName>
    <definedName name="StatusRNA">#REF!</definedName>
    <definedName name="StatusSubmitDP3">#REF!</definedName>
    <definedName name="StatusUjiLab">#REF!</definedName>
    <definedName name="StatusUmumK3">#REF!</definedName>
    <definedName name="TOK">#REF!</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4:slicerCache r:id="rId12"/>
        <x14:slicerCache r:id="rId13"/>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23" i="2" l="1"/>
  <c r="S422" i="2"/>
  <c r="S421" i="2"/>
  <c r="S420" i="2"/>
  <c r="CX6" i="2"/>
  <c r="CX7" i="2"/>
  <c r="CX8" i="2"/>
  <c r="CX9" i="2"/>
  <c r="CX10" i="2"/>
  <c r="CX11" i="2"/>
  <c r="CX12" i="2"/>
  <c r="CX13" i="2"/>
  <c r="CX14" i="2"/>
  <c r="CX15" i="2"/>
  <c r="CX16" i="2"/>
  <c r="CX17" i="2"/>
  <c r="CX18" i="2"/>
  <c r="CX19" i="2"/>
  <c r="CX20" i="2"/>
  <c r="CX21" i="2"/>
  <c r="CX22" i="2"/>
  <c r="CX23" i="2"/>
  <c r="CX24" i="2"/>
  <c r="CX25" i="2"/>
  <c r="CX26" i="2"/>
  <c r="CX27" i="2"/>
  <c r="CX28" i="2"/>
  <c r="CX29" i="2"/>
  <c r="CX30" i="2"/>
  <c r="CX31" i="2"/>
  <c r="CX32" i="2"/>
  <c r="CX33" i="2"/>
  <c r="CX34" i="2"/>
  <c r="CX35" i="2"/>
  <c r="CX36" i="2"/>
  <c r="CX37" i="2"/>
  <c r="CX38" i="2"/>
  <c r="CX39" i="2"/>
  <c r="CX40" i="2"/>
  <c r="CX41" i="2"/>
  <c r="CX42" i="2"/>
  <c r="CX43" i="2"/>
  <c r="CX44" i="2"/>
  <c r="CX45" i="2"/>
  <c r="CX46" i="2"/>
  <c r="CX47" i="2"/>
  <c r="CX48" i="2"/>
  <c r="CX49" i="2"/>
  <c r="CX50" i="2"/>
  <c r="CX51" i="2"/>
  <c r="CX52" i="2"/>
  <c r="CX53" i="2"/>
  <c r="CX54" i="2"/>
  <c r="CX55" i="2"/>
  <c r="CX56" i="2"/>
  <c r="CX57" i="2"/>
  <c r="CX58" i="2"/>
  <c r="CX59" i="2"/>
  <c r="CX60" i="2"/>
  <c r="CX61" i="2"/>
  <c r="CX62" i="2"/>
  <c r="CX63" i="2"/>
  <c r="CX64" i="2"/>
  <c r="CX65" i="2"/>
  <c r="CX66" i="2"/>
  <c r="CX67" i="2"/>
  <c r="CX68" i="2"/>
  <c r="CX69" i="2"/>
  <c r="CX70" i="2"/>
  <c r="CX71" i="2"/>
  <c r="CX72" i="2"/>
  <c r="CX73" i="2"/>
  <c r="CX74" i="2"/>
  <c r="CX75" i="2"/>
  <c r="CX76" i="2"/>
  <c r="CX77" i="2"/>
  <c r="CX78" i="2"/>
  <c r="CX79" i="2"/>
  <c r="CX80" i="2"/>
  <c r="CX81" i="2"/>
  <c r="CX82" i="2"/>
  <c r="CX83" i="2"/>
  <c r="CX84" i="2"/>
  <c r="CX85" i="2"/>
  <c r="CX86" i="2"/>
  <c r="CX87" i="2"/>
  <c r="CX88" i="2"/>
  <c r="CX89" i="2"/>
  <c r="CX90" i="2"/>
  <c r="CX91" i="2"/>
  <c r="CX92" i="2"/>
  <c r="CX93" i="2"/>
  <c r="CX94" i="2"/>
  <c r="CX95" i="2"/>
  <c r="CX96" i="2"/>
  <c r="CX97" i="2"/>
  <c r="CX98" i="2"/>
  <c r="CX99" i="2"/>
  <c r="CX100" i="2"/>
  <c r="CX101" i="2"/>
  <c r="CX102" i="2"/>
  <c r="CX103" i="2"/>
  <c r="CX104" i="2"/>
  <c r="CX105" i="2"/>
  <c r="CX106" i="2"/>
  <c r="CX107" i="2"/>
  <c r="CX108" i="2"/>
  <c r="CX109" i="2"/>
  <c r="CX110" i="2"/>
  <c r="CX111" i="2"/>
  <c r="CX112" i="2"/>
  <c r="CX113" i="2"/>
  <c r="CX114" i="2"/>
  <c r="CX115" i="2"/>
  <c r="CX116" i="2"/>
  <c r="CX117" i="2"/>
  <c r="CX118" i="2"/>
  <c r="CX119" i="2"/>
  <c r="CX120" i="2"/>
  <c r="CX121" i="2"/>
  <c r="CX122" i="2"/>
  <c r="CX123" i="2"/>
  <c r="CX124" i="2"/>
  <c r="CX125" i="2"/>
  <c r="CX126" i="2"/>
  <c r="CX127" i="2"/>
  <c r="CX128" i="2"/>
  <c r="CX129" i="2"/>
  <c r="CX130" i="2"/>
  <c r="CX131" i="2"/>
  <c r="CX132" i="2"/>
  <c r="CX133" i="2"/>
  <c r="CX134" i="2"/>
  <c r="CX135" i="2"/>
  <c r="CX136" i="2"/>
  <c r="CX137" i="2"/>
  <c r="CX138" i="2"/>
  <c r="CX143" i="2"/>
  <c r="CX144" i="2"/>
  <c r="CX145" i="2"/>
  <c r="CX146" i="2"/>
  <c r="CX149" i="2"/>
  <c r="CX150" i="2"/>
  <c r="CX151" i="2"/>
  <c r="CX153" i="2"/>
  <c r="CX155" i="2"/>
  <c r="CX156" i="2"/>
  <c r="CX159" i="2"/>
  <c r="CX160" i="2"/>
  <c r="CX161" i="2"/>
  <c r="CX162" i="2"/>
  <c r="CX163" i="2"/>
  <c r="CX165" i="2"/>
  <c r="CX166" i="2"/>
  <c r="CX167" i="2"/>
  <c r="CX168" i="2"/>
  <c r="CX169" i="2"/>
  <c r="CX170" i="2"/>
  <c r="CX171" i="2"/>
  <c r="CX172" i="2"/>
  <c r="CX173" i="2"/>
  <c r="CX174" i="2"/>
  <c r="CX175" i="2"/>
  <c r="CX176" i="2"/>
  <c r="CX177" i="2"/>
  <c r="CX178" i="2"/>
  <c r="CX179" i="2"/>
  <c r="CX180" i="2"/>
  <c r="CX181" i="2"/>
  <c r="CX182" i="2"/>
  <c r="CX183" i="2"/>
  <c r="CX184" i="2"/>
  <c r="CX185" i="2"/>
  <c r="CX186" i="2"/>
  <c r="CX187" i="2"/>
  <c r="CX188" i="2"/>
  <c r="CX189" i="2"/>
  <c r="CX190" i="2"/>
  <c r="CX191" i="2"/>
  <c r="CX192" i="2"/>
  <c r="CX193" i="2"/>
  <c r="CX194" i="2"/>
  <c r="CX195" i="2"/>
  <c r="CX196" i="2"/>
  <c r="CX197" i="2"/>
  <c r="CX198" i="2"/>
  <c r="CX199" i="2"/>
  <c r="CX200" i="2"/>
  <c r="CX201" i="2"/>
  <c r="CX202" i="2"/>
  <c r="CX203" i="2"/>
  <c r="CX204" i="2"/>
  <c r="CX205" i="2"/>
  <c r="CX206" i="2"/>
  <c r="CX207" i="2"/>
  <c r="CX208" i="2"/>
  <c r="CX209" i="2"/>
  <c r="CX210" i="2"/>
  <c r="CX211" i="2"/>
  <c r="CX212" i="2"/>
  <c r="CX213" i="2"/>
  <c r="CX214" i="2"/>
  <c r="CX215" i="2"/>
  <c r="CX216" i="2"/>
  <c r="CX217" i="2"/>
  <c r="CX218" i="2"/>
  <c r="CX219" i="2"/>
  <c r="CX220" i="2"/>
  <c r="CX221" i="2"/>
  <c r="CX223" i="2"/>
  <c r="CX224" i="2"/>
  <c r="CX225" i="2"/>
  <c r="CX226" i="2"/>
  <c r="CX227" i="2"/>
  <c r="CX228" i="2"/>
  <c r="CX229" i="2"/>
  <c r="CX230" i="2"/>
  <c r="CX231" i="2"/>
  <c r="CX232" i="2"/>
  <c r="CX233" i="2"/>
  <c r="CX234" i="2"/>
  <c r="CX235" i="2"/>
  <c r="CX236" i="2"/>
  <c r="CX237" i="2"/>
  <c r="CX238" i="2"/>
  <c r="CX239" i="2"/>
  <c r="CX240" i="2"/>
  <c r="CX241" i="2"/>
  <c r="CX242" i="2"/>
  <c r="CX243" i="2"/>
  <c r="CX244" i="2"/>
  <c r="CX245" i="2"/>
  <c r="CX246" i="2"/>
  <c r="CX247" i="2"/>
  <c r="CX248" i="2"/>
  <c r="CX249" i="2"/>
  <c r="CX250" i="2"/>
  <c r="CX251" i="2"/>
  <c r="CX252" i="2"/>
  <c r="CX253" i="2"/>
  <c r="CX254" i="2"/>
  <c r="CX255" i="2"/>
  <c r="CX256" i="2"/>
  <c r="CX257" i="2"/>
  <c r="CX258" i="2"/>
  <c r="CX259" i="2"/>
  <c r="CX260" i="2"/>
  <c r="CX261" i="2"/>
  <c r="CX262" i="2"/>
  <c r="CX263" i="2"/>
  <c r="CX264" i="2"/>
  <c r="CX265" i="2"/>
  <c r="CX266" i="2"/>
  <c r="CX267" i="2"/>
  <c r="CX268" i="2"/>
  <c r="CX269" i="2"/>
  <c r="CX270" i="2"/>
  <c r="CX271" i="2"/>
  <c r="CX272" i="2"/>
  <c r="CX273" i="2"/>
  <c r="CX274" i="2"/>
  <c r="CX275" i="2"/>
  <c r="CX276" i="2"/>
  <c r="CX277" i="2"/>
  <c r="CX278" i="2"/>
  <c r="CX279" i="2"/>
  <c r="CX280" i="2"/>
  <c r="CX281" i="2"/>
  <c r="CX282" i="2"/>
  <c r="CX283" i="2"/>
  <c r="CX284" i="2"/>
  <c r="CX285" i="2"/>
  <c r="CX286" i="2"/>
  <c r="CX287" i="2"/>
  <c r="CX288" i="2"/>
  <c r="CX289" i="2"/>
  <c r="CX290" i="2"/>
  <c r="CX291" i="2"/>
  <c r="CX292" i="2"/>
  <c r="CX293" i="2"/>
  <c r="CX294" i="2"/>
  <c r="CX295" i="2"/>
  <c r="CX296" i="2"/>
  <c r="CX297" i="2"/>
  <c r="CX298" i="2"/>
  <c r="CX299" i="2"/>
  <c r="CX300" i="2"/>
  <c r="CX301" i="2"/>
  <c r="CX302" i="2"/>
  <c r="CX303" i="2"/>
  <c r="CX304" i="2"/>
  <c r="CX305" i="2"/>
  <c r="CX306" i="2"/>
  <c r="CX307" i="2"/>
  <c r="CX308" i="2"/>
  <c r="CX309" i="2"/>
  <c r="CX310" i="2"/>
  <c r="CX311" i="2"/>
  <c r="CX312" i="2"/>
  <c r="CX313" i="2"/>
  <c r="CX314" i="2"/>
  <c r="CX315" i="2"/>
  <c r="CX316" i="2"/>
  <c r="CX317" i="2"/>
  <c r="CX318" i="2"/>
  <c r="CX319" i="2"/>
  <c r="CX320" i="2"/>
  <c r="CX321" i="2"/>
  <c r="CX322" i="2"/>
  <c r="CX323" i="2"/>
  <c r="CX324" i="2"/>
  <c r="CX325" i="2"/>
  <c r="CX326" i="2"/>
  <c r="CX327" i="2"/>
  <c r="CX328" i="2"/>
  <c r="CX329" i="2"/>
  <c r="CX330" i="2"/>
  <c r="CX331" i="2"/>
  <c r="CX332" i="2"/>
  <c r="CX333" i="2"/>
  <c r="CX334" i="2"/>
  <c r="CX335" i="2"/>
  <c r="CX336" i="2"/>
  <c r="CX337" i="2"/>
  <c r="CX338" i="2"/>
  <c r="CX339" i="2"/>
  <c r="CX340" i="2"/>
  <c r="CX341" i="2"/>
  <c r="CX342" i="2"/>
  <c r="CX343" i="2"/>
  <c r="CX344" i="2"/>
  <c r="CX345" i="2"/>
  <c r="CX346" i="2"/>
  <c r="CX347" i="2"/>
  <c r="CX348" i="2"/>
  <c r="CX349" i="2"/>
  <c r="CX350" i="2"/>
  <c r="CX351" i="2"/>
  <c r="CX352" i="2"/>
  <c r="CX353" i="2"/>
  <c r="CX354" i="2"/>
  <c r="CX355" i="2"/>
  <c r="CX356" i="2"/>
  <c r="CX357" i="2"/>
  <c r="CX358" i="2"/>
  <c r="CX359" i="2"/>
  <c r="CX360" i="2"/>
  <c r="CX361" i="2"/>
  <c r="CX362" i="2"/>
  <c r="CX363" i="2"/>
  <c r="CX364" i="2"/>
  <c r="CX365" i="2"/>
  <c r="CX366" i="2"/>
  <c r="CX367" i="2"/>
  <c r="CX368" i="2"/>
  <c r="CX369" i="2"/>
  <c r="CX370" i="2"/>
  <c r="CX371" i="2"/>
  <c r="CX372" i="2"/>
  <c r="CX373" i="2"/>
  <c r="CX374" i="2"/>
  <c r="CX375" i="2"/>
  <c r="CX376" i="2"/>
  <c r="CX377" i="2"/>
  <c r="CX378" i="2"/>
  <c r="CX379" i="2"/>
  <c r="CX380" i="2"/>
  <c r="CX381" i="2"/>
  <c r="CX382" i="2"/>
  <c r="CX383" i="2"/>
  <c r="CX384" i="2"/>
  <c r="CX385" i="2"/>
  <c r="CX386" i="2"/>
  <c r="CX387" i="2"/>
  <c r="CX388" i="2"/>
  <c r="CX389" i="2"/>
  <c r="CX390" i="2"/>
  <c r="CX391" i="2"/>
  <c r="CX392" i="2"/>
  <c r="CX393" i="2"/>
  <c r="CX394" i="2"/>
  <c r="CX395" i="2"/>
  <c r="CX396" i="2"/>
  <c r="CX397" i="2"/>
  <c r="CX398" i="2"/>
  <c r="CX399" i="2"/>
  <c r="CX400" i="2"/>
  <c r="CX401" i="2"/>
  <c r="CX402" i="2"/>
  <c r="CX403" i="2"/>
  <c r="CX404" i="2"/>
  <c r="CX405" i="2"/>
  <c r="CX406" i="2"/>
  <c r="CX407" i="2"/>
  <c r="CX408" i="2"/>
  <c r="CX409" i="2"/>
  <c r="CX410" i="2"/>
  <c r="CX411" i="2"/>
  <c r="CX412" i="2"/>
  <c r="CX413" i="2"/>
  <c r="CX414" i="2"/>
  <c r="CX415" i="2"/>
  <c r="CX416" i="2"/>
  <c r="CX417" i="2"/>
  <c r="CX418" i="2"/>
  <c r="CX419" i="2"/>
  <c r="CX420" i="2"/>
  <c r="CX421" i="2"/>
  <c r="CX422" i="2"/>
  <c r="CX423" i="2"/>
  <c r="CX424" i="2"/>
  <c r="CX425" i="2"/>
  <c r="CX426" i="2"/>
  <c r="CX427" i="2"/>
  <c r="CX428" i="2"/>
  <c r="CX429" i="2"/>
  <c r="CX430" i="2"/>
  <c r="CX431" i="2"/>
  <c r="CX432" i="2"/>
  <c r="CX433" i="2"/>
  <c r="CX434" i="2"/>
  <c r="CX435" i="2"/>
  <c r="CX436" i="2"/>
  <c r="CX437" i="2"/>
  <c r="CX438" i="2"/>
  <c r="CX439" i="2"/>
  <c r="CX440" i="2"/>
  <c r="CX441" i="2"/>
  <c r="CX442" i="2"/>
  <c r="CX443" i="2"/>
  <c r="CX444" i="2"/>
  <c r="CX445" i="2"/>
  <c r="CX446" i="2"/>
  <c r="CX447" i="2"/>
  <c r="CX448" i="2"/>
  <c r="CX449" i="2"/>
  <c r="CX450" i="2"/>
  <c r="CX451" i="2"/>
  <c r="CX452" i="2"/>
  <c r="CX453" i="2"/>
  <c r="CX454" i="2"/>
  <c r="CX455" i="2"/>
  <c r="CX456" i="2"/>
  <c r="CX457" i="2"/>
  <c r="CX458" i="2"/>
  <c r="CX459" i="2"/>
  <c r="CX460" i="2"/>
  <c r="CX461" i="2"/>
  <c r="CX462" i="2"/>
  <c r="CX463" i="2"/>
  <c r="CX464" i="2"/>
  <c r="CX465" i="2"/>
  <c r="CX466" i="2"/>
  <c r="CX467" i="2"/>
  <c r="CX468" i="2"/>
  <c r="CX5" i="2"/>
  <c r="BG13" i="3"/>
  <c r="HP3" i="2"/>
  <c r="H10" i="5"/>
  <c r="H11" i="5"/>
  <c r="H12" i="5"/>
  <c r="H13" i="5"/>
  <c r="H14" i="5"/>
  <c r="H15" i="5"/>
  <c r="H16" i="5"/>
  <c r="H17" i="5"/>
  <c r="H18" i="5"/>
  <c r="H19" i="5"/>
  <c r="H20" i="5"/>
  <c r="H21" i="5"/>
  <c r="H22" i="5"/>
  <c r="H23" i="5"/>
  <c r="H24" i="5"/>
  <c r="H25" i="5"/>
  <c r="H26" i="5"/>
  <c r="H27" i="5"/>
  <c r="H28" i="5"/>
  <c r="H29" i="5"/>
  <c r="E30" i="5"/>
  <c r="F30" i="5"/>
  <c r="G30" i="5"/>
  <c r="H30" i="5"/>
  <c r="D30" i="5"/>
  <c r="E29" i="5"/>
  <c r="F29" i="5"/>
  <c r="G29" i="5"/>
  <c r="D29" i="5"/>
  <c r="E28" i="5"/>
  <c r="F28" i="5"/>
  <c r="G28" i="5"/>
  <c r="D28" i="5"/>
  <c r="E27" i="5"/>
  <c r="F27" i="5"/>
  <c r="G27" i="5"/>
  <c r="D27" i="5"/>
  <c r="I27" i="5"/>
  <c r="E26" i="5"/>
  <c r="F26" i="5"/>
  <c r="G26" i="5"/>
  <c r="D26" i="5"/>
  <c r="E25" i="5"/>
  <c r="F25" i="5"/>
  <c r="G25" i="5"/>
  <c r="D25" i="5"/>
  <c r="E24" i="5"/>
  <c r="F24" i="5"/>
  <c r="G24" i="5"/>
  <c r="D24" i="5"/>
  <c r="E23" i="5"/>
  <c r="F23" i="5"/>
  <c r="G23" i="5"/>
  <c r="D23" i="5"/>
  <c r="E22" i="5"/>
  <c r="F22" i="5"/>
  <c r="G22" i="5"/>
  <c r="D22" i="5"/>
  <c r="I22" i="5"/>
  <c r="J22" i="5"/>
  <c r="E21" i="5"/>
  <c r="F21" i="5"/>
  <c r="G21" i="5"/>
  <c r="D21" i="5"/>
  <c r="I21" i="5"/>
  <c r="E20" i="5"/>
  <c r="F20" i="5"/>
  <c r="G20" i="5"/>
  <c r="D20" i="5"/>
  <c r="I20" i="5"/>
  <c r="E19" i="5"/>
  <c r="F19" i="5"/>
  <c r="G19" i="5"/>
  <c r="D19" i="5"/>
  <c r="E18" i="5"/>
  <c r="F18" i="5"/>
  <c r="G18" i="5"/>
  <c r="D18" i="5"/>
  <c r="E17" i="5"/>
  <c r="F17" i="5"/>
  <c r="G17" i="5"/>
  <c r="D17" i="5"/>
  <c r="E16" i="5"/>
  <c r="F16" i="5"/>
  <c r="G16" i="5"/>
  <c r="D16" i="5"/>
  <c r="I16" i="5"/>
  <c r="E15" i="5"/>
  <c r="F15" i="5"/>
  <c r="G15" i="5"/>
  <c r="D15" i="5"/>
  <c r="E14" i="5"/>
  <c r="F14" i="5"/>
  <c r="G14" i="5"/>
  <c r="D14" i="5"/>
  <c r="E13" i="5"/>
  <c r="F13" i="5"/>
  <c r="G13" i="5"/>
  <c r="D13" i="5"/>
  <c r="E12" i="5"/>
  <c r="F12" i="5"/>
  <c r="G12" i="5"/>
  <c r="D12" i="5"/>
  <c r="E11" i="5"/>
  <c r="F11" i="5"/>
  <c r="G11" i="5"/>
  <c r="D11" i="5"/>
  <c r="I11" i="5"/>
  <c r="E10" i="5"/>
  <c r="F10" i="5"/>
  <c r="G10" i="5"/>
  <c r="D10" i="5"/>
  <c r="K114" i="12"/>
  <c r="CW113" i="12" a="1"/>
  <c r="CV113" i="12" a="1"/>
  <c r="CU113" i="12" a="1"/>
  <c r="CT113" i="12" a="1"/>
  <c r="CS113" i="12" a="1"/>
  <c r="CR113" i="12" a="1"/>
  <c r="CQ113" i="12" a="1"/>
  <c r="CP113" i="12" a="1"/>
  <c r="CO113" i="12" a="1"/>
  <c r="CN113" i="12" a="1"/>
  <c r="CM113" i="12" a="1"/>
  <c r="CL113" i="12" a="1"/>
  <c r="CK113" i="12" a="1"/>
  <c r="CJ113" i="12" a="1"/>
  <c r="CI113" i="12" a="1"/>
  <c r="CH113" i="12" a="1"/>
  <c r="CG113" i="12" a="1"/>
  <c r="CF113" i="12" a="1"/>
  <c r="CE113" i="12" a="1"/>
  <c r="CD113" i="12" a="1"/>
  <c r="CC113" i="12" a="1"/>
  <c r="CB113" i="12" a="1"/>
  <c r="CA113" i="12" a="1"/>
  <c r="BZ113" i="12" a="1"/>
  <c r="BY113" i="12"/>
  <c r="BX113" i="12"/>
  <c r="CW112" i="12" a="1"/>
  <c r="CV112" i="12" a="1"/>
  <c r="CU112" i="12" a="1"/>
  <c r="CT112" i="12" a="1"/>
  <c r="CS112" i="12" a="1"/>
  <c r="CR112" i="12" a="1"/>
  <c r="CQ112" i="12" a="1"/>
  <c r="CP112" i="12" a="1"/>
  <c r="CO112" i="12" a="1"/>
  <c r="CN112" i="12" a="1"/>
  <c r="CM112" i="12" a="1"/>
  <c r="CL112" i="12" a="1"/>
  <c r="CK112" i="12" a="1"/>
  <c r="CJ112" i="12" a="1"/>
  <c r="CI112" i="12" a="1"/>
  <c r="CH112" i="12" a="1"/>
  <c r="CG112" i="12" a="1"/>
  <c r="CF112" i="12" a="1"/>
  <c r="CE112" i="12" a="1"/>
  <c r="CD112" i="12" a="1"/>
  <c r="CC112" i="12" a="1"/>
  <c r="CB112" i="12" a="1"/>
  <c r="CA112" i="12" a="1"/>
  <c r="BZ112" i="12" a="1"/>
  <c r="BX112" i="12"/>
  <c r="CW111" i="12" a="1"/>
  <c r="CV111" i="12" a="1"/>
  <c r="CU111" i="12" a="1"/>
  <c r="CT111" i="12" a="1"/>
  <c r="CS111" i="12" a="1"/>
  <c r="CR111" i="12" a="1"/>
  <c r="CQ111" i="12" a="1"/>
  <c r="CP111" i="12" a="1"/>
  <c r="CO111" i="12" a="1"/>
  <c r="CN111" i="12" a="1"/>
  <c r="CM111" i="12" a="1"/>
  <c r="CL111" i="12" a="1"/>
  <c r="CK111" i="12" a="1"/>
  <c r="CJ111" i="12" a="1"/>
  <c r="CI111" i="12" a="1"/>
  <c r="CH111" i="12" a="1"/>
  <c r="CG111" i="12" a="1"/>
  <c r="CF111" i="12" a="1"/>
  <c r="CE111" i="12" a="1"/>
  <c r="CD111" i="12" a="1"/>
  <c r="CC111" i="12" a="1"/>
  <c r="CB111" i="12" a="1"/>
  <c r="CA111" i="12" a="1"/>
  <c r="BZ111" i="12" a="1"/>
  <c r="BX111" i="12"/>
  <c r="CW110" i="12" a="1"/>
  <c r="CV110" i="12" a="1"/>
  <c r="CU110" i="12" a="1"/>
  <c r="CT110" i="12" a="1"/>
  <c r="CS110" i="12" a="1"/>
  <c r="CR110" i="12" a="1"/>
  <c r="CQ110" i="12" a="1"/>
  <c r="CP110" i="12" a="1"/>
  <c r="CO110" i="12" a="1"/>
  <c r="CN110" i="12" a="1"/>
  <c r="CM110" i="12" a="1"/>
  <c r="CL110" i="12" a="1"/>
  <c r="CK110" i="12" a="1"/>
  <c r="CJ110" i="12" a="1"/>
  <c r="CI110" i="12" a="1"/>
  <c r="CH110" i="12" a="1"/>
  <c r="CG110" i="12" a="1"/>
  <c r="CF110" i="12" a="1"/>
  <c r="CE110" i="12" a="1"/>
  <c r="CD110" i="12" a="1"/>
  <c r="CC110" i="12" a="1"/>
  <c r="CB110" i="12" a="1"/>
  <c r="CA110" i="12" a="1"/>
  <c r="BZ110" i="12" a="1"/>
  <c r="BY110" i="12"/>
  <c r="BX110" i="12"/>
  <c r="K110" i="12"/>
  <c r="CW109" i="12" a="1"/>
  <c r="CV109" i="12" a="1"/>
  <c r="CU109" i="12" a="1"/>
  <c r="CT109" i="12" a="1"/>
  <c r="CS109" i="12" a="1"/>
  <c r="CR109" i="12" a="1"/>
  <c r="CQ109" i="12" a="1"/>
  <c r="CP109" i="12" a="1"/>
  <c r="CO109" i="12" a="1"/>
  <c r="CN109" i="12" a="1"/>
  <c r="CM109" i="12" a="1"/>
  <c r="CL109" i="12" a="1"/>
  <c r="CK109" i="12" a="1"/>
  <c r="CJ109" i="12" a="1"/>
  <c r="CI109" i="12" a="1"/>
  <c r="CH109" i="12" a="1"/>
  <c r="CG109" i="12" a="1"/>
  <c r="CF109" i="12" a="1"/>
  <c r="CE109" i="12" a="1"/>
  <c r="CD109" i="12" a="1"/>
  <c r="CC109" i="12" a="1"/>
  <c r="CB109" i="12" a="1"/>
  <c r="CA109" i="12" a="1"/>
  <c r="BZ109" i="12" a="1"/>
  <c r="BY109" i="12"/>
  <c r="BX109" i="12"/>
  <c r="CW108" i="12" a="1"/>
  <c r="CV108" i="12" a="1"/>
  <c r="CU108" i="12" a="1"/>
  <c r="CT108" i="12" a="1"/>
  <c r="CS108" i="12" a="1"/>
  <c r="CR108" i="12" a="1"/>
  <c r="CQ108" i="12" a="1"/>
  <c r="CP108" i="12" a="1"/>
  <c r="CO108" i="12" a="1"/>
  <c r="CN108" i="12" a="1"/>
  <c r="CM108" i="12" a="1"/>
  <c r="CL108" i="12" a="1"/>
  <c r="CK108" i="12" a="1"/>
  <c r="CJ108" i="12" a="1"/>
  <c r="CI108" i="12" a="1"/>
  <c r="CH108" i="12" a="1"/>
  <c r="CG108" i="12" a="1"/>
  <c r="CF108" i="12" a="1"/>
  <c r="CE108" i="12" a="1"/>
  <c r="CD108" i="12" a="1"/>
  <c r="CC108" i="12" a="1"/>
  <c r="CB108" i="12" a="1"/>
  <c r="CA108" i="12" a="1"/>
  <c r="BZ108" i="12" a="1"/>
  <c r="K108" i="12"/>
  <c r="BX108" i="12"/>
  <c r="CW107" i="12" a="1"/>
  <c r="CV107" i="12" a="1"/>
  <c r="CU107" i="12" a="1"/>
  <c r="CT107" i="12" a="1"/>
  <c r="CS107" i="12" a="1"/>
  <c r="CR107" i="12" a="1"/>
  <c r="CQ107" i="12" a="1"/>
  <c r="CP107" i="12" a="1"/>
  <c r="CO107" i="12" a="1"/>
  <c r="CN107" i="12" a="1"/>
  <c r="CM107" i="12" a="1"/>
  <c r="CL107" i="12" a="1"/>
  <c r="CK107" i="12" a="1"/>
  <c r="CJ107" i="12" a="1"/>
  <c r="CI107" i="12" a="1"/>
  <c r="CH107" i="12" a="1"/>
  <c r="CG107" i="12" a="1"/>
  <c r="CF107" i="12" a="1"/>
  <c r="CE107" i="12" a="1"/>
  <c r="CD107" i="12" a="1"/>
  <c r="CC107" i="12" a="1"/>
  <c r="CB107" i="12" a="1"/>
  <c r="CA107" i="12" a="1"/>
  <c r="BZ107" i="12" a="1"/>
  <c r="K107" i="12"/>
  <c r="BX107" i="12"/>
  <c r="CW106" i="12" a="1"/>
  <c r="CV106" i="12" a="1"/>
  <c r="CU106" i="12" a="1"/>
  <c r="CT106" i="12" a="1"/>
  <c r="CS106" i="12" a="1"/>
  <c r="CR106" i="12" a="1"/>
  <c r="CQ106" i="12" a="1"/>
  <c r="CP106" i="12" a="1"/>
  <c r="CO106" i="12" a="1"/>
  <c r="CN106" i="12" a="1"/>
  <c r="CM106" i="12" a="1"/>
  <c r="CL106" i="12" a="1"/>
  <c r="CK106" i="12" a="1"/>
  <c r="CJ106" i="12" a="1"/>
  <c r="CI106" i="12" a="1"/>
  <c r="CH106" i="12" a="1"/>
  <c r="CG106" i="12" a="1"/>
  <c r="CF106" i="12" a="1"/>
  <c r="CE106" i="12" a="1"/>
  <c r="CD106" i="12" a="1"/>
  <c r="CC106" i="12" a="1"/>
  <c r="CB106" i="12" a="1"/>
  <c r="CA106" i="12" a="1"/>
  <c r="BZ106" i="12" a="1"/>
  <c r="BY106" i="12"/>
  <c r="BX106" i="12"/>
  <c r="CW105" i="12" a="1"/>
  <c r="CV105" i="12" a="1"/>
  <c r="CU105" i="12" a="1"/>
  <c r="CT105" i="12" a="1"/>
  <c r="CS105" i="12" a="1"/>
  <c r="CR105" i="12" a="1"/>
  <c r="CQ105" i="12" a="1"/>
  <c r="CP105" i="12" a="1"/>
  <c r="CO105" i="12" a="1"/>
  <c r="CN105" i="12" a="1"/>
  <c r="CM105" i="12" a="1"/>
  <c r="CL105" i="12" a="1"/>
  <c r="CK105" i="12" a="1"/>
  <c r="CJ105" i="12" a="1"/>
  <c r="CI105" i="12" a="1"/>
  <c r="CH105" i="12" a="1"/>
  <c r="CG105" i="12" a="1"/>
  <c r="CF105" i="12" a="1"/>
  <c r="CE105" i="12" a="1"/>
  <c r="CD105" i="12" a="1"/>
  <c r="CC105" i="12" a="1"/>
  <c r="CB105" i="12" a="1"/>
  <c r="CA105" i="12" a="1"/>
  <c r="BZ105" i="12" a="1"/>
  <c r="BY105" i="12"/>
  <c r="BX105" i="12"/>
  <c r="CW104" i="12" a="1"/>
  <c r="CV104" i="12" a="1"/>
  <c r="CU104" i="12" a="1"/>
  <c r="CT104" i="12" a="1"/>
  <c r="CS104" i="12" a="1"/>
  <c r="CR104" i="12" a="1"/>
  <c r="CQ104" i="12" a="1"/>
  <c r="CP104" i="12" a="1"/>
  <c r="CO104" i="12" a="1"/>
  <c r="CN104" i="12" a="1"/>
  <c r="CM104" i="12" a="1"/>
  <c r="CL104" i="12" a="1"/>
  <c r="CK104" i="12" a="1"/>
  <c r="CJ104" i="12" a="1"/>
  <c r="CI104" i="12" a="1"/>
  <c r="CH104" i="12" a="1"/>
  <c r="CG104" i="12" a="1"/>
  <c r="CF104" i="12" a="1"/>
  <c r="CE104" i="12" a="1"/>
  <c r="CD104" i="12" a="1"/>
  <c r="CC104" i="12" a="1"/>
  <c r="CB104" i="12" a="1"/>
  <c r="CA104" i="12" a="1"/>
  <c r="BZ104" i="12" a="1"/>
  <c r="BY104" i="12"/>
  <c r="BX104" i="12"/>
  <c r="K104" i="12"/>
  <c r="CW103" i="12" a="1"/>
  <c r="CV103" i="12" a="1"/>
  <c r="CU103" i="12" a="1"/>
  <c r="CT103" i="12" a="1"/>
  <c r="CS103" i="12" a="1"/>
  <c r="CR103" i="12" a="1"/>
  <c r="CQ103" i="12" a="1"/>
  <c r="CP103" i="12" a="1"/>
  <c r="CO103" i="12" a="1"/>
  <c r="CN103" i="12" a="1"/>
  <c r="CM103" i="12" a="1"/>
  <c r="CL103" i="12" a="1"/>
  <c r="CK103" i="12" a="1"/>
  <c r="CJ103" i="12" a="1"/>
  <c r="CI103" i="12" a="1"/>
  <c r="CH103" i="12" a="1"/>
  <c r="CG103" i="12" a="1"/>
  <c r="CF103" i="12" a="1"/>
  <c r="CE103" i="12" a="1"/>
  <c r="CD103" i="12" a="1"/>
  <c r="CC103" i="12" a="1"/>
  <c r="CB103" i="12" a="1"/>
  <c r="CA103" i="12" a="1"/>
  <c r="BZ103" i="12" a="1"/>
  <c r="BX103" i="12"/>
  <c r="CW102" i="12" a="1"/>
  <c r="CV102" i="12" a="1"/>
  <c r="CU102" i="12" a="1"/>
  <c r="CT102" i="12" a="1"/>
  <c r="CS102" i="12" a="1"/>
  <c r="CR102" i="12" a="1"/>
  <c r="CQ102" i="12" a="1"/>
  <c r="CP102" i="12" a="1"/>
  <c r="CO102" i="12" a="1"/>
  <c r="CN102" i="12" a="1"/>
  <c r="CM102" i="12" a="1"/>
  <c r="CL102" i="12" a="1"/>
  <c r="CK102" i="12" a="1"/>
  <c r="CJ102" i="12" a="1"/>
  <c r="CI102" i="12" a="1"/>
  <c r="CH102" i="12" a="1"/>
  <c r="CG102" i="12" a="1"/>
  <c r="CF102" i="12" a="1"/>
  <c r="CE102" i="12" a="1"/>
  <c r="CD102" i="12" a="1"/>
  <c r="CC102" i="12" a="1"/>
  <c r="CB102" i="12" a="1"/>
  <c r="CA102" i="12" a="1"/>
  <c r="BZ102" i="12" a="1"/>
  <c r="BX102" i="12"/>
  <c r="CW101" i="12" a="1"/>
  <c r="CV101" i="12" a="1"/>
  <c r="CU101" i="12" a="1"/>
  <c r="CT101" i="12" a="1"/>
  <c r="CS101" i="12" a="1"/>
  <c r="CR101" i="12" a="1"/>
  <c r="CQ101" i="12" a="1"/>
  <c r="CP101" i="12" a="1"/>
  <c r="CO101" i="12" a="1"/>
  <c r="CN101" i="12" a="1"/>
  <c r="CM101" i="12" a="1"/>
  <c r="CL101" i="12" a="1"/>
  <c r="CK101" i="12" a="1"/>
  <c r="CJ101" i="12" a="1"/>
  <c r="CI101" i="12" a="1"/>
  <c r="CH101" i="12" a="1"/>
  <c r="CG101" i="12" a="1"/>
  <c r="CF101" i="12" a="1"/>
  <c r="CE101" i="12" a="1"/>
  <c r="CD101" i="12" a="1"/>
  <c r="CC101" i="12" a="1"/>
  <c r="CB101" i="12" a="1"/>
  <c r="CA101" i="12" a="1"/>
  <c r="BZ101" i="12" a="1"/>
  <c r="BY101" i="12"/>
  <c r="K101" i="12"/>
  <c r="BX101" i="12"/>
  <c r="CW100" i="12" a="1"/>
  <c r="CV100" i="12" a="1"/>
  <c r="CU100" i="12" a="1"/>
  <c r="CT100" i="12" a="1"/>
  <c r="CS100" i="12" a="1"/>
  <c r="CR100" i="12" a="1"/>
  <c r="CQ100" i="12" a="1"/>
  <c r="CP100" i="12" a="1"/>
  <c r="CO100" i="12" a="1"/>
  <c r="CN100" i="12" a="1"/>
  <c r="CM100" i="12" a="1"/>
  <c r="CL100" i="12" a="1"/>
  <c r="CK100" i="12" a="1"/>
  <c r="CJ100" i="12" a="1"/>
  <c r="CI100" i="12" a="1"/>
  <c r="CH100" i="12" a="1"/>
  <c r="CG100" i="12" a="1"/>
  <c r="CF100" i="12" a="1"/>
  <c r="CE100" i="12" a="1"/>
  <c r="CD100" i="12" a="1"/>
  <c r="CC100" i="12" a="1"/>
  <c r="CB100" i="12" a="1"/>
  <c r="CA100" i="12" a="1"/>
  <c r="BZ100" i="12" a="1"/>
  <c r="BY100" i="12"/>
  <c r="BX100" i="12"/>
  <c r="CW99" i="12" a="1"/>
  <c r="CV99" i="12" a="1"/>
  <c r="CU99" i="12" a="1"/>
  <c r="CT99" i="12" a="1"/>
  <c r="CS99" i="12" a="1"/>
  <c r="CR99" i="12" a="1"/>
  <c r="CQ99" i="12" a="1"/>
  <c r="CP99" i="12" a="1"/>
  <c r="CO99" i="12" a="1"/>
  <c r="CN99" i="12" a="1"/>
  <c r="CM99" i="12" a="1"/>
  <c r="CL99" i="12" a="1"/>
  <c r="CK99" i="12" a="1"/>
  <c r="CJ99" i="12" a="1"/>
  <c r="CI99" i="12" a="1"/>
  <c r="CH99" i="12" a="1"/>
  <c r="CG99" i="12" a="1"/>
  <c r="CF99" i="12" a="1"/>
  <c r="CE99" i="12" a="1"/>
  <c r="CD99" i="12" a="1"/>
  <c r="CC99" i="12" a="1"/>
  <c r="CB99" i="12" a="1"/>
  <c r="CA99" i="12" a="1"/>
  <c r="BZ99" i="12" a="1"/>
  <c r="BX99" i="12"/>
  <c r="CW98" i="12" a="1"/>
  <c r="CV98" i="12" a="1"/>
  <c r="CU98" i="12" a="1"/>
  <c r="CT98" i="12" a="1"/>
  <c r="CS98" i="12" a="1"/>
  <c r="CR98" i="12" a="1"/>
  <c r="CQ98" i="12" a="1"/>
  <c r="CP98" i="12" a="1"/>
  <c r="CO98" i="12" a="1"/>
  <c r="CN98" i="12" a="1"/>
  <c r="CM98" i="12" a="1"/>
  <c r="CL98" i="12" a="1"/>
  <c r="CK98" i="12" a="1"/>
  <c r="CJ98" i="12" a="1"/>
  <c r="CI98" i="12" a="1"/>
  <c r="CH98" i="12" a="1"/>
  <c r="CG98" i="12" a="1"/>
  <c r="CF98" i="12" a="1"/>
  <c r="CE98" i="12" a="1"/>
  <c r="CD98" i="12" a="1"/>
  <c r="CC98" i="12" a="1"/>
  <c r="CB98" i="12" a="1"/>
  <c r="CA98" i="12" a="1"/>
  <c r="BZ98" i="12" a="1"/>
  <c r="K98" i="12"/>
  <c r="BX98" i="12"/>
  <c r="CW97" i="12" a="1"/>
  <c r="CV97" i="12" a="1"/>
  <c r="CU97" i="12" a="1"/>
  <c r="CT97" i="12" a="1"/>
  <c r="CS97" i="12" a="1"/>
  <c r="CR97" i="12" a="1"/>
  <c r="CQ97" i="12" a="1"/>
  <c r="CP97" i="12" a="1"/>
  <c r="CO97" i="12" a="1"/>
  <c r="CN97" i="12" a="1"/>
  <c r="CM97" i="12" a="1"/>
  <c r="CL97" i="12" a="1"/>
  <c r="CK97" i="12" a="1"/>
  <c r="CJ97" i="12" a="1"/>
  <c r="CI97" i="12" a="1"/>
  <c r="CH97" i="12" a="1"/>
  <c r="CG97" i="12" a="1"/>
  <c r="CF97" i="12" a="1"/>
  <c r="CE97" i="12" a="1"/>
  <c r="CD97" i="12" a="1"/>
  <c r="CC97" i="12" a="1"/>
  <c r="CB97" i="12" a="1"/>
  <c r="CA97" i="12" a="1"/>
  <c r="BZ97" i="12" a="1"/>
  <c r="K97" i="12"/>
  <c r="BX97" i="12"/>
  <c r="CW96" i="12" a="1"/>
  <c r="CV96" i="12" a="1"/>
  <c r="CU96" i="12" a="1"/>
  <c r="CT96" i="12" a="1"/>
  <c r="CS96" i="12" a="1"/>
  <c r="CR96" i="12" a="1"/>
  <c r="CQ96" i="12" a="1"/>
  <c r="CP96" i="12" a="1"/>
  <c r="CO96" i="12" a="1"/>
  <c r="CN96" i="12" a="1"/>
  <c r="CM96" i="12" a="1"/>
  <c r="CL96" i="12" a="1"/>
  <c r="CK96" i="12" a="1"/>
  <c r="CJ96" i="12" a="1"/>
  <c r="CI96" i="12" a="1"/>
  <c r="CH96" i="12" a="1"/>
  <c r="CG96" i="12" a="1"/>
  <c r="CF96" i="12" a="1"/>
  <c r="CE96" i="12" a="1"/>
  <c r="CD96" i="12" a="1"/>
  <c r="CC96" i="12" a="1"/>
  <c r="CB96" i="12" a="1"/>
  <c r="CA96" i="12" a="1"/>
  <c r="BZ96" i="12" a="1"/>
  <c r="BY96" i="12"/>
  <c r="K96" i="12"/>
  <c r="BX96" i="12"/>
  <c r="CW95" i="12" a="1"/>
  <c r="CV95" i="12" a="1"/>
  <c r="CU95" i="12" a="1"/>
  <c r="CT95" i="12" a="1"/>
  <c r="CS95" i="12" a="1"/>
  <c r="CR95" i="12" a="1"/>
  <c r="CQ95" i="12" a="1"/>
  <c r="CP95" i="12" a="1"/>
  <c r="CO95" i="12" a="1"/>
  <c r="CN95" i="12" a="1"/>
  <c r="CM95" i="12" a="1"/>
  <c r="CL95" i="12" a="1"/>
  <c r="CK95" i="12" a="1"/>
  <c r="CJ95" i="12" a="1"/>
  <c r="CI95" i="12" a="1"/>
  <c r="CH95" i="12" a="1"/>
  <c r="CG95" i="12" a="1"/>
  <c r="CF95" i="12" a="1"/>
  <c r="CE95" i="12" a="1"/>
  <c r="CD95" i="12" a="1"/>
  <c r="CC95" i="12" a="1"/>
  <c r="CB95" i="12" a="1"/>
  <c r="CA95" i="12" a="1"/>
  <c r="BZ95" i="12" a="1"/>
  <c r="BX95" i="12"/>
  <c r="CW94" i="12" a="1"/>
  <c r="CV94" i="12" a="1"/>
  <c r="CU94" i="12" a="1"/>
  <c r="CT94" i="12" a="1"/>
  <c r="CS94" i="12" a="1"/>
  <c r="CR94" i="12" a="1"/>
  <c r="CQ94" i="12" a="1"/>
  <c r="CP94" i="12" a="1"/>
  <c r="CO94" i="12" a="1"/>
  <c r="CN94" i="12" a="1"/>
  <c r="CM94" i="12" a="1"/>
  <c r="CL94" i="12" a="1"/>
  <c r="CK94" i="12" a="1"/>
  <c r="CJ94" i="12" a="1"/>
  <c r="CI94" i="12" a="1"/>
  <c r="CH94" i="12" a="1"/>
  <c r="CG94" i="12" a="1"/>
  <c r="CF94" i="12" a="1"/>
  <c r="CE94" i="12" a="1"/>
  <c r="CD94" i="12" a="1"/>
  <c r="CC94" i="12" a="1"/>
  <c r="CB94" i="12" a="1"/>
  <c r="CA94" i="12" a="1"/>
  <c r="BZ94" i="12" a="1"/>
  <c r="BY94" i="12"/>
  <c r="BX94" i="12"/>
  <c r="K94" i="12"/>
  <c r="CW93" i="12" a="1"/>
  <c r="CV93" i="12" a="1"/>
  <c r="CU93" i="12" a="1"/>
  <c r="CT93" i="12" a="1"/>
  <c r="CS93" i="12" a="1"/>
  <c r="CR93" i="12" a="1"/>
  <c r="CQ93" i="12" a="1"/>
  <c r="CP93" i="12" a="1"/>
  <c r="CO93" i="12" a="1"/>
  <c r="CN93" i="12" a="1"/>
  <c r="CM93" i="12" a="1"/>
  <c r="CL93" i="12" a="1"/>
  <c r="CK93" i="12" a="1"/>
  <c r="CJ93" i="12" a="1"/>
  <c r="CI93" i="12" a="1"/>
  <c r="CH93" i="12" a="1"/>
  <c r="CG93" i="12" a="1"/>
  <c r="CF93" i="12" a="1"/>
  <c r="CE93" i="12" a="1"/>
  <c r="CD93" i="12" a="1"/>
  <c r="CC93" i="12" a="1"/>
  <c r="CB93" i="12" a="1"/>
  <c r="CA93" i="12" a="1"/>
  <c r="BZ93" i="12" a="1"/>
  <c r="BY93" i="12"/>
  <c r="BX93" i="12"/>
  <c r="CW92" i="12" a="1"/>
  <c r="CV92" i="12" a="1"/>
  <c r="CU92" i="12" a="1"/>
  <c r="CT92" i="12" a="1"/>
  <c r="CS92" i="12" a="1"/>
  <c r="CR92" i="12" a="1"/>
  <c r="CQ92" i="12" a="1"/>
  <c r="CP92" i="12" a="1"/>
  <c r="CO92" i="12" a="1"/>
  <c r="CN92" i="12" a="1"/>
  <c r="CM92" i="12" a="1"/>
  <c r="CL92" i="12" a="1"/>
  <c r="CK92" i="12" a="1"/>
  <c r="CJ92" i="12" a="1"/>
  <c r="CI92" i="12" a="1"/>
  <c r="CH92" i="12" a="1"/>
  <c r="CG92" i="12" a="1"/>
  <c r="CF92" i="12" a="1"/>
  <c r="CE92" i="12" a="1"/>
  <c r="CD92" i="12" a="1"/>
  <c r="CC92" i="12" a="1"/>
  <c r="CB92" i="12" a="1"/>
  <c r="CA92" i="12" a="1"/>
  <c r="BZ92" i="12" a="1"/>
  <c r="BX92" i="12"/>
  <c r="CW91" i="12" a="1"/>
  <c r="CV91" i="12" a="1"/>
  <c r="CU91" i="12" a="1"/>
  <c r="CT91" i="12" a="1"/>
  <c r="CS91" i="12" a="1"/>
  <c r="CR91" i="12" a="1"/>
  <c r="CQ91" i="12" a="1"/>
  <c r="CP91" i="12" a="1"/>
  <c r="CO91" i="12" a="1"/>
  <c r="CN91" i="12" a="1"/>
  <c r="CM91" i="12" a="1"/>
  <c r="CL91" i="12" a="1"/>
  <c r="CK91" i="12" a="1"/>
  <c r="CJ91" i="12" a="1"/>
  <c r="CI91" i="12" a="1"/>
  <c r="CH91" i="12" a="1"/>
  <c r="CG91" i="12" a="1"/>
  <c r="CF91" i="12" a="1"/>
  <c r="CE91" i="12" a="1"/>
  <c r="CD91" i="12" a="1"/>
  <c r="CC91" i="12" a="1"/>
  <c r="CB91" i="12" a="1"/>
  <c r="CA91" i="12" a="1"/>
  <c r="BZ91" i="12" a="1"/>
  <c r="BX91" i="12"/>
  <c r="CV90" i="12" a="1"/>
  <c r="CU90" i="12" a="1"/>
  <c r="CT90" i="12" a="1"/>
  <c r="CS90" i="12" a="1"/>
  <c r="CR90" i="12" a="1"/>
  <c r="CQ90" i="12" a="1"/>
  <c r="CP90" i="12" a="1"/>
  <c r="CO90" i="12" a="1"/>
  <c r="CN90" i="12" a="1"/>
  <c r="CM90" i="12" a="1"/>
  <c r="CL90" i="12" a="1"/>
  <c r="CK90" i="12" a="1"/>
  <c r="CJ90" i="12" a="1"/>
  <c r="CI90" i="12" a="1"/>
  <c r="CH90" i="12" a="1"/>
  <c r="CG90" i="12" a="1"/>
  <c r="CF90" i="12" a="1"/>
  <c r="CE90" i="12" a="1"/>
  <c r="CD90" i="12" a="1"/>
  <c r="CC90" i="12" a="1"/>
  <c r="CB90" i="12" a="1"/>
  <c r="CA90" i="12" a="1"/>
  <c r="BZ90" i="12" a="1"/>
  <c r="BX90" i="12"/>
  <c r="BM90" i="12"/>
  <c r="CW90" i="12" a="1"/>
  <c r="K90" i="12"/>
  <c r="CV89" i="12" a="1"/>
  <c r="CU89" i="12" a="1"/>
  <c r="CT89" i="12" a="1"/>
  <c r="CS89" i="12" a="1"/>
  <c r="CR89" i="12" a="1"/>
  <c r="CQ89" i="12" a="1"/>
  <c r="CP89" i="12" a="1"/>
  <c r="CO89" i="12" a="1"/>
  <c r="CN89" i="12" a="1"/>
  <c r="CM89" i="12" a="1"/>
  <c r="CL89" i="12" a="1"/>
  <c r="CK89" i="12" a="1"/>
  <c r="CJ89" i="12" a="1"/>
  <c r="CI89" i="12" a="1"/>
  <c r="CH89" i="12" a="1"/>
  <c r="CG89" i="12" a="1"/>
  <c r="CF89" i="12" a="1"/>
  <c r="CE89" i="12" a="1"/>
  <c r="CD89" i="12" a="1"/>
  <c r="CC89" i="12" a="1"/>
  <c r="CB89" i="12" a="1"/>
  <c r="CA89" i="12" a="1"/>
  <c r="BZ89" i="12" a="1"/>
  <c r="BY89" i="12"/>
  <c r="BX89" i="12"/>
  <c r="BM89" i="12"/>
  <c r="CW89" i="12" a="1"/>
  <c r="CV88" i="12" a="1"/>
  <c r="CU88" i="12" a="1"/>
  <c r="CT88" i="12" a="1"/>
  <c r="CS88" i="12" a="1"/>
  <c r="CR88" i="12" a="1"/>
  <c r="CQ88" i="12" a="1"/>
  <c r="CP88" i="12" a="1"/>
  <c r="CO88" i="12" a="1"/>
  <c r="CN88" i="12" a="1"/>
  <c r="CM88" i="12" a="1"/>
  <c r="CL88" i="12" a="1"/>
  <c r="CK88" i="12" a="1"/>
  <c r="CJ88" i="12" a="1"/>
  <c r="CI88" i="12" a="1"/>
  <c r="CH88" i="12" a="1"/>
  <c r="CG88" i="12" a="1"/>
  <c r="CF88" i="12" a="1"/>
  <c r="CE88" i="12" a="1"/>
  <c r="CD88" i="12" a="1"/>
  <c r="CC88" i="12" a="1"/>
  <c r="CB88" i="12" a="1"/>
  <c r="CA88" i="12" a="1"/>
  <c r="BZ88" i="12" a="1"/>
  <c r="BY88" i="12"/>
  <c r="BX88" i="12"/>
  <c r="BM88" i="12"/>
  <c r="CW88" i="12" a="1"/>
  <c r="CW87" i="12" a="1"/>
  <c r="CV87" i="12" a="1"/>
  <c r="CU87" i="12" a="1"/>
  <c r="CT87" i="12" a="1"/>
  <c r="CS87" i="12" a="1"/>
  <c r="CR87" i="12" a="1"/>
  <c r="CQ87" i="12" a="1"/>
  <c r="CP87" i="12" a="1"/>
  <c r="CO87" i="12" a="1"/>
  <c r="CN87" i="12" a="1"/>
  <c r="CM87" i="12" a="1"/>
  <c r="CL87" i="12" a="1"/>
  <c r="CK87" i="12" a="1"/>
  <c r="CJ87" i="12" a="1"/>
  <c r="CI87" i="12" a="1"/>
  <c r="CH87" i="12" a="1"/>
  <c r="CG87" i="12" a="1"/>
  <c r="CF87" i="12" a="1"/>
  <c r="CE87" i="12" a="1"/>
  <c r="CD87" i="12" a="1"/>
  <c r="CC87" i="12" a="1"/>
  <c r="CB87" i="12" a="1"/>
  <c r="CA87" i="12" a="1"/>
  <c r="BZ87" i="12" a="1"/>
  <c r="BY87" i="12"/>
  <c r="BX87" i="12"/>
  <c r="CW86" i="12" a="1"/>
  <c r="CV86" i="12" a="1"/>
  <c r="CU86" i="12" a="1"/>
  <c r="CT86" i="12" a="1"/>
  <c r="CS86" i="12" a="1"/>
  <c r="CR86" i="12" a="1"/>
  <c r="CQ86" i="12" a="1"/>
  <c r="CP86" i="12" a="1"/>
  <c r="CO86" i="12" a="1"/>
  <c r="CN86" i="12" a="1"/>
  <c r="CM86" i="12" a="1"/>
  <c r="CL86" i="12" a="1"/>
  <c r="CK86" i="12" a="1"/>
  <c r="CJ86" i="12" a="1"/>
  <c r="CI86" i="12" a="1"/>
  <c r="CH86" i="12" a="1"/>
  <c r="CG86" i="12" a="1"/>
  <c r="CF86" i="12" a="1"/>
  <c r="CE86" i="12" a="1"/>
  <c r="CD86" i="12" a="1"/>
  <c r="CC86" i="12" a="1"/>
  <c r="CB86" i="12" a="1"/>
  <c r="CA86" i="12" a="1"/>
  <c r="BZ86" i="12" a="1"/>
  <c r="BX86" i="12"/>
  <c r="CW85" i="12" a="1"/>
  <c r="CV85" i="12" a="1"/>
  <c r="CU85" i="12" a="1"/>
  <c r="CT85" i="12" a="1"/>
  <c r="CS85" i="12" a="1"/>
  <c r="CR85" i="12" a="1"/>
  <c r="CQ85" i="12" a="1"/>
  <c r="CP85" i="12" a="1"/>
  <c r="CO85" i="12" a="1"/>
  <c r="CN85" i="12" a="1"/>
  <c r="CM85" i="12" a="1"/>
  <c r="CL85" i="12" a="1"/>
  <c r="CK85" i="12" a="1"/>
  <c r="CJ85" i="12" a="1"/>
  <c r="CI85" i="12" a="1"/>
  <c r="CH85" i="12" a="1"/>
  <c r="CG85" i="12" a="1"/>
  <c r="CF85" i="12" a="1"/>
  <c r="CE85" i="12" a="1"/>
  <c r="CD85" i="12" a="1"/>
  <c r="CC85" i="12" a="1"/>
  <c r="CB85" i="12" a="1"/>
  <c r="CA85" i="12" a="1"/>
  <c r="BZ85" i="12" a="1"/>
  <c r="BY85" i="12"/>
  <c r="BX85" i="12"/>
  <c r="CW84" i="12" a="1"/>
  <c r="CV84" i="12" a="1"/>
  <c r="CU84" i="12" a="1"/>
  <c r="CT84" i="12" a="1"/>
  <c r="CS84" i="12" a="1"/>
  <c r="CR84" i="12" a="1"/>
  <c r="CQ84" i="12" a="1"/>
  <c r="CP84" i="12" a="1"/>
  <c r="CO84" i="12" a="1"/>
  <c r="CN84" i="12" a="1"/>
  <c r="CM84" i="12" a="1"/>
  <c r="CL84" i="12" a="1"/>
  <c r="CK84" i="12" a="1"/>
  <c r="CJ84" i="12" a="1"/>
  <c r="CI84" i="12" a="1"/>
  <c r="CH84" i="12" a="1"/>
  <c r="CG84" i="12" a="1"/>
  <c r="CF84" i="12" a="1"/>
  <c r="CE84" i="12" a="1"/>
  <c r="CD84" i="12" a="1"/>
  <c r="CC84" i="12" a="1"/>
  <c r="CB84" i="12" a="1"/>
  <c r="CA84" i="12" a="1"/>
  <c r="BZ84" i="12" a="1"/>
  <c r="BX84" i="12"/>
  <c r="CW83" i="12" a="1"/>
  <c r="CV83" i="12" a="1"/>
  <c r="CU83" i="12" a="1"/>
  <c r="CT83" i="12" a="1"/>
  <c r="CS83" i="12" a="1"/>
  <c r="CR83" i="12" a="1"/>
  <c r="CQ83" i="12" a="1"/>
  <c r="CP83" i="12" a="1"/>
  <c r="CO83" i="12" a="1"/>
  <c r="CN83" i="12" a="1"/>
  <c r="CM83" i="12" a="1"/>
  <c r="CL83" i="12" a="1"/>
  <c r="CK83" i="12" a="1"/>
  <c r="CJ83" i="12" a="1"/>
  <c r="CI83" i="12" a="1"/>
  <c r="CH83" i="12" a="1"/>
  <c r="CG83" i="12" a="1"/>
  <c r="CF83" i="12" a="1"/>
  <c r="CE83" i="12" a="1"/>
  <c r="CD83" i="12" a="1"/>
  <c r="CC83" i="12" a="1"/>
  <c r="CB83" i="12" a="1"/>
  <c r="CA83" i="12" a="1"/>
  <c r="BZ83" i="12" a="1"/>
  <c r="BY83" i="12"/>
  <c r="BX83" i="12"/>
  <c r="K83" i="12"/>
  <c r="CW82" i="12" a="1"/>
  <c r="CV82" i="12" a="1"/>
  <c r="CU82" i="12" a="1"/>
  <c r="CT82" i="12" a="1"/>
  <c r="CS82" i="12" a="1"/>
  <c r="CR82" i="12" a="1"/>
  <c r="CQ82" i="12" a="1"/>
  <c r="CP82" i="12" a="1"/>
  <c r="CO82" i="12" a="1"/>
  <c r="CN82" i="12" a="1"/>
  <c r="CM82" i="12" a="1"/>
  <c r="CL82" i="12" a="1"/>
  <c r="CK82" i="12" a="1"/>
  <c r="CJ82" i="12" a="1"/>
  <c r="CI82" i="12" a="1"/>
  <c r="CH82" i="12" a="1"/>
  <c r="CG82" i="12" a="1"/>
  <c r="CF82" i="12" a="1"/>
  <c r="CE82" i="12" a="1"/>
  <c r="CD82" i="12" a="1"/>
  <c r="CC82" i="12" a="1"/>
  <c r="CB82" i="12" a="1"/>
  <c r="CA82" i="12" a="1"/>
  <c r="BZ82" i="12" a="1"/>
  <c r="BX82" i="12"/>
  <c r="CW81" i="12" a="1"/>
  <c r="CV81" i="12" a="1"/>
  <c r="CU81" i="12" a="1"/>
  <c r="CT81" i="12" a="1"/>
  <c r="CS81" i="12" a="1"/>
  <c r="CR81" i="12" a="1"/>
  <c r="CQ81" i="12" a="1"/>
  <c r="CP81" i="12" a="1"/>
  <c r="CO81" i="12" a="1"/>
  <c r="CN81" i="12" a="1"/>
  <c r="CM81" i="12" a="1"/>
  <c r="CL81" i="12" a="1"/>
  <c r="CK81" i="12" a="1"/>
  <c r="CJ81" i="12" a="1"/>
  <c r="CI81" i="12" a="1"/>
  <c r="CH81" i="12" a="1"/>
  <c r="CG81" i="12" a="1"/>
  <c r="CF81" i="12" a="1"/>
  <c r="CE81" i="12" a="1"/>
  <c r="CD81" i="12" a="1"/>
  <c r="CC81" i="12" a="1"/>
  <c r="CB81" i="12" a="1"/>
  <c r="CA81" i="12" a="1"/>
  <c r="BZ81" i="12" a="1"/>
  <c r="BY81" i="12"/>
  <c r="BX81" i="12"/>
  <c r="CW80" i="12" a="1"/>
  <c r="CV80" i="12" a="1"/>
  <c r="CU80" i="12" a="1"/>
  <c r="CT80" i="12" a="1"/>
  <c r="CS80" i="12" a="1"/>
  <c r="CR80" i="12" a="1"/>
  <c r="CQ80" i="12" a="1"/>
  <c r="CP80" i="12" a="1"/>
  <c r="CO80" i="12" a="1"/>
  <c r="CN80" i="12" a="1"/>
  <c r="CM80" i="12" a="1"/>
  <c r="CL80" i="12" a="1"/>
  <c r="CK80" i="12" a="1"/>
  <c r="CJ80" i="12" a="1"/>
  <c r="CI80" i="12" a="1"/>
  <c r="CH80" i="12" a="1"/>
  <c r="CG80" i="12" a="1"/>
  <c r="CF80" i="12" a="1"/>
  <c r="CE80" i="12" a="1"/>
  <c r="CD80" i="12" a="1"/>
  <c r="CC80" i="12" a="1"/>
  <c r="CB80" i="12" a="1"/>
  <c r="CA80" i="12" a="1"/>
  <c r="BZ80" i="12" a="1"/>
  <c r="BY80" i="12"/>
  <c r="BX80" i="12"/>
  <c r="CV79" i="12" a="1"/>
  <c r="CU79" i="12" a="1"/>
  <c r="CT79" i="12" a="1"/>
  <c r="CS79" i="12" a="1"/>
  <c r="CR79" i="12" a="1"/>
  <c r="CQ79" i="12" a="1"/>
  <c r="CP79" i="12" a="1"/>
  <c r="CO79" i="12" a="1"/>
  <c r="CN79" i="12" a="1"/>
  <c r="CM79" i="12" a="1"/>
  <c r="CL79" i="12" a="1"/>
  <c r="CK79" i="12" a="1"/>
  <c r="CJ79" i="12" a="1"/>
  <c r="CI79" i="12" a="1"/>
  <c r="CH79" i="12" a="1"/>
  <c r="CG79" i="12" a="1"/>
  <c r="CF79" i="12" a="1"/>
  <c r="CE79" i="12" a="1"/>
  <c r="CD79" i="12" a="1"/>
  <c r="CC79" i="12" a="1"/>
  <c r="CB79" i="12" a="1"/>
  <c r="CA79" i="12" a="1"/>
  <c r="BZ79" i="12" a="1"/>
  <c r="BX79" i="12"/>
  <c r="BM79" i="12"/>
  <c r="CW79" i="12" a="1"/>
  <c r="CV78" i="12" a="1"/>
  <c r="CU78" i="12" a="1"/>
  <c r="CT78" i="12" a="1"/>
  <c r="CS78" i="12" a="1"/>
  <c r="CR78" i="12" a="1"/>
  <c r="CQ78" i="12" a="1"/>
  <c r="CP78" i="12" a="1"/>
  <c r="CO78" i="12" a="1"/>
  <c r="CN78" i="12" a="1"/>
  <c r="CM78" i="12" a="1"/>
  <c r="CL78" i="12" a="1"/>
  <c r="CK78" i="12" a="1"/>
  <c r="CJ78" i="12" a="1"/>
  <c r="CI78" i="12" a="1"/>
  <c r="CH78" i="12" a="1"/>
  <c r="CG78" i="12" a="1"/>
  <c r="CF78" i="12" a="1"/>
  <c r="CE78" i="12" a="1"/>
  <c r="CD78" i="12" a="1"/>
  <c r="CC78" i="12" a="1"/>
  <c r="CB78" i="12" a="1"/>
  <c r="CA78" i="12" a="1"/>
  <c r="BZ78" i="12" a="1"/>
  <c r="BY78" i="12"/>
  <c r="BX78" i="12"/>
  <c r="BM78" i="12"/>
  <c r="CW78" i="12" a="1"/>
  <c r="CW77" i="12" a="1"/>
  <c r="CV77" i="12" a="1"/>
  <c r="CU77" i="12" a="1"/>
  <c r="CT77" i="12" a="1"/>
  <c r="CS77" i="12" a="1"/>
  <c r="CR77" i="12" a="1"/>
  <c r="CQ77" i="12" a="1"/>
  <c r="CP77" i="12" a="1"/>
  <c r="CO77" i="12" a="1"/>
  <c r="CN77" i="12" a="1"/>
  <c r="CM77" i="12" a="1"/>
  <c r="CL77" i="12" a="1"/>
  <c r="CK77" i="12" a="1"/>
  <c r="CJ77" i="12" a="1"/>
  <c r="CI77" i="12" a="1"/>
  <c r="CH77" i="12" a="1"/>
  <c r="CG77" i="12" a="1"/>
  <c r="CF77" i="12" a="1"/>
  <c r="CE77" i="12" a="1"/>
  <c r="CD77" i="12" a="1"/>
  <c r="CC77" i="12" a="1"/>
  <c r="CB77" i="12" a="1"/>
  <c r="CA77" i="12" a="1"/>
  <c r="BZ77" i="12" a="1"/>
  <c r="BY77" i="12"/>
  <c r="K77" i="12"/>
  <c r="BX77" i="12"/>
  <c r="CW76" i="12" a="1"/>
  <c r="CV76" i="12" a="1"/>
  <c r="CU76" i="12" a="1"/>
  <c r="CT76" i="12" a="1"/>
  <c r="CS76" i="12" a="1"/>
  <c r="CR76" i="12" a="1"/>
  <c r="CQ76" i="12" a="1"/>
  <c r="CP76" i="12" a="1"/>
  <c r="CO76" i="12" a="1"/>
  <c r="CN76" i="12" a="1"/>
  <c r="CM76" i="12" a="1"/>
  <c r="CL76" i="12" a="1"/>
  <c r="CK76" i="12" a="1"/>
  <c r="CJ76" i="12" a="1"/>
  <c r="CI76" i="12" a="1"/>
  <c r="CH76" i="12" a="1"/>
  <c r="CG76" i="12" a="1"/>
  <c r="CF76" i="12" a="1"/>
  <c r="CE76" i="12" a="1"/>
  <c r="CD76" i="12" a="1"/>
  <c r="CC76" i="12" a="1"/>
  <c r="CB76" i="12" a="1"/>
  <c r="CA76" i="12" a="1"/>
  <c r="BZ76" i="12" a="1"/>
  <c r="K76" i="12"/>
  <c r="BX76" i="12"/>
  <c r="CW75" i="12" a="1"/>
  <c r="CV75" i="12" a="1"/>
  <c r="CU75" i="12" a="1"/>
  <c r="CT75" i="12" a="1"/>
  <c r="CS75" i="12" a="1"/>
  <c r="CR75" i="12" a="1"/>
  <c r="CQ75" i="12" a="1"/>
  <c r="CP75" i="12" a="1"/>
  <c r="CO75" i="12" a="1"/>
  <c r="CN75" i="12" a="1"/>
  <c r="CM75" i="12" a="1"/>
  <c r="CL75" i="12" a="1"/>
  <c r="CK75" i="12" a="1"/>
  <c r="CJ75" i="12" a="1"/>
  <c r="CI75" i="12" a="1"/>
  <c r="CH75" i="12" a="1"/>
  <c r="CG75" i="12" a="1"/>
  <c r="CF75" i="12" a="1"/>
  <c r="CE75" i="12" a="1"/>
  <c r="CD75" i="12" a="1"/>
  <c r="CC75" i="12" a="1"/>
  <c r="CB75" i="12" a="1"/>
  <c r="CA75" i="12" a="1"/>
  <c r="BZ75" i="12" a="1"/>
  <c r="BX75" i="12"/>
  <c r="CV74" i="12" a="1"/>
  <c r="CU74" i="12" a="1"/>
  <c r="CT74" i="12" a="1"/>
  <c r="CS74" i="12" a="1"/>
  <c r="CR74" i="12" a="1"/>
  <c r="CQ74" i="12" a="1"/>
  <c r="CP74" i="12" a="1"/>
  <c r="CO74" i="12" a="1"/>
  <c r="CN74" i="12" a="1"/>
  <c r="CM74" i="12" a="1"/>
  <c r="CL74" i="12" a="1"/>
  <c r="CK74" i="12" a="1"/>
  <c r="CJ74" i="12" a="1"/>
  <c r="CI74" i="12" a="1"/>
  <c r="CH74" i="12" a="1"/>
  <c r="CG74" i="12" a="1"/>
  <c r="CF74" i="12" a="1"/>
  <c r="CE74" i="12" a="1"/>
  <c r="CD74" i="12" a="1"/>
  <c r="CC74" i="12" a="1"/>
  <c r="CB74" i="12" a="1"/>
  <c r="CA74" i="12" a="1"/>
  <c r="BZ74" i="12" a="1"/>
  <c r="BY74" i="12"/>
  <c r="BM74" i="12"/>
  <c r="CW74" i="12" a="1"/>
  <c r="BX74" i="12"/>
  <c r="CW73" i="12" a="1"/>
  <c r="CV73" i="12" a="1"/>
  <c r="CU73" i="12" a="1"/>
  <c r="CT73" i="12" a="1"/>
  <c r="CS73" i="12" a="1"/>
  <c r="CR73" i="12" a="1"/>
  <c r="CQ73" i="12" a="1"/>
  <c r="CP73" i="12" a="1"/>
  <c r="CO73" i="12" a="1"/>
  <c r="CN73" i="12" a="1"/>
  <c r="CM73" i="12" a="1"/>
  <c r="CL73" i="12" a="1"/>
  <c r="CK73" i="12" a="1"/>
  <c r="CJ73" i="12" a="1"/>
  <c r="CI73" i="12" a="1"/>
  <c r="CH73" i="12" a="1"/>
  <c r="CG73" i="12" a="1"/>
  <c r="CF73" i="12" a="1"/>
  <c r="CE73" i="12" a="1"/>
  <c r="CD73" i="12" a="1"/>
  <c r="CC73" i="12" a="1"/>
  <c r="CB73" i="12" a="1"/>
  <c r="CA73" i="12" a="1"/>
  <c r="BZ73" i="12" a="1"/>
  <c r="BY73" i="12"/>
  <c r="BX73" i="12"/>
  <c r="CW72" i="12" a="1"/>
  <c r="CV72" i="12" a="1"/>
  <c r="CU72" i="12" a="1"/>
  <c r="CT72" i="12" a="1"/>
  <c r="CS72" i="12" a="1"/>
  <c r="CR72" i="12" a="1"/>
  <c r="CQ72" i="12" a="1"/>
  <c r="CP72" i="12" a="1"/>
  <c r="CO72" i="12" a="1"/>
  <c r="CN72" i="12" a="1"/>
  <c r="CM72" i="12" a="1"/>
  <c r="CL72" i="12" a="1"/>
  <c r="CK72" i="12" a="1"/>
  <c r="CJ72" i="12" a="1"/>
  <c r="CI72" i="12" a="1"/>
  <c r="CH72" i="12" a="1"/>
  <c r="CG72" i="12" a="1"/>
  <c r="CF72" i="12" a="1"/>
  <c r="CE72" i="12" a="1"/>
  <c r="CD72" i="12" a="1"/>
  <c r="CC72" i="12" a="1"/>
  <c r="CB72" i="12" a="1"/>
  <c r="CA72" i="12" a="1"/>
  <c r="BZ72" i="12" a="1"/>
  <c r="BY72" i="12"/>
  <c r="BX72" i="12"/>
  <c r="CW71" i="12" a="1"/>
  <c r="CV71" i="12" a="1"/>
  <c r="CU71" i="12" a="1"/>
  <c r="CT71" i="12" a="1"/>
  <c r="CS71" i="12" a="1"/>
  <c r="CR71" i="12" a="1"/>
  <c r="CQ71" i="12" a="1"/>
  <c r="CP71" i="12" a="1"/>
  <c r="CO71" i="12" a="1"/>
  <c r="CN71" i="12" a="1"/>
  <c r="CM71" i="12" a="1"/>
  <c r="CL71" i="12" a="1"/>
  <c r="CK71" i="12" a="1"/>
  <c r="CJ71" i="12" a="1"/>
  <c r="CI71" i="12" a="1"/>
  <c r="CH71" i="12" a="1"/>
  <c r="CG71" i="12" a="1"/>
  <c r="CF71" i="12" a="1"/>
  <c r="CE71" i="12" a="1"/>
  <c r="CD71" i="12" a="1"/>
  <c r="CC71" i="12" a="1"/>
  <c r="CB71" i="12" a="1"/>
  <c r="CA71" i="12" a="1"/>
  <c r="BZ71" i="12" a="1"/>
  <c r="BY71" i="12"/>
  <c r="BX71" i="12"/>
  <c r="CW70" i="12" a="1"/>
  <c r="CV70" i="12" a="1"/>
  <c r="CU70" i="12" a="1"/>
  <c r="CT70" i="12" a="1"/>
  <c r="CS70" i="12" a="1"/>
  <c r="CR70" i="12" a="1"/>
  <c r="CQ70" i="12" a="1"/>
  <c r="CP70" i="12" a="1"/>
  <c r="CO70" i="12" a="1"/>
  <c r="CN70" i="12" a="1"/>
  <c r="CM70" i="12" a="1"/>
  <c r="CL70" i="12" a="1"/>
  <c r="CK70" i="12" a="1"/>
  <c r="CJ70" i="12" a="1"/>
  <c r="CI70" i="12" a="1"/>
  <c r="CH70" i="12" a="1"/>
  <c r="CG70" i="12" a="1"/>
  <c r="CF70" i="12" a="1"/>
  <c r="CE70" i="12" a="1"/>
  <c r="CD70" i="12" a="1"/>
  <c r="CC70" i="12" a="1"/>
  <c r="CB70" i="12" a="1"/>
  <c r="CA70" i="12" a="1"/>
  <c r="BZ70" i="12" a="1"/>
  <c r="BX70" i="12"/>
  <c r="CV69" i="12" a="1"/>
  <c r="CU69" i="12" a="1"/>
  <c r="CT69" i="12" a="1"/>
  <c r="CS69" i="12" a="1"/>
  <c r="CR69" i="12" a="1"/>
  <c r="CQ69" i="12" a="1"/>
  <c r="CP69" i="12" a="1"/>
  <c r="CO69" i="12" a="1"/>
  <c r="CN69" i="12" a="1"/>
  <c r="CM69" i="12" a="1"/>
  <c r="CL69" i="12" a="1"/>
  <c r="CK69" i="12" a="1"/>
  <c r="CJ69" i="12" a="1"/>
  <c r="CI69" i="12" a="1"/>
  <c r="CH69" i="12" a="1"/>
  <c r="CG69" i="12" a="1"/>
  <c r="CF69" i="12" a="1"/>
  <c r="CE69" i="12" a="1"/>
  <c r="CD69" i="12" a="1"/>
  <c r="CC69" i="12" a="1"/>
  <c r="CB69" i="12" a="1"/>
  <c r="CA69" i="12" a="1"/>
  <c r="BZ69" i="12" a="1"/>
  <c r="BY69" i="12"/>
  <c r="BX69" i="12"/>
  <c r="BM69" i="12"/>
  <c r="CW69" i="12" a="1"/>
  <c r="K69" i="12"/>
  <c r="CW68" i="12" a="1"/>
  <c r="CV68" i="12" a="1"/>
  <c r="CU68" i="12" a="1"/>
  <c r="CT68" i="12" a="1"/>
  <c r="CS68" i="12" a="1"/>
  <c r="CR68" i="12" a="1"/>
  <c r="CQ68" i="12" a="1"/>
  <c r="CP68" i="12" a="1"/>
  <c r="CO68" i="12" a="1"/>
  <c r="CN68" i="12" a="1"/>
  <c r="CM68" i="12" a="1"/>
  <c r="CL68" i="12" a="1"/>
  <c r="CK68" i="12" a="1"/>
  <c r="CJ68" i="12" a="1"/>
  <c r="CI68" i="12" a="1"/>
  <c r="CH68" i="12" a="1"/>
  <c r="CG68" i="12" a="1"/>
  <c r="CF68" i="12" a="1"/>
  <c r="CE68" i="12" a="1"/>
  <c r="CD68" i="12" a="1"/>
  <c r="CC68" i="12" a="1"/>
  <c r="CB68" i="12" a="1"/>
  <c r="CA68" i="12" a="1"/>
  <c r="BZ68" i="12" a="1"/>
  <c r="K68" i="12"/>
  <c r="BX68" i="12"/>
  <c r="CW67" i="12" a="1"/>
  <c r="CV67" i="12" a="1"/>
  <c r="CU67" i="12" a="1"/>
  <c r="CT67" i="12" a="1"/>
  <c r="CS67" i="12" a="1"/>
  <c r="CR67" i="12" a="1"/>
  <c r="CQ67" i="12" a="1"/>
  <c r="CP67" i="12" a="1"/>
  <c r="CO67" i="12" a="1"/>
  <c r="CN67" i="12" a="1"/>
  <c r="CM67" i="12" a="1"/>
  <c r="CL67" i="12" a="1"/>
  <c r="CK67" i="12" a="1"/>
  <c r="CJ67" i="12" a="1"/>
  <c r="CI67" i="12" a="1"/>
  <c r="CH67" i="12" a="1"/>
  <c r="CG67" i="12" a="1"/>
  <c r="CF67" i="12" a="1"/>
  <c r="CE67" i="12" a="1"/>
  <c r="CD67" i="12" a="1"/>
  <c r="CC67" i="12" a="1"/>
  <c r="CB67" i="12" a="1"/>
  <c r="CA67" i="12" a="1"/>
  <c r="BZ67" i="12" a="1"/>
  <c r="BX67" i="12"/>
  <c r="K67" i="12"/>
  <c r="CV66" i="12" a="1"/>
  <c r="CU66" i="12" a="1"/>
  <c r="CT66" i="12" a="1"/>
  <c r="CS66" i="12" a="1"/>
  <c r="CR66" i="12" a="1"/>
  <c r="CQ66" i="12" a="1"/>
  <c r="CP66" i="12" a="1"/>
  <c r="CO66" i="12" a="1"/>
  <c r="CN66" i="12" a="1"/>
  <c r="CM66" i="12" a="1"/>
  <c r="CL66" i="12" a="1"/>
  <c r="CK66" i="12" a="1"/>
  <c r="CJ66" i="12" a="1"/>
  <c r="CI66" i="12" a="1"/>
  <c r="CH66" i="12" a="1"/>
  <c r="CG66" i="12" a="1"/>
  <c r="CF66" i="12" a="1"/>
  <c r="CE66" i="12" a="1"/>
  <c r="CD66" i="12" a="1"/>
  <c r="CC66" i="12" a="1"/>
  <c r="CB66" i="12" a="1"/>
  <c r="CA66" i="12" a="1"/>
  <c r="BZ66" i="12" a="1"/>
  <c r="BX66" i="12"/>
  <c r="BM66" i="12"/>
  <c r="CW66" i="12" a="1"/>
  <c r="BY66" i="12"/>
  <c r="CW65" i="12" a="1"/>
  <c r="CV65" i="12" a="1"/>
  <c r="CU65" i="12" a="1"/>
  <c r="CT65" i="12" a="1"/>
  <c r="CS65" i="12" a="1"/>
  <c r="CR65" i="12" a="1"/>
  <c r="CQ65" i="12" a="1"/>
  <c r="CP65" i="12" a="1"/>
  <c r="CO65" i="12" a="1"/>
  <c r="CN65" i="12" a="1"/>
  <c r="CM65" i="12" a="1"/>
  <c r="CL65" i="12" a="1"/>
  <c r="CK65" i="12" a="1"/>
  <c r="CJ65" i="12" a="1"/>
  <c r="CI65" i="12" a="1"/>
  <c r="CH65" i="12" a="1"/>
  <c r="CG65" i="12" a="1"/>
  <c r="CF65" i="12" a="1"/>
  <c r="CE65" i="12" a="1"/>
  <c r="CD65" i="12" a="1"/>
  <c r="CC65" i="12" a="1"/>
  <c r="CB65" i="12" a="1"/>
  <c r="CA65" i="12" a="1"/>
  <c r="BZ65" i="12" a="1"/>
  <c r="BX65" i="12"/>
  <c r="BY65" i="12"/>
  <c r="CW64" i="12" a="1"/>
  <c r="CV64" i="12" a="1"/>
  <c r="CU64" i="12" a="1"/>
  <c r="CT64" i="12" a="1"/>
  <c r="CS64" i="12" a="1"/>
  <c r="CR64" i="12" a="1"/>
  <c r="CQ64" i="12" a="1"/>
  <c r="CP64" i="12" a="1"/>
  <c r="CO64" i="12" a="1"/>
  <c r="CN64" i="12" a="1"/>
  <c r="CM64" i="12" a="1"/>
  <c r="CL64" i="12" a="1"/>
  <c r="CK64" i="12" a="1"/>
  <c r="CJ64" i="12" a="1"/>
  <c r="CI64" i="12" a="1"/>
  <c r="CH64" i="12" a="1"/>
  <c r="CG64" i="12" a="1"/>
  <c r="CF64" i="12" a="1"/>
  <c r="CE64" i="12" a="1"/>
  <c r="CD64" i="12" a="1"/>
  <c r="CC64" i="12" a="1"/>
  <c r="CB64" i="12" a="1"/>
  <c r="CA64" i="12" a="1"/>
  <c r="BZ64" i="12" a="1"/>
  <c r="BY64" i="12"/>
  <c r="K64" i="12"/>
  <c r="BX64" i="12"/>
  <c r="CV63" i="12" a="1"/>
  <c r="CU63" i="12" a="1"/>
  <c r="CT63" i="12" a="1"/>
  <c r="CS63" i="12" a="1"/>
  <c r="CR63" i="12" a="1"/>
  <c r="CQ63" i="12" a="1"/>
  <c r="CP63" i="12" a="1"/>
  <c r="CO63" i="12" a="1"/>
  <c r="CN63" i="12" a="1"/>
  <c r="CM63" i="12" a="1"/>
  <c r="CL63" i="12" a="1"/>
  <c r="CK63" i="12" a="1"/>
  <c r="CJ63" i="12" a="1"/>
  <c r="CI63" i="12" a="1"/>
  <c r="CH63" i="12" a="1"/>
  <c r="CG63" i="12" a="1"/>
  <c r="CF63" i="12" a="1"/>
  <c r="CE63" i="12" a="1"/>
  <c r="CD63" i="12" a="1"/>
  <c r="CC63" i="12" a="1"/>
  <c r="CB63" i="12" a="1"/>
  <c r="CA63" i="12" a="1"/>
  <c r="BZ63" i="12" a="1"/>
  <c r="BY63" i="12"/>
  <c r="BM63" i="12"/>
  <c r="CW63" i="12" a="1"/>
  <c r="BX63" i="12"/>
  <c r="CV62" i="12" a="1"/>
  <c r="CU62" i="12" a="1"/>
  <c r="CT62" i="12" a="1"/>
  <c r="CS62" i="12" a="1"/>
  <c r="CR62" i="12" a="1"/>
  <c r="CQ62" i="12" a="1"/>
  <c r="CP62" i="12" a="1"/>
  <c r="CO62" i="12" a="1"/>
  <c r="CN62" i="12" a="1"/>
  <c r="CM62" i="12" a="1"/>
  <c r="CL62" i="12" a="1"/>
  <c r="CK62" i="12" a="1"/>
  <c r="CJ62" i="12" a="1"/>
  <c r="CI62" i="12" a="1"/>
  <c r="CH62" i="12" a="1"/>
  <c r="CG62" i="12" a="1"/>
  <c r="CF62" i="12" a="1"/>
  <c r="CE62" i="12" a="1"/>
  <c r="CD62" i="12" a="1"/>
  <c r="CC62" i="12" a="1"/>
  <c r="CB62" i="12" a="1"/>
  <c r="CA62" i="12" a="1"/>
  <c r="BZ62" i="12" a="1"/>
  <c r="BY62" i="12"/>
  <c r="BX62" i="12"/>
  <c r="BM62" i="12"/>
  <c r="CW62" i="12" a="1"/>
  <c r="BM61" i="12"/>
  <c r="BM60" i="12"/>
  <c r="K60" i="12"/>
  <c r="K59" i="12"/>
  <c r="BM58" i="12"/>
  <c r="K55" i="12"/>
  <c r="K54" i="12"/>
  <c r="BM53" i="12"/>
  <c r="K52" i="12"/>
  <c r="K51" i="12"/>
  <c r="BM50" i="12"/>
  <c r="BM49" i="12"/>
  <c r="K49" i="12"/>
  <c r="K48" i="12"/>
  <c r="BM47" i="12"/>
  <c r="BM46" i="12"/>
  <c r="K46" i="12"/>
  <c r="K44" i="12"/>
  <c r="K43" i="12"/>
  <c r="BM42" i="12"/>
  <c r="K41" i="12"/>
  <c r="BM40" i="12"/>
  <c r="K40" i="12"/>
  <c r="K39" i="12"/>
  <c r="K38" i="12"/>
  <c r="BM37" i="12"/>
  <c r="K36" i="12"/>
  <c r="K35" i="12"/>
  <c r="K33" i="12"/>
  <c r="BM31" i="12"/>
  <c r="K29" i="12"/>
  <c r="BM28" i="12"/>
  <c r="BM24" i="12"/>
  <c r="K24" i="12"/>
  <c r="K22" i="12"/>
  <c r="K21" i="12"/>
  <c r="BM20" i="12"/>
  <c r="K19" i="12"/>
  <c r="BM17" i="12"/>
  <c r="K14" i="12"/>
  <c r="K12" i="12"/>
  <c r="K11" i="12"/>
  <c r="K10" i="12"/>
  <c r="CW8" i="12" a="1"/>
  <c r="CV8" i="12" a="1"/>
  <c r="CU8" i="12" a="1"/>
  <c r="CT8" i="12" a="1"/>
  <c r="CS8" i="12" a="1"/>
  <c r="CR8" i="12" a="1"/>
  <c r="CQ8" i="12" a="1"/>
  <c r="CP8" i="12" a="1"/>
  <c r="CO8" i="12" a="1"/>
  <c r="CN8" i="12" a="1"/>
  <c r="CM8" i="12" a="1"/>
  <c r="CL8" i="12" a="1"/>
  <c r="CK8" i="12" a="1"/>
  <c r="CJ8" i="12" a="1"/>
  <c r="CI8" i="12" a="1"/>
  <c r="CH8" i="12" a="1"/>
  <c r="CG8" i="12" a="1"/>
  <c r="CF8" i="12" a="1"/>
  <c r="CE8" i="12" a="1"/>
  <c r="CD8" i="12" a="1"/>
  <c r="CC8" i="12" a="1"/>
  <c r="CB8" i="12" a="1"/>
  <c r="CA8" i="12" a="1"/>
  <c r="BZ8" i="12" a="1"/>
  <c r="BY8" i="12"/>
  <c r="BX8" i="12"/>
  <c r="CA5" i="12"/>
  <c r="CB5" i="12"/>
  <c r="CC5" i="12"/>
  <c r="CD5" i="12"/>
  <c r="CE5" i="12"/>
  <c r="CF5" i="12"/>
  <c r="CG5" i="12"/>
  <c r="CH5" i="12"/>
  <c r="CI5" i="12"/>
  <c r="CJ5" i="12"/>
  <c r="CK5" i="12"/>
  <c r="CL5" i="12"/>
  <c r="CM5" i="12"/>
  <c r="CN5" i="12"/>
  <c r="CO5" i="12"/>
  <c r="CP5" i="12"/>
  <c r="CQ5" i="12"/>
  <c r="CR5" i="12"/>
  <c r="CS5" i="12"/>
  <c r="CT5" i="12"/>
  <c r="CU5" i="12"/>
  <c r="CV5" i="12"/>
  <c r="G5" i="12"/>
  <c r="G1" i="12"/>
  <c r="H19" i="11"/>
  <c r="H8" i="11"/>
  <c r="E14" i="11"/>
  <c r="K38" i="11"/>
  <c r="K31" i="11"/>
  <c r="K35" i="11"/>
  <c r="H34" i="11"/>
  <c r="E37" i="11"/>
  <c r="B22" i="11"/>
  <c r="S346" i="2"/>
  <c r="S353" i="2"/>
  <c r="S357" i="2"/>
  <c r="S362" i="2"/>
  <c r="S364" i="2"/>
  <c r="S370" i="2"/>
  <c r="S373" i="2"/>
  <c r="S377" i="2"/>
  <c r="S382" i="2"/>
  <c r="S386" i="2"/>
  <c r="S391" i="2"/>
  <c r="S396" i="2"/>
  <c r="S400" i="2"/>
  <c r="S403" i="2"/>
  <c r="S407" i="2"/>
  <c r="S411" i="2"/>
  <c r="S415" i="2"/>
  <c r="S425" i="2"/>
  <c r="S437" i="2"/>
  <c r="S345" i="2"/>
  <c r="S348" i="2"/>
  <c r="S351" i="2"/>
  <c r="S356" i="2"/>
  <c r="S367" i="2"/>
  <c r="S369" i="2"/>
  <c r="S374" i="2"/>
  <c r="S378" i="2"/>
  <c r="S381" i="2"/>
  <c r="S385" i="2"/>
  <c r="S390" i="2"/>
  <c r="S394" i="2"/>
  <c r="S397" i="2"/>
  <c r="S401" i="2"/>
  <c r="S410" i="2"/>
  <c r="S414" i="2"/>
  <c r="S417" i="2"/>
  <c r="S427" i="2"/>
  <c r="S431" i="2"/>
  <c r="S435" i="2"/>
  <c r="S439" i="2"/>
  <c r="S347" i="2"/>
  <c r="S352" i="2"/>
  <c r="S355" i="2"/>
  <c r="S361" i="2"/>
  <c r="S366" i="2"/>
  <c r="S371" i="2"/>
  <c r="S375" i="2"/>
  <c r="S383" i="2"/>
  <c r="S387" i="2"/>
  <c r="S393" i="2"/>
  <c r="S398" i="2"/>
  <c r="S402" i="2"/>
  <c r="S405" i="2"/>
  <c r="S413" i="2"/>
  <c r="S418" i="2"/>
  <c r="S426" i="2"/>
  <c r="S430" i="2"/>
  <c r="S438" i="2"/>
  <c r="S349" i="2"/>
  <c r="S354" i="2"/>
  <c r="S358" i="2"/>
  <c r="S363" i="2"/>
  <c r="S368" i="2"/>
  <c r="S372" i="2"/>
  <c r="S384" i="2"/>
  <c r="S388" i="2"/>
  <c r="S392" i="2"/>
  <c r="S395" i="2"/>
  <c r="S399" i="2"/>
  <c r="S404" i="2"/>
  <c r="S408" i="2"/>
  <c r="S416" i="2"/>
  <c r="S419" i="2"/>
  <c r="S424" i="2"/>
  <c r="S428" i="2"/>
  <c r="S436" i="2"/>
  <c r="J27" i="5"/>
  <c r="J16" i="5"/>
  <c r="J20" i="5"/>
  <c r="J21" i="5"/>
  <c r="J11" i="5"/>
  <c r="I24" i="5"/>
  <c r="J24" i="5"/>
  <c r="I19" i="5"/>
  <c r="J19" i="5"/>
  <c r="I14" i="5"/>
  <c r="I25" i="5"/>
  <c r="I10" i="5"/>
  <c r="J10" i="5"/>
  <c r="I23" i="5"/>
  <c r="J23" i="5"/>
  <c r="I28" i="5"/>
  <c r="J28" i="5"/>
  <c r="I18" i="5"/>
  <c r="J18" i="5"/>
  <c r="I29" i="5"/>
  <c r="J29" i="5"/>
  <c r="I17" i="5"/>
  <c r="J17" i="5"/>
  <c r="I12" i="5"/>
  <c r="J12" i="5"/>
  <c r="I15" i="5"/>
  <c r="J15" i="5"/>
  <c r="I26" i="5"/>
  <c r="J26" i="5"/>
  <c r="I30" i="5"/>
  <c r="J30" i="5"/>
  <c r="I13" i="5"/>
  <c r="CB122" i="12"/>
  <c r="CP122" i="12"/>
  <c r="CC128" i="12"/>
  <c r="CO125" i="12"/>
  <c r="CP120" i="12"/>
  <c r="AT121" i="12"/>
  <c r="BZ124" i="12"/>
  <c r="CM122" i="12"/>
  <c r="CR123" i="12"/>
  <c r="AX124" i="12"/>
  <c r="CR128" i="12"/>
  <c r="CR121" i="12"/>
  <c r="CR125" i="12"/>
  <c r="CR124" i="12"/>
  <c r="CR122" i="12"/>
  <c r="CR127" i="12"/>
  <c r="CR126" i="12"/>
  <c r="AX127" i="12"/>
  <c r="CR120" i="12"/>
  <c r="AX121" i="12"/>
  <c r="CD128" i="12"/>
  <c r="CS122" i="12"/>
  <c r="CS121" i="12"/>
  <c r="CS125" i="12"/>
  <c r="CS123" i="12"/>
  <c r="AZ124" i="12"/>
  <c r="CS124" i="12"/>
  <c r="CS128" i="12"/>
  <c r="CS127" i="12"/>
  <c r="CS126" i="12"/>
  <c r="AZ127" i="12"/>
  <c r="CS120" i="12"/>
  <c r="AZ121" i="12"/>
  <c r="CK123" i="12"/>
  <c r="AJ124" i="12"/>
  <c r="CT126" i="12"/>
  <c r="BB127" i="12"/>
  <c r="CJ125" i="12"/>
  <c r="CJ128" i="12"/>
  <c r="CJ124" i="12"/>
  <c r="CJ120" i="12"/>
  <c r="AH121" i="12"/>
  <c r="CJ122" i="12"/>
  <c r="CJ127" i="12"/>
  <c r="CJ126" i="12"/>
  <c r="AH127" i="12"/>
  <c r="CJ121" i="12"/>
  <c r="CJ123" i="12"/>
  <c r="AH124" i="12"/>
  <c r="CD122" i="12"/>
  <c r="CE127" i="12"/>
  <c r="CE120" i="12"/>
  <c r="X121" i="12"/>
  <c r="CE123" i="12"/>
  <c r="CE121" i="12"/>
  <c r="CE125" i="12"/>
  <c r="CE124" i="12"/>
  <c r="CE126" i="12"/>
  <c r="X127" i="12"/>
  <c r="CE128" i="12"/>
  <c r="CE122" i="12"/>
  <c r="CM128" i="12"/>
  <c r="CN122" i="12"/>
  <c r="K53" i="12"/>
  <c r="CN127" i="12"/>
  <c r="BZ128" i="12"/>
  <c r="BZ121" i="12"/>
  <c r="BZ122" i="12"/>
  <c r="BZ127" i="12"/>
  <c r="BZ126" i="12"/>
  <c r="N127" i="12"/>
  <c r="BZ120" i="12"/>
  <c r="N121" i="12"/>
  <c r="BZ125" i="12"/>
  <c r="BZ123" i="12"/>
  <c r="N124" i="12"/>
  <c r="K109" i="12"/>
  <c r="CQ123" i="12"/>
  <c r="AV124" i="12"/>
  <c r="CQ121" i="12"/>
  <c r="CQ125" i="12"/>
  <c r="CQ124" i="12"/>
  <c r="CQ128" i="12"/>
  <c r="CQ122" i="12"/>
  <c r="CQ127" i="12"/>
  <c r="K89" i="12"/>
  <c r="K47" i="12"/>
  <c r="CQ120" i="12"/>
  <c r="AV121" i="12"/>
  <c r="CG126" i="12"/>
  <c r="CG127" i="12"/>
  <c r="AB126" i="12"/>
  <c r="CG124" i="12"/>
  <c r="CG125" i="12"/>
  <c r="CG122" i="12"/>
  <c r="CG121" i="12"/>
  <c r="CG128" i="12"/>
  <c r="CG123" i="12"/>
  <c r="AB124" i="12"/>
  <c r="CG120" i="12"/>
  <c r="AB121" i="12"/>
  <c r="CV128" i="12"/>
  <c r="CV121" i="12"/>
  <c r="CV126" i="12"/>
  <c r="BF127" i="12"/>
  <c r="CV125" i="12"/>
  <c r="CV123" i="12"/>
  <c r="BF124" i="12"/>
  <c r="CV127" i="12"/>
  <c r="CV122" i="12"/>
  <c r="CV120" i="12"/>
  <c r="BF121" i="12"/>
  <c r="CV124" i="12"/>
  <c r="CA124" i="12"/>
  <c r="CI126" i="12"/>
  <c r="AF127" i="12"/>
  <c r="CI124" i="12"/>
  <c r="CI128" i="12"/>
  <c r="CI120" i="12"/>
  <c r="AF121" i="12"/>
  <c r="CI127" i="12"/>
  <c r="CI125" i="12"/>
  <c r="CI121" i="12"/>
  <c r="CI122" i="12"/>
  <c r="CI123" i="12"/>
  <c r="AF124" i="12"/>
  <c r="B3" i="12"/>
  <c r="K73" i="12"/>
  <c r="BY79" i="12"/>
  <c r="B5" i="12" a="1"/>
  <c r="B4" i="12" a="1"/>
  <c r="CK125" i="12"/>
  <c r="CK128" i="12"/>
  <c r="CK124" i="12"/>
  <c r="CK120" i="12"/>
  <c r="AJ121" i="12"/>
  <c r="CK127" i="12"/>
  <c r="CK121" i="12"/>
  <c r="CK126" i="12"/>
  <c r="AJ127" i="12"/>
  <c r="K17" i="12"/>
  <c r="BY102" i="12"/>
  <c r="CQ126" i="12"/>
  <c r="AV127" i="12"/>
  <c r="K27" i="12"/>
  <c r="K18" i="12"/>
  <c r="CC121" i="12"/>
  <c r="K8" i="12"/>
  <c r="CL125" i="12"/>
  <c r="CL123" i="12"/>
  <c r="AL124" i="12"/>
  <c r="CL128" i="12"/>
  <c r="CL124" i="12"/>
  <c r="CL120" i="12"/>
  <c r="AL121" i="12"/>
  <c r="CL126" i="12"/>
  <c r="AL127" i="12"/>
  <c r="CL121" i="12"/>
  <c r="CL127" i="12"/>
  <c r="CL122" i="12"/>
  <c r="K15" i="12"/>
  <c r="K74" i="12"/>
  <c r="K113" i="12"/>
  <c r="CK122" i="12"/>
  <c r="K56" i="12"/>
  <c r="CH121" i="12"/>
  <c r="CH127" i="12"/>
  <c r="CH125" i="12"/>
  <c r="CF125" i="12"/>
  <c r="CF123" i="12"/>
  <c r="Z124" i="12"/>
  <c r="CF127" i="12"/>
  <c r="CF120" i="12"/>
  <c r="Z121" i="12"/>
  <c r="CF124" i="12"/>
  <c r="CF126" i="12"/>
  <c r="Z127" i="12"/>
  <c r="CF121" i="12"/>
  <c r="CF128" i="12"/>
  <c r="CF122" i="12"/>
  <c r="CU122" i="12"/>
  <c r="CU127" i="12"/>
  <c r="CU120" i="12"/>
  <c r="CU126" i="12"/>
  <c r="CU121" i="12"/>
  <c r="CU128" i="12"/>
  <c r="CU123" i="12"/>
  <c r="CU124" i="12"/>
  <c r="CU125" i="12"/>
  <c r="D4" i="12"/>
  <c r="BY70" i="12"/>
  <c r="BY95" i="12"/>
  <c r="CO127" i="12"/>
  <c r="K9" i="12"/>
  <c r="BY67" i="12"/>
  <c r="K66" i="12"/>
  <c r="BY111" i="12"/>
  <c r="BY82" i="12"/>
  <c r="K115" i="12"/>
  <c r="K50" i="12"/>
  <c r="K26" i="12"/>
  <c r="CD127" i="12"/>
  <c r="CD120" i="12"/>
  <c r="V121" i="12"/>
  <c r="CD123" i="12"/>
  <c r="V124" i="12"/>
  <c r="CD125" i="12"/>
  <c r="CD124" i="12"/>
  <c r="V123" i="12"/>
  <c r="V125" i="12"/>
  <c r="CD121" i="12"/>
  <c r="CD126" i="12"/>
  <c r="V127" i="12"/>
  <c r="K30" i="12"/>
  <c r="K92" i="12"/>
  <c r="K99" i="12"/>
  <c r="BY122" i="12"/>
  <c r="BY127" i="12"/>
  <c r="BY120" i="12"/>
  <c r="L121" i="12"/>
  <c r="BY126" i="12"/>
  <c r="L127" i="12"/>
  <c r="BY121" i="12"/>
  <c r="BY125" i="12"/>
  <c r="BY128" i="12"/>
  <c r="BY123" i="12"/>
  <c r="L124" i="12"/>
  <c r="K105" i="12"/>
  <c r="K28" i="12"/>
  <c r="K16" i="12"/>
  <c r="K42" i="12"/>
  <c r="CB124" i="12"/>
  <c r="CM127" i="12"/>
  <c r="BY68" i="12"/>
  <c r="BY124" i="12"/>
  <c r="L123" i="12"/>
  <c r="L125" i="12"/>
  <c r="K100" i="12"/>
  <c r="BY108" i="12"/>
  <c r="CM126" i="12"/>
  <c r="AN127" i="12"/>
  <c r="K82" i="12"/>
  <c r="BY103" i="12"/>
  <c r="CN120" i="12"/>
  <c r="AP121" i="12"/>
  <c r="CN126" i="12"/>
  <c r="AP127" i="12"/>
  <c r="K84" i="12"/>
  <c r="K88" i="12"/>
  <c r="CT122" i="12"/>
  <c r="CT125" i="12"/>
  <c r="CT128" i="12"/>
  <c r="CT123" i="12"/>
  <c r="BB124" i="12"/>
  <c r="CT127" i="12"/>
  <c r="BB126" i="12"/>
  <c r="BB128" i="12"/>
  <c r="CT120" i="12"/>
  <c r="BB121" i="12"/>
  <c r="BB129" i="12"/>
  <c r="K25" i="12"/>
  <c r="K57" i="12"/>
  <c r="K62" i="12"/>
  <c r="K72" i="12"/>
  <c r="BY86" i="12"/>
  <c r="K103" i="12"/>
  <c r="CM125" i="12"/>
  <c r="CH126" i="12"/>
  <c r="AD127" i="12"/>
  <c r="CH124" i="12"/>
  <c r="CH128" i="12"/>
  <c r="CH123" i="12"/>
  <c r="AD124" i="12"/>
  <c r="CH122" i="12"/>
  <c r="CH120" i="12"/>
  <c r="AD121" i="12"/>
  <c r="CN125" i="12"/>
  <c r="K81" i="12"/>
  <c r="K13" i="12"/>
  <c r="CT124" i="12"/>
  <c r="K85" i="12"/>
  <c r="K58" i="12"/>
  <c r="K79" i="12"/>
  <c r="BY92" i="12"/>
  <c r="K75" i="12"/>
  <c r="K32" i="12"/>
  <c r="K65" i="12"/>
  <c r="CM124" i="12"/>
  <c r="CM120" i="12"/>
  <c r="AN121" i="12"/>
  <c r="CM123" i="12"/>
  <c r="AN124" i="12"/>
  <c r="K45" i="12"/>
  <c r="CN123" i="12"/>
  <c r="AP124" i="12"/>
  <c r="K37" i="12"/>
  <c r="BY107" i="12"/>
  <c r="CM121" i="12"/>
  <c r="AN120" i="12"/>
  <c r="AN122" i="12"/>
  <c r="CA128" i="12"/>
  <c r="CA121" i="12"/>
  <c r="CA122" i="12"/>
  <c r="CA127" i="12"/>
  <c r="CA126" i="12"/>
  <c r="P127" i="12"/>
  <c r="CA120" i="12"/>
  <c r="P121" i="12"/>
  <c r="CA125" i="12"/>
  <c r="CO124" i="12"/>
  <c r="CO122" i="12"/>
  <c r="CO121" i="12"/>
  <c r="CO120" i="12"/>
  <c r="AR121" i="12"/>
  <c r="CO123" i="12"/>
  <c r="AR124" i="12"/>
  <c r="CO128" i="12"/>
  <c r="CO126" i="12"/>
  <c r="AR127" i="12"/>
  <c r="K34" i="12"/>
  <c r="CT121" i="12"/>
  <c r="CB128" i="12"/>
  <c r="CB121" i="12"/>
  <c r="CB127" i="12"/>
  <c r="CB123" i="12"/>
  <c r="R124" i="12"/>
  <c r="CB126" i="12"/>
  <c r="R127" i="12"/>
  <c r="CB120" i="12"/>
  <c r="R121" i="12"/>
  <c r="CB125" i="12"/>
  <c r="K23" i="12"/>
  <c r="K63" i="12"/>
  <c r="BY98" i="12"/>
  <c r="K106" i="12"/>
  <c r="CC124" i="12"/>
  <c r="CP123" i="12"/>
  <c r="AT124" i="12"/>
  <c r="CP121" i="12"/>
  <c r="CP125" i="12"/>
  <c r="CP127" i="12"/>
  <c r="CP124" i="12"/>
  <c r="CP128" i="12"/>
  <c r="CP126" i="12"/>
  <c r="AT127" i="12"/>
  <c r="K20" i="12"/>
  <c r="K71" i="12"/>
  <c r="BY84" i="12"/>
  <c r="K95" i="12"/>
  <c r="CA123" i="12"/>
  <c r="P124" i="12"/>
  <c r="K61" i="12"/>
  <c r="BY90" i="12"/>
  <c r="BY99" i="12"/>
  <c r="K78" i="12"/>
  <c r="K87" i="12"/>
  <c r="K91" i="12"/>
  <c r="K102" i="12"/>
  <c r="K86" i="12"/>
  <c r="BY75" i="12"/>
  <c r="BY91" i="12"/>
  <c r="CC127" i="12"/>
  <c r="CC120" i="12"/>
  <c r="T121" i="12"/>
  <c r="CC126" i="12"/>
  <c r="T127" i="12"/>
  <c r="CC123" i="12"/>
  <c r="T124" i="12"/>
  <c r="CC125" i="12"/>
  <c r="CC122" i="12"/>
  <c r="K93" i="12"/>
  <c r="K112" i="12"/>
  <c r="K70" i="12"/>
  <c r="K31" i="12"/>
  <c r="CN124" i="12"/>
  <c r="CN121" i="12"/>
  <c r="CN128" i="12"/>
  <c r="BY76" i="12"/>
  <c r="K80" i="12"/>
  <c r="BY97" i="12"/>
  <c r="AB127" i="12" a="1"/>
  <c r="K111" i="12"/>
  <c r="BY112" i="12"/>
  <c r="H41" i="11"/>
  <c r="H37" i="11"/>
  <c r="S360" i="2"/>
  <c r="S380" i="2"/>
  <c r="S376" i="2"/>
  <c r="S365" i="2"/>
  <c r="S412" i="2"/>
  <c r="S409" i="2"/>
  <c r="S389" i="2"/>
  <c r="S350" i="2"/>
  <c r="S429" i="2"/>
  <c r="AV120" i="12"/>
  <c r="AV122" i="12"/>
  <c r="J13" i="5"/>
  <c r="J14" i="5"/>
  <c r="J25" i="5"/>
  <c r="CX222" i="2"/>
  <c r="CX157" i="2"/>
  <c r="CX164" i="2"/>
  <c r="CX158" i="2"/>
  <c r="AX129" i="12"/>
  <c r="AF120" i="12"/>
  <c r="AF122" i="12"/>
  <c r="AJ120" i="12"/>
  <c r="AJ122" i="12"/>
  <c r="AD129" i="12"/>
  <c r="AX123" i="12"/>
  <c r="AX125" i="12"/>
  <c r="AL123" i="12"/>
  <c r="AL125" i="12"/>
  <c r="L120" i="12"/>
  <c r="L122" i="12"/>
  <c r="AT120" i="12"/>
  <c r="AT122" i="12"/>
  <c r="BB123" i="12"/>
  <c r="BB125" i="12"/>
  <c r="T123" i="12"/>
  <c r="T125" i="12"/>
  <c r="X123" i="12"/>
  <c r="AZ123" i="12"/>
  <c r="AZ125" i="12"/>
  <c r="AP120" i="12"/>
  <c r="AP122" i="12"/>
  <c r="AN129" i="12"/>
  <c r="Z120" i="12"/>
  <c r="Z122" i="12"/>
  <c r="AN126" i="12"/>
  <c r="AN128" i="12"/>
  <c r="AT123" i="12"/>
  <c r="AT125" i="12"/>
  <c r="T120" i="12"/>
  <c r="T122" i="12"/>
  <c r="AT126" i="12"/>
  <c r="AT128" i="12"/>
  <c r="Z126" i="12"/>
  <c r="Z128" i="12"/>
  <c r="R120" i="12"/>
  <c r="R122" i="12"/>
  <c r="AZ129" i="12"/>
  <c r="BF120" i="12"/>
  <c r="BF122" i="12"/>
  <c r="AP123" i="12"/>
  <c r="AP125" i="12"/>
  <c r="AN123" i="12"/>
  <c r="AN125" i="12"/>
  <c r="T129" i="12"/>
  <c r="AF123" i="12"/>
  <c r="AF125" i="12"/>
  <c r="R126" i="12"/>
  <c r="R128" i="12"/>
  <c r="AT129" i="12"/>
  <c r="T126" i="12"/>
  <c r="T128" i="12"/>
  <c r="AD126" i="12"/>
  <c r="AD128" i="12"/>
  <c r="AZ126" i="12"/>
  <c r="AZ128" i="12"/>
  <c r="AD123" i="12"/>
  <c r="AD125" i="12"/>
  <c r="X120" i="12"/>
  <c r="X122" i="12"/>
  <c r="AB120" i="12"/>
  <c r="AB122" i="12"/>
  <c r="N126" i="12"/>
  <c r="N128" i="12"/>
  <c r="AZ120" i="12"/>
  <c r="AZ122" i="12"/>
  <c r="AZ130" i="12"/>
  <c r="AD120" i="12"/>
  <c r="AD122" i="12"/>
  <c r="R123" i="12"/>
  <c r="R125" i="12"/>
  <c r="V120" i="12"/>
  <c r="V122" i="12"/>
  <c r="N120" i="12"/>
  <c r="N122" i="12"/>
  <c r="X126" i="12"/>
  <c r="X128" i="12"/>
  <c r="AR120" i="12"/>
  <c r="AR122" i="12"/>
  <c r="AB123" i="12"/>
  <c r="AB125" i="12"/>
  <c r="AL126" i="12"/>
  <c r="AL128" i="12"/>
  <c r="AF126" i="12"/>
  <c r="AF128" i="12"/>
  <c r="AP126" i="12"/>
  <c r="AP128" i="12"/>
  <c r="AR123" i="12"/>
  <c r="AR125" i="12"/>
  <c r="AL120" i="12"/>
  <c r="AL122" i="12"/>
  <c r="AL130" i="12"/>
  <c r="AF129" i="12"/>
  <c r="AH120" i="12"/>
  <c r="AH122" i="12"/>
  <c r="AX126" i="12"/>
  <c r="AX128" i="12"/>
  <c r="BB120" i="12"/>
  <c r="BB122" i="12"/>
  <c r="BB130" i="12"/>
  <c r="AP129" i="12"/>
  <c r="AR129" i="12"/>
  <c r="AV129" i="12"/>
  <c r="P129" i="12"/>
  <c r="AR126" i="12"/>
  <c r="AR128" i="12"/>
  <c r="AJ126" i="12"/>
  <c r="AJ128" i="12"/>
  <c r="AJ129" i="12"/>
  <c r="P123" i="12"/>
  <c r="P125" i="12"/>
  <c r="AH129" i="12"/>
  <c r="AX120" i="12"/>
  <c r="AX122" i="12"/>
  <c r="D5" i="12"/>
  <c r="AJ123" i="12"/>
  <c r="AJ125" i="12"/>
  <c r="BF123" i="12"/>
  <c r="BF125" i="12"/>
  <c r="AV126" i="12"/>
  <c r="AV128" i="12"/>
  <c r="AH123" i="12"/>
  <c r="AH125" i="12"/>
  <c r="N129" i="12"/>
  <c r="X124" i="12"/>
  <c r="X129" i="12"/>
  <c r="V126" i="12"/>
  <c r="V128" i="12"/>
  <c r="AL129" i="12"/>
  <c r="AH126" i="12"/>
  <c r="AH128" i="12"/>
  <c r="P126" i="12"/>
  <c r="P128" i="12"/>
  <c r="R129" i="12"/>
  <c r="P120" i="12"/>
  <c r="P122" i="12"/>
  <c r="Z123" i="12"/>
  <c r="Z125" i="12"/>
  <c r="BF129" i="12"/>
  <c r="L129" i="12"/>
  <c r="L126" i="12"/>
  <c r="L128" i="12"/>
  <c r="V129" i="12"/>
  <c r="Z129" i="12"/>
  <c r="N123" i="12"/>
  <c r="N125" i="12"/>
  <c r="BF126" i="12"/>
  <c r="BF128" i="12"/>
  <c r="AV123" i="12"/>
  <c r="AV125" i="12"/>
  <c r="CX141" i="2"/>
  <c r="CX140" i="2"/>
  <c r="CX147" i="2"/>
  <c r="CX142" i="2"/>
  <c r="CX152" i="2"/>
  <c r="CX154" i="2"/>
  <c r="CX148" i="2"/>
  <c r="CX139" i="2"/>
  <c r="AT130" i="12"/>
  <c r="R130" i="12"/>
  <c r="L130" i="12"/>
  <c r="AJ130" i="12"/>
  <c r="Z130" i="12"/>
  <c r="AP130" i="12"/>
  <c r="AN130" i="12"/>
  <c r="AH130" i="12"/>
  <c r="BF130" i="12"/>
  <c r="V130" i="12"/>
  <c r="AX130" i="12"/>
  <c r="T130" i="12"/>
  <c r="AV130" i="12"/>
  <c r="AF130" i="12"/>
  <c r="AD130" i="12"/>
  <c r="X125" i="12"/>
  <c r="X130" i="12"/>
  <c r="AR130" i="12"/>
  <c r="P130" i="12"/>
  <c r="N130" i="12"/>
  <c r="D4" i="5"/>
  <c r="D5" i="5"/>
  <c r="D3" i="5"/>
  <c r="B4" i="5"/>
  <c r="B5" i="5"/>
  <c r="F6" i="5"/>
  <c r="B3" i="5"/>
  <c r="BO268" i="2"/>
  <c r="HX283" i="2"/>
  <c r="AB282" i="10"/>
  <c r="HR283" i="2"/>
  <c r="AA282" i="10"/>
  <c r="HH283" i="2"/>
  <c r="Z282" i="10"/>
  <c r="HC283" i="2"/>
  <c r="BJ283" i="2"/>
  <c r="W283" i="2"/>
  <c r="GK283" i="2"/>
  <c r="Y282" i="10"/>
  <c r="J417" i="2"/>
  <c r="J383" i="2"/>
  <c r="J378" i="2"/>
  <c r="J377" i="2"/>
  <c r="J376" i="2"/>
  <c r="J371" i="2"/>
  <c r="V435" i="2"/>
  <c r="L434" i="10"/>
  <c r="V437" i="2"/>
  <c r="L436" i="10"/>
  <c r="V438" i="2"/>
  <c r="L437" i="10"/>
  <c r="V439" i="2"/>
  <c r="L438" i="10"/>
  <c r="V440" i="2"/>
  <c r="L439" i="10"/>
  <c r="U6" i="9"/>
  <c r="ER340" i="2"/>
  <c r="ER337" i="2"/>
  <c r="ER336" i="2"/>
  <c r="ER334" i="2"/>
  <c r="ER330" i="2"/>
  <c r="ER329" i="2"/>
  <c r="ER328" i="2"/>
  <c r="ER325" i="2"/>
  <c r="ER324" i="2"/>
  <c r="ER323" i="2"/>
  <c r="ER321" i="2"/>
  <c r="ER317" i="2"/>
  <c r="ER308" i="2"/>
  <c r="ER295" i="2"/>
  <c r="ER292" i="2"/>
  <c r="ER290" i="2"/>
  <c r="ER289" i="2"/>
  <c r="ER287" i="2"/>
  <c r="ER284" i="2"/>
  <c r="ER283" i="2"/>
  <c r="ER280" i="2"/>
  <c r="ER279" i="2"/>
  <c r="ER277" i="2"/>
  <c r="ER276" i="2"/>
  <c r="ER270" i="2"/>
  <c r="ER269" i="2"/>
  <c r="ER268" i="2"/>
  <c r="ER267" i="2"/>
  <c r="ER266" i="2"/>
  <c r="ER265" i="2"/>
  <c r="ER264" i="2"/>
  <c r="ER263" i="2"/>
  <c r="ER262" i="2"/>
  <c r="ER258" i="2"/>
  <c r="ER257" i="2"/>
  <c r="ER256" i="2"/>
  <c r="ER255" i="2"/>
  <c r="ER254" i="2"/>
  <c r="ER253" i="2"/>
  <c r="ER252" i="2"/>
  <c r="ER251" i="2"/>
  <c r="ER250" i="2"/>
  <c r="ER249" i="2"/>
  <c r="ER248" i="2"/>
  <c r="ER247" i="2"/>
  <c r="ER246" i="2"/>
  <c r="ER244" i="2"/>
  <c r="ER243" i="2"/>
  <c r="ER242" i="2"/>
  <c r="ER241" i="2"/>
  <c r="ER240" i="2"/>
  <c r="ER237" i="2"/>
  <c r="ER245" i="2"/>
  <c r="ER238" i="2"/>
  <c r="ER239" i="2"/>
  <c r="ER259" i="2"/>
  <c r="ER260" i="2"/>
  <c r="ER261" i="2"/>
  <c r="ER272" i="2"/>
  <c r="ER273" i="2"/>
  <c r="ER275" i="2"/>
  <c r="ER281" i="2"/>
  <c r="ER285" i="2"/>
  <c r="ER286" i="2"/>
  <c r="ER288" i="2"/>
  <c r="ER293" i="2"/>
  <c r="ER297" i="2"/>
  <c r="ER298" i="2"/>
  <c r="ER299" i="2"/>
  <c r="ER302" i="2"/>
  <c r="ER303" i="2"/>
  <c r="ER305" i="2"/>
  <c r="ER306" i="2"/>
  <c r="ER309" i="2"/>
  <c r="ER310" i="2"/>
  <c r="ER311" i="2"/>
  <c r="ER312" i="2"/>
  <c r="ER313" i="2"/>
  <c r="ER318" i="2"/>
  <c r="ER331" i="2"/>
  <c r="ER335" i="2"/>
  <c r="ER338" i="2"/>
  <c r="ER339" i="2"/>
  <c r="ER341" i="2"/>
  <c r="ER342" i="2"/>
  <c r="ER343" i="2"/>
  <c r="ER344" i="2"/>
  <c r="ED245" i="2"/>
  <c r="ED3" i="2"/>
  <c r="EC3" i="2"/>
  <c r="V240" i="2"/>
  <c r="AU248" i="2"/>
  <c r="AT248" i="2"/>
  <c r="AS248" i="2"/>
  <c r="AO248" i="2"/>
  <c r="AR248" i="2"/>
  <c r="AQ248" i="2"/>
  <c r="AP248" i="2"/>
  <c r="AT247" i="2"/>
  <c r="AS247" i="2"/>
  <c r="AR247" i="2"/>
  <c r="AU247" i="2"/>
  <c r="AV247" i="2"/>
  <c r="AQ247" i="2"/>
  <c r="AP247" i="2"/>
  <c r="AO247" i="2"/>
  <c r="BJ320" i="2"/>
  <c r="W320" i="2"/>
  <c r="BJ321" i="2"/>
  <c r="W321" i="2"/>
  <c r="BJ322" i="2"/>
  <c r="W322" i="2"/>
  <c r="BJ323" i="2"/>
  <c r="W323" i="2"/>
  <c r="BJ324" i="2"/>
  <c r="W324" i="2"/>
  <c r="BJ325" i="2"/>
  <c r="W325" i="2"/>
  <c r="BJ326" i="2"/>
  <c r="W326" i="2"/>
  <c r="BJ327" i="2"/>
  <c r="W327" i="2"/>
  <c r="BJ328" i="2"/>
  <c r="W328" i="2"/>
  <c r="BJ329" i="2"/>
  <c r="W329" i="2"/>
  <c r="BJ330" i="2"/>
  <c r="W330" i="2"/>
  <c r="BJ331" i="2"/>
  <c r="W331" i="2"/>
  <c r="BJ332" i="2"/>
  <c r="W332" i="2"/>
  <c r="BJ333" i="2"/>
  <c r="W333" i="2"/>
  <c r="BJ334" i="2"/>
  <c r="W334" i="2"/>
  <c r="BJ335" i="2"/>
  <c r="W335" i="2"/>
  <c r="BJ336" i="2"/>
  <c r="W336" i="2"/>
  <c r="BJ337" i="2"/>
  <c r="W337" i="2"/>
  <c r="BJ338" i="2"/>
  <c r="CJ338" i="2"/>
  <c r="BJ339" i="2"/>
  <c r="CJ339" i="2"/>
  <c r="BJ340" i="2"/>
  <c r="CJ340" i="2"/>
  <c r="BJ341" i="2"/>
  <c r="W341" i="2"/>
  <c r="BJ342" i="2"/>
  <c r="CJ342" i="2"/>
  <c r="BJ343" i="2"/>
  <c r="CJ343" i="2"/>
  <c r="BJ344" i="2"/>
  <c r="CJ344" i="2"/>
  <c r="IC5" i="2"/>
  <c r="ID5" i="2"/>
  <c r="IC6" i="2"/>
  <c r="ID6" i="2"/>
  <c r="IC7" i="2"/>
  <c r="ID7" i="2"/>
  <c r="IC8" i="2"/>
  <c r="ID8" i="2"/>
  <c r="IC9" i="2"/>
  <c r="ID9" i="2"/>
  <c r="IC10" i="2"/>
  <c r="ID10" i="2"/>
  <c r="IC11" i="2"/>
  <c r="ID11" i="2"/>
  <c r="IC12" i="2"/>
  <c r="ID12" i="2"/>
  <c r="IC13" i="2"/>
  <c r="ID13" i="2"/>
  <c r="IC14" i="2"/>
  <c r="ID14" i="2"/>
  <c r="IC15" i="2"/>
  <c r="ID15" i="2"/>
  <c r="IC16" i="2"/>
  <c r="ID16" i="2"/>
  <c r="IC17" i="2"/>
  <c r="ID17" i="2"/>
  <c r="IC18" i="2"/>
  <c r="ID18" i="2"/>
  <c r="IC19" i="2"/>
  <c r="ID19" i="2"/>
  <c r="IC20" i="2"/>
  <c r="ID20" i="2"/>
  <c r="IC21" i="2"/>
  <c r="ID21" i="2"/>
  <c r="IC22" i="2"/>
  <c r="ID22" i="2"/>
  <c r="IC23" i="2"/>
  <c r="ID23" i="2"/>
  <c r="IC24" i="2"/>
  <c r="ID24" i="2"/>
  <c r="IC25" i="2"/>
  <c r="ID25" i="2"/>
  <c r="IC26" i="2"/>
  <c r="ID26" i="2"/>
  <c r="IC27" i="2"/>
  <c r="ID27" i="2"/>
  <c r="IC28" i="2"/>
  <c r="ID28" i="2"/>
  <c r="IC29" i="2"/>
  <c r="ID29" i="2"/>
  <c r="IC30" i="2"/>
  <c r="ID30" i="2"/>
  <c r="IC31" i="2"/>
  <c r="ID31" i="2"/>
  <c r="IC32" i="2"/>
  <c r="ID32" i="2"/>
  <c r="IC33" i="2"/>
  <c r="ID33" i="2"/>
  <c r="IC34" i="2"/>
  <c r="ID34" i="2"/>
  <c r="IC35" i="2"/>
  <c r="ID35" i="2"/>
  <c r="IC36" i="2"/>
  <c r="ID36" i="2"/>
  <c r="IC37" i="2"/>
  <c r="ID37" i="2"/>
  <c r="IC38" i="2"/>
  <c r="ID38" i="2"/>
  <c r="IC39" i="2"/>
  <c r="ID39" i="2"/>
  <c r="IC40" i="2"/>
  <c r="ID40" i="2"/>
  <c r="IC41" i="2"/>
  <c r="ID41" i="2"/>
  <c r="IC42" i="2"/>
  <c r="ID42" i="2"/>
  <c r="IC43" i="2"/>
  <c r="ID43" i="2"/>
  <c r="IC44" i="2"/>
  <c r="ID44" i="2"/>
  <c r="IC45" i="2"/>
  <c r="ID45" i="2"/>
  <c r="IC46" i="2"/>
  <c r="ID46" i="2"/>
  <c r="IC47" i="2"/>
  <c r="ID47" i="2"/>
  <c r="IC48" i="2"/>
  <c r="ID48" i="2"/>
  <c r="IC49" i="2"/>
  <c r="ID49" i="2"/>
  <c r="IC50" i="2"/>
  <c r="ID50" i="2"/>
  <c r="IC51" i="2"/>
  <c r="ID51" i="2"/>
  <c r="IC52" i="2"/>
  <c r="ID52" i="2"/>
  <c r="IC53" i="2"/>
  <c r="ID53" i="2"/>
  <c r="IC54" i="2"/>
  <c r="ID54" i="2"/>
  <c r="IC55" i="2"/>
  <c r="ID55" i="2"/>
  <c r="IC56" i="2"/>
  <c r="ID56" i="2"/>
  <c r="IC57" i="2"/>
  <c r="ID57" i="2"/>
  <c r="IC58" i="2"/>
  <c r="ID58" i="2"/>
  <c r="IC59" i="2"/>
  <c r="ID59" i="2"/>
  <c r="IC60" i="2"/>
  <c r="ID60" i="2"/>
  <c r="IC61" i="2"/>
  <c r="ID61" i="2"/>
  <c r="IC62" i="2"/>
  <c r="ID62" i="2"/>
  <c r="IC63" i="2"/>
  <c r="ID63" i="2"/>
  <c r="IC64" i="2"/>
  <c r="ID64" i="2"/>
  <c r="IC65" i="2"/>
  <c r="ID65" i="2"/>
  <c r="IC66" i="2"/>
  <c r="ID66" i="2"/>
  <c r="IC67" i="2"/>
  <c r="ID67" i="2"/>
  <c r="IC68" i="2"/>
  <c r="ID68" i="2"/>
  <c r="IC69" i="2"/>
  <c r="ID69" i="2"/>
  <c r="IC70" i="2"/>
  <c r="ID70" i="2"/>
  <c r="IC71" i="2"/>
  <c r="ID71" i="2"/>
  <c r="IC72" i="2"/>
  <c r="ID72" i="2"/>
  <c r="IC73" i="2"/>
  <c r="ID73" i="2"/>
  <c r="IC74" i="2"/>
  <c r="ID74" i="2"/>
  <c r="IC75" i="2"/>
  <c r="ID75" i="2"/>
  <c r="IC76" i="2"/>
  <c r="ID76" i="2"/>
  <c r="IC77" i="2"/>
  <c r="ID77" i="2"/>
  <c r="IC78" i="2"/>
  <c r="ID78" i="2"/>
  <c r="IC79" i="2"/>
  <c r="ID79" i="2"/>
  <c r="IC80" i="2"/>
  <c r="ID80" i="2"/>
  <c r="IC81" i="2"/>
  <c r="ID81" i="2"/>
  <c r="IC82" i="2"/>
  <c r="ID82" i="2"/>
  <c r="IC83" i="2"/>
  <c r="ID83" i="2"/>
  <c r="IC84" i="2"/>
  <c r="ID84" i="2"/>
  <c r="IC85" i="2"/>
  <c r="ID85" i="2"/>
  <c r="IC86" i="2"/>
  <c r="ID86" i="2"/>
  <c r="IC87" i="2"/>
  <c r="ID87" i="2"/>
  <c r="IC88" i="2"/>
  <c r="ID88" i="2"/>
  <c r="IC89" i="2"/>
  <c r="ID89" i="2"/>
  <c r="IC90" i="2"/>
  <c r="ID90" i="2"/>
  <c r="IC91" i="2"/>
  <c r="ID91" i="2"/>
  <c r="IC92" i="2"/>
  <c r="ID92" i="2"/>
  <c r="IC93" i="2"/>
  <c r="ID93" i="2"/>
  <c r="IC94" i="2"/>
  <c r="ID94" i="2"/>
  <c r="IC95" i="2"/>
  <c r="ID95" i="2"/>
  <c r="IC96" i="2"/>
  <c r="ID96" i="2"/>
  <c r="IC97" i="2"/>
  <c r="ID97" i="2"/>
  <c r="IC98" i="2"/>
  <c r="ID98" i="2"/>
  <c r="IC99" i="2"/>
  <c r="ID99" i="2"/>
  <c r="IC100" i="2"/>
  <c r="ID100" i="2"/>
  <c r="IC101" i="2"/>
  <c r="ID101" i="2"/>
  <c r="IC102" i="2"/>
  <c r="ID102" i="2"/>
  <c r="IC103" i="2"/>
  <c r="ID103" i="2"/>
  <c r="IC104" i="2"/>
  <c r="ID104" i="2"/>
  <c r="IC105" i="2"/>
  <c r="ID105" i="2"/>
  <c r="IC106" i="2"/>
  <c r="ID106" i="2"/>
  <c r="IC107" i="2"/>
  <c r="ID107" i="2"/>
  <c r="IC108" i="2"/>
  <c r="ID108" i="2"/>
  <c r="IC109" i="2"/>
  <c r="ID109" i="2"/>
  <c r="IC110" i="2"/>
  <c r="ID110" i="2"/>
  <c r="IC111" i="2"/>
  <c r="ID111" i="2"/>
  <c r="IC112" i="2"/>
  <c r="ID112" i="2"/>
  <c r="IC113" i="2"/>
  <c r="ID113" i="2"/>
  <c r="IC114" i="2"/>
  <c r="ID114" i="2"/>
  <c r="IC115" i="2"/>
  <c r="ID115" i="2"/>
  <c r="IC116" i="2"/>
  <c r="ID116" i="2"/>
  <c r="IC117" i="2"/>
  <c r="ID117" i="2"/>
  <c r="IC118" i="2"/>
  <c r="ID118" i="2"/>
  <c r="IC119" i="2"/>
  <c r="ID119" i="2"/>
  <c r="IC120" i="2"/>
  <c r="ID120" i="2"/>
  <c r="IC121" i="2"/>
  <c r="ID121" i="2"/>
  <c r="IC122" i="2"/>
  <c r="ID122" i="2"/>
  <c r="IC123" i="2"/>
  <c r="ID123" i="2"/>
  <c r="IC124" i="2"/>
  <c r="ID124" i="2"/>
  <c r="IC125" i="2"/>
  <c r="ID125" i="2"/>
  <c r="IC126" i="2"/>
  <c r="ID126" i="2"/>
  <c r="IC127" i="2"/>
  <c r="ID127" i="2"/>
  <c r="IC128" i="2"/>
  <c r="ID128" i="2"/>
  <c r="IC129" i="2"/>
  <c r="ID129" i="2"/>
  <c r="IC130" i="2"/>
  <c r="ID130" i="2"/>
  <c r="IC131" i="2"/>
  <c r="ID131" i="2"/>
  <c r="IC132" i="2"/>
  <c r="ID132" i="2"/>
  <c r="IC133" i="2"/>
  <c r="ID133" i="2"/>
  <c r="IC134" i="2"/>
  <c r="ID134" i="2"/>
  <c r="IC135" i="2"/>
  <c r="ID135" i="2"/>
  <c r="IC136" i="2"/>
  <c r="ID136" i="2"/>
  <c r="IC137" i="2"/>
  <c r="ID137" i="2"/>
  <c r="IC138" i="2"/>
  <c r="ID138" i="2"/>
  <c r="IC139" i="2"/>
  <c r="ID139" i="2"/>
  <c r="IC140" i="2"/>
  <c r="ID140" i="2"/>
  <c r="IC141" i="2"/>
  <c r="ID141" i="2"/>
  <c r="IC142" i="2"/>
  <c r="ID142" i="2"/>
  <c r="IC143" i="2"/>
  <c r="ID143" i="2"/>
  <c r="IC144" i="2"/>
  <c r="ID144" i="2"/>
  <c r="IC145" i="2"/>
  <c r="ID145" i="2"/>
  <c r="IC146" i="2"/>
  <c r="ID146" i="2"/>
  <c r="IC147" i="2"/>
  <c r="ID147" i="2"/>
  <c r="IC148" i="2"/>
  <c r="ID148" i="2"/>
  <c r="IC149" i="2"/>
  <c r="ID149" i="2"/>
  <c r="IC150" i="2"/>
  <c r="ID150" i="2"/>
  <c r="IC151" i="2"/>
  <c r="ID151" i="2"/>
  <c r="IC152" i="2"/>
  <c r="ID152" i="2"/>
  <c r="IC153" i="2"/>
  <c r="ID153" i="2"/>
  <c r="IC154" i="2"/>
  <c r="ID154" i="2"/>
  <c r="IC155" i="2"/>
  <c r="ID155" i="2"/>
  <c r="IC156" i="2"/>
  <c r="ID156" i="2"/>
  <c r="IC157" i="2"/>
  <c r="ID157" i="2"/>
  <c r="IC158" i="2"/>
  <c r="ID158" i="2"/>
  <c r="IC159" i="2"/>
  <c r="ID159" i="2"/>
  <c r="IC160" i="2"/>
  <c r="ID160" i="2"/>
  <c r="IC161" i="2"/>
  <c r="ID161" i="2"/>
  <c r="IC162" i="2"/>
  <c r="ID162" i="2"/>
  <c r="IC163" i="2"/>
  <c r="ID163" i="2"/>
  <c r="IC164" i="2"/>
  <c r="ID164" i="2"/>
  <c r="IC165" i="2"/>
  <c r="ID165" i="2"/>
  <c r="IC166" i="2"/>
  <c r="ID166" i="2"/>
  <c r="IC167" i="2"/>
  <c r="ID167" i="2"/>
  <c r="IC168" i="2"/>
  <c r="ID168" i="2"/>
  <c r="IC169" i="2"/>
  <c r="ID169" i="2"/>
  <c r="IC170" i="2"/>
  <c r="ID170" i="2"/>
  <c r="IC171" i="2"/>
  <c r="ID171" i="2"/>
  <c r="IC172" i="2"/>
  <c r="ID172" i="2"/>
  <c r="IC173" i="2"/>
  <c r="ID173" i="2"/>
  <c r="IC174" i="2"/>
  <c r="ID174" i="2"/>
  <c r="IC175" i="2"/>
  <c r="ID175" i="2"/>
  <c r="IC176" i="2"/>
  <c r="ID176" i="2"/>
  <c r="IC177" i="2"/>
  <c r="ID177" i="2"/>
  <c r="IC178" i="2"/>
  <c r="ID178" i="2"/>
  <c r="IC179" i="2"/>
  <c r="ID179" i="2"/>
  <c r="IC180" i="2"/>
  <c r="ID180" i="2"/>
  <c r="IC181" i="2"/>
  <c r="ID181" i="2"/>
  <c r="IC182" i="2"/>
  <c r="ID182" i="2"/>
  <c r="IC183" i="2"/>
  <c r="ID183" i="2"/>
  <c r="IC184" i="2"/>
  <c r="ID184" i="2"/>
  <c r="IC185" i="2"/>
  <c r="ID185" i="2"/>
  <c r="IC186" i="2"/>
  <c r="ID186" i="2"/>
  <c r="IC187" i="2"/>
  <c r="ID187" i="2"/>
  <c r="IC188" i="2"/>
  <c r="ID188" i="2"/>
  <c r="IC189" i="2"/>
  <c r="ID189" i="2"/>
  <c r="IC190" i="2"/>
  <c r="ID190" i="2"/>
  <c r="IC191" i="2"/>
  <c r="ID191" i="2"/>
  <c r="IC192" i="2"/>
  <c r="ID192" i="2"/>
  <c r="IC193" i="2"/>
  <c r="ID193" i="2"/>
  <c r="IC194" i="2"/>
  <c r="ID194" i="2"/>
  <c r="IC195" i="2"/>
  <c r="ID195" i="2"/>
  <c r="IC196" i="2"/>
  <c r="ID196" i="2"/>
  <c r="IC197" i="2"/>
  <c r="ID197" i="2"/>
  <c r="IC198" i="2"/>
  <c r="ID198" i="2"/>
  <c r="IC199" i="2"/>
  <c r="ID199" i="2"/>
  <c r="IC200" i="2"/>
  <c r="ID200" i="2"/>
  <c r="IC201" i="2"/>
  <c r="ID201" i="2"/>
  <c r="IC202" i="2"/>
  <c r="ID202" i="2"/>
  <c r="IC203" i="2"/>
  <c r="ID203" i="2"/>
  <c r="IC204" i="2"/>
  <c r="ID204" i="2"/>
  <c r="IC205" i="2"/>
  <c r="ID205" i="2"/>
  <c r="IC206" i="2"/>
  <c r="ID206" i="2"/>
  <c r="IC207" i="2"/>
  <c r="ID207" i="2"/>
  <c r="IC208" i="2"/>
  <c r="ID208" i="2"/>
  <c r="IC209" i="2"/>
  <c r="ID209" i="2"/>
  <c r="IC210" i="2"/>
  <c r="ID210" i="2"/>
  <c r="IC211" i="2"/>
  <c r="ID211" i="2"/>
  <c r="IC212" i="2"/>
  <c r="ID212" i="2"/>
  <c r="IC213" i="2"/>
  <c r="ID213" i="2"/>
  <c r="IC214" i="2"/>
  <c r="ID214" i="2"/>
  <c r="IC215" i="2"/>
  <c r="ID215" i="2"/>
  <c r="IC216" i="2"/>
  <c r="ID216" i="2"/>
  <c r="IC217" i="2"/>
  <c r="ID217" i="2"/>
  <c r="IC218" i="2"/>
  <c r="ID218" i="2"/>
  <c r="IC219" i="2"/>
  <c r="ID219" i="2"/>
  <c r="IC220" i="2"/>
  <c r="ID220" i="2"/>
  <c r="IC221" i="2"/>
  <c r="ID221" i="2"/>
  <c r="IC222" i="2"/>
  <c r="ID222" i="2"/>
  <c r="IC223" i="2"/>
  <c r="ID223" i="2"/>
  <c r="IC224" i="2"/>
  <c r="ID224" i="2"/>
  <c r="IC225" i="2"/>
  <c r="ID225" i="2"/>
  <c r="IC226" i="2"/>
  <c r="ID226" i="2"/>
  <c r="IC227" i="2"/>
  <c r="ID227" i="2"/>
  <c r="IC228" i="2"/>
  <c r="ID228" i="2"/>
  <c r="IC229" i="2"/>
  <c r="ID229" i="2"/>
  <c r="IC230" i="2"/>
  <c r="ID230" i="2"/>
  <c r="IC231" i="2"/>
  <c r="ID231" i="2"/>
  <c r="IC232" i="2"/>
  <c r="ID232" i="2"/>
  <c r="IC233" i="2"/>
  <c r="ID233" i="2"/>
  <c r="IC234" i="2"/>
  <c r="ID234" i="2"/>
  <c r="IC235" i="2"/>
  <c r="ID235" i="2"/>
  <c r="IC236" i="2"/>
  <c r="ID236" i="2"/>
  <c r="IC237" i="2"/>
  <c r="ID237" i="2"/>
  <c r="IC238" i="2"/>
  <c r="ID238" i="2"/>
  <c r="IC239" i="2"/>
  <c r="ID239" i="2"/>
  <c r="IC240" i="2"/>
  <c r="ID240" i="2"/>
  <c r="IC241" i="2"/>
  <c r="ID241" i="2"/>
  <c r="IC242" i="2"/>
  <c r="ID242" i="2"/>
  <c r="IC243" i="2"/>
  <c r="ID243" i="2"/>
  <c r="IC244" i="2"/>
  <c r="ID244" i="2"/>
  <c r="IC245" i="2"/>
  <c r="ID245" i="2"/>
  <c r="IC246" i="2"/>
  <c r="ID246" i="2"/>
  <c r="IC247" i="2"/>
  <c r="ID247" i="2"/>
  <c r="IC248" i="2"/>
  <c r="ID248" i="2"/>
  <c r="IC249" i="2"/>
  <c r="ID249" i="2"/>
  <c r="IC250" i="2"/>
  <c r="ID250" i="2"/>
  <c r="IC251" i="2"/>
  <c r="ID251" i="2"/>
  <c r="IC252" i="2"/>
  <c r="ID252" i="2"/>
  <c r="IC253" i="2"/>
  <c r="ID253" i="2"/>
  <c r="IC254" i="2"/>
  <c r="ID254" i="2"/>
  <c r="IC255" i="2"/>
  <c r="ID255" i="2"/>
  <c r="IC256" i="2"/>
  <c r="ID256" i="2"/>
  <c r="IC257" i="2"/>
  <c r="ID257" i="2"/>
  <c r="IC258" i="2"/>
  <c r="ID258" i="2"/>
  <c r="IC259" i="2"/>
  <c r="ID259" i="2"/>
  <c r="IC260" i="2"/>
  <c r="ID260" i="2"/>
  <c r="IC261" i="2"/>
  <c r="ID261" i="2"/>
  <c r="IC262" i="2"/>
  <c r="ID262" i="2"/>
  <c r="IC263" i="2"/>
  <c r="ID263" i="2"/>
  <c r="IC264" i="2"/>
  <c r="ID264" i="2"/>
  <c r="IC265" i="2"/>
  <c r="ID265" i="2"/>
  <c r="IC266" i="2"/>
  <c r="ID266" i="2"/>
  <c r="IC267" i="2"/>
  <c r="ID267" i="2"/>
  <c r="IC268" i="2"/>
  <c r="ID268" i="2"/>
  <c r="IC269" i="2"/>
  <c r="ID269" i="2"/>
  <c r="IC270" i="2"/>
  <c r="ID270" i="2"/>
  <c r="IC271" i="2"/>
  <c r="ID271" i="2"/>
  <c r="IC272" i="2"/>
  <c r="ID272" i="2"/>
  <c r="IC273" i="2"/>
  <c r="ID273" i="2"/>
  <c r="IC274" i="2"/>
  <c r="ID274" i="2"/>
  <c r="IC275" i="2"/>
  <c r="ID275" i="2"/>
  <c r="IC276" i="2"/>
  <c r="ID276" i="2"/>
  <c r="IC277" i="2"/>
  <c r="ID277" i="2"/>
  <c r="IC278" i="2"/>
  <c r="ID278" i="2"/>
  <c r="IC279" i="2"/>
  <c r="ID279" i="2"/>
  <c r="IC280" i="2"/>
  <c r="ID280" i="2"/>
  <c r="IC281" i="2"/>
  <c r="ID281" i="2"/>
  <c r="IC282" i="2"/>
  <c r="ID282" i="2"/>
  <c r="IC283" i="2"/>
  <c r="ID283" i="2"/>
  <c r="IC284" i="2"/>
  <c r="ID284" i="2"/>
  <c r="IC285" i="2"/>
  <c r="ID285" i="2"/>
  <c r="IC286" i="2"/>
  <c r="ID286" i="2"/>
  <c r="IC287" i="2"/>
  <c r="ID287" i="2"/>
  <c r="IC288" i="2"/>
  <c r="ID288" i="2"/>
  <c r="IC289" i="2"/>
  <c r="ID289" i="2"/>
  <c r="IC290" i="2"/>
  <c r="ID290" i="2"/>
  <c r="IC291" i="2"/>
  <c r="ID291" i="2"/>
  <c r="IC292" i="2"/>
  <c r="ID292" i="2"/>
  <c r="IC293" i="2"/>
  <c r="ID293" i="2"/>
  <c r="IC294" i="2"/>
  <c r="ID294" i="2"/>
  <c r="IC295" i="2"/>
  <c r="ID295" i="2"/>
  <c r="IC296" i="2"/>
  <c r="ID296" i="2"/>
  <c r="IC297" i="2"/>
  <c r="ID297" i="2"/>
  <c r="IC298" i="2"/>
  <c r="ID298" i="2"/>
  <c r="IC299" i="2"/>
  <c r="ID299" i="2"/>
  <c r="IC300" i="2"/>
  <c r="ID300" i="2"/>
  <c r="IC301" i="2"/>
  <c r="ID301" i="2"/>
  <c r="IC302" i="2"/>
  <c r="ID302" i="2"/>
  <c r="IC303" i="2"/>
  <c r="ID303" i="2"/>
  <c r="IC304" i="2"/>
  <c r="ID304" i="2"/>
  <c r="IC305" i="2"/>
  <c r="ID305" i="2"/>
  <c r="IC306" i="2"/>
  <c r="ID306" i="2"/>
  <c r="IC307" i="2"/>
  <c r="ID307" i="2"/>
  <c r="IC308" i="2"/>
  <c r="ID308" i="2"/>
  <c r="IC309" i="2"/>
  <c r="ID309" i="2"/>
  <c r="IC310" i="2"/>
  <c r="ID310" i="2"/>
  <c r="IC311" i="2"/>
  <c r="ID311" i="2"/>
  <c r="IC312" i="2"/>
  <c r="ID312" i="2"/>
  <c r="IC313" i="2"/>
  <c r="ID313" i="2"/>
  <c r="IC314" i="2"/>
  <c r="ID314" i="2"/>
  <c r="IC315" i="2"/>
  <c r="ID315" i="2"/>
  <c r="IC316" i="2"/>
  <c r="ID316" i="2"/>
  <c r="IC317" i="2"/>
  <c r="ID317" i="2"/>
  <c r="IC318" i="2"/>
  <c r="ID318" i="2"/>
  <c r="IC319" i="2"/>
  <c r="ID319" i="2"/>
  <c r="IC320" i="2"/>
  <c r="ID320" i="2"/>
  <c r="IC321" i="2"/>
  <c r="ID321" i="2"/>
  <c r="IC322" i="2"/>
  <c r="ID322" i="2"/>
  <c r="IC323" i="2"/>
  <c r="ID323" i="2"/>
  <c r="IC324" i="2"/>
  <c r="ID324" i="2"/>
  <c r="IC325" i="2"/>
  <c r="ID325" i="2"/>
  <c r="IC326" i="2"/>
  <c r="ID326" i="2"/>
  <c r="IC327" i="2"/>
  <c r="ID327" i="2"/>
  <c r="IC328" i="2"/>
  <c r="ID328" i="2"/>
  <c r="IC329" i="2"/>
  <c r="ID329" i="2"/>
  <c r="IC330" i="2"/>
  <c r="ID330" i="2"/>
  <c r="IC331" i="2"/>
  <c r="ID331" i="2"/>
  <c r="IC332" i="2"/>
  <c r="ID332" i="2"/>
  <c r="IC333" i="2"/>
  <c r="ID333" i="2"/>
  <c r="IC334" i="2"/>
  <c r="ID334" i="2"/>
  <c r="IC335" i="2"/>
  <c r="ID335" i="2"/>
  <c r="IC336" i="2"/>
  <c r="ID336" i="2"/>
  <c r="IC337" i="2"/>
  <c r="ID337" i="2"/>
  <c r="IC338" i="2"/>
  <c r="ID338" i="2"/>
  <c r="IC339" i="2"/>
  <c r="ID339" i="2"/>
  <c r="IC340" i="2"/>
  <c r="ID340" i="2"/>
  <c r="IC341" i="2"/>
  <c r="ID341" i="2"/>
  <c r="IC342" i="2"/>
  <c r="ID342" i="2"/>
  <c r="IC343" i="2"/>
  <c r="ID343" i="2"/>
  <c r="IC344" i="2"/>
  <c r="ID344" i="2"/>
  <c r="IC345" i="2"/>
  <c r="ID345" i="2"/>
  <c r="IC346" i="2"/>
  <c r="ID346" i="2"/>
  <c r="IC347" i="2"/>
  <c r="ID347" i="2"/>
  <c r="IC348" i="2"/>
  <c r="ID348" i="2"/>
  <c r="IC349" i="2"/>
  <c r="ID349" i="2"/>
  <c r="IC350" i="2"/>
  <c r="ID350" i="2"/>
  <c r="IC351" i="2"/>
  <c r="ID351" i="2"/>
  <c r="IC352" i="2"/>
  <c r="ID352" i="2"/>
  <c r="IC353" i="2"/>
  <c r="ID353" i="2"/>
  <c r="IC354" i="2"/>
  <c r="ID354" i="2"/>
  <c r="IC355" i="2"/>
  <c r="ID355" i="2"/>
  <c r="IC356" i="2"/>
  <c r="ID356" i="2"/>
  <c r="IC357" i="2"/>
  <c r="ID357" i="2"/>
  <c r="IC358" i="2"/>
  <c r="ID358" i="2"/>
  <c r="IC359" i="2"/>
  <c r="ID359" i="2"/>
  <c r="IC360" i="2"/>
  <c r="ID360" i="2"/>
  <c r="IC361" i="2"/>
  <c r="ID361" i="2"/>
  <c r="IC362" i="2"/>
  <c r="ID362" i="2"/>
  <c r="IC363" i="2"/>
  <c r="ID363" i="2"/>
  <c r="IC364" i="2"/>
  <c r="ID364" i="2"/>
  <c r="IC365" i="2"/>
  <c r="ID365" i="2"/>
  <c r="IC366" i="2"/>
  <c r="ID366" i="2"/>
  <c r="IC367" i="2"/>
  <c r="ID367" i="2"/>
  <c r="IC368" i="2"/>
  <c r="ID368" i="2"/>
  <c r="IC369" i="2"/>
  <c r="ID369" i="2"/>
  <c r="IC370" i="2"/>
  <c r="ID370" i="2"/>
  <c r="IC371" i="2"/>
  <c r="ID371" i="2"/>
  <c r="IC372" i="2"/>
  <c r="ID372" i="2"/>
  <c r="IC373" i="2"/>
  <c r="ID373" i="2"/>
  <c r="IC374" i="2"/>
  <c r="ID374" i="2"/>
  <c r="IC375" i="2"/>
  <c r="ID375" i="2"/>
  <c r="IC376" i="2"/>
  <c r="ID376" i="2"/>
  <c r="IC377" i="2"/>
  <c r="ID377" i="2"/>
  <c r="IC378" i="2"/>
  <c r="ID378" i="2"/>
  <c r="IC379" i="2"/>
  <c r="ID379" i="2"/>
  <c r="IC380" i="2"/>
  <c r="ID380" i="2"/>
  <c r="IC381" i="2"/>
  <c r="ID381" i="2"/>
  <c r="IC382" i="2"/>
  <c r="ID382" i="2"/>
  <c r="IC383" i="2"/>
  <c r="ID383" i="2"/>
  <c r="IC384" i="2"/>
  <c r="ID384" i="2"/>
  <c r="IC385" i="2"/>
  <c r="ID385" i="2"/>
  <c r="IC386" i="2"/>
  <c r="ID386" i="2"/>
  <c r="IC387" i="2"/>
  <c r="ID387" i="2"/>
  <c r="IC388" i="2"/>
  <c r="ID388" i="2"/>
  <c r="IC389" i="2"/>
  <c r="ID389" i="2"/>
  <c r="IC390" i="2"/>
  <c r="ID390" i="2"/>
  <c r="IC391" i="2"/>
  <c r="ID391" i="2"/>
  <c r="IC392" i="2"/>
  <c r="ID392" i="2"/>
  <c r="IC393" i="2"/>
  <c r="ID393" i="2"/>
  <c r="IC394" i="2"/>
  <c r="ID394" i="2"/>
  <c r="IC396" i="2"/>
  <c r="ID396" i="2"/>
  <c r="IC397" i="2"/>
  <c r="ID397" i="2"/>
  <c r="IC398" i="2"/>
  <c r="ID398" i="2"/>
  <c r="IC399" i="2"/>
  <c r="ID399" i="2"/>
  <c r="IC400" i="2"/>
  <c r="ID400" i="2"/>
  <c r="IC401" i="2"/>
  <c r="ID401" i="2"/>
  <c r="IC402" i="2"/>
  <c r="ID402" i="2"/>
  <c r="IC403" i="2"/>
  <c r="ID403" i="2"/>
  <c r="IC404" i="2"/>
  <c r="ID404" i="2"/>
  <c r="IC405" i="2"/>
  <c r="ID405" i="2"/>
  <c r="IC406" i="2"/>
  <c r="ID406" i="2"/>
  <c r="IC407" i="2"/>
  <c r="ID407" i="2"/>
  <c r="IC408" i="2"/>
  <c r="ID408" i="2"/>
  <c r="IC409" i="2"/>
  <c r="ID409" i="2"/>
  <c r="IC410" i="2"/>
  <c r="ID410" i="2"/>
  <c r="IC411" i="2"/>
  <c r="ID411" i="2"/>
  <c r="IC412" i="2"/>
  <c r="ID412" i="2"/>
  <c r="IC413" i="2"/>
  <c r="ID413" i="2"/>
  <c r="IC414" i="2"/>
  <c r="ID414" i="2"/>
  <c r="IC415" i="2"/>
  <c r="ID415" i="2"/>
  <c r="IC416" i="2"/>
  <c r="ID416" i="2"/>
  <c r="IC417" i="2"/>
  <c r="ID417" i="2"/>
  <c r="IC418" i="2"/>
  <c r="ID418" i="2"/>
  <c r="IC419" i="2"/>
  <c r="ID419" i="2"/>
  <c r="IC420" i="2"/>
  <c r="ID420" i="2"/>
  <c r="IC421" i="2"/>
  <c r="ID421" i="2"/>
  <c r="IC422" i="2"/>
  <c r="ID422" i="2"/>
  <c r="IC423" i="2"/>
  <c r="ID423" i="2"/>
  <c r="IC424" i="2"/>
  <c r="ID424" i="2"/>
  <c r="IC425" i="2"/>
  <c r="ID425" i="2"/>
  <c r="IC426" i="2"/>
  <c r="ID426" i="2"/>
  <c r="IC427" i="2"/>
  <c r="ID427" i="2"/>
  <c r="IC428" i="2"/>
  <c r="ID428" i="2"/>
  <c r="IC429" i="2"/>
  <c r="ID429" i="2"/>
  <c r="IC430" i="2"/>
  <c r="ID430" i="2"/>
  <c r="IC431" i="2"/>
  <c r="ID431" i="2"/>
  <c r="IC432" i="2"/>
  <c r="ID432" i="2"/>
  <c r="IC433" i="2"/>
  <c r="ID433" i="2"/>
  <c r="IC434" i="2"/>
  <c r="ID434" i="2"/>
  <c r="IC435" i="2"/>
  <c r="ID435" i="2"/>
  <c r="IC436" i="2"/>
  <c r="ID436" i="2"/>
  <c r="IC437" i="2"/>
  <c r="ID437" i="2"/>
  <c r="IC438" i="2"/>
  <c r="ID438" i="2"/>
  <c r="IC439" i="2"/>
  <c r="ID439" i="2"/>
  <c r="IC440" i="2"/>
  <c r="ID440" i="2"/>
  <c r="IC441" i="2"/>
  <c r="ID441" i="2"/>
  <c r="IC442" i="2"/>
  <c r="ID442" i="2"/>
  <c r="IC443" i="2"/>
  <c r="ID443" i="2"/>
  <c r="IC444" i="2"/>
  <c r="ID444" i="2"/>
  <c r="IC445" i="2"/>
  <c r="ID445" i="2"/>
  <c r="IC446" i="2"/>
  <c r="ID446" i="2"/>
  <c r="IC447" i="2"/>
  <c r="ID447" i="2"/>
  <c r="IC448" i="2"/>
  <c r="ID448" i="2"/>
  <c r="IC449" i="2"/>
  <c r="ID449" i="2"/>
  <c r="IC450" i="2"/>
  <c r="ID450" i="2"/>
  <c r="IC451" i="2"/>
  <c r="ID451" i="2"/>
  <c r="IC452" i="2"/>
  <c r="ID452" i="2"/>
  <c r="IC453" i="2"/>
  <c r="ID453" i="2"/>
  <c r="IC454" i="2"/>
  <c r="ID454" i="2"/>
  <c r="IC455" i="2"/>
  <c r="ID455" i="2"/>
  <c r="IC456" i="2"/>
  <c r="ID456" i="2"/>
  <c r="IC457" i="2"/>
  <c r="ID457" i="2"/>
  <c r="IC458" i="2"/>
  <c r="ID458" i="2"/>
  <c r="IC459" i="2"/>
  <c r="ID459" i="2"/>
  <c r="IC460" i="2"/>
  <c r="ID460" i="2"/>
  <c r="IC461" i="2"/>
  <c r="ID461" i="2"/>
  <c r="IC462" i="2"/>
  <c r="ID462" i="2"/>
  <c r="IC463" i="2"/>
  <c r="ID463" i="2"/>
  <c r="IC464" i="2"/>
  <c r="ID464" i="2"/>
  <c r="IC465" i="2"/>
  <c r="ID465" i="2"/>
  <c r="IC466" i="2"/>
  <c r="ID466" i="2"/>
  <c r="IC467" i="2"/>
  <c r="ID467" i="2"/>
  <c r="IC468" i="2"/>
  <c r="ID468" i="2"/>
  <c r="ID395" i="2"/>
  <c r="IC395" i="2"/>
  <c r="EG346" i="2"/>
  <c r="EG347" i="2"/>
  <c r="EG348" i="2"/>
  <c r="EG349" i="2"/>
  <c r="EG350" i="2"/>
  <c r="EG351" i="2"/>
  <c r="EG352" i="2"/>
  <c r="EG353" i="2"/>
  <c r="EG354" i="2"/>
  <c r="EG355" i="2"/>
  <c r="EG356" i="2"/>
  <c r="EG357" i="2"/>
  <c r="EG358" i="2"/>
  <c r="EG359" i="2"/>
  <c r="EG360" i="2"/>
  <c r="EG361" i="2"/>
  <c r="EG362" i="2"/>
  <c r="EG363" i="2"/>
  <c r="EG364" i="2"/>
  <c r="EG365" i="2"/>
  <c r="EG366" i="2"/>
  <c r="EG367" i="2"/>
  <c r="EG368" i="2"/>
  <c r="EG369" i="2"/>
  <c r="EG370" i="2"/>
  <c r="EG371" i="2"/>
  <c r="EG372" i="2"/>
  <c r="EG373" i="2"/>
  <c r="EG374" i="2"/>
  <c r="EG375" i="2"/>
  <c r="EG376" i="2"/>
  <c r="EG377" i="2"/>
  <c r="EG378" i="2"/>
  <c r="EG379" i="2"/>
  <c r="EG380" i="2"/>
  <c r="EG381" i="2"/>
  <c r="EG382" i="2"/>
  <c r="EG383" i="2"/>
  <c r="EG384" i="2"/>
  <c r="EG385" i="2"/>
  <c r="EG386" i="2"/>
  <c r="EG387" i="2"/>
  <c r="EG388" i="2"/>
  <c r="EG389" i="2"/>
  <c r="EG390" i="2"/>
  <c r="EG391" i="2"/>
  <c r="EG392" i="2"/>
  <c r="EG393" i="2"/>
  <c r="EG394" i="2"/>
  <c r="EG395" i="2"/>
  <c r="EG396" i="2"/>
  <c r="EG397" i="2"/>
  <c r="EG398" i="2"/>
  <c r="EG399" i="2"/>
  <c r="EG400" i="2"/>
  <c r="EG401" i="2"/>
  <c r="EG402" i="2"/>
  <c r="EG403" i="2"/>
  <c r="EG404" i="2"/>
  <c r="EG405" i="2"/>
  <c r="EG406" i="2"/>
  <c r="EG407" i="2"/>
  <c r="EG408" i="2"/>
  <c r="EG409" i="2"/>
  <c r="EG410" i="2"/>
  <c r="EG411" i="2"/>
  <c r="EG412" i="2"/>
  <c r="EG413" i="2"/>
  <c r="EG414" i="2"/>
  <c r="EG415" i="2"/>
  <c r="EG416" i="2"/>
  <c r="EG417" i="2"/>
  <c r="EG418" i="2"/>
  <c r="EG419" i="2"/>
  <c r="EG420" i="2"/>
  <c r="EG421" i="2"/>
  <c r="EG422" i="2"/>
  <c r="EG423" i="2"/>
  <c r="EG424" i="2"/>
  <c r="EG425" i="2"/>
  <c r="EG426" i="2"/>
  <c r="EG427" i="2"/>
  <c r="EG428" i="2"/>
  <c r="EG429" i="2"/>
  <c r="EG430" i="2"/>
  <c r="EG431" i="2"/>
  <c r="EG345" i="2"/>
  <c r="ER345" i="2"/>
  <c r="D25" i="9"/>
  <c r="E25" i="9" a="1"/>
  <c r="B16" i="9"/>
  <c r="B15" i="9"/>
  <c r="B14" i="9"/>
  <c r="B2" i="9"/>
  <c r="B3" i="9"/>
  <c r="B4" i="9"/>
  <c r="BL209" i="2"/>
  <c r="BL210" i="2"/>
  <c r="B475" i="10"/>
  <c r="E2"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M1" i="2"/>
  <c r="L259" i="10"/>
  <c r="L358" i="10"/>
  <c r="L378" i="10"/>
  <c r="L394" i="10"/>
  <c r="L395" i="10"/>
  <c r="L396" i="10"/>
  <c r="L397" i="10"/>
  <c r="L398" i="10"/>
  <c r="L399" i="10"/>
  <c r="L400" i="10"/>
  <c r="L401" i="10"/>
  <c r="L402" i="10"/>
  <c r="L403" i="10"/>
  <c r="L404" i="10"/>
  <c r="L405" i="10"/>
  <c r="L406" i="10"/>
  <c r="L407" i="10"/>
  <c r="L408" i="10"/>
  <c r="L409" i="10"/>
  <c r="L410" i="10"/>
  <c r="L411" i="10"/>
  <c r="L412" i="10"/>
  <c r="L413" i="10"/>
  <c r="L414" i="10"/>
  <c r="L415" i="10"/>
  <c r="L417" i="10"/>
  <c r="L418" i="10"/>
  <c r="L419" i="10"/>
  <c r="L420" i="10"/>
  <c r="L421" i="10"/>
  <c r="L422" i="10"/>
  <c r="L423" i="10"/>
  <c r="L424" i="10"/>
  <c r="L425" i="10"/>
  <c r="L426" i="10"/>
  <c r="L427" i="10"/>
  <c r="L428" i="10"/>
  <c r="L429" i="10"/>
  <c r="L430" i="10"/>
  <c r="L435" i="10"/>
  <c r="K181"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AP22" i="3"/>
  <c r="AQ22" i="3"/>
  <c r="AR22" i="3"/>
  <c r="AS22" i="3"/>
  <c r="AU19" i="3"/>
  <c r="AU20" i="3"/>
  <c r="AU21" i="3"/>
  <c r="AU22" i="3"/>
  <c r="AU23" i="3"/>
  <c r="AU18" i="3"/>
  <c r="AT19" i="3"/>
  <c r="AT20" i="3"/>
  <c r="AT21" i="3"/>
  <c r="AT22" i="3"/>
  <c r="AT23" i="3"/>
  <c r="AT18" i="3"/>
  <c r="BC23" i="3"/>
  <c r="BC22" i="3"/>
  <c r="BC21" i="3"/>
  <c r="BC20" i="3"/>
  <c r="BC19" i="3"/>
  <c r="BC18" i="3"/>
  <c r="AQ258" i="2"/>
  <c r="AO258" i="2"/>
  <c r="AP258" i="2"/>
  <c r="AP257" i="2"/>
  <c r="AO257" i="2"/>
  <c r="AP254" i="2"/>
  <c r="AO254" i="2"/>
  <c r="AY253" i="2"/>
  <c r="AX253" i="2"/>
  <c r="AO253" i="2"/>
  <c r="AR252" i="2"/>
  <c r="AP252" i="2"/>
  <c r="AO252" i="2"/>
  <c r="AS252" i="2"/>
  <c r="AQ252" i="2"/>
  <c r="AP156" i="2"/>
  <c r="AO156" i="2"/>
  <c r="AH4" i="10"/>
  <c r="AH5" i="10"/>
  <c r="AH6" i="10"/>
  <c r="AH7" i="10"/>
  <c r="AH8" i="10"/>
  <c r="AH9" i="10"/>
  <c r="AH10" i="10"/>
  <c r="AH11" i="10"/>
  <c r="AH12" i="10"/>
  <c r="AH13" i="10"/>
  <c r="AH14" i="10"/>
  <c r="AH15" i="10"/>
  <c r="AH16" i="10"/>
  <c r="AH17" i="10"/>
  <c r="AH18" i="10"/>
  <c r="AH19" i="10"/>
  <c r="AH20" i="10"/>
  <c r="AH21" i="10"/>
  <c r="AH22" i="10"/>
  <c r="AH23" i="10"/>
  <c r="AH24" i="10"/>
  <c r="AH25" i="10"/>
  <c r="AH26" i="10"/>
  <c r="AH27" i="10"/>
  <c r="AH28" i="10"/>
  <c r="AH29" i="10"/>
  <c r="AH30" i="10"/>
  <c r="AH31" i="10"/>
  <c r="AH32" i="10"/>
  <c r="AH33" i="10"/>
  <c r="AH34" i="10"/>
  <c r="AH35" i="10"/>
  <c r="AH36" i="10"/>
  <c r="AH37" i="10"/>
  <c r="AH38" i="10"/>
  <c r="AH39" i="10"/>
  <c r="AH40" i="10"/>
  <c r="AH41" i="10"/>
  <c r="AH42" i="10"/>
  <c r="AH43" i="10"/>
  <c r="AH44" i="10"/>
  <c r="AH45" i="10"/>
  <c r="AH46" i="10"/>
  <c r="AH47" i="10"/>
  <c r="AH48" i="10"/>
  <c r="AH49" i="10"/>
  <c r="AH50" i="10"/>
  <c r="AH51" i="10"/>
  <c r="AH52" i="10"/>
  <c r="AH53" i="10"/>
  <c r="AH54" i="10"/>
  <c r="AH55" i="10"/>
  <c r="AH56" i="10"/>
  <c r="AH57" i="10"/>
  <c r="AH58" i="10"/>
  <c r="AH59" i="10"/>
  <c r="AH60" i="10"/>
  <c r="AH61" i="10"/>
  <c r="AH62" i="10"/>
  <c r="AH63" i="10"/>
  <c r="AH64" i="10"/>
  <c r="AH65" i="10"/>
  <c r="AH66" i="10"/>
  <c r="AH67" i="10"/>
  <c r="AH68" i="10"/>
  <c r="AH69" i="10"/>
  <c r="AH70" i="10"/>
  <c r="AH71" i="10"/>
  <c r="AH72" i="10"/>
  <c r="AH73" i="10"/>
  <c r="AH74" i="10"/>
  <c r="AH75" i="10"/>
  <c r="AH76" i="10"/>
  <c r="AH77" i="10"/>
  <c r="AH78" i="10"/>
  <c r="AH79" i="10"/>
  <c r="AH80" i="10"/>
  <c r="AH81" i="10"/>
  <c r="AH82" i="10"/>
  <c r="AH83" i="10"/>
  <c r="AH84" i="10"/>
  <c r="AH85" i="10"/>
  <c r="AH86" i="10"/>
  <c r="AH87" i="10"/>
  <c r="AH88" i="10"/>
  <c r="AH89" i="10"/>
  <c r="AH90" i="10"/>
  <c r="AH91" i="10"/>
  <c r="AH92" i="10"/>
  <c r="AH93" i="10"/>
  <c r="AH94" i="10"/>
  <c r="AH95" i="10"/>
  <c r="AH96" i="10"/>
  <c r="AH97" i="10"/>
  <c r="AH98" i="10"/>
  <c r="AH99" i="10"/>
  <c r="AH100" i="10"/>
  <c r="AH101" i="10"/>
  <c r="AH102" i="10"/>
  <c r="AH103" i="10"/>
  <c r="AH104" i="10"/>
  <c r="AH105" i="10"/>
  <c r="AH106" i="10"/>
  <c r="AH107" i="10"/>
  <c r="AH108" i="10"/>
  <c r="AH109" i="10"/>
  <c r="AH110" i="10"/>
  <c r="AH111" i="10"/>
  <c r="AH112" i="10"/>
  <c r="AH113" i="10"/>
  <c r="AH114" i="10"/>
  <c r="AH115" i="10"/>
  <c r="AH116" i="10"/>
  <c r="AH117" i="10"/>
  <c r="AH118" i="10"/>
  <c r="AH119" i="10"/>
  <c r="AH120" i="10"/>
  <c r="AH121" i="10"/>
  <c r="AH122" i="10"/>
  <c r="AH123" i="10"/>
  <c r="AH124" i="10"/>
  <c r="AH125" i="10"/>
  <c r="AH126" i="10"/>
  <c r="AH127" i="10"/>
  <c r="AH128" i="10"/>
  <c r="AH129" i="10"/>
  <c r="AH130" i="10"/>
  <c r="AH131" i="10"/>
  <c r="AH132" i="10"/>
  <c r="AH133" i="10"/>
  <c r="AH134" i="10"/>
  <c r="AH135" i="10"/>
  <c r="AH136" i="10"/>
  <c r="AH137" i="10"/>
  <c r="AH138" i="10"/>
  <c r="AH139" i="10"/>
  <c r="AH140" i="10"/>
  <c r="AH141" i="10"/>
  <c r="AH142" i="10"/>
  <c r="AH143" i="10"/>
  <c r="AH144" i="10"/>
  <c r="AH145" i="10"/>
  <c r="AH146" i="10"/>
  <c r="AH147" i="10"/>
  <c r="AH148" i="10"/>
  <c r="AH149" i="10"/>
  <c r="AH150" i="10"/>
  <c r="AH151" i="10"/>
  <c r="AH152" i="10"/>
  <c r="AH153" i="10"/>
  <c r="AH154" i="10"/>
  <c r="AH155" i="10"/>
  <c r="AH156" i="10"/>
  <c r="AH157" i="10"/>
  <c r="AH158" i="10"/>
  <c r="AH159" i="10"/>
  <c r="AH160" i="10"/>
  <c r="AH161" i="10"/>
  <c r="AH162" i="10"/>
  <c r="AH163" i="10"/>
  <c r="AH164" i="10"/>
  <c r="AH165" i="10"/>
  <c r="AH166" i="10"/>
  <c r="AH168" i="10"/>
  <c r="AH169" i="10"/>
  <c r="AH170" i="10"/>
  <c r="AH171" i="10"/>
  <c r="AH172" i="10"/>
  <c r="AH173" i="10"/>
  <c r="AH178" i="10"/>
  <c r="AH179" i="10"/>
  <c r="AH180" i="10"/>
  <c r="AH181" i="10"/>
  <c r="AH183" i="10"/>
  <c r="AH184" i="10"/>
  <c r="AH185" i="10"/>
  <c r="AH186" i="10"/>
  <c r="AH188" i="10"/>
  <c r="AH190" i="10"/>
  <c r="AH192" i="10"/>
  <c r="AH193" i="10"/>
  <c r="AH194" i="10"/>
  <c r="AH195" i="10"/>
  <c r="AH196" i="10"/>
  <c r="AH198" i="10"/>
  <c r="AH199" i="10"/>
  <c r="AH200" i="10"/>
  <c r="AH201" i="10"/>
  <c r="AH202" i="10"/>
  <c r="AH203" i="10"/>
  <c r="AH204" i="10"/>
  <c r="AH205" i="10"/>
  <c r="AH206" i="10"/>
  <c r="AH207" i="10"/>
  <c r="AH208" i="10"/>
  <c r="AH209" i="10"/>
  <c r="AH211" i="10"/>
  <c r="AH213" i="10"/>
  <c r="AH214" i="10"/>
  <c r="AH215" i="10"/>
  <c r="AH216" i="10"/>
  <c r="AH217" i="10"/>
  <c r="AH218" i="10"/>
  <c r="AH219" i="10"/>
  <c r="AH221" i="10"/>
  <c r="AH222" i="10"/>
  <c r="AH223" i="10"/>
  <c r="AH224" i="10"/>
  <c r="AH225" i="10"/>
  <c r="AH226" i="10"/>
  <c r="AH227" i="10"/>
  <c r="AH228" i="10"/>
  <c r="AH229" i="10"/>
  <c r="AH230" i="10"/>
  <c r="AH231" i="10"/>
  <c r="AH232" i="10"/>
  <c r="AH233" i="10"/>
  <c r="AH234" i="10"/>
  <c r="AH235" i="10"/>
  <c r="AH236" i="10"/>
  <c r="AH237" i="10"/>
  <c r="AH238" i="10"/>
  <c r="AH239" i="10"/>
  <c r="AH240" i="10"/>
  <c r="AH241" i="10"/>
  <c r="AH242" i="10"/>
  <c r="AH243" i="10"/>
  <c r="AH244" i="10"/>
  <c r="AH245" i="10"/>
  <c r="AH246" i="10"/>
  <c r="AH247" i="10"/>
  <c r="AH248" i="10"/>
  <c r="AH249" i="10"/>
  <c r="AH250" i="10"/>
  <c r="AH251" i="10"/>
  <c r="AH252" i="10"/>
  <c r="AH253" i="10"/>
  <c r="AH254" i="10"/>
  <c r="AH255" i="10"/>
  <c r="AH256" i="10"/>
  <c r="AH257" i="10"/>
  <c r="AH258" i="10"/>
  <c r="AH259" i="10"/>
  <c r="AH260" i="10"/>
  <c r="AH261" i="10"/>
  <c r="AH262" i="10"/>
  <c r="AH263" i="10"/>
  <c r="AH264" i="10"/>
  <c r="AH265" i="10"/>
  <c r="AH266" i="10"/>
  <c r="AH267" i="10"/>
  <c r="AH268" i="10"/>
  <c r="AH269" i="10"/>
  <c r="AH271" i="10"/>
  <c r="AH272" i="10"/>
  <c r="AH274" i="10"/>
  <c r="AH275" i="10"/>
  <c r="AH276" i="10"/>
  <c r="AH278" i="10"/>
  <c r="AH279" i="10"/>
  <c r="AH280" i="10"/>
  <c r="AH282" i="10"/>
  <c r="AH283" i="10"/>
  <c r="AH284" i="10"/>
  <c r="AH285" i="10"/>
  <c r="AH286" i="10"/>
  <c r="AH287" i="10"/>
  <c r="AH288" i="10"/>
  <c r="AH289" i="10"/>
  <c r="AH291" i="10"/>
  <c r="AH292" i="10"/>
  <c r="AH294" i="10"/>
  <c r="AH296" i="10"/>
  <c r="AH297" i="10"/>
  <c r="AH298" i="10"/>
  <c r="AH301" i="10"/>
  <c r="AH302" i="10"/>
  <c r="AH304" i="10"/>
  <c r="AH305" i="10"/>
  <c r="AH307" i="10"/>
  <c r="AH308" i="10"/>
  <c r="AH309" i="10"/>
  <c r="AH310" i="10"/>
  <c r="AH311" i="10"/>
  <c r="AH312" i="10"/>
  <c r="AH316" i="10"/>
  <c r="AH317" i="10"/>
  <c r="AH320" i="10"/>
  <c r="AH322" i="10"/>
  <c r="AH323" i="10"/>
  <c r="AH324" i="10"/>
  <c r="AH325" i="10"/>
  <c r="AH327" i="10"/>
  <c r="AH328" i="10"/>
  <c r="AH329" i="10"/>
  <c r="AH330" i="10"/>
  <c r="AH333" i="10"/>
  <c r="AH334" i="10"/>
  <c r="AH335" i="10"/>
  <c r="AH336" i="10"/>
  <c r="AH337" i="10"/>
  <c r="AH338" i="10"/>
  <c r="AH339" i="10"/>
  <c r="AH340" i="10"/>
  <c r="AH341" i="10"/>
  <c r="AH342" i="10"/>
  <c r="AH343" i="10"/>
  <c r="AH344" i="10"/>
  <c r="AH345" i="10"/>
  <c r="AH346" i="10"/>
  <c r="AH347" i="10"/>
  <c r="AH348" i="10"/>
  <c r="AH349" i="10"/>
  <c r="AH350" i="10"/>
  <c r="AH351" i="10"/>
  <c r="AH352" i="10"/>
  <c r="AH353" i="10"/>
  <c r="AH354" i="10"/>
  <c r="AH355" i="10"/>
  <c r="AH356" i="10"/>
  <c r="AH357" i="10"/>
  <c r="AH358" i="10"/>
  <c r="AH359" i="10"/>
  <c r="AH360" i="10"/>
  <c r="AH361" i="10"/>
  <c r="AH362" i="10"/>
  <c r="AH363" i="10"/>
  <c r="AH364" i="10"/>
  <c r="AH365" i="10"/>
  <c r="AH366" i="10"/>
  <c r="AH367" i="10"/>
  <c r="AH368" i="10"/>
  <c r="AH369" i="10"/>
  <c r="AH370" i="10"/>
  <c r="AH371" i="10"/>
  <c r="AH372" i="10"/>
  <c r="AH373" i="10"/>
  <c r="AH374" i="10"/>
  <c r="AH375" i="10"/>
  <c r="AH376" i="10"/>
  <c r="AH377" i="10"/>
  <c r="AH378" i="10"/>
  <c r="AH379" i="10"/>
  <c r="AH380" i="10"/>
  <c r="AH381" i="10"/>
  <c r="AH382" i="10"/>
  <c r="AH383" i="10"/>
  <c r="AH384" i="10"/>
  <c r="AH385" i="10"/>
  <c r="AH386" i="10"/>
  <c r="AH387" i="10"/>
  <c r="AH388" i="10"/>
  <c r="AH389" i="10"/>
  <c r="AH390" i="10"/>
  <c r="AH391" i="10"/>
  <c r="AH392" i="10"/>
  <c r="AH393" i="10"/>
  <c r="AH394" i="10"/>
  <c r="AH395" i="10"/>
  <c r="AH396" i="10"/>
  <c r="AH397" i="10"/>
  <c r="AH398" i="10"/>
  <c r="AH399" i="10"/>
  <c r="AH400" i="10"/>
  <c r="AH401" i="10"/>
  <c r="AH402" i="10"/>
  <c r="AH403" i="10"/>
  <c r="AH404" i="10"/>
  <c r="AH405" i="10"/>
  <c r="AH406" i="10"/>
  <c r="AH407" i="10"/>
  <c r="AH408" i="10"/>
  <c r="AH409" i="10"/>
  <c r="AH410" i="10"/>
  <c r="AH411" i="10"/>
  <c r="AH412" i="10"/>
  <c r="AH413" i="10"/>
  <c r="AH414" i="10"/>
  <c r="AH415" i="10"/>
  <c r="AH417" i="10"/>
  <c r="AH418" i="10"/>
  <c r="AH419" i="10"/>
  <c r="AH420" i="10"/>
  <c r="AH421" i="10"/>
  <c r="AH422" i="10"/>
  <c r="AH423" i="10"/>
  <c r="AH424" i="10"/>
  <c r="AH425" i="10"/>
  <c r="AH426" i="10"/>
  <c r="AH427" i="10"/>
  <c r="AH428" i="10"/>
  <c r="AH429" i="10"/>
  <c r="AH430" i="10"/>
  <c r="AH431" i="10"/>
  <c r="AH432" i="10"/>
  <c r="AH433" i="10"/>
  <c r="AH434" i="10"/>
  <c r="AH435" i="10"/>
  <c r="AH436" i="10"/>
  <c r="AH437" i="10"/>
  <c r="AH438" i="10"/>
  <c r="AH439" i="10"/>
  <c r="AH440" i="10"/>
  <c r="AH441" i="10"/>
  <c r="AH442" i="10"/>
  <c r="AH443" i="10"/>
  <c r="AH444" i="10"/>
  <c r="AH445" i="10"/>
  <c r="AH446" i="10"/>
  <c r="AH447" i="10"/>
  <c r="AH448" i="10"/>
  <c r="AH449" i="10"/>
  <c r="AH450" i="10"/>
  <c r="AH451" i="10"/>
  <c r="AH452" i="10"/>
  <c r="AH453" i="10"/>
  <c r="AH454" i="10"/>
  <c r="AH455" i="10"/>
  <c r="AH456" i="10"/>
  <c r="AH457" i="10"/>
  <c r="AH458" i="10"/>
  <c r="AH459" i="10"/>
  <c r="AH460" i="10"/>
  <c r="AH461" i="10"/>
  <c r="AH462" i="10"/>
  <c r="AH463" i="10"/>
  <c r="AH464" i="10"/>
  <c r="AH465" i="10"/>
  <c r="AH466" i="10"/>
  <c r="AH467" i="10"/>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8" i="10"/>
  <c r="AI169" i="10"/>
  <c r="AI170" i="10"/>
  <c r="AI171" i="10"/>
  <c r="AI172" i="10"/>
  <c r="AI173" i="10"/>
  <c r="AI178" i="10"/>
  <c r="AI179" i="10"/>
  <c r="AI180" i="10"/>
  <c r="AI181" i="10"/>
  <c r="AI183" i="10"/>
  <c r="AI184" i="10"/>
  <c r="AI185" i="10"/>
  <c r="AI186" i="10"/>
  <c r="AI188" i="10"/>
  <c r="AI190" i="10"/>
  <c r="AI192" i="10"/>
  <c r="AI193" i="10"/>
  <c r="AI194" i="10"/>
  <c r="AI195" i="10"/>
  <c r="AI196" i="10"/>
  <c r="AI198" i="10"/>
  <c r="AI199" i="10"/>
  <c r="AI200" i="10"/>
  <c r="AI201" i="10"/>
  <c r="AI202" i="10"/>
  <c r="AI203" i="10"/>
  <c r="AI204" i="10"/>
  <c r="AI205" i="10"/>
  <c r="AI206" i="10"/>
  <c r="AI207" i="10"/>
  <c r="AI208" i="10"/>
  <c r="AI209" i="10"/>
  <c r="AI211" i="10"/>
  <c r="AI213" i="10"/>
  <c r="AI214" i="10"/>
  <c r="AI215" i="10"/>
  <c r="AI216" i="10"/>
  <c r="AI217" i="10"/>
  <c r="AI218" i="10"/>
  <c r="AI219"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1" i="10"/>
  <c r="AI272" i="10"/>
  <c r="AI274" i="10"/>
  <c r="AI275" i="10"/>
  <c r="AI276" i="10"/>
  <c r="AI278" i="10"/>
  <c r="AI279" i="10"/>
  <c r="AI280" i="10"/>
  <c r="AI282" i="10"/>
  <c r="AI283" i="10"/>
  <c r="AI284" i="10"/>
  <c r="AI285" i="10"/>
  <c r="AI286" i="10"/>
  <c r="AI287" i="10"/>
  <c r="AI288" i="10"/>
  <c r="AI289" i="10"/>
  <c r="AI291" i="10"/>
  <c r="AI292" i="10"/>
  <c r="AI294" i="10"/>
  <c r="AI296" i="10"/>
  <c r="AI297" i="10"/>
  <c r="AI298" i="10"/>
  <c r="AI301" i="10"/>
  <c r="AI302" i="10"/>
  <c r="AI304" i="10"/>
  <c r="AI305" i="10"/>
  <c r="AI307" i="10"/>
  <c r="AI308" i="10"/>
  <c r="AI309" i="10"/>
  <c r="AI310" i="10"/>
  <c r="AI311" i="10"/>
  <c r="AI312" i="10"/>
  <c r="AI316" i="10"/>
  <c r="AI317" i="10"/>
  <c r="AI320" i="10"/>
  <c r="AI322" i="10"/>
  <c r="AI323" i="10"/>
  <c r="AI324" i="10"/>
  <c r="AI325" i="10"/>
  <c r="AI327" i="10"/>
  <c r="AI328" i="10"/>
  <c r="AI329" i="10"/>
  <c r="AI330"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K4" i="10"/>
  <c r="AK5" i="10"/>
  <c r="AK6" i="10"/>
  <c r="AK7" i="10"/>
  <c r="AK8" i="10"/>
  <c r="AK9" i="10"/>
  <c r="AK10" i="10"/>
  <c r="AK11" i="10"/>
  <c r="AK12" i="10"/>
  <c r="AK13" i="10"/>
  <c r="AK14" i="10"/>
  <c r="AK15" i="10"/>
  <c r="AK16" i="10"/>
  <c r="AK17" i="10"/>
  <c r="AK18" i="10"/>
  <c r="AK19" i="10"/>
  <c r="AK20" i="10"/>
  <c r="AK21" i="10"/>
  <c r="AK22" i="10"/>
  <c r="AK23" i="10"/>
  <c r="AK24" i="10"/>
  <c r="AK25" i="10"/>
  <c r="AK26" i="10"/>
  <c r="AK27" i="10"/>
  <c r="AK28" i="10"/>
  <c r="AK29" i="10"/>
  <c r="AK30" i="10"/>
  <c r="AK31" i="10"/>
  <c r="AK32" i="10"/>
  <c r="AK33" i="10"/>
  <c r="AK34" i="10"/>
  <c r="AK35" i="10"/>
  <c r="AK36" i="10"/>
  <c r="AK37" i="10"/>
  <c r="AK38" i="10"/>
  <c r="AK39" i="10"/>
  <c r="AK40" i="10"/>
  <c r="AK41" i="10"/>
  <c r="AK42" i="10"/>
  <c r="AK43" i="10"/>
  <c r="AK44" i="10"/>
  <c r="AK45" i="10"/>
  <c r="AK46" i="10"/>
  <c r="AK47" i="10"/>
  <c r="AK48" i="10"/>
  <c r="AK49" i="10"/>
  <c r="AK50" i="10"/>
  <c r="AK51" i="10"/>
  <c r="AK52" i="10"/>
  <c r="AK53" i="10"/>
  <c r="AK54" i="10"/>
  <c r="AK55" i="10"/>
  <c r="AK56" i="10"/>
  <c r="AK57" i="10"/>
  <c r="AK58" i="10"/>
  <c r="AK59" i="10"/>
  <c r="AK60" i="10"/>
  <c r="AK61" i="10"/>
  <c r="AK62" i="10"/>
  <c r="AK63" i="10"/>
  <c r="AK64" i="10"/>
  <c r="AK65" i="10"/>
  <c r="AK66" i="10"/>
  <c r="AK67" i="10"/>
  <c r="AK68" i="10"/>
  <c r="AK69" i="10"/>
  <c r="AK70" i="10"/>
  <c r="AK71" i="10"/>
  <c r="AK72" i="10"/>
  <c r="AK73" i="10"/>
  <c r="AK74" i="10"/>
  <c r="AK75" i="10"/>
  <c r="AK76" i="10"/>
  <c r="AK77" i="10"/>
  <c r="AK78" i="10"/>
  <c r="AK79" i="10"/>
  <c r="AK80" i="10"/>
  <c r="AK81" i="10"/>
  <c r="AK82" i="10"/>
  <c r="AK83" i="10"/>
  <c r="AK84" i="10"/>
  <c r="AK85" i="10"/>
  <c r="AK86" i="10"/>
  <c r="AK87" i="10"/>
  <c r="AK88" i="10"/>
  <c r="AK89" i="10"/>
  <c r="AK90" i="10"/>
  <c r="AK91" i="10"/>
  <c r="AK92" i="10"/>
  <c r="AK93" i="10"/>
  <c r="AK94" i="10"/>
  <c r="AK95" i="10"/>
  <c r="AK96" i="10"/>
  <c r="AK97" i="10"/>
  <c r="AK98" i="10"/>
  <c r="AK99" i="10"/>
  <c r="AK100" i="10"/>
  <c r="AK101" i="10"/>
  <c r="AK102" i="10"/>
  <c r="AK103" i="10"/>
  <c r="AK104" i="10"/>
  <c r="AK105" i="10"/>
  <c r="AK106" i="10"/>
  <c r="AK107" i="10"/>
  <c r="AK108" i="10"/>
  <c r="AK109" i="10"/>
  <c r="AK110" i="10"/>
  <c r="AK111" i="10"/>
  <c r="AK112" i="10"/>
  <c r="AK113" i="10"/>
  <c r="AK114" i="10"/>
  <c r="AK115" i="10"/>
  <c r="AK116" i="10"/>
  <c r="AK117" i="10"/>
  <c r="AK118" i="10"/>
  <c r="AK119" i="10"/>
  <c r="AK120" i="10"/>
  <c r="AK121" i="10"/>
  <c r="AK122" i="10"/>
  <c r="AK123" i="10"/>
  <c r="AK124" i="10"/>
  <c r="AK125" i="10"/>
  <c r="AK126" i="10"/>
  <c r="AK127" i="10"/>
  <c r="AK128" i="10"/>
  <c r="AK129" i="10"/>
  <c r="AK130" i="10"/>
  <c r="AK131" i="10"/>
  <c r="AK132" i="10"/>
  <c r="AK133" i="10"/>
  <c r="AK134" i="10"/>
  <c r="AK135" i="10"/>
  <c r="AK136" i="10"/>
  <c r="AK137" i="10"/>
  <c r="AK138" i="10"/>
  <c r="AK139" i="10"/>
  <c r="AK140" i="10"/>
  <c r="AK141" i="10"/>
  <c r="AK142" i="10"/>
  <c r="AK143" i="10"/>
  <c r="AK144" i="10"/>
  <c r="AK145" i="10"/>
  <c r="AK146" i="10"/>
  <c r="AK147" i="10"/>
  <c r="AK148" i="10"/>
  <c r="AK149" i="10"/>
  <c r="AK150" i="10"/>
  <c r="AK151" i="10"/>
  <c r="AK152" i="10"/>
  <c r="AK153" i="10"/>
  <c r="AK154" i="10"/>
  <c r="AK155" i="10"/>
  <c r="AK156" i="10"/>
  <c r="AK157" i="10"/>
  <c r="AK158" i="10"/>
  <c r="AK159" i="10"/>
  <c r="AK160" i="10"/>
  <c r="AK161" i="10"/>
  <c r="AK162" i="10"/>
  <c r="AK163" i="10"/>
  <c r="AK164" i="10"/>
  <c r="AK165" i="10"/>
  <c r="AK166" i="10"/>
  <c r="AK168" i="10"/>
  <c r="AK169" i="10"/>
  <c r="AK170" i="10"/>
  <c r="AK171" i="10"/>
  <c r="AK172" i="10"/>
  <c r="AK173" i="10"/>
  <c r="AK178" i="10"/>
  <c r="AK179" i="10"/>
  <c r="AK180" i="10"/>
  <c r="AK181" i="10"/>
  <c r="AK183" i="10"/>
  <c r="AK184" i="10"/>
  <c r="AK185" i="10"/>
  <c r="AK186" i="10"/>
  <c r="AK188" i="10"/>
  <c r="AK190" i="10"/>
  <c r="AK192" i="10"/>
  <c r="AK193" i="10"/>
  <c r="AK194" i="10"/>
  <c r="AK195" i="10"/>
  <c r="AK196" i="10"/>
  <c r="AK198" i="10"/>
  <c r="AK199" i="10"/>
  <c r="AK200" i="10"/>
  <c r="AK201" i="10"/>
  <c r="AK202" i="10"/>
  <c r="AK203" i="10"/>
  <c r="AK204" i="10"/>
  <c r="AK205" i="10"/>
  <c r="AK206" i="10"/>
  <c r="AK207" i="10"/>
  <c r="AK208" i="10"/>
  <c r="AK209" i="10"/>
  <c r="AK211" i="10"/>
  <c r="AK213" i="10"/>
  <c r="AK214" i="10"/>
  <c r="AK215" i="10"/>
  <c r="AK216" i="10"/>
  <c r="AK217" i="10"/>
  <c r="AK218" i="10"/>
  <c r="AK219" i="10"/>
  <c r="AK221" i="10"/>
  <c r="AK222" i="10"/>
  <c r="AK223" i="10"/>
  <c r="AK224" i="10"/>
  <c r="AK225" i="10"/>
  <c r="AK226" i="10"/>
  <c r="AK227" i="10"/>
  <c r="AK228" i="10"/>
  <c r="AK229" i="10"/>
  <c r="AK230" i="10"/>
  <c r="AK231" i="10"/>
  <c r="AK232" i="10"/>
  <c r="AK233" i="10"/>
  <c r="AK234" i="10"/>
  <c r="AK235" i="10"/>
  <c r="AK236" i="10"/>
  <c r="AK237" i="10"/>
  <c r="AK238" i="10"/>
  <c r="AK239" i="10"/>
  <c r="AK240" i="10"/>
  <c r="AK241" i="10"/>
  <c r="AK242" i="10"/>
  <c r="AK243" i="10"/>
  <c r="AK244" i="10"/>
  <c r="AK245" i="10"/>
  <c r="AK246" i="10"/>
  <c r="AK247" i="10"/>
  <c r="AK248" i="10"/>
  <c r="AK249" i="10"/>
  <c r="AK250" i="10"/>
  <c r="AK251" i="10"/>
  <c r="AK252" i="10"/>
  <c r="AK253" i="10"/>
  <c r="AK254" i="10"/>
  <c r="AK255" i="10"/>
  <c r="AK256" i="10"/>
  <c r="AK257" i="10"/>
  <c r="AK258" i="10"/>
  <c r="AK259" i="10"/>
  <c r="AK260" i="10"/>
  <c r="AK261" i="10"/>
  <c r="AK262" i="10"/>
  <c r="AK263" i="10"/>
  <c r="AK264" i="10"/>
  <c r="AK265" i="10"/>
  <c r="AK266" i="10"/>
  <c r="AK267" i="10"/>
  <c r="AK268" i="10"/>
  <c r="AK269" i="10"/>
  <c r="AK271" i="10"/>
  <c r="AK272" i="10"/>
  <c r="AK274" i="10"/>
  <c r="AK275" i="10"/>
  <c r="AK276" i="10"/>
  <c r="AK278" i="10"/>
  <c r="AK279" i="10"/>
  <c r="AK280" i="10"/>
  <c r="AK282" i="10"/>
  <c r="AK283" i="10"/>
  <c r="AK284" i="10"/>
  <c r="AK285" i="10"/>
  <c r="AK286" i="10"/>
  <c r="AK287" i="10"/>
  <c r="AK288" i="10"/>
  <c r="AK289" i="10"/>
  <c r="AK291" i="10"/>
  <c r="AK292" i="10"/>
  <c r="AK294" i="10"/>
  <c r="AK296" i="10"/>
  <c r="AK297" i="10"/>
  <c r="AK298" i="10"/>
  <c r="AK301" i="10"/>
  <c r="AK302" i="10"/>
  <c r="AK304" i="10"/>
  <c r="AK305" i="10"/>
  <c r="AK307" i="10"/>
  <c r="AK308" i="10"/>
  <c r="AK309" i="10"/>
  <c r="AK310" i="10"/>
  <c r="AK311" i="10"/>
  <c r="AK312" i="10"/>
  <c r="AK316" i="10"/>
  <c r="AK317" i="10"/>
  <c r="AK320" i="10"/>
  <c r="AK322" i="10"/>
  <c r="AK323" i="10"/>
  <c r="AK324" i="10"/>
  <c r="AK325" i="10"/>
  <c r="AK327" i="10"/>
  <c r="AK328" i="10"/>
  <c r="AK329" i="10"/>
  <c r="AK330" i="10"/>
  <c r="AK333" i="10"/>
  <c r="AK334" i="10"/>
  <c r="AK335" i="10"/>
  <c r="AK336" i="10"/>
  <c r="AK337" i="10"/>
  <c r="AK338" i="10"/>
  <c r="AK339" i="10"/>
  <c r="AK340" i="10"/>
  <c r="AK341" i="10"/>
  <c r="AK342" i="10"/>
  <c r="AK343" i="10"/>
  <c r="AK344" i="10"/>
  <c r="AK345" i="10"/>
  <c r="AK346" i="10"/>
  <c r="AK347" i="10"/>
  <c r="AK348" i="10"/>
  <c r="AK349" i="10"/>
  <c r="AK350" i="10"/>
  <c r="AK351" i="10"/>
  <c r="AK352" i="10"/>
  <c r="AK353" i="10"/>
  <c r="AK356" i="10"/>
  <c r="AK357" i="10"/>
  <c r="AK359" i="10"/>
  <c r="AK361" i="10"/>
  <c r="AK362" i="10"/>
  <c r="AK363" i="10"/>
  <c r="AK364" i="10"/>
  <c r="AK365" i="10"/>
  <c r="AK366" i="10"/>
  <c r="AK367" i="10"/>
  <c r="AK368" i="10"/>
  <c r="AK370" i="10"/>
  <c r="AK371" i="10"/>
  <c r="AK372" i="10"/>
  <c r="AK373" i="10"/>
  <c r="AK374" i="10"/>
  <c r="AK375" i="10"/>
  <c r="AK376" i="10"/>
  <c r="AK377" i="10"/>
  <c r="AK379" i="10"/>
  <c r="AK380" i="10"/>
  <c r="AK381" i="10"/>
  <c r="AK382" i="10"/>
  <c r="AK383" i="10"/>
  <c r="AK384" i="10"/>
  <c r="AK385" i="10"/>
  <c r="AK387" i="10"/>
  <c r="AK388" i="10"/>
  <c r="AK389" i="10"/>
  <c r="AK391" i="10"/>
  <c r="AK392" i="10"/>
  <c r="AK393" i="10"/>
  <c r="AK394" i="10"/>
  <c r="AK395" i="10"/>
  <c r="AK396" i="10"/>
  <c r="AK397" i="10"/>
  <c r="AK398" i="10"/>
  <c r="AK399" i="10"/>
  <c r="AK400" i="10"/>
  <c r="AK401" i="10"/>
  <c r="AK402" i="10"/>
  <c r="AK403" i="10"/>
  <c r="AK404" i="10"/>
  <c r="AK405" i="10"/>
  <c r="AK406" i="10"/>
  <c r="AK407" i="10"/>
  <c r="AK408" i="10"/>
  <c r="AK409" i="10"/>
  <c r="AK410" i="10"/>
  <c r="AK411" i="10"/>
  <c r="AK412" i="10"/>
  <c r="AK413" i="10"/>
  <c r="AK414" i="10"/>
  <c r="AK415" i="10"/>
  <c r="AK417" i="10"/>
  <c r="AK418" i="10"/>
  <c r="AK419" i="10"/>
  <c r="AK420" i="10"/>
  <c r="AK421" i="10"/>
  <c r="AK422" i="10"/>
  <c r="AK423" i="10"/>
  <c r="AK424" i="10"/>
  <c r="AK425" i="10"/>
  <c r="AK426" i="10"/>
  <c r="AK427" i="10"/>
  <c r="AK428" i="10"/>
  <c r="AK429" i="10"/>
  <c r="AK430" i="10"/>
  <c r="AK431" i="10"/>
  <c r="AK432" i="10"/>
  <c r="AK433" i="10"/>
  <c r="AK434" i="10"/>
  <c r="AK435" i="10"/>
  <c r="AK436" i="10"/>
  <c r="AK437" i="10"/>
  <c r="AK438" i="10"/>
  <c r="AK439" i="10"/>
  <c r="AK440" i="10"/>
  <c r="AK441" i="10"/>
  <c r="AK442" i="10"/>
  <c r="AK443" i="10"/>
  <c r="AK444" i="10"/>
  <c r="AK445" i="10"/>
  <c r="AK446" i="10"/>
  <c r="AK447" i="10"/>
  <c r="AK448" i="10"/>
  <c r="AK449" i="10"/>
  <c r="AK450" i="10"/>
  <c r="AK451" i="10"/>
  <c r="AK452" i="10"/>
  <c r="AK453" i="10"/>
  <c r="AK454" i="10"/>
  <c r="AK455" i="10"/>
  <c r="AK456" i="10"/>
  <c r="AK457" i="10"/>
  <c r="AK458" i="10"/>
  <c r="AK459" i="10"/>
  <c r="AK460" i="10"/>
  <c r="AK461" i="10"/>
  <c r="AK462" i="10"/>
  <c r="AK463" i="10"/>
  <c r="AK464" i="10"/>
  <c r="AK465" i="10"/>
  <c r="AK466" i="10"/>
  <c r="AK467" i="10"/>
  <c r="AL4" i="10"/>
  <c r="AL5" i="10"/>
  <c r="AL6" i="10"/>
  <c r="AL7" i="10"/>
  <c r="AL8" i="10"/>
  <c r="AL9" i="10"/>
  <c r="AL10" i="10"/>
  <c r="AL11" i="10"/>
  <c r="AL12" i="10"/>
  <c r="AL13" i="10"/>
  <c r="AL14" i="10"/>
  <c r="AL15" i="10"/>
  <c r="AL16" i="10"/>
  <c r="AL17" i="10"/>
  <c r="AL18" i="10"/>
  <c r="AL19" i="10"/>
  <c r="AL20" i="10"/>
  <c r="AL21" i="10"/>
  <c r="AL22" i="10"/>
  <c r="AL23" i="10"/>
  <c r="AL24" i="10"/>
  <c r="AL25" i="10"/>
  <c r="AL26" i="10"/>
  <c r="AL27" i="10"/>
  <c r="AL28" i="10"/>
  <c r="AL29" i="10"/>
  <c r="AL30" i="10"/>
  <c r="AL31" i="10"/>
  <c r="AL32" i="10"/>
  <c r="AL33" i="10"/>
  <c r="AL34" i="10"/>
  <c r="AL35" i="10"/>
  <c r="AL36" i="10"/>
  <c r="AL37" i="10"/>
  <c r="AL38" i="10"/>
  <c r="AL39" i="10"/>
  <c r="AL40" i="10"/>
  <c r="AL41" i="10"/>
  <c r="AL42" i="10"/>
  <c r="AL43" i="10"/>
  <c r="AL44" i="10"/>
  <c r="AL45" i="10"/>
  <c r="AL46" i="10"/>
  <c r="AL47" i="10"/>
  <c r="AL48" i="10"/>
  <c r="AL49" i="10"/>
  <c r="AL50" i="10"/>
  <c r="AL51" i="10"/>
  <c r="AL52" i="10"/>
  <c r="AL53" i="10"/>
  <c r="AL54" i="10"/>
  <c r="AL55" i="10"/>
  <c r="AL56" i="10"/>
  <c r="AL57" i="10"/>
  <c r="AL58" i="10"/>
  <c r="AL59" i="10"/>
  <c r="AL60" i="10"/>
  <c r="AL61" i="10"/>
  <c r="AL62" i="10"/>
  <c r="AL63" i="10"/>
  <c r="AL64" i="10"/>
  <c r="AL65" i="10"/>
  <c r="AL66" i="10"/>
  <c r="AL67" i="10"/>
  <c r="AL68" i="10"/>
  <c r="AL69" i="10"/>
  <c r="AL70" i="10"/>
  <c r="AL71" i="10"/>
  <c r="AL72" i="10"/>
  <c r="AL73" i="10"/>
  <c r="AL74" i="10"/>
  <c r="AL75" i="10"/>
  <c r="AL76" i="10"/>
  <c r="AL77" i="10"/>
  <c r="AL78" i="10"/>
  <c r="AL79" i="10"/>
  <c r="AL80" i="10"/>
  <c r="AL81" i="10"/>
  <c r="AL82" i="10"/>
  <c r="AL83" i="10"/>
  <c r="AL84" i="10"/>
  <c r="AL85" i="10"/>
  <c r="AL86" i="10"/>
  <c r="AL87" i="10"/>
  <c r="AL88" i="10"/>
  <c r="AL89" i="10"/>
  <c r="AL90" i="10"/>
  <c r="AL91" i="10"/>
  <c r="AL92" i="10"/>
  <c r="AL93" i="10"/>
  <c r="AL94" i="10"/>
  <c r="AL95" i="10"/>
  <c r="AL96" i="10"/>
  <c r="AL97" i="10"/>
  <c r="AL98" i="10"/>
  <c r="AL99" i="10"/>
  <c r="AL100" i="10"/>
  <c r="AL101" i="10"/>
  <c r="AL102" i="10"/>
  <c r="AL103" i="10"/>
  <c r="AL104" i="10"/>
  <c r="AL105" i="10"/>
  <c r="AL106" i="10"/>
  <c r="AL107" i="10"/>
  <c r="AL108" i="10"/>
  <c r="AL109" i="10"/>
  <c r="AL110" i="10"/>
  <c r="AL111" i="10"/>
  <c r="AL112" i="10"/>
  <c r="AL113" i="10"/>
  <c r="AL114" i="10"/>
  <c r="AL115" i="10"/>
  <c r="AL116" i="10"/>
  <c r="AL117" i="10"/>
  <c r="AL118" i="10"/>
  <c r="AL119" i="10"/>
  <c r="AL120" i="10"/>
  <c r="AL121" i="10"/>
  <c r="AL122" i="10"/>
  <c r="AL123" i="10"/>
  <c r="AL124" i="10"/>
  <c r="AL125" i="10"/>
  <c r="AL126" i="10"/>
  <c r="AL127" i="10"/>
  <c r="AL128" i="10"/>
  <c r="AL129" i="10"/>
  <c r="AL130" i="10"/>
  <c r="AL131" i="10"/>
  <c r="AL132" i="10"/>
  <c r="AL133" i="10"/>
  <c r="AL134" i="10"/>
  <c r="AL135" i="10"/>
  <c r="AL136" i="10"/>
  <c r="AL137" i="10"/>
  <c r="AL138" i="10"/>
  <c r="AL139" i="10"/>
  <c r="AL140" i="10"/>
  <c r="AL141" i="10"/>
  <c r="AL142" i="10"/>
  <c r="AL143" i="10"/>
  <c r="AL144" i="10"/>
  <c r="AL145" i="10"/>
  <c r="AL146" i="10"/>
  <c r="AL147" i="10"/>
  <c r="AL148" i="10"/>
  <c r="AL149" i="10"/>
  <c r="AL150" i="10"/>
  <c r="AL151" i="10"/>
  <c r="AL152" i="10"/>
  <c r="AL153" i="10"/>
  <c r="AL154" i="10"/>
  <c r="AL155" i="10"/>
  <c r="AL156" i="10"/>
  <c r="AL157" i="10"/>
  <c r="AL158" i="10"/>
  <c r="AL159" i="10"/>
  <c r="AL160" i="10"/>
  <c r="AL161" i="10"/>
  <c r="AL162" i="10"/>
  <c r="AL163" i="10"/>
  <c r="AL164" i="10"/>
  <c r="AL165" i="10"/>
  <c r="AL166" i="10"/>
  <c r="AL168" i="10"/>
  <c r="AL169" i="10"/>
  <c r="AL170" i="10"/>
  <c r="AL171" i="10"/>
  <c r="AL172" i="10"/>
  <c r="AL173" i="10"/>
  <c r="AL178" i="10"/>
  <c r="AL179" i="10"/>
  <c r="AL180" i="10"/>
  <c r="AL181" i="10"/>
  <c r="AL183" i="10"/>
  <c r="AL184" i="10"/>
  <c r="AL185" i="10"/>
  <c r="AL186" i="10"/>
  <c r="AL188" i="10"/>
  <c r="AL190" i="10"/>
  <c r="AL192" i="10"/>
  <c r="AL193" i="10"/>
  <c r="AL194" i="10"/>
  <c r="AL195" i="10"/>
  <c r="AL196" i="10"/>
  <c r="AL198" i="10"/>
  <c r="AL199" i="10"/>
  <c r="AL200" i="10"/>
  <c r="AL201" i="10"/>
  <c r="AL202" i="10"/>
  <c r="AL203" i="10"/>
  <c r="AL204" i="10"/>
  <c r="AL205" i="10"/>
  <c r="AL206" i="10"/>
  <c r="AL207" i="10"/>
  <c r="AL208" i="10"/>
  <c r="AL209" i="10"/>
  <c r="AL211" i="10"/>
  <c r="AL213" i="10"/>
  <c r="AL214" i="10"/>
  <c r="AL215" i="10"/>
  <c r="AL216" i="10"/>
  <c r="AL217" i="10"/>
  <c r="AL218" i="10"/>
  <c r="AL219" i="10"/>
  <c r="AL221" i="10"/>
  <c r="AL222" i="10"/>
  <c r="AL223" i="10"/>
  <c r="AL224" i="10"/>
  <c r="AL225" i="10"/>
  <c r="AL226" i="10"/>
  <c r="AL227" i="10"/>
  <c r="AL228" i="10"/>
  <c r="AL229" i="10"/>
  <c r="AL230" i="10"/>
  <c r="AL231" i="10"/>
  <c r="AL232" i="10"/>
  <c r="AL233" i="10"/>
  <c r="AL234" i="10"/>
  <c r="AL235" i="10"/>
  <c r="AL236" i="10"/>
  <c r="AL237" i="10"/>
  <c r="AL238" i="10"/>
  <c r="AL239" i="10"/>
  <c r="AL240" i="10"/>
  <c r="AL241" i="10"/>
  <c r="AL242" i="10"/>
  <c r="AL243" i="10"/>
  <c r="AL244" i="10"/>
  <c r="AL245" i="10"/>
  <c r="AL246" i="10"/>
  <c r="AL247" i="10"/>
  <c r="AL248" i="10"/>
  <c r="AL249" i="10"/>
  <c r="AL250" i="10"/>
  <c r="AL251" i="10"/>
  <c r="AL252" i="10"/>
  <c r="AL253" i="10"/>
  <c r="AL254" i="10"/>
  <c r="AL255" i="10"/>
  <c r="AL256" i="10"/>
  <c r="AL257" i="10"/>
  <c r="AL258" i="10"/>
  <c r="AL259" i="10"/>
  <c r="AL260" i="10"/>
  <c r="AL261" i="10"/>
  <c r="AL262" i="10"/>
  <c r="AL263" i="10"/>
  <c r="AL264" i="10"/>
  <c r="AL265" i="10"/>
  <c r="AL266" i="10"/>
  <c r="AL267" i="10"/>
  <c r="AL268" i="10"/>
  <c r="AL269" i="10"/>
  <c r="AL271" i="10"/>
  <c r="AL272" i="10"/>
  <c r="AL274" i="10"/>
  <c r="AL275" i="10"/>
  <c r="AL276" i="10"/>
  <c r="AL278" i="10"/>
  <c r="AL279" i="10"/>
  <c r="AL280" i="10"/>
  <c r="AL282" i="10"/>
  <c r="AL283" i="10"/>
  <c r="AL284" i="10"/>
  <c r="AL285" i="10"/>
  <c r="AL286" i="10"/>
  <c r="AL287" i="10"/>
  <c r="AL288" i="10"/>
  <c r="AL289" i="10"/>
  <c r="AL291" i="10"/>
  <c r="AL292" i="10"/>
  <c r="AL294" i="10"/>
  <c r="AL296" i="10"/>
  <c r="AL297" i="10"/>
  <c r="AL298" i="10"/>
  <c r="AL301" i="10"/>
  <c r="AL302" i="10"/>
  <c r="AL304" i="10"/>
  <c r="AL305" i="10"/>
  <c r="AL307" i="10"/>
  <c r="AL308" i="10"/>
  <c r="AL309" i="10"/>
  <c r="AL310" i="10"/>
  <c r="AL311" i="10"/>
  <c r="AL312" i="10"/>
  <c r="AL316" i="10"/>
  <c r="AL317" i="10"/>
  <c r="AL320" i="10"/>
  <c r="AL322" i="10"/>
  <c r="AL323" i="10"/>
  <c r="AL324" i="10"/>
  <c r="AL325" i="10"/>
  <c r="AL327" i="10"/>
  <c r="AL328" i="10"/>
  <c r="AL329" i="10"/>
  <c r="AL330" i="10"/>
  <c r="AL333" i="10"/>
  <c r="AL334" i="10"/>
  <c r="AL335" i="10"/>
  <c r="AL336" i="10"/>
  <c r="AL337" i="10"/>
  <c r="AL338" i="10"/>
  <c r="AL339" i="10"/>
  <c r="AL340" i="10"/>
  <c r="AL341" i="10"/>
  <c r="AL342" i="10"/>
  <c r="AL343" i="10"/>
  <c r="AL344" i="10"/>
  <c r="AL345" i="10"/>
  <c r="AL346" i="10"/>
  <c r="AL347" i="10"/>
  <c r="AL348" i="10"/>
  <c r="AL349" i="10"/>
  <c r="AL350" i="10"/>
  <c r="AL351" i="10"/>
  <c r="AL352" i="10"/>
  <c r="AL353" i="10"/>
  <c r="AL354" i="10"/>
  <c r="AL355" i="10"/>
  <c r="AL356" i="10"/>
  <c r="AL357" i="10"/>
  <c r="AL358" i="10"/>
  <c r="AL359" i="10"/>
  <c r="AL360" i="10"/>
  <c r="AL361" i="10"/>
  <c r="AL362" i="10"/>
  <c r="AL363" i="10"/>
  <c r="AL364" i="10"/>
  <c r="AL365" i="10"/>
  <c r="AL366" i="10"/>
  <c r="AL367" i="10"/>
  <c r="AL368" i="10"/>
  <c r="AL369" i="10"/>
  <c r="AL370" i="10"/>
  <c r="AL371" i="10"/>
  <c r="AL372" i="10"/>
  <c r="AL373" i="10"/>
  <c r="AL374" i="10"/>
  <c r="AL375" i="10"/>
  <c r="AL376" i="10"/>
  <c r="AL377" i="10"/>
  <c r="AL378" i="10"/>
  <c r="AL379" i="10"/>
  <c r="AL380" i="10"/>
  <c r="AL381" i="10"/>
  <c r="AL382" i="10"/>
  <c r="AL383" i="10"/>
  <c r="AL384" i="10"/>
  <c r="AL385" i="10"/>
  <c r="AL386" i="10"/>
  <c r="AL387" i="10"/>
  <c r="AL388" i="10"/>
  <c r="AL389" i="10"/>
  <c r="AL390" i="10"/>
  <c r="AL391" i="10"/>
  <c r="AL392" i="10"/>
  <c r="AL393" i="10"/>
  <c r="AL394" i="10"/>
  <c r="AL395" i="10"/>
  <c r="AL396" i="10"/>
  <c r="AL397" i="10"/>
  <c r="AL398" i="10"/>
  <c r="AL399" i="10"/>
  <c r="AL400" i="10"/>
  <c r="AL401" i="10"/>
  <c r="AL402" i="10"/>
  <c r="AL403" i="10"/>
  <c r="AL404" i="10"/>
  <c r="AL405" i="10"/>
  <c r="AL406" i="10"/>
  <c r="AL407" i="10"/>
  <c r="AL408" i="10"/>
  <c r="AL409" i="10"/>
  <c r="AL410" i="10"/>
  <c r="AL411" i="10"/>
  <c r="AL412" i="10"/>
  <c r="AL413" i="10"/>
  <c r="AL414" i="10"/>
  <c r="AL415" i="10"/>
  <c r="AL417" i="10"/>
  <c r="AL418" i="10"/>
  <c r="AL419" i="10"/>
  <c r="AL420" i="10"/>
  <c r="AL421" i="10"/>
  <c r="AL422" i="10"/>
  <c r="AL423" i="10"/>
  <c r="AL424" i="10"/>
  <c r="AL425" i="10"/>
  <c r="AL426" i="10"/>
  <c r="AL427" i="10"/>
  <c r="AL428" i="10"/>
  <c r="AL429" i="10"/>
  <c r="AL430" i="10"/>
  <c r="AL431" i="10"/>
  <c r="AL432" i="10"/>
  <c r="AL433" i="10"/>
  <c r="AL434" i="10"/>
  <c r="AL435" i="10"/>
  <c r="AL436" i="10"/>
  <c r="AL437" i="10"/>
  <c r="AL438" i="10"/>
  <c r="AL439" i="10"/>
  <c r="AL440" i="10"/>
  <c r="AL441" i="10"/>
  <c r="AL442" i="10"/>
  <c r="AL443" i="10"/>
  <c r="AL444" i="10"/>
  <c r="AL445" i="10"/>
  <c r="AL446" i="10"/>
  <c r="AL447" i="10"/>
  <c r="AL448" i="10"/>
  <c r="AL449" i="10"/>
  <c r="AL450" i="10"/>
  <c r="AL451" i="10"/>
  <c r="AL452" i="10"/>
  <c r="AL453" i="10"/>
  <c r="AL454" i="10"/>
  <c r="AL455" i="10"/>
  <c r="AL456" i="10"/>
  <c r="AL457" i="10"/>
  <c r="AL458" i="10"/>
  <c r="AL459" i="10"/>
  <c r="AL460" i="10"/>
  <c r="AL461" i="10"/>
  <c r="AL462" i="10"/>
  <c r="AL463" i="10"/>
  <c r="AL464" i="10"/>
  <c r="AL465" i="10"/>
  <c r="AL466" i="10"/>
  <c r="AL467" i="10"/>
  <c r="AM4" i="10"/>
  <c r="AM5" i="10"/>
  <c r="AM6" i="10"/>
  <c r="AM7" i="10"/>
  <c r="AM8" i="10"/>
  <c r="AM9" i="10"/>
  <c r="AM10" i="10"/>
  <c r="AM11" i="10"/>
  <c r="AM12" i="10"/>
  <c r="AM13" i="10"/>
  <c r="AM14" i="10"/>
  <c r="AM15" i="10"/>
  <c r="AM16" i="10"/>
  <c r="AM17" i="10"/>
  <c r="AM18" i="10"/>
  <c r="AM19" i="10"/>
  <c r="AM20" i="10"/>
  <c r="AM21" i="10"/>
  <c r="AM22" i="10"/>
  <c r="AM23" i="10"/>
  <c r="AM24" i="10"/>
  <c r="AM25" i="10"/>
  <c r="AM26" i="10"/>
  <c r="AM27" i="10"/>
  <c r="AM28" i="10"/>
  <c r="AM29" i="10"/>
  <c r="AM30" i="10"/>
  <c r="AM31" i="10"/>
  <c r="AM32" i="10"/>
  <c r="AM33" i="10"/>
  <c r="AM34" i="10"/>
  <c r="AM35" i="10"/>
  <c r="AM36" i="10"/>
  <c r="AM37" i="10"/>
  <c r="AM38" i="10"/>
  <c r="AM39" i="10"/>
  <c r="AM40" i="10"/>
  <c r="AM41" i="10"/>
  <c r="AM42" i="10"/>
  <c r="AM43" i="10"/>
  <c r="AM44" i="10"/>
  <c r="AM45" i="10"/>
  <c r="AM46" i="10"/>
  <c r="AM47" i="10"/>
  <c r="AM48" i="10"/>
  <c r="AM49" i="10"/>
  <c r="AM50" i="10"/>
  <c r="AM51" i="10"/>
  <c r="AM52" i="10"/>
  <c r="AM53" i="10"/>
  <c r="AM54" i="10"/>
  <c r="AM55" i="10"/>
  <c r="AM56" i="10"/>
  <c r="AM57" i="10"/>
  <c r="AM58" i="10"/>
  <c r="AM59" i="10"/>
  <c r="AM60" i="10"/>
  <c r="AM61" i="10"/>
  <c r="AM62" i="10"/>
  <c r="AM63" i="10"/>
  <c r="AM64" i="10"/>
  <c r="AM65" i="10"/>
  <c r="AM66" i="10"/>
  <c r="AM67" i="10"/>
  <c r="AM68" i="10"/>
  <c r="AM69" i="10"/>
  <c r="AM70" i="10"/>
  <c r="AM71" i="10"/>
  <c r="AM72" i="10"/>
  <c r="AM73" i="10"/>
  <c r="AM74" i="10"/>
  <c r="AM75" i="10"/>
  <c r="AM76" i="10"/>
  <c r="AM77" i="10"/>
  <c r="AM78" i="10"/>
  <c r="AM79" i="10"/>
  <c r="AM80" i="10"/>
  <c r="AM81" i="10"/>
  <c r="AM82" i="10"/>
  <c r="AM83" i="10"/>
  <c r="AM84" i="10"/>
  <c r="AM85" i="10"/>
  <c r="AM86" i="10"/>
  <c r="AM87" i="10"/>
  <c r="AM88" i="10"/>
  <c r="AM89" i="10"/>
  <c r="AM90" i="10"/>
  <c r="AM91" i="10"/>
  <c r="AM92" i="10"/>
  <c r="AM93" i="10"/>
  <c r="AM94" i="10"/>
  <c r="AM95" i="10"/>
  <c r="AM96" i="10"/>
  <c r="AM97" i="10"/>
  <c r="AM98" i="10"/>
  <c r="AM99" i="10"/>
  <c r="AM100" i="10"/>
  <c r="AM101" i="10"/>
  <c r="AM102" i="10"/>
  <c r="AM103" i="10"/>
  <c r="AM104" i="10"/>
  <c r="AM105" i="10"/>
  <c r="AM106" i="10"/>
  <c r="AM107" i="10"/>
  <c r="AM108" i="10"/>
  <c r="AM109" i="10"/>
  <c r="AM110" i="10"/>
  <c r="AM111" i="10"/>
  <c r="AM112" i="10"/>
  <c r="AM113" i="10"/>
  <c r="AM114" i="10"/>
  <c r="AM115" i="10"/>
  <c r="AM116" i="10"/>
  <c r="AM117" i="10"/>
  <c r="AM118" i="10"/>
  <c r="AM119" i="10"/>
  <c r="AM120" i="10"/>
  <c r="AM121" i="10"/>
  <c r="AM122" i="10"/>
  <c r="AM123" i="10"/>
  <c r="AM124" i="10"/>
  <c r="AM125" i="10"/>
  <c r="AM126" i="10"/>
  <c r="AM127" i="10"/>
  <c r="AM128" i="10"/>
  <c r="AM129" i="10"/>
  <c r="AM130" i="10"/>
  <c r="AM131" i="10"/>
  <c r="AM132" i="10"/>
  <c r="AM133" i="10"/>
  <c r="AM134" i="10"/>
  <c r="AM135" i="10"/>
  <c r="AM136" i="10"/>
  <c r="AM137" i="10"/>
  <c r="AM138" i="10"/>
  <c r="AM139" i="10"/>
  <c r="AM140" i="10"/>
  <c r="AM141" i="10"/>
  <c r="AM142" i="10"/>
  <c r="AM143" i="10"/>
  <c r="AM144" i="10"/>
  <c r="AM145" i="10"/>
  <c r="AM146" i="10"/>
  <c r="AM147" i="10"/>
  <c r="AM148" i="10"/>
  <c r="AM149" i="10"/>
  <c r="AM150" i="10"/>
  <c r="AM151" i="10"/>
  <c r="AM152" i="10"/>
  <c r="AM153" i="10"/>
  <c r="AM154" i="10"/>
  <c r="AM155" i="10"/>
  <c r="AM156" i="10"/>
  <c r="AM157" i="10"/>
  <c r="AM158" i="10"/>
  <c r="AM159" i="10"/>
  <c r="AM160" i="10"/>
  <c r="AM161" i="10"/>
  <c r="AM162" i="10"/>
  <c r="AM163" i="10"/>
  <c r="AM164" i="10"/>
  <c r="AM165" i="10"/>
  <c r="AM166" i="10"/>
  <c r="AM168" i="10"/>
  <c r="AM169" i="10"/>
  <c r="AM170" i="10"/>
  <c r="AM171" i="10"/>
  <c r="AM172" i="10"/>
  <c r="AM173" i="10"/>
  <c r="AM178" i="10"/>
  <c r="AM179" i="10"/>
  <c r="AM180" i="10"/>
  <c r="AM181" i="10"/>
  <c r="AM183" i="10"/>
  <c r="AM184" i="10"/>
  <c r="AM185" i="10"/>
  <c r="AM186" i="10"/>
  <c r="AM188" i="10"/>
  <c r="AM190" i="10"/>
  <c r="AM192" i="10"/>
  <c r="AM193" i="10"/>
  <c r="AM194" i="10"/>
  <c r="AM195" i="10"/>
  <c r="AM196" i="10"/>
  <c r="AM198" i="10"/>
  <c r="AM199" i="10"/>
  <c r="AM200" i="10"/>
  <c r="AM201" i="10"/>
  <c r="AM202" i="10"/>
  <c r="AM203" i="10"/>
  <c r="AM204" i="10"/>
  <c r="AM205" i="10"/>
  <c r="AM206" i="10"/>
  <c r="AM207" i="10"/>
  <c r="AM208" i="10"/>
  <c r="AM209" i="10"/>
  <c r="AM211" i="10"/>
  <c r="AM213" i="10"/>
  <c r="AM214" i="10"/>
  <c r="AM215" i="10"/>
  <c r="AM216" i="10"/>
  <c r="AM217" i="10"/>
  <c r="AM218" i="10"/>
  <c r="AM219" i="10"/>
  <c r="AM221" i="10"/>
  <c r="AM222" i="10"/>
  <c r="AM223" i="10"/>
  <c r="AM224" i="10"/>
  <c r="AM225" i="10"/>
  <c r="AM226" i="10"/>
  <c r="AM227" i="10"/>
  <c r="AM228" i="10"/>
  <c r="AM229" i="10"/>
  <c r="AM230" i="10"/>
  <c r="AM231" i="10"/>
  <c r="AM232" i="10"/>
  <c r="AM233" i="10"/>
  <c r="AM234" i="10"/>
  <c r="AM235" i="10"/>
  <c r="AM236" i="10"/>
  <c r="AM237" i="10"/>
  <c r="AM238" i="10"/>
  <c r="AM239" i="10"/>
  <c r="AM240" i="10"/>
  <c r="AM241" i="10"/>
  <c r="AM242" i="10"/>
  <c r="AM243" i="10"/>
  <c r="AM244" i="10"/>
  <c r="AM245" i="10"/>
  <c r="AM246" i="10"/>
  <c r="AM247" i="10"/>
  <c r="AM248" i="10"/>
  <c r="AM249" i="10"/>
  <c r="AM250" i="10"/>
  <c r="AM251" i="10"/>
  <c r="AM252" i="10"/>
  <c r="AM253" i="10"/>
  <c r="AM254" i="10"/>
  <c r="AM255" i="10"/>
  <c r="AM256" i="10"/>
  <c r="AM257" i="10"/>
  <c r="AM258" i="10"/>
  <c r="AM259" i="10"/>
  <c r="AM260" i="10"/>
  <c r="AM261" i="10"/>
  <c r="AM262" i="10"/>
  <c r="AM263" i="10"/>
  <c r="AM264" i="10"/>
  <c r="AM265" i="10"/>
  <c r="AM266" i="10"/>
  <c r="AM267" i="10"/>
  <c r="AM268" i="10"/>
  <c r="AM269" i="10"/>
  <c r="AM271" i="10"/>
  <c r="AM272" i="10"/>
  <c r="AM274" i="10"/>
  <c r="AM275" i="10"/>
  <c r="AM276" i="10"/>
  <c r="AM278" i="10"/>
  <c r="AM279" i="10"/>
  <c r="AM280" i="10"/>
  <c r="AM282" i="10"/>
  <c r="AM283" i="10"/>
  <c r="AM284" i="10"/>
  <c r="AM285" i="10"/>
  <c r="AM286" i="10"/>
  <c r="AM287" i="10"/>
  <c r="AM288" i="10"/>
  <c r="AM289" i="10"/>
  <c r="AM291" i="10"/>
  <c r="AM292" i="10"/>
  <c r="AM294" i="10"/>
  <c r="AM296" i="10"/>
  <c r="AM297" i="10"/>
  <c r="AM298" i="10"/>
  <c r="AM301" i="10"/>
  <c r="AM302" i="10"/>
  <c r="AM304" i="10"/>
  <c r="AM305" i="10"/>
  <c r="AM307" i="10"/>
  <c r="AM308" i="10"/>
  <c r="AM309" i="10"/>
  <c r="AM310" i="10"/>
  <c r="AM311" i="10"/>
  <c r="AM312" i="10"/>
  <c r="AM316" i="10"/>
  <c r="AM317" i="10"/>
  <c r="AM320" i="10"/>
  <c r="AM322" i="10"/>
  <c r="AM323" i="10"/>
  <c r="AM324" i="10"/>
  <c r="AM325" i="10"/>
  <c r="AM327" i="10"/>
  <c r="AM328" i="10"/>
  <c r="AM329" i="10"/>
  <c r="AM330" i="10"/>
  <c r="AM333" i="10"/>
  <c r="AM334" i="10"/>
  <c r="AM335" i="10"/>
  <c r="AM336" i="10"/>
  <c r="AM337" i="10"/>
  <c r="AM338" i="10"/>
  <c r="AM339" i="10"/>
  <c r="AM340" i="10"/>
  <c r="AM341" i="10"/>
  <c r="AM342" i="10"/>
  <c r="AM343" i="10"/>
  <c r="AM344" i="10"/>
  <c r="AM345" i="10"/>
  <c r="AM346" i="10"/>
  <c r="AM347" i="10"/>
  <c r="AM348" i="10"/>
  <c r="AM349" i="10"/>
  <c r="AM350" i="10"/>
  <c r="AM351" i="10"/>
  <c r="AM352" i="10"/>
  <c r="AM353" i="10"/>
  <c r="AM354" i="10"/>
  <c r="AM355" i="10"/>
  <c r="AM356" i="10"/>
  <c r="AM357" i="10"/>
  <c r="AM358" i="10"/>
  <c r="AM359" i="10"/>
  <c r="AM360" i="10"/>
  <c r="AM361" i="10"/>
  <c r="AM362" i="10"/>
  <c r="AM363" i="10"/>
  <c r="AM364" i="10"/>
  <c r="AM365" i="10"/>
  <c r="AM366" i="10"/>
  <c r="AM367" i="10"/>
  <c r="AM368" i="10"/>
  <c r="AM369" i="10"/>
  <c r="AM370" i="10"/>
  <c r="AM371" i="10"/>
  <c r="AM372" i="10"/>
  <c r="AM373" i="10"/>
  <c r="AM374" i="10"/>
  <c r="AM375" i="10"/>
  <c r="AM376" i="10"/>
  <c r="AM377" i="10"/>
  <c r="AM378" i="10"/>
  <c r="AM379" i="10"/>
  <c r="AM380" i="10"/>
  <c r="AM381" i="10"/>
  <c r="AM382" i="10"/>
  <c r="AM383" i="10"/>
  <c r="AM384" i="10"/>
  <c r="AM385" i="10"/>
  <c r="AM386" i="10"/>
  <c r="AM387" i="10"/>
  <c r="AM388" i="10"/>
  <c r="AM389" i="10"/>
  <c r="AM390" i="10"/>
  <c r="AM391" i="10"/>
  <c r="AM392" i="10"/>
  <c r="AM393" i="10"/>
  <c r="AM394" i="10"/>
  <c r="AM395" i="10"/>
  <c r="AM396" i="10"/>
  <c r="AM397" i="10"/>
  <c r="AM398" i="10"/>
  <c r="AM399" i="10"/>
  <c r="AM400" i="10"/>
  <c r="AM401" i="10"/>
  <c r="AM402" i="10"/>
  <c r="AM403" i="10"/>
  <c r="AM404" i="10"/>
  <c r="AM405" i="10"/>
  <c r="AM406" i="10"/>
  <c r="AM407" i="10"/>
  <c r="AM408" i="10"/>
  <c r="AM409" i="10"/>
  <c r="AM410" i="10"/>
  <c r="AM411" i="10"/>
  <c r="AM412" i="10"/>
  <c r="AM413" i="10"/>
  <c r="AM414" i="10"/>
  <c r="AM415" i="10"/>
  <c r="AM417" i="10"/>
  <c r="AM418" i="10"/>
  <c r="AM419" i="10"/>
  <c r="AM420" i="10"/>
  <c r="AM421" i="10"/>
  <c r="AM422" i="10"/>
  <c r="AM423" i="10"/>
  <c r="AM424" i="10"/>
  <c r="AM425" i="10"/>
  <c r="AM426" i="10"/>
  <c r="AM427" i="10"/>
  <c r="AM428" i="10"/>
  <c r="AM429" i="10"/>
  <c r="AM430" i="10"/>
  <c r="AM431" i="10"/>
  <c r="AM432" i="10"/>
  <c r="AM433" i="10"/>
  <c r="AM434" i="10"/>
  <c r="AM435" i="10"/>
  <c r="AM436" i="10"/>
  <c r="AM437" i="10"/>
  <c r="AM438" i="10"/>
  <c r="AM439" i="10"/>
  <c r="AM440" i="10"/>
  <c r="AM441" i="10"/>
  <c r="AM442" i="10"/>
  <c r="AM443" i="10"/>
  <c r="AM444" i="10"/>
  <c r="AM445" i="10"/>
  <c r="AM446" i="10"/>
  <c r="AM447" i="10"/>
  <c r="AM448" i="10"/>
  <c r="AM449" i="10"/>
  <c r="AM450" i="10"/>
  <c r="AM451" i="10"/>
  <c r="AM452" i="10"/>
  <c r="AM453" i="10"/>
  <c r="AM454" i="10"/>
  <c r="AM455" i="10"/>
  <c r="AM456" i="10"/>
  <c r="AM457" i="10"/>
  <c r="AM458" i="10"/>
  <c r="AM459" i="10"/>
  <c r="AM460" i="10"/>
  <c r="AM461" i="10"/>
  <c r="AM462" i="10"/>
  <c r="AM463" i="10"/>
  <c r="AM464" i="10"/>
  <c r="AM465" i="10"/>
  <c r="AM466" i="10"/>
  <c r="AM467" i="10"/>
  <c r="AN4" i="10"/>
  <c r="AN5" i="10"/>
  <c r="AN6" i="10"/>
  <c r="AN7" i="10"/>
  <c r="AN8" i="10"/>
  <c r="AN9" i="10"/>
  <c r="AN10" i="10"/>
  <c r="AN11" i="10"/>
  <c r="AN12" i="10"/>
  <c r="AN13" i="10"/>
  <c r="AN14" i="10"/>
  <c r="AN15" i="10"/>
  <c r="AN16" i="10"/>
  <c r="AN17" i="10"/>
  <c r="AN18" i="10"/>
  <c r="AN19" i="10"/>
  <c r="AN20" i="10"/>
  <c r="AN21" i="10"/>
  <c r="AN22" i="10"/>
  <c r="AN23" i="10"/>
  <c r="AN24" i="10"/>
  <c r="AN25" i="10"/>
  <c r="AN26" i="10"/>
  <c r="AN27" i="10"/>
  <c r="AN28" i="10"/>
  <c r="AN29" i="10"/>
  <c r="AN30" i="10"/>
  <c r="AN31" i="10"/>
  <c r="AN32" i="10"/>
  <c r="AN33" i="10"/>
  <c r="AN34" i="10"/>
  <c r="AN35" i="10"/>
  <c r="AN36" i="10"/>
  <c r="AN37" i="10"/>
  <c r="AN38" i="10"/>
  <c r="AN39" i="10"/>
  <c r="AN40" i="10"/>
  <c r="AN41" i="10"/>
  <c r="AN42" i="10"/>
  <c r="AN43" i="10"/>
  <c r="AN44" i="10"/>
  <c r="AN45" i="10"/>
  <c r="AN46" i="10"/>
  <c r="AN47" i="10"/>
  <c r="AN48" i="10"/>
  <c r="AN49" i="10"/>
  <c r="AN50" i="10"/>
  <c r="AN51" i="10"/>
  <c r="AN52" i="10"/>
  <c r="AN53" i="10"/>
  <c r="AN54" i="10"/>
  <c r="AN55" i="10"/>
  <c r="AN56" i="10"/>
  <c r="AN57" i="10"/>
  <c r="AN58" i="10"/>
  <c r="AN59" i="10"/>
  <c r="AN60" i="10"/>
  <c r="AN61" i="10"/>
  <c r="AN62" i="10"/>
  <c r="AN63" i="10"/>
  <c r="AN64" i="10"/>
  <c r="AN65" i="10"/>
  <c r="AN66" i="10"/>
  <c r="AN67" i="10"/>
  <c r="AN68" i="10"/>
  <c r="AN69" i="10"/>
  <c r="AN70" i="10"/>
  <c r="AN71" i="10"/>
  <c r="AN72" i="10"/>
  <c r="AN73" i="10"/>
  <c r="AN74" i="10"/>
  <c r="AN75" i="10"/>
  <c r="AN76" i="10"/>
  <c r="AN77" i="10"/>
  <c r="AN78" i="10"/>
  <c r="AN79" i="10"/>
  <c r="AN80" i="10"/>
  <c r="AN81" i="10"/>
  <c r="AN82" i="10"/>
  <c r="AN83" i="10"/>
  <c r="AN84" i="10"/>
  <c r="AN85" i="10"/>
  <c r="AN86" i="10"/>
  <c r="AN87" i="10"/>
  <c r="AN88" i="10"/>
  <c r="AN89" i="10"/>
  <c r="AN90" i="10"/>
  <c r="AN91" i="10"/>
  <c r="AN92" i="10"/>
  <c r="AN93" i="10"/>
  <c r="AN94" i="10"/>
  <c r="AN95" i="10"/>
  <c r="AN96" i="10"/>
  <c r="AN97" i="10"/>
  <c r="AN98" i="10"/>
  <c r="AN99" i="10"/>
  <c r="AN100" i="10"/>
  <c r="AN101" i="10"/>
  <c r="AN102" i="10"/>
  <c r="AN103" i="10"/>
  <c r="AN104" i="10"/>
  <c r="AN105" i="10"/>
  <c r="AN106" i="10"/>
  <c r="AN107" i="10"/>
  <c r="AN108" i="10"/>
  <c r="AN109" i="10"/>
  <c r="AN110" i="10"/>
  <c r="AN111" i="10"/>
  <c r="AN112" i="10"/>
  <c r="AN113" i="10"/>
  <c r="AN114" i="10"/>
  <c r="AN115" i="10"/>
  <c r="AN116" i="10"/>
  <c r="AN117" i="10"/>
  <c r="AN118" i="10"/>
  <c r="AN119" i="10"/>
  <c r="AN120" i="10"/>
  <c r="AN121" i="10"/>
  <c r="AN122" i="10"/>
  <c r="AN123" i="10"/>
  <c r="AN124" i="10"/>
  <c r="AN125" i="10"/>
  <c r="AN126" i="10"/>
  <c r="AN127" i="10"/>
  <c r="AN128" i="10"/>
  <c r="AN129" i="10"/>
  <c r="AN130" i="10"/>
  <c r="AN131" i="10"/>
  <c r="AN132" i="10"/>
  <c r="AN133" i="10"/>
  <c r="AN134" i="10"/>
  <c r="AN135" i="10"/>
  <c r="AN136" i="10"/>
  <c r="AN137" i="10"/>
  <c r="AN138" i="10"/>
  <c r="AN139" i="10"/>
  <c r="AN140" i="10"/>
  <c r="AN141" i="10"/>
  <c r="AN142" i="10"/>
  <c r="AN143" i="10"/>
  <c r="AN144" i="10"/>
  <c r="AN145" i="10"/>
  <c r="AN146" i="10"/>
  <c r="AN147" i="10"/>
  <c r="AN148" i="10"/>
  <c r="AN149" i="10"/>
  <c r="AN150" i="10"/>
  <c r="AN151" i="10"/>
  <c r="AN152" i="10"/>
  <c r="AN153" i="10"/>
  <c r="AN154" i="10"/>
  <c r="AN155" i="10"/>
  <c r="AN156" i="10"/>
  <c r="AN157" i="10"/>
  <c r="AN158" i="10"/>
  <c r="AN159" i="10"/>
  <c r="AN160" i="10"/>
  <c r="AN161" i="10"/>
  <c r="AN162" i="10"/>
  <c r="AN163" i="10"/>
  <c r="AN164" i="10"/>
  <c r="AN165" i="10"/>
  <c r="AN166" i="10"/>
  <c r="AN168" i="10"/>
  <c r="AN169" i="10"/>
  <c r="AN170" i="10"/>
  <c r="AN171" i="10"/>
  <c r="AN172" i="10"/>
  <c r="AN173" i="10"/>
  <c r="AN178" i="10"/>
  <c r="AN179" i="10"/>
  <c r="AN180" i="10"/>
  <c r="AN181" i="10"/>
  <c r="AN183" i="10"/>
  <c r="AN184" i="10"/>
  <c r="AN185" i="10"/>
  <c r="AN186" i="10"/>
  <c r="AN188" i="10"/>
  <c r="AN190" i="10"/>
  <c r="AN192" i="10"/>
  <c r="AN193" i="10"/>
  <c r="AN194" i="10"/>
  <c r="AN195" i="10"/>
  <c r="AN196" i="10"/>
  <c r="AN198" i="10"/>
  <c r="AN199" i="10"/>
  <c r="AN200" i="10"/>
  <c r="AN201" i="10"/>
  <c r="AN202" i="10"/>
  <c r="AN203" i="10"/>
  <c r="AN204" i="10"/>
  <c r="AN205" i="10"/>
  <c r="AN206" i="10"/>
  <c r="AN207" i="10"/>
  <c r="AN208" i="10"/>
  <c r="AN209" i="10"/>
  <c r="AN211" i="10"/>
  <c r="AN213" i="10"/>
  <c r="AN214" i="10"/>
  <c r="AN215" i="10"/>
  <c r="AN216" i="10"/>
  <c r="AN217" i="10"/>
  <c r="AN218" i="10"/>
  <c r="AN219" i="10"/>
  <c r="AN221" i="10"/>
  <c r="AN222" i="10"/>
  <c r="AN223" i="10"/>
  <c r="AN224" i="10"/>
  <c r="AN225" i="10"/>
  <c r="AN226" i="10"/>
  <c r="AN227" i="10"/>
  <c r="AN228" i="10"/>
  <c r="AN229" i="10"/>
  <c r="AN230" i="10"/>
  <c r="AN231" i="10"/>
  <c r="AN232" i="10"/>
  <c r="AN233" i="10"/>
  <c r="AN234" i="10"/>
  <c r="AN235" i="10"/>
  <c r="AN236" i="10"/>
  <c r="AN237" i="10"/>
  <c r="AN238" i="10"/>
  <c r="AN239" i="10"/>
  <c r="AN240" i="10"/>
  <c r="AN241" i="10"/>
  <c r="AN242" i="10"/>
  <c r="AN243" i="10"/>
  <c r="AN244" i="10"/>
  <c r="AN245" i="10"/>
  <c r="AN246" i="10"/>
  <c r="AN247" i="10"/>
  <c r="AN248" i="10"/>
  <c r="AN249" i="10"/>
  <c r="AN250" i="10"/>
  <c r="AN251" i="10"/>
  <c r="AN252" i="10"/>
  <c r="AN253" i="10"/>
  <c r="AN254" i="10"/>
  <c r="AN255" i="10"/>
  <c r="AN256" i="10"/>
  <c r="AN257" i="10"/>
  <c r="AN258" i="10"/>
  <c r="AN259" i="10"/>
  <c r="AN260" i="10"/>
  <c r="AN261" i="10"/>
  <c r="AN262" i="10"/>
  <c r="AN263" i="10"/>
  <c r="AN264" i="10"/>
  <c r="AN265" i="10"/>
  <c r="AN266" i="10"/>
  <c r="AN267" i="10"/>
  <c r="AN268" i="10"/>
  <c r="AN269" i="10"/>
  <c r="AN271" i="10"/>
  <c r="AN272" i="10"/>
  <c r="AN274" i="10"/>
  <c r="AN275" i="10"/>
  <c r="AN276" i="10"/>
  <c r="AN278" i="10"/>
  <c r="AN279" i="10"/>
  <c r="AN280" i="10"/>
  <c r="AN282" i="10"/>
  <c r="AN283" i="10"/>
  <c r="AN284" i="10"/>
  <c r="AN285" i="10"/>
  <c r="AN286" i="10"/>
  <c r="AN287" i="10"/>
  <c r="AN288" i="10"/>
  <c r="AN289" i="10"/>
  <c r="AN291" i="10"/>
  <c r="AN292" i="10"/>
  <c r="AN294" i="10"/>
  <c r="AN296" i="10"/>
  <c r="AN297" i="10"/>
  <c r="AN298" i="10"/>
  <c r="AN301" i="10"/>
  <c r="AN302" i="10"/>
  <c r="AN304" i="10"/>
  <c r="AN305" i="10"/>
  <c r="AN307" i="10"/>
  <c r="AN308" i="10"/>
  <c r="AN309" i="10"/>
  <c r="AN310" i="10"/>
  <c r="AN311" i="10"/>
  <c r="AN312" i="10"/>
  <c r="AN316" i="10"/>
  <c r="AN317" i="10"/>
  <c r="AN320" i="10"/>
  <c r="AN322" i="10"/>
  <c r="AN323" i="10"/>
  <c r="AN324" i="10"/>
  <c r="AN325" i="10"/>
  <c r="AN327" i="10"/>
  <c r="AN328" i="10"/>
  <c r="AN329" i="10"/>
  <c r="AN330" i="10"/>
  <c r="AN333" i="10"/>
  <c r="AN334" i="10"/>
  <c r="AN335" i="10"/>
  <c r="AN336" i="10"/>
  <c r="AN337" i="10"/>
  <c r="AN338" i="10"/>
  <c r="AN339" i="10"/>
  <c r="AN340" i="10"/>
  <c r="AN341" i="10"/>
  <c r="AN342" i="10"/>
  <c r="AN343" i="10"/>
  <c r="AN344" i="10"/>
  <c r="AN345" i="10"/>
  <c r="AN346" i="10"/>
  <c r="AN347" i="10"/>
  <c r="AN348" i="10"/>
  <c r="AN349" i="10"/>
  <c r="AN350" i="10"/>
  <c r="AN351" i="10"/>
  <c r="AN352" i="10"/>
  <c r="AN353" i="10"/>
  <c r="AN354" i="10"/>
  <c r="AN355" i="10"/>
  <c r="AN356" i="10"/>
  <c r="AN357" i="10"/>
  <c r="AN358" i="10"/>
  <c r="AN359" i="10"/>
  <c r="AN360" i="10"/>
  <c r="AN361" i="10"/>
  <c r="AN362" i="10"/>
  <c r="AN363" i="10"/>
  <c r="AN364" i="10"/>
  <c r="AN365" i="10"/>
  <c r="AN366" i="10"/>
  <c r="AN367" i="10"/>
  <c r="AN368" i="10"/>
  <c r="AN369" i="10"/>
  <c r="AN370" i="10"/>
  <c r="AN371" i="10"/>
  <c r="AN372" i="10"/>
  <c r="AN373" i="10"/>
  <c r="AN374" i="10"/>
  <c r="AN375" i="10"/>
  <c r="AN376" i="10"/>
  <c r="AN377" i="10"/>
  <c r="AN378" i="10"/>
  <c r="AN379" i="10"/>
  <c r="AN380" i="10"/>
  <c r="AN381" i="10"/>
  <c r="AN382" i="10"/>
  <c r="AN383" i="10"/>
  <c r="AN384" i="10"/>
  <c r="AN385" i="10"/>
  <c r="AN386" i="10"/>
  <c r="AN387" i="10"/>
  <c r="AN388" i="10"/>
  <c r="AN389" i="10"/>
  <c r="AN390" i="10"/>
  <c r="AN391" i="10"/>
  <c r="AN392" i="10"/>
  <c r="AN393" i="10"/>
  <c r="AN394" i="10"/>
  <c r="AN395" i="10"/>
  <c r="AN396" i="10"/>
  <c r="AN397" i="10"/>
  <c r="AN398" i="10"/>
  <c r="AN399" i="10"/>
  <c r="AN400" i="10"/>
  <c r="AN401" i="10"/>
  <c r="AN402" i="10"/>
  <c r="AN403" i="10"/>
  <c r="AN404" i="10"/>
  <c r="AN405" i="10"/>
  <c r="AN406" i="10"/>
  <c r="AN407" i="10"/>
  <c r="AN408" i="10"/>
  <c r="AN409" i="10"/>
  <c r="AN410" i="10"/>
  <c r="AN411" i="10"/>
  <c r="AN412" i="10"/>
  <c r="AN413" i="10"/>
  <c r="AN414" i="10"/>
  <c r="AN415" i="10"/>
  <c r="AN417" i="10"/>
  <c r="AN418" i="10"/>
  <c r="AN419" i="10"/>
  <c r="AN420" i="10"/>
  <c r="AN421" i="10"/>
  <c r="AN422" i="10"/>
  <c r="AN423" i="10"/>
  <c r="AN424" i="10"/>
  <c r="AN425" i="10"/>
  <c r="AN426" i="10"/>
  <c r="AN427" i="10"/>
  <c r="AN428" i="10"/>
  <c r="AN429" i="10"/>
  <c r="AN430" i="10"/>
  <c r="AN431" i="10"/>
  <c r="AN432" i="10"/>
  <c r="AN433" i="10"/>
  <c r="AN434" i="10"/>
  <c r="AN435" i="10"/>
  <c r="AN436" i="10"/>
  <c r="AN437" i="10"/>
  <c r="AN438" i="10"/>
  <c r="AN439" i="10"/>
  <c r="AN440" i="10"/>
  <c r="AN441" i="10"/>
  <c r="AN442" i="10"/>
  <c r="AN443" i="10"/>
  <c r="AN444" i="10"/>
  <c r="AN445" i="10"/>
  <c r="AN446" i="10"/>
  <c r="AN447" i="10"/>
  <c r="AN448" i="10"/>
  <c r="AN449" i="10"/>
  <c r="AN450" i="10"/>
  <c r="AN451" i="10"/>
  <c r="AN452" i="10"/>
  <c r="AN453" i="10"/>
  <c r="AN454" i="10"/>
  <c r="AN455" i="10"/>
  <c r="AN456" i="10"/>
  <c r="AN457" i="10"/>
  <c r="AN458" i="10"/>
  <c r="AN459" i="10"/>
  <c r="AN460" i="10"/>
  <c r="AN461" i="10"/>
  <c r="AN462" i="10"/>
  <c r="AN463" i="10"/>
  <c r="AN464" i="10"/>
  <c r="AN465" i="10"/>
  <c r="AN466" i="10"/>
  <c r="AN467" i="10"/>
  <c r="AO4" i="10"/>
  <c r="AO5" i="10"/>
  <c r="AO6" i="10"/>
  <c r="AO7" i="10"/>
  <c r="AO8" i="10"/>
  <c r="AO9" i="10"/>
  <c r="AO10" i="10"/>
  <c r="AO11" i="10"/>
  <c r="AO12" i="10"/>
  <c r="AO13" i="10"/>
  <c r="AO14" i="10"/>
  <c r="AO15" i="10"/>
  <c r="AO16" i="10"/>
  <c r="AO17" i="10"/>
  <c r="AO18" i="10"/>
  <c r="AO19" i="10"/>
  <c r="AO20" i="10"/>
  <c r="AO21" i="10"/>
  <c r="AO22" i="10"/>
  <c r="AO23" i="10"/>
  <c r="AO24" i="10"/>
  <c r="AO25" i="10"/>
  <c r="AO26" i="10"/>
  <c r="AO27" i="10"/>
  <c r="AO28" i="10"/>
  <c r="AO29" i="10"/>
  <c r="AO30" i="10"/>
  <c r="AO31" i="10"/>
  <c r="AO32" i="10"/>
  <c r="AO33" i="10"/>
  <c r="AO34" i="10"/>
  <c r="AO35" i="10"/>
  <c r="AO36" i="10"/>
  <c r="AO37" i="10"/>
  <c r="AO38" i="10"/>
  <c r="AO39" i="10"/>
  <c r="AO40" i="10"/>
  <c r="AO41" i="10"/>
  <c r="AO42" i="10"/>
  <c r="AO43" i="10"/>
  <c r="AO44" i="10"/>
  <c r="AO45" i="10"/>
  <c r="AO46" i="10"/>
  <c r="AO47" i="10"/>
  <c r="AO48" i="10"/>
  <c r="AO49" i="10"/>
  <c r="AO50" i="10"/>
  <c r="AO51" i="10"/>
  <c r="AO52" i="10"/>
  <c r="AO53" i="10"/>
  <c r="AO54" i="10"/>
  <c r="AO55" i="10"/>
  <c r="AO56" i="10"/>
  <c r="AO57" i="10"/>
  <c r="AO58" i="10"/>
  <c r="AO59" i="10"/>
  <c r="AO60" i="10"/>
  <c r="AO61" i="10"/>
  <c r="AO62" i="10"/>
  <c r="AO63" i="10"/>
  <c r="AO64" i="10"/>
  <c r="AO65" i="10"/>
  <c r="AO66" i="10"/>
  <c r="AO67" i="10"/>
  <c r="AO68" i="10"/>
  <c r="AO69" i="10"/>
  <c r="AO70" i="10"/>
  <c r="AO71" i="10"/>
  <c r="AO72" i="10"/>
  <c r="AO73" i="10"/>
  <c r="AO74" i="10"/>
  <c r="AO75" i="10"/>
  <c r="AO76" i="10"/>
  <c r="AO77" i="10"/>
  <c r="AO78" i="10"/>
  <c r="AO79" i="10"/>
  <c r="AO80" i="10"/>
  <c r="AO81" i="10"/>
  <c r="AO82" i="10"/>
  <c r="AO83" i="10"/>
  <c r="AO84" i="10"/>
  <c r="AO85" i="10"/>
  <c r="AO86" i="10"/>
  <c r="AO87" i="10"/>
  <c r="AO88" i="10"/>
  <c r="AO89" i="10"/>
  <c r="AO90" i="10"/>
  <c r="AO91" i="10"/>
  <c r="AO92" i="10"/>
  <c r="AO93" i="10"/>
  <c r="AO94" i="10"/>
  <c r="AO95" i="10"/>
  <c r="AO96" i="10"/>
  <c r="AO97" i="10"/>
  <c r="AO98" i="10"/>
  <c r="AO99" i="10"/>
  <c r="AO100" i="10"/>
  <c r="AO101" i="10"/>
  <c r="AO102" i="10"/>
  <c r="AO103" i="10"/>
  <c r="AO104" i="10"/>
  <c r="AO105" i="10"/>
  <c r="AO106" i="10"/>
  <c r="AO107" i="10"/>
  <c r="AO108" i="10"/>
  <c r="AO109" i="10"/>
  <c r="AO110" i="10"/>
  <c r="AO111" i="10"/>
  <c r="AO112" i="10"/>
  <c r="AO113" i="10"/>
  <c r="AO114" i="10"/>
  <c r="AO115" i="10"/>
  <c r="AO116" i="10"/>
  <c r="AO117" i="10"/>
  <c r="AO118" i="10"/>
  <c r="AO119" i="10"/>
  <c r="AO120" i="10"/>
  <c r="AO121" i="10"/>
  <c r="AO122" i="10"/>
  <c r="AO123" i="10"/>
  <c r="AO124" i="10"/>
  <c r="AO125" i="10"/>
  <c r="AO126" i="10"/>
  <c r="AO127" i="10"/>
  <c r="AO128" i="10"/>
  <c r="AO129" i="10"/>
  <c r="AO130" i="10"/>
  <c r="AO131" i="10"/>
  <c r="AO132" i="10"/>
  <c r="AO133" i="10"/>
  <c r="AO134" i="10"/>
  <c r="AO135" i="10"/>
  <c r="AO136" i="10"/>
  <c r="AO137" i="10"/>
  <c r="AO138" i="10"/>
  <c r="AO139" i="10"/>
  <c r="AO140" i="10"/>
  <c r="AO141" i="10"/>
  <c r="AO142" i="10"/>
  <c r="AO143" i="10"/>
  <c r="AO144" i="10"/>
  <c r="AO145" i="10"/>
  <c r="AO146" i="10"/>
  <c r="AO147" i="10"/>
  <c r="AO148" i="10"/>
  <c r="AO149" i="10"/>
  <c r="AO150" i="10"/>
  <c r="AO151" i="10"/>
  <c r="AO152" i="10"/>
  <c r="AO153" i="10"/>
  <c r="AO154" i="10"/>
  <c r="AO155" i="10"/>
  <c r="AO156" i="10"/>
  <c r="AO157" i="10"/>
  <c r="AO158" i="10"/>
  <c r="AO159" i="10"/>
  <c r="AO160" i="10"/>
  <c r="AO161" i="10"/>
  <c r="AO162" i="10"/>
  <c r="AO163" i="10"/>
  <c r="AO164" i="10"/>
  <c r="AO165" i="10"/>
  <c r="AO166" i="10"/>
  <c r="AO168" i="10"/>
  <c r="AO169" i="10"/>
  <c r="AO170" i="10"/>
  <c r="AO171" i="10"/>
  <c r="AO172" i="10"/>
  <c r="AO173" i="10"/>
  <c r="AO178" i="10"/>
  <c r="AO179" i="10"/>
  <c r="AO180" i="10"/>
  <c r="AO181" i="10"/>
  <c r="AO183" i="10"/>
  <c r="AO184" i="10"/>
  <c r="AO185" i="10"/>
  <c r="AO186" i="10"/>
  <c r="AO188" i="10"/>
  <c r="AO190" i="10"/>
  <c r="AO192" i="10"/>
  <c r="AO193" i="10"/>
  <c r="AO194" i="10"/>
  <c r="AO195" i="10"/>
  <c r="AO196" i="10"/>
  <c r="AO198" i="10"/>
  <c r="AO199" i="10"/>
  <c r="AO200" i="10"/>
  <c r="AO201" i="10"/>
  <c r="AO202" i="10"/>
  <c r="AO203" i="10"/>
  <c r="AO204" i="10"/>
  <c r="AO205" i="10"/>
  <c r="AO206" i="10"/>
  <c r="AO207" i="10"/>
  <c r="AO208" i="10"/>
  <c r="AO209" i="10"/>
  <c r="AO211" i="10"/>
  <c r="AO213" i="10"/>
  <c r="AO214" i="10"/>
  <c r="AO215" i="10"/>
  <c r="AO216" i="10"/>
  <c r="AO217" i="10"/>
  <c r="AO218" i="10"/>
  <c r="AO219" i="10"/>
  <c r="AO221" i="10"/>
  <c r="AO222" i="10"/>
  <c r="AO223" i="10"/>
  <c r="AO224" i="10"/>
  <c r="AO225" i="10"/>
  <c r="AO226" i="10"/>
  <c r="AO227" i="10"/>
  <c r="AO228" i="10"/>
  <c r="AO229" i="10"/>
  <c r="AO230" i="10"/>
  <c r="AO231" i="10"/>
  <c r="AO232" i="10"/>
  <c r="AO233" i="10"/>
  <c r="AO234" i="10"/>
  <c r="AO235" i="10"/>
  <c r="AO236" i="10"/>
  <c r="AO237" i="10"/>
  <c r="AO238" i="10"/>
  <c r="AO239" i="10"/>
  <c r="AO240" i="10"/>
  <c r="AO241" i="10"/>
  <c r="AO242" i="10"/>
  <c r="AO243" i="10"/>
  <c r="AO244" i="10"/>
  <c r="AO245" i="10"/>
  <c r="AO246" i="10"/>
  <c r="AO247" i="10"/>
  <c r="AO248" i="10"/>
  <c r="AO249" i="10"/>
  <c r="AO250" i="10"/>
  <c r="AO251" i="10"/>
  <c r="AO252" i="10"/>
  <c r="AO253" i="10"/>
  <c r="AO254" i="10"/>
  <c r="AO255" i="10"/>
  <c r="AO256" i="10"/>
  <c r="AO257" i="10"/>
  <c r="AO258" i="10"/>
  <c r="AO259" i="10"/>
  <c r="AO260" i="10"/>
  <c r="AO261" i="10"/>
  <c r="AO262" i="10"/>
  <c r="AO263" i="10"/>
  <c r="AO264" i="10"/>
  <c r="AO265" i="10"/>
  <c r="AO266" i="10"/>
  <c r="AO267" i="10"/>
  <c r="AO268" i="10"/>
  <c r="AO269" i="10"/>
  <c r="AO271" i="10"/>
  <c r="AO272" i="10"/>
  <c r="AO274" i="10"/>
  <c r="AO275" i="10"/>
  <c r="AO276" i="10"/>
  <c r="AO278" i="10"/>
  <c r="AO279" i="10"/>
  <c r="AO280" i="10"/>
  <c r="AO282" i="10"/>
  <c r="AO283" i="10"/>
  <c r="AO284" i="10"/>
  <c r="AO285" i="10"/>
  <c r="AO286" i="10"/>
  <c r="AO287" i="10"/>
  <c r="AO288" i="10"/>
  <c r="AO289" i="10"/>
  <c r="AO291" i="10"/>
  <c r="AO292" i="10"/>
  <c r="AO294" i="10"/>
  <c r="AO296" i="10"/>
  <c r="AO297" i="10"/>
  <c r="AO298" i="10"/>
  <c r="AO301" i="10"/>
  <c r="AO302" i="10"/>
  <c r="AO304" i="10"/>
  <c r="AO305" i="10"/>
  <c r="AO307" i="10"/>
  <c r="AO308" i="10"/>
  <c r="AO309" i="10"/>
  <c r="AO310" i="10"/>
  <c r="AO311" i="10"/>
  <c r="AO312" i="10"/>
  <c r="AO316" i="10"/>
  <c r="AO317" i="10"/>
  <c r="AO320" i="10"/>
  <c r="AO322" i="10"/>
  <c r="AO323" i="10"/>
  <c r="AO324" i="10"/>
  <c r="AO325" i="10"/>
  <c r="AO327" i="10"/>
  <c r="AO328" i="10"/>
  <c r="AO329" i="10"/>
  <c r="AO330" i="10"/>
  <c r="AO333" i="10"/>
  <c r="AO334" i="10"/>
  <c r="AO335" i="10"/>
  <c r="AO336" i="10"/>
  <c r="AO337" i="10"/>
  <c r="AO338" i="10"/>
  <c r="AO339" i="10"/>
  <c r="AO340" i="10"/>
  <c r="AO341" i="10"/>
  <c r="AO342" i="10"/>
  <c r="AO343" i="10"/>
  <c r="AO344" i="10"/>
  <c r="AO345" i="10"/>
  <c r="AO346" i="10"/>
  <c r="AO347" i="10"/>
  <c r="AO348" i="10"/>
  <c r="AO349" i="10"/>
  <c r="AO350" i="10"/>
  <c r="AO351" i="10"/>
  <c r="AO352" i="10"/>
  <c r="AO353" i="10"/>
  <c r="AO354" i="10"/>
  <c r="AO355" i="10"/>
  <c r="AO356" i="10"/>
  <c r="AO357" i="10"/>
  <c r="AO358" i="10"/>
  <c r="AO359" i="10"/>
  <c r="AO360" i="10"/>
  <c r="AO361" i="10"/>
  <c r="AO362" i="10"/>
  <c r="AO363" i="10"/>
  <c r="AO364" i="10"/>
  <c r="AO365" i="10"/>
  <c r="AO366" i="10"/>
  <c r="AO367" i="10"/>
  <c r="AO368" i="10"/>
  <c r="AO369" i="10"/>
  <c r="AO370" i="10"/>
  <c r="AO371" i="10"/>
  <c r="AO372" i="10"/>
  <c r="AO373" i="10"/>
  <c r="AO374" i="10"/>
  <c r="AO375" i="10"/>
  <c r="AO376" i="10"/>
  <c r="AO377" i="10"/>
  <c r="AO378" i="10"/>
  <c r="AO379" i="10"/>
  <c r="AO380" i="10"/>
  <c r="AO381" i="10"/>
  <c r="AO382" i="10"/>
  <c r="AO383" i="10"/>
  <c r="AO384" i="10"/>
  <c r="AO385" i="10"/>
  <c r="AO386" i="10"/>
  <c r="AO387" i="10"/>
  <c r="AO388" i="10"/>
  <c r="AO389" i="10"/>
  <c r="AO390" i="10"/>
  <c r="AO391" i="10"/>
  <c r="AO392" i="10"/>
  <c r="AO393" i="10"/>
  <c r="AO394" i="10"/>
  <c r="AO395" i="10"/>
  <c r="AO396" i="10"/>
  <c r="AO397" i="10"/>
  <c r="AO398" i="10"/>
  <c r="AO399" i="10"/>
  <c r="AO400" i="10"/>
  <c r="AO401" i="10"/>
  <c r="AO402" i="10"/>
  <c r="AO403" i="10"/>
  <c r="AO404" i="10"/>
  <c r="AO405" i="10"/>
  <c r="AO406" i="10"/>
  <c r="AO407" i="10"/>
  <c r="AO408" i="10"/>
  <c r="AO409" i="10"/>
  <c r="AO410" i="10"/>
  <c r="AO411" i="10"/>
  <c r="AO412" i="10"/>
  <c r="AO413" i="10"/>
  <c r="AO414" i="10"/>
  <c r="AO415" i="10"/>
  <c r="AO417" i="10"/>
  <c r="AO418" i="10"/>
  <c r="AO419" i="10"/>
  <c r="AO420" i="10"/>
  <c r="AO421" i="10"/>
  <c r="AO422" i="10"/>
  <c r="AO423" i="10"/>
  <c r="AO424" i="10"/>
  <c r="AO425" i="10"/>
  <c r="AO426" i="10"/>
  <c r="AO427" i="10"/>
  <c r="AO428" i="10"/>
  <c r="AO429" i="10"/>
  <c r="AO430" i="10"/>
  <c r="AO431" i="10"/>
  <c r="AO432" i="10"/>
  <c r="AO433" i="10"/>
  <c r="AO434" i="10"/>
  <c r="AO435" i="10"/>
  <c r="AO436" i="10"/>
  <c r="AO437" i="10"/>
  <c r="AO438" i="10"/>
  <c r="AO439" i="10"/>
  <c r="AO440" i="10"/>
  <c r="AO441" i="10"/>
  <c r="AO442" i="10"/>
  <c r="AO443" i="10"/>
  <c r="AO444" i="10"/>
  <c r="AO445" i="10"/>
  <c r="AO446" i="10"/>
  <c r="AO447" i="10"/>
  <c r="AO448" i="10"/>
  <c r="AO449" i="10"/>
  <c r="AO450" i="10"/>
  <c r="AO451" i="10"/>
  <c r="AO452" i="10"/>
  <c r="AO453" i="10"/>
  <c r="AO454" i="10"/>
  <c r="AO455" i="10"/>
  <c r="AO456" i="10"/>
  <c r="AO457" i="10"/>
  <c r="AO458" i="10"/>
  <c r="AO459" i="10"/>
  <c r="AO460" i="10"/>
  <c r="AO461" i="10"/>
  <c r="AO462" i="10"/>
  <c r="AO463" i="10"/>
  <c r="AO464" i="10"/>
  <c r="AO465" i="10"/>
  <c r="AO466" i="10"/>
  <c r="AO467" i="10"/>
  <c r="AP29" i="10"/>
  <c r="AP33" i="10"/>
  <c r="AP56" i="10"/>
  <c r="AP73" i="10"/>
  <c r="AP74" i="10"/>
  <c r="AP75" i="10"/>
  <c r="AP76" i="10"/>
  <c r="AP77" i="10"/>
  <c r="AP125" i="10"/>
  <c r="AP126" i="10"/>
  <c r="AP127" i="10"/>
  <c r="AP128" i="10"/>
  <c r="AP129" i="10"/>
  <c r="AP130" i="10"/>
  <c r="AP131" i="10"/>
  <c r="AP132" i="10"/>
  <c r="AP133" i="10"/>
  <c r="AP134" i="10"/>
  <c r="AP136" i="10"/>
  <c r="AP137" i="10"/>
  <c r="AP138" i="10"/>
  <c r="AP139" i="10"/>
  <c r="AP140" i="10"/>
  <c r="AP141" i="10"/>
  <c r="AP142" i="10"/>
  <c r="AP143" i="10"/>
  <c r="AP144" i="10"/>
  <c r="AP145" i="10"/>
  <c r="AP146" i="10"/>
  <c r="AP147" i="10"/>
  <c r="AP148" i="10"/>
  <c r="AP151" i="10"/>
  <c r="AP152" i="10"/>
  <c r="AP153" i="10"/>
  <c r="AP154" i="10"/>
  <c r="AP155" i="10"/>
  <c r="AP156" i="10"/>
  <c r="AP157" i="10"/>
  <c r="AP158" i="10"/>
  <c r="AP159" i="10"/>
  <c r="AP160" i="10"/>
  <c r="AP161" i="10"/>
  <c r="AP162" i="10"/>
  <c r="AP163" i="10"/>
  <c r="AP164" i="10"/>
  <c r="AP165" i="10"/>
  <c r="AP166" i="10"/>
  <c r="AP168" i="10"/>
  <c r="AP169" i="10"/>
  <c r="AP170" i="10"/>
  <c r="AP171" i="10"/>
  <c r="AP172" i="10"/>
  <c r="AP173" i="10"/>
  <c r="AP178" i="10"/>
  <c r="AP179" i="10"/>
  <c r="AP180" i="10"/>
  <c r="AP181" i="10"/>
  <c r="AP183" i="10"/>
  <c r="AP184" i="10"/>
  <c r="AP185" i="10"/>
  <c r="AP186" i="10"/>
  <c r="AP188" i="10"/>
  <c r="AP190" i="10"/>
  <c r="AP192" i="10"/>
  <c r="AP193" i="10"/>
  <c r="AP194" i="10"/>
  <c r="AP195" i="10"/>
  <c r="AP196" i="10"/>
  <c r="AP198" i="10"/>
  <c r="AP199" i="10"/>
  <c r="AP200" i="10"/>
  <c r="AP201" i="10"/>
  <c r="AP202" i="10"/>
  <c r="AP203" i="10"/>
  <c r="AP204" i="10"/>
  <c r="AP205" i="10"/>
  <c r="AP206" i="10"/>
  <c r="AP207" i="10"/>
  <c r="AP208" i="10"/>
  <c r="AP209" i="10"/>
  <c r="AP211" i="10"/>
  <c r="AP213" i="10"/>
  <c r="AP214" i="10"/>
  <c r="AP215" i="10"/>
  <c r="AP216" i="10"/>
  <c r="AP217" i="10"/>
  <c r="AP218" i="10"/>
  <c r="AP219" i="10"/>
  <c r="AP221" i="10"/>
  <c r="AP222" i="10"/>
  <c r="AP223" i="10"/>
  <c r="AP224" i="10"/>
  <c r="AP225" i="10"/>
  <c r="AP226" i="10"/>
  <c r="AP227" i="10"/>
  <c r="AP228" i="10"/>
  <c r="AP229" i="10"/>
  <c r="AP230" i="10"/>
  <c r="AP231" i="10"/>
  <c r="AP232" i="10"/>
  <c r="AP233" i="10"/>
  <c r="AP234" i="10"/>
  <c r="AP235" i="10"/>
  <c r="AP236" i="10"/>
  <c r="AP237" i="10"/>
  <c r="AP238" i="10"/>
  <c r="AP239" i="10"/>
  <c r="AP240" i="10"/>
  <c r="AP241" i="10"/>
  <c r="AP242" i="10"/>
  <c r="AP243" i="10"/>
  <c r="AP244" i="10"/>
  <c r="AP245" i="10"/>
  <c r="AP246" i="10"/>
  <c r="AP247" i="10"/>
  <c r="AP248" i="10"/>
  <c r="AP249" i="10"/>
  <c r="AP250" i="10"/>
  <c r="AP251" i="10"/>
  <c r="AP252" i="10"/>
  <c r="AP253" i="10"/>
  <c r="AP254" i="10"/>
  <c r="AP255" i="10"/>
  <c r="AP256" i="10"/>
  <c r="AP257" i="10"/>
  <c r="AP258" i="10"/>
  <c r="AP259" i="10"/>
  <c r="AP260" i="10"/>
  <c r="AP261" i="10"/>
  <c r="AP262" i="10"/>
  <c r="AP263" i="10"/>
  <c r="AP264" i="10"/>
  <c r="AP265" i="10"/>
  <c r="AP266" i="10"/>
  <c r="AP267" i="10"/>
  <c r="AP268" i="10"/>
  <c r="AP269" i="10"/>
  <c r="AP271" i="10"/>
  <c r="AP272" i="10"/>
  <c r="AP274" i="10"/>
  <c r="AP275" i="10"/>
  <c r="AP276" i="10"/>
  <c r="AP278" i="10"/>
  <c r="AP279" i="10"/>
  <c r="AP280" i="10"/>
  <c r="AP282" i="10"/>
  <c r="AP283" i="10"/>
  <c r="AP284" i="10"/>
  <c r="AP285" i="10"/>
  <c r="AP286" i="10"/>
  <c r="AP287" i="10"/>
  <c r="AP288" i="10"/>
  <c r="AP289" i="10"/>
  <c r="AP291" i="10"/>
  <c r="AP292" i="10"/>
  <c r="AP294" i="10"/>
  <c r="AP296" i="10"/>
  <c r="AP297" i="10"/>
  <c r="AP298" i="10"/>
  <c r="AP301" i="10"/>
  <c r="AP302" i="10"/>
  <c r="AP304" i="10"/>
  <c r="AP305" i="10"/>
  <c r="AP307" i="10"/>
  <c r="AP308" i="10"/>
  <c r="AP309" i="10"/>
  <c r="AP310" i="10"/>
  <c r="AP311" i="10"/>
  <c r="AP312" i="10"/>
  <c r="AP316" i="10"/>
  <c r="AP317" i="10"/>
  <c r="AP320" i="10"/>
  <c r="AP322" i="10"/>
  <c r="AP323" i="10"/>
  <c r="AP324" i="10"/>
  <c r="AP325" i="10"/>
  <c r="AP327" i="10"/>
  <c r="AP328" i="10"/>
  <c r="AP329" i="10"/>
  <c r="AP330" i="10"/>
  <c r="AP333" i="10"/>
  <c r="AP334" i="10"/>
  <c r="AP335" i="10"/>
  <c r="AP336" i="10"/>
  <c r="AP337" i="10"/>
  <c r="AP338" i="10"/>
  <c r="AP339" i="10"/>
  <c r="AP340" i="10"/>
  <c r="AP341" i="10"/>
  <c r="AP342" i="10"/>
  <c r="AP343" i="10"/>
  <c r="AP344" i="10"/>
  <c r="AP345" i="10"/>
  <c r="AP346" i="10"/>
  <c r="AP347" i="10"/>
  <c r="AP348" i="10"/>
  <c r="AP349" i="10"/>
  <c r="AP350" i="10"/>
  <c r="AP351" i="10"/>
  <c r="AP352" i="10"/>
  <c r="AP353" i="10"/>
  <c r="AP354" i="10"/>
  <c r="AP355" i="10"/>
  <c r="AP356" i="10"/>
  <c r="AP357" i="10"/>
  <c r="AP358" i="10"/>
  <c r="AP359" i="10"/>
  <c r="AP360" i="10"/>
  <c r="AP361" i="10"/>
  <c r="AP362" i="10"/>
  <c r="AP363" i="10"/>
  <c r="AP364" i="10"/>
  <c r="AP365" i="10"/>
  <c r="AP366" i="10"/>
  <c r="AP367" i="10"/>
  <c r="AP368" i="10"/>
  <c r="AP369" i="10"/>
  <c r="AP370" i="10"/>
  <c r="AP371" i="10"/>
  <c r="AP372" i="10"/>
  <c r="AP373" i="10"/>
  <c r="AP374" i="10"/>
  <c r="AP375" i="10"/>
  <c r="AP376" i="10"/>
  <c r="AP377" i="10"/>
  <c r="AP378" i="10"/>
  <c r="AP379" i="10"/>
  <c r="AP380" i="10"/>
  <c r="AP381" i="10"/>
  <c r="AP382" i="10"/>
  <c r="AP383" i="10"/>
  <c r="AP384" i="10"/>
  <c r="AP385" i="10"/>
  <c r="AP386" i="10"/>
  <c r="AP387" i="10"/>
  <c r="AP388" i="10"/>
  <c r="AP389" i="10"/>
  <c r="AP390" i="10"/>
  <c r="AP391" i="10"/>
  <c r="AP392" i="10"/>
  <c r="AP393" i="10"/>
  <c r="AP394" i="10"/>
  <c r="AP395" i="10"/>
  <c r="AP396" i="10"/>
  <c r="AP397" i="10"/>
  <c r="AP398" i="10"/>
  <c r="AP399" i="10"/>
  <c r="AP400" i="10"/>
  <c r="AP401" i="10"/>
  <c r="AP402" i="10"/>
  <c r="AP403" i="10"/>
  <c r="AP404" i="10"/>
  <c r="AP405" i="10"/>
  <c r="AP406" i="10"/>
  <c r="AP407" i="10"/>
  <c r="AP408" i="10"/>
  <c r="AP409" i="10"/>
  <c r="AP410" i="10"/>
  <c r="AP411" i="10"/>
  <c r="AP412" i="10"/>
  <c r="AP413" i="10"/>
  <c r="AP414" i="10"/>
  <c r="AP415" i="10"/>
  <c r="AP417" i="10"/>
  <c r="AP418" i="10"/>
  <c r="AP419" i="10"/>
  <c r="AP420" i="10"/>
  <c r="AP421" i="10"/>
  <c r="AP422" i="10"/>
  <c r="AP423" i="10"/>
  <c r="AP424" i="10"/>
  <c r="AP425" i="10"/>
  <c r="AP426" i="10"/>
  <c r="AP427" i="10"/>
  <c r="AP428" i="10"/>
  <c r="AP429" i="10"/>
  <c r="AP430" i="10"/>
  <c r="AP431" i="10"/>
  <c r="AP432" i="10"/>
  <c r="AP433" i="10"/>
  <c r="AP434" i="10"/>
  <c r="AP435" i="10"/>
  <c r="AP436" i="10"/>
  <c r="AP437" i="10"/>
  <c r="AP438" i="10"/>
  <c r="AP439" i="10"/>
  <c r="AP440" i="10"/>
  <c r="AP441" i="10"/>
  <c r="AP442" i="10"/>
  <c r="AP443" i="10"/>
  <c r="AP444" i="10"/>
  <c r="AP445" i="10"/>
  <c r="AP446" i="10"/>
  <c r="AP447" i="10"/>
  <c r="AP448" i="10"/>
  <c r="AP449" i="10"/>
  <c r="AP450" i="10"/>
  <c r="AP451" i="10"/>
  <c r="AP452" i="10"/>
  <c r="AP453" i="10"/>
  <c r="AP454" i="10"/>
  <c r="AP455" i="10"/>
  <c r="AP456" i="10"/>
  <c r="AP457" i="10"/>
  <c r="AP458" i="10"/>
  <c r="AP459" i="10"/>
  <c r="AP460" i="10"/>
  <c r="AP461" i="10"/>
  <c r="AP462" i="10"/>
  <c r="AP463" i="10"/>
  <c r="AP464" i="10"/>
  <c r="AP465" i="10"/>
  <c r="AP466" i="10"/>
  <c r="AP467"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G128" i="10"/>
  <c r="AG4" i="10"/>
  <c r="AG5" i="10"/>
  <c r="AG6" i="10"/>
  <c r="AG7" i="10"/>
  <c r="AG8" i="10"/>
  <c r="AG9" i="10"/>
  <c r="AG10" i="10"/>
  <c r="AG11" i="10"/>
  <c r="AG12" i="10"/>
  <c r="AG13" i="10"/>
  <c r="AG14" i="10"/>
  <c r="AG15" i="10"/>
  <c r="AG16" i="10"/>
  <c r="AG17" i="10"/>
  <c r="AG18" i="10"/>
  <c r="AG19" i="10"/>
  <c r="AG20" i="10"/>
  <c r="AG21" i="10"/>
  <c r="AG22" i="10"/>
  <c r="AG23" i="10"/>
  <c r="AG24" i="10"/>
  <c r="AG25" i="10"/>
  <c r="AG26" i="10"/>
  <c r="AG27" i="10"/>
  <c r="AG28" i="10"/>
  <c r="AG29" i="10"/>
  <c r="AG30" i="10"/>
  <c r="AG31" i="10"/>
  <c r="AG32" i="10"/>
  <c r="AG33" i="10"/>
  <c r="AG34" i="10"/>
  <c r="AG35" i="10"/>
  <c r="AG36" i="10"/>
  <c r="AG37" i="10"/>
  <c r="AG38" i="10"/>
  <c r="AG39" i="10"/>
  <c r="AG40" i="10"/>
  <c r="AG41" i="10"/>
  <c r="AG42" i="10"/>
  <c r="AG43" i="10"/>
  <c r="AG44" i="10"/>
  <c r="AG45" i="10"/>
  <c r="AG46" i="10"/>
  <c r="AG47" i="10"/>
  <c r="AG48" i="10"/>
  <c r="AG49" i="10"/>
  <c r="AG50" i="10"/>
  <c r="AG51" i="10"/>
  <c r="AG52" i="10"/>
  <c r="AG53" i="10"/>
  <c r="AG54" i="10"/>
  <c r="AG55" i="10"/>
  <c r="AG56" i="10"/>
  <c r="AG57" i="10"/>
  <c r="AG58" i="10"/>
  <c r="AG59" i="10"/>
  <c r="AG60" i="10"/>
  <c r="AG61" i="10"/>
  <c r="AG62" i="10"/>
  <c r="AG63" i="10"/>
  <c r="AG64" i="10"/>
  <c r="AG65" i="10"/>
  <c r="AG66" i="10"/>
  <c r="AG67" i="10"/>
  <c r="AG68" i="10"/>
  <c r="AG69" i="10"/>
  <c r="AG70" i="10"/>
  <c r="AG71" i="10"/>
  <c r="AG72" i="10"/>
  <c r="AG73" i="10"/>
  <c r="AG74" i="10"/>
  <c r="AG75" i="10"/>
  <c r="AG76" i="10"/>
  <c r="AG77" i="10"/>
  <c r="AG78" i="10"/>
  <c r="AG79" i="10"/>
  <c r="AG80" i="10"/>
  <c r="AG81" i="10"/>
  <c r="AG82" i="10"/>
  <c r="AG83" i="10"/>
  <c r="AG84" i="10"/>
  <c r="AG85" i="10"/>
  <c r="AG86" i="10"/>
  <c r="AG87" i="10"/>
  <c r="AG88" i="10"/>
  <c r="AG89" i="10"/>
  <c r="AG90" i="10"/>
  <c r="AG91" i="10"/>
  <c r="AG92" i="10"/>
  <c r="AG93" i="10"/>
  <c r="AG94" i="10"/>
  <c r="AG95" i="10"/>
  <c r="AG96" i="10"/>
  <c r="AG97" i="10"/>
  <c r="AG98" i="10"/>
  <c r="AG99" i="10"/>
  <c r="AG100" i="10"/>
  <c r="AG101" i="10"/>
  <c r="AG102" i="10"/>
  <c r="AG103" i="10"/>
  <c r="AG104" i="10"/>
  <c r="AG105" i="10"/>
  <c r="AG106" i="10"/>
  <c r="AG107" i="10"/>
  <c r="AG108" i="10"/>
  <c r="AG109" i="10"/>
  <c r="AG110" i="10"/>
  <c r="AG111" i="10"/>
  <c r="AG112" i="10"/>
  <c r="AG113" i="10"/>
  <c r="AG114" i="10"/>
  <c r="AG115" i="10"/>
  <c r="AG116" i="10"/>
  <c r="AG117" i="10"/>
  <c r="AG118" i="10"/>
  <c r="AG119" i="10"/>
  <c r="AG120" i="10"/>
  <c r="AG121" i="10"/>
  <c r="AG122" i="10"/>
  <c r="AG123" i="10"/>
  <c r="AG124" i="10"/>
  <c r="AG125" i="10"/>
  <c r="AG126" i="10"/>
  <c r="AG127" i="10"/>
  <c r="AG129" i="10"/>
  <c r="AG130" i="10"/>
  <c r="AG131" i="10"/>
  <c r="AG132" i="10"/>
  <c r="AG133" i="10"/>
  <c r="AG134" i="10"/>
  <c r="AG135" i="10"/>
  <c r="AG136" i="10"/>
  <c r="AG137" i="10"/>
  <c r="AG138" i="10"/>
  <c r="AG139" i="10"/>
  <c r="AG140" i="10"/>
  <c r="AG141" i="10"/>
  <c r="AG142" i="10"/>
  <c r="AG143" i="10"/>
  <c r="AG144" i="10"/>
  <c r="AG145" i="10"/>
  <c r="AG146" i="10"/>
  <c r="AG147" i="10"/>
  <c r="AG148" i="10"/>
  <c r="AG149" i="10"/>
  <c r="AG150" i="10"/>
  <c r="AG151" i="10"/>
  <c r="AG152" i="10"/>
  <c r="AG153" i="10"/>
  <c r="AG154" i="10"/>
  <c r="AG155" i="10"/>
  <c r="AG156" i="10"/>
  <c r="AG157" i="10"/>
  <c r="AG158" i="10"/>
  <c r="AG159" i="10"/>
  <c r="AG160" i="10"/>
  <c r="AG161" i="10"/>
  <c r="AG162" i="10"/>
  <c r="AG163" i="10"/>
  <c r="AG164" i="10"/>
  <c r="AG165" i="10"/>
  <c r="AG166" i="10"/>
  <c r="AG168" i="10"/>
  <c r="AG169" i="10"/>
  <c r="AG170" i="10"/>
  <c r="AG171" i="10"/>
  <c r="AG172" i="10"/>
  <c r="AG173" i="10"/>
  <c r="AG178" i="10"/>
  <c r="AG179" i="10"/>
  <c r="AG180" i="10"/>
  <c r="AG181" i="10"/>
  <c r="AG183" i="10"/>
  <c r="AG184" i="10"/>
  <c r="AG185" i="10"/>
  <c r="AG186" i="10"/>
  <c r="AG188" i="10"/>
  <c r="AG190" i="10"/>
  <c r="AG192" i="10"/>
  <c r="AG193" i="10"/>
  <c r="AG194" i="10"/>
  <c r="AG195" i="10"/>
  <c r="AG196" i="10"/>
  <c r="AG198" i="10"/>
  <c r="AG199" i="10"/>
  <c r="AG200" i="10"/>
  <c r="AG201" i="10"/>
  <c r="AG202" i="10"/>
  <c r="AG203" i="10"/>
  <c r="AG204" i="10"/>
  <c r="AG205" i="10"/>
  <c r="AG206" i="10"/>
  <c r="AG207" i="10"/>
  <c r="AG208" i="10"/>
  <c r="AG209" i="10"/>
  <c r="AG211" i="10"/>
  <c r="AG213" i="10"/>
  <c r="AG214" i="10"/>
  <c r="AG215" i="10"/>
  <c r="AG216" i="10"/>
  <c r="AG217" i="10"/>
  <c r="AG218" i="10"/>
  <c r="AG219" i="10"/>
  <c r="AG221" i="10"/>
  <c r="AG222" i="10"/>
  <c r="AG223" i="10"/>
  <c r="AG224" i="10"/>
  <c r="AG225" i="10"/>
  <c r="AG226" i="10"/>
  <c r="AG227" i="10"/>
  <c r="AG228" i="10"/>
  <c r="AG229" i="10"/>
  <c r="AG230" i="10"/>
  <c r="AG231" i="10"/>
  <c r="AG232" i="10"/>
  <c r="AG233" i="10"/>
  <c r="AG234" i="10"/>
  <c r="AG235" i="10"/>
  <c r="AG236" i="10"/>
  <c r="AG237" i="10"/>
  <c r="AG238" i="10"/>
  <c r="AG239" i="10"/>
  <c r="AG240" i="10"/>
  <c r="AG241" i="10"/>
  <c r="AG242" i="10"/>
  <c r="AG243" i="10"/>
  <c r="AG244" i="10"/>
  <c r="AG245" i="10"/>
  <c r="AG246" i="10"/>
  <c r="AG247" i="10"/>
  <c r="AG248" i="10"/>
  <c r="AG249" i="10"/>
  <c r="AG250" i="10"/>
  <c r="AG251" i="10"/>
  <c r="AG252" i="10"/>
  <c r="AG253" i="10"/>
  <c r="AG254" i="10"/>
  <c r="AG255" i="10"/>
  <c r="AG256" i="10"/>
  <c r="AG257" i="10"/>
  <c r="AG258" i="10"/>
  <c r="AG259" i="10"/>
  <c r="AG260" i="10"/>
  <c r="AG261" i="10"/>
  <c r="AG262" i="10"/>
  <c r="AG263" i="10"/>
  <c r="AG264" i="10"/>
  <c r="AG265" i="10"/>
  <c r="AG266" i="10"/>
  <c r="AG267" i="10"/>
  <c r="AG268" i="10"/>
  <c r="AG269" i="10"/>
  <c r="AG271" i="10"/>
  <c r="AG272" i="10"/>
  <c r="AG274" i="10"/>
  <c r="AG275" i="10"/>
  <c r="AG276" i="10"/>
  <c r="AG278" i="10"/>
  <c r="AG279" i="10"/>
  <c r="AG280" i="10"/>
  <c r="AG282" i="10"/>
  <c r="AG283" i="10"/>
  <c r="AG284" i="10"/>
  <c r="AG285" i="10"/>
  <c r="AG286" i="10"/>
  <c r="AG287" i="10"/>
  <c r="AG288" i="10"/>
  <c r="AG289" i="10"/>
  <c r="AG291" i="10"/>
  <c r="AG292" i="10"/>
  <c r="AG294" i="10"/>
  <c r="AG296" i="10"/>
  <c r="AG297" i="10"/>
  <c r="AG298" i="10"/>
  <c r="AG301" i="10"/>
  <c r="AG302" i="10"/>
  <c r="AG304" i="10"/>
  <c r="AG305" i="10"/>
  <c r="AG307" i="10"/>
  <c r="AG308" i="10"/>
  <c r="AG309" i="10"/>
  <c r="AG310" i="10"/>
  <c r="AG311" i="10"/>
  <c r="AG312" i="10"/>
  <c r="AG316" i="10"/>
  <c r="AG317" i="10"/>
  <c r="AG320" i="10"/>
  <c r="AG322" i="10"/>
  <c r="AG323" i="10"/>
  <c r="AG324" i="10"/>
  <c r="AG325" i="10"/>
  <c r="AG327" i="10"/>
  <c r="AG328" i="10"/>
  <c r="AG329" i="10"/>
  <c r="AG330" i="10"/>
  <c r="AG333" i="10"/>
  <c r="AG334" i="10"/>
  <c r="AG335" i="10"/>
  <c r="AG336" i="10"/>
  <c r="AG337" i="10"/>
  <c r="AG338" i="10"/>
  <c r="AG339" i="10"/>
  <c r="AG340" i="10"/>
  <c r="AG341" i="10"/>
  <c r="AG342" i="10"/>
  <c r="AG343" i="10"/>
  <c r="AG344" i="10"/>
  <c r="AG345" i="10"/>
  <c r="AG346" i="10"/>
  <c r="AG347" i="10"/>
  <c r="AG348" i="10"/>
  <c r="AG349" i="10"/>
  <c r="AG350" i="10"/>
  <c r="AG351" i="10"/>
  <c r="AG352" i="10"/>
  <c r="AG353" i="10"/>
  <c r="AG354" i="10"/>
  <c r="AG355" i="10"/>
  <c r="AG356" i="10"/>
  <c r="AG357" i="10"/>
  <c r="AG358" i="10"/>
  <c r="AG359" i="10"/>
  <c r="AG360" i="10"/>
  <c r="AG361" i="10"/>
  <c r="AG362" i="10"/>
  <c r="AG363" i="10"/>
  <c r="AG364" i="10"/>
  <c r="AG365" i="10"/>
  <c r="AG366" i="10"/>
  <c r="AG367" i="10"/>
  <c r="AG368" i="10"/>
  <c r="AG369" i="10"/>
  <c r="AG370" i="10"/>
  <c r="AG371" i="10"/>
  <c r="AG372" i="10"/>
  <c r="AG373" i="10"/>
  <c r="AG374" i="10"/>
  <c r="AG375" i="10"/>
  <c r="AG376" i="10"/>
  <c r="AG377" i="10"/>
  <c r="AG378" i="10"/>
  <c r="AG379" i="10"/>
  <c r="AG380" i="10"/>
  <c r="AG381" i="10"/>
  <c r="AG382" i="10"/>
  <c r="AG383" i="10"/>
  <c r="AG384" i="10"/>
  <c r="AG385" i="10"/>
  <c r="AG386" i="10"/>
  <c r="AG387" i="10"/>
  <c r="AG388" i="10"/>
  <c r="AG389" i="10"/>
  <c r="AG390" i="10"/>
  <c r="AG391" i="10"/>
  <c r="AG392" i="10"/>
  <c r="AG393" i="10"/>
  <c r="AG394" i="10"/>
  <c r="AG395" i="10"/>
  <c r="AG396" i="10"/>
  <c r="AG397" i="10"/>
  <c r="AG398" i="10"/>
  <c r="AG399" i="10"/>
  <c r="AG400" i="10"/>
  <c r="AG401" i="10"/>
  <c r="AG402" i="10"/>
  <c r="AG403" i="10"/>
  <c r="AG404" i="10"/>
  <c r="AG405" i="10"/>
  <c r="AG406" i="10"/>
  <c r="AG407" i="10"/>
  <c r="AG408" i="10"/>
  <c r="AG409" i="10"/>
  <c r="AG410" i="10"/>
  <c r="AG411" i="10"/>
  <c r="AG412" i="10"/>
  <c r="AG413" i="10"/>
  <c r="AG414" i="10"/>
  <c r="AG415" i="10"/>
  <c r="AG417" i="10"/>
  <c r="AG418" i="10"/>
  <c r="AG419" i="10"/>
  <c r="AG420" i="10"/>
  <c r="AG421" i="10"/>
  <c r="AG422" i="10"/>
  <c r="AG423" i="10"/>
  <c r="AG424" i="10"/>
  <c r="AG425" i="10"/>
  <c r="AG426" i="10"/>
  <c r="AG427" i="10"/>
  <c r="AG428" i="10"/>
  <c r="AG429" i="10"/>
  <c r="AG430" i="10"/>
  <c r="AG431" i="10"/>
  <c r="AG432" i="10"/>
  <c r="AG433" i="10"/>
  <c r="AG434" i="10"/>
  <c r="AG435" i="10"/>
  <c r="AG436" i="10"/>
  <c r="AG437" i="10"/>
  <c r="AG438" i="10"/>
  <c r="AG439" i="10"/>
  <c r="AG440" i="10"/>
  <c r="AG441" i="10"/>
  <c r="AG442" i="10"/>
  <c r="AG443" i="10"/>
  <c r="AG444" i="10"/>
  <c r="AG445" i="10"/>
  <c r="AG446" i="10"/>
  <c r="AG447" i="10"/>
  <c r="AG448" i="10"/>
  <c r="AG449" i="10"/>
  <c r="AG450" i="10"/>
  <c r="AG451" i="10"/>
  <c r="AG452" i="10"/>
  <c r="AG453" i="10"/>
  <c r="AG454" i="10"/>
  <c r="AG455" i="10"/>
  <c r="AG456" i="10"/>
  <c r="AG457" i="10"/>
  <c r="AG458" i="10"/>
  <c r="AG459" i="10"/>
  <c r="AG460" i="10"/>
  <c r="AG461" i="10"/>
  <c r="AG462" i="10"/>
  <c r="AG463" i="10"/>
  <c r="AG464" i="10"/>
  <c r="AG465" i="10"/>
  <c r="AG466" i="10"/>
  <c r="AG467" i="10"/>
  <c r="AF4" i="10"/>
  <c r="AF5" i="10"/>
  <c r="AF6" i="10"/>
  <c r="AF7" i="10"/>
  <c r="AF8" i="10"/>
  <c r="AF9" i="10"/>
  <c r="AF10" i="10"/>
  <c r="AF11" i="10"/>
  <c r="AF12" i="10"/>
  <c r="AF13" i="10"/>
  <c r="AF14" i="10"/>
  <c r="AF15" i="10"/>
  <c r="AF16" i="10"/>
  <c r="AF17" i="10"/>
  <c r="AF18" i="10"/>
  <c r="AF19" i="10"/>
  <c r="AF20" i="10"/>
  <c r="AF21" i="10"/>
  <c r="AF22" i="10"/>
  <c r="AF23" i="10"/>
  <c r="AF24" i="10"/>
  <c r="AF25" i="10"/>
  <c r="AF26" i="10"/>
  <c r="AF27" i="10"/>
  <c r="AF28" i="10"/>
  <c r="AF29" i="10"/>
  <c r="AF30" i="10"/>
  <c r="AF31" i="10"/>
  <c r="AF32" i="10"/>
  <c r="AF33" i="10"/>
  <c r="AF34" i="10"/>
  <c r="AF35" i="10"/>
  <c r="AF36" i="10"/>
  <c r="AF37" i="10"/>
  <c r="AF38" i="10"/>
  <c r="AF39" i="10"/>
  <c r="AF40" i="10"/>
  <c r="AF41" i="10"/>
  <c r="AF42" i="10"/>
  <c r="AF43" i="10"/>
  <c r="AF44" i="10"/>
  <c r="AF45" i="10"/>
  <c r="AF46" i="10"/>
  <c r="AF47" i="10"/>
  <c r="AF48" i="10"/>
  <c r="AF49" i="10"/>
  <c r="AF50" i="10"/>
  <c r="AF51" i="10"/>
  <c r="AF52" i="10"/>
  <c r="AF53" i="10"/>
  <c r="AF54" i="10"/>
  <c r="AF55" i="10"/>
  <c r="AF56" i="10"/>
  <c r="AF57" i="10"/>
  <c r="AF58" i="10"/>
  <c r="AF59" i="10"/>
  <c r="AF60" i="10"/>
  <c r="AF61" i="10"/>
  <c r="AF62" i="10"/>
  <c r="AF63" i="10"/>
  <c r="AF64" i="10"/>
  <c r="AF65" i="10"/>
  <c r="AF66" i="10"/>
  <c r="AF67" i="10"/>
  <c r="AF68" i="10"/>
  <c r="AF69" i="10"/>
  <c r="AF70" i="10"/>
  <c r="AF71" i="10"/>
  <c r="AF72" i="10"/>
  <c r="AF73" i="10"/>
  <c r="AF74" i="10"/>
  <c r="AF75" i="10"/>
  <c r="AF76" i="10"/>
  <c r="AF77" i="10"/>
  <c r="AF78" i="10"/>
  <c r="AF79" i="10"/>
  <c r="AF80" i="10"/>
  <c r="AF81" i="10"/>
  <c r="AF82" i="10"/>
  <c r="AF83" i="10"/>
  <c r="AF84" i="10"/>
  <c r="AF85" i="10"/>
  <c r="AF86" i="10"/>
  <c r="AF87" i="10"/>
  <c r="AF88" i="10"/>
  <c r="AF89" i="10"/>
  <c r="AF90" i="10"/>
  <c r="AF91" i="10"/>
  <c r="AF92" i="10"/>
  <c r="AF93" i="10"/>
  <c r="AF94" i="10"/>
  <c r="AF95" i="10"/>
  <c r="AF96" i="10"/>
  <c r="AF97" i="10"/>
  <c r="AF98" i="10"/>
  <c r="AF99" i="10"/>
  <c r="AF100" i="10"/>
  <c r="AF101" i="10"/>
  <c r="AF102" i="10"/>
  <c r="AF103" i="10"/>
  <c r="AF104" i="10"/>
  <c r="AF105" i="10"/>
  <c r="AF106" i="10"/>
  <c r="AF107" i="10"/>
  <c r="AF108" i="10"/>
  <c r="AF109" i="10"/>
  <c r="AF110" i="10"/>
  <c r="AF111" i="10"/>
  <c r="AF112" i="10"/>
  <c r="AF113" i="10"/>
  <c r="AF114" i="10"/>
  <c r="AF115" i="10"/>
  <c r="AF116" i="10"/>
  <c r="AF117" i="10"/>
  <c r="AF118" i="10"/>
  <c r="AF119" i="10"/>
  <c r="AF120" i="10"/>
  <c r="AF121" i="10"/>
  <c r="AF122" i="10"/>
  <c r="AF123" i="10"/>
  <c r="AF124" i="10"/>
  <c r="AF125" i="10"/>
  <c r="AF126" i="10"/>
  <c r="AF127" i="10"/>
  <c r="AF128" i="10"/>
  <c r="AF129" i="10"/>
  <c r="AF130" i="10"/>
  <c r="AF131" i="10"/>
  <c r="AF132" i="10"/>
  <c r="AF133" i="10"/>
  <c r="AF134" i="10"/>
  <c r="AF135" i="10"/>
  <c r="AF136" i="10"/>
  <c r="AF137" i="10"/>
  <c r="AF138" i="10"/>
  <c r="AF139" i="10"/>
  <c r="AF140" i="10"/>
  <c r="AF141" i="10"/>
  <c r="AF142" i="10"/>
  <c r="AF143" i="10"/>
  <c r="AF144" i="10"/>
  <c r="AF145" i="10"/>
  <c r="AF146" i="10"/>
  <c r="AF147" i="10"/>
  <c r="AF148" i="10"/>
  <c r="AF149" i="10"/>
  <c r="AF150" i="10"/>
  <c r="AF151" i="10"/>
  <c r="AF152" i="10"/>
  <c r="AF153" i="10"/>
  <c r="AF154" i="10"/>
  <c r="AF155" i="10"/>
  <c r="AF156" i="10"/>
  <c r="AF157" i="10"/>
  <c r="AF158" i="10"/>
  <c r="AF159" i="10"/>
  <c r="AF160" i="10"/>
  <c r="AF161" i="10"/>
  <c r="AF162" i="10"/>
  <c r="AF163" i="10"/>
  <c r="AF164" i="10"/>
  <c r="AF165" i="10"/>
  <c r="AF166" i="10"/>
  <c r="AF168" i="10"/>
  <c r="AF169" i="10"/>
  <c r="AF170" i="10"/>
  <c r="AF171" i="10"/>
  <c r="AF172" i="10"/>
  <c r="AF173" i="10"/>
  <c r="AF178" i="10"/>
  <c r="AF179" i="10"/>
  <c r="AF180" i="10"/>
  <c r="AF181" i="10"/>
  <c r="AF183" i="10"/>
  <c r="AF184" i="10"/>
  <c r="AF185" i="10"/>
  <c r="AF186" i="10"/>
  <c r="AF188" i="10"/>
  <c r="AF190" i="10"/>
  <c r="AF192" i="10"/>
  <c r="AF193" i="10"/>
  <c r="AF194" i="10"/>
  <c r="AF195" i="10"/>
  <c r="AF196" i="10"/>
  <c r="AF198" i="10"/>
  <c r="AF199" i="10"/>
  <c r="AF200" i="10"/>
  <c r="AF201" i="10"/>
  <c r="AF202" i="10"/>
  <c r="AF203" i="10"/>
  <c r="AF204" i="10"/>
  <c r="AF205" i="10"/>
  <c r="AF206" i="10"/>
  <c r="AF207" i="10"/>
  <c r="AF208" i="10"/>
  <c r="AF209" i="10"/>
  <c r="AF211" i="10"/>
  <c r="AF213" i="10"/>
  <c r="AF214" i="10"/>
  <c r="AF215" i="10"/>
  <c r="AF216" i="10"/>
  <c r="AF217" i="10"/>
  <c r="AF218" i="10"/>
  <c r="AF219" i="10"/>
  <c r="AF221" i="10"/>
  <c r="AF222" i="10"/>
  <c r="AF223" i="10"/>
  <c r="AF224" i="10"/>
  <c r="AF225" i="10"/>
  <c r="AF226" i="10"/>
  <c r="AF227" i="10"/>
  <c r="AF228" i="10"/>
  <c r="AF229" i="10"/>
  <c r="AF230" i="10"/>
  <c r="AF231" i="10"/>
  <c r="AF232" i="10"/>
  <c r="AF233" i="10"/>
  <c r="AF234" i="10"/>
  <c r="AF235" i="10"/>
  <c r="AF236" i="10"/>
  <c r="AF237" i="10"/>
  <c r="AF238" i="10"/>
  <c r="AF239" i="10"/>
  <c r="AF240" i="10"/>
  <c r="AF241" i="10"/>
  <c r="AF242" i="10"/>
  <c r="AF243" i="10"/>
  <c r="AF244" i="10"/>
  <c r="AF245" i="10"/>
  <c r="AF246" i="10"/>
  <c r="AF247" i="10"/>
  <c r="AF248" i="10"/>
  <c r="AF249" i="10"/>
  <c r="AF250" i="10"/>
  <c r="AF251" i="10"/>
  <c r="AF252" i="10"/>
  <c r="AF253" i="10"/>
  <c r="AF254" i="10"/>
  <c r="AF255" i="10"/>
  <c r="AF256" i="10"/>
  <c r="AF257" i="10"/>
  <c r="AF258" i="10"/>
  <c r="AF259" i="10"/>
  <c r="AF260" i="10"/>
  <c r="AF261" i="10"/>
  <c r="AF262" i="10"/>
  <c r="AF263" i="10"/>
  <c r="AF264" i="10"/>
  <c r="AF265" i="10"/>
  <c r="AF266" i="10"/>
  <c r="AF267" i="10"/>
  <c r="AF268" i="10"/>
  <c r="AF269" i="10"/>
  <c r="AF271" i="10"/>
  <c r="AF272" i="10"/>
  <c r="AF274" i="10"/>
  <c r="AF275" i="10"/>
  <c r="AF276" i="10"/>
  <c r="AF278" i="10"/>
  <c r="AF279" i="10"/>
  <c r="AF280" i="10"/>
  <c r="AF282" i="10"/>
  <c r="AF283" i="10"/>
  <c r="AF284" i="10"/>
  <c r="AF285" i="10"/>
  <c r="AF286" i="10"/>
  <c r="AF287" i="10"/>
  <c r="AF288" i="10"/>
  <c r="AF289" i="10"/>
  <c r="AF291" i="10"/>
  <c r="AF292" i="10"/>
  <c r="AF294" i="10"/>
  <c r="AF296" i="10"/>
  <c r="AF297" i="10"/>
  <c r="AF298" i="10"/>
  <c r="AF301" i="10"/>
  <c r="AF302" i="10"/>
  <c r="AF304" i="10"/>
  <c r="AF305" i="10"/>
  <c r="AF307" i="10"/>
  <c r="AF308" i="10"/>
  <c r="AF309" i="10"/>
  <c r="AF310" i="10"/>
  <c r="AF311" i="10"/>
  <c r="AF312" i="10"/>
  <c r="AF316" i="10"/>
  <c r="AF317" i="10"/>
  <c r="AF320" i="10"/>
  <c r="AF322" i="10"/>
  <c r="AF323" i="10"/>
  <c r="AF324" i="10"/>
  <c r="AF325" i="10"/>
  <c r="AF327" i="10"/>
  <c r="AF328" i="10"/>
  <c r="AF329" i="10"/>
  <c r="AF330" i="10"/>
  <c r="AF333" i="10"/>
  <c r="AF334" i="10"/>
  <c r="AF335" i="10"/>
  <c r="AF336" i="10"/>
  <c r="AF337" i="10"/>
  <c r="AF338" i="10"/>
  <c r="AF339" i="10"/>
  <c r="AF340" i="10"/>
  <c r="AF341" i="10"/>
  <c r="AF342" i="10"/>
  <c r="AF343" i="10"/>
  <c r="AF344" i="10"/>
  <c r="AF345" i="10"/>
  <c r="AF346" i="10"/>
  <c r="AF347" i="10"/>
  <c r="AF348" i="10"/>
  <c r="AF349" i="10"/>
  <c r="AF350" i="10"/>
  <c r="AF351" i="10"/>
  <c r="AF352" i="10"/>
  <c r="AF353" i="10"/>
  <c r="AF354" i="10"/>
  <c r="AF355" i="10"/>
  <c r="AF356" i="10"/>
  <c r="AF357" i="10"/>
  <c r="AF358" i="10"/>
  <c r="AF359" i="10"/>
  <c r="AF360" i="10"/>
  <c r="AF361" i="10"/>
  <c r="AF362" i="10"/>
  <c r="AF363" i="10"/>
  <c r="AF364" i="10"/>
  <c r="AF365" i="10"/>
  <c r="AF366" i="10"/>
  <c r="AF367" i="10"/>
  <c r="AF368" i="10"/>
  <c r="AF369" i="10"/>
  <c r="AF370" i="10"/>
  <c r="AF371" i="10"/>
  <c r="AF372" i="10"/>
  <c r="AF373" i="10"/>
  <c r="AF374" i="10"/>
  <c r="AF375" i="10"/>
  <c r="AF376" i="10"/>
  <c r="AF377" i="10"/>
  <c r="AF378" i="10"/>
  <c r="AF379" i="10"/>
  <c r="AF380" i="10"/>
  <c r="AF381" i="10"/>
  <c r="AF382" i="10"/>
  <c r="AF383" i="10"/>
  <c r="AF384" i="10"/>
  <c r="AF385" i="10"/>
  <c r="AF386" i="10"/>
  <c r="AF387" i="10"/>
  <c r="AF388" i="10"/>
  <c r="AF389" i="10"/>
  <c r="AF390" i="10"/>
  <c r="AF391" i="10"/>
  <c r="AF392" i="10"/>
  <c r="AF393" i="10"/>
  <c r="AF394" i="10"/>
  <c r="AF395" i="10"/>
  <c r="AF396" i="10"/>
  <c r="AF397" i="10"/>
  <c r="AF398" i="10"/>
  <c r="AF399" i="10"/>
  <c r="AF400" i="10"/>
  <c r="AF401" i="10"/>
  <c r="AF402" i="10"/>
  <c r="AF403" i="10"/>
  <c r="AF404" i="10"/>
  <c r="AF405" i="10"/>
  <c r="AF406" i="10"/>
  <c r="AF407" i="10"/>
  <c r="AF408" i="10"/>
  <c r="AF409" i="10"/>
  <c r="AF410" i="10"/>
  <c r="AF411" i="10"/>
  <c r="AF412" i="10"/>
  <c r="AF413" i="10"/>
  <c r="AF414" i="10"/>
  <c r="AF415" i="10"/>
  <c r="AF417" i="10"/>
  <c r="AF418" i="10"/>
  <c r="AF419" i="10"/>
  <c r="AF420" i="10"/>
  <c r="AF421" i="10"/>
  <c r="AF422" i="10"/>
  <c r="AF423" i="10"/>
  <c r="AF424" i="10"/>
  <c r="AF425" i="10"/>
  <c r="AF426" i="10"/>
  <c r="AF427" i="10"/>
  <c r="AF428" i="10"/>
  <c r="AF429" i="10"/>
  <c r="AF430" i="10"/>
  <c r="AF431" i="10"/>
  <c r="AF432" i="10"/>
  <c r="AF433" i="10"/>
  <c r="AF434" i="10"/>
  <c r="AF435" i="10"/>
  <c r="AF436" i="10"/>
  <c r="AF437" i="10"/>
  <c r="AF438" i="10"/>
  <c r="AF439" i="10"/>
  <c r="AF440" i="10"/>
  <c r="AF441" i="10"/>
  <c r="AF442" i="10"/>
  <c r="AF443" i="10"/>
  <c r="AF444" i="10"/>
  <c r="AF445" i="10"/>
  <c r="AF446" i="10"/>
  <c r="AF447" i="10"/>
  <c r="AF448" i="10"/>
  <c r="AF449" i="10"/>
  <c r="AF450" i="10"/>
  <c r="AF451" i="10"/>
  <c r="AF452" i="10"/>
  <c r="AF453" i="10"/>
  <c r="AF454" i="10"/>
  <c r="AF455" i="10"/>
  <c r="AF456" i="10"/>
  <c r="AF457" i="10"/>
  <c r="AF458" i="10"/>
  <c r="AF459" i="10"/>
  <c r="AF460" i="10"/>
  <c r="AF461" i="10"/>
  <c r="AF462" i="10"/>
  <c r="AF463" i="10"/>
  <c r="AF464" i="10"/>
  <c r="AF465" i="10"/>
  <c r="AF466" i="10"/>
  <c r="AF467" i="10"/>
  <c r="AE4" i="10"/>
  <c r="AE5" i="10"/>
  <c r="AE6" i="10"/>
  <c r="AE7" i="10"/>
  <c r="AE8" i="10"/>
  <c r="AE9" i="10"/>
  <c r="AE10" i="10"/>
  <c r="AE11" i="10"/>
  <c r="AE12" i="10"/>
  <c r="AE13" i="10"/>
  <c r="AE14" i="10"/>
  <c r="AE15" i="10"/>
  <c r="AE16" i="10"/>
  <c r="AE17" i="10"/>
  <c r="AE18" i="10"/>
  <c r="AE19" i="10"/>
  <c r="AE20" i="10"/>
  <c r="AE21" i="10"/>
  <c r="AE22" i="10"/>
  <c r="AE23" i="10"/>
  <c r="AE24" i="10"/>
  <c r="AE25" i="10"/>
  <c r="AE26" i="10"/>
  <c r="AE27" i="10"/>
  <c r="AE28" i="10"/>
  <c r="AE29" i="10"/>
  <c r="AE30" i="10"/>
  <c r="AE31" i="10"/>
  <c r="AE32" i="10"/>
  <c r="AE33" i="10"/>
  <c r="AE34" i="10"/>
  <c r="AE35" i="10"/>
  <c r="AE36" i="10"/>
  <c r="AE37" i="10"/>
  <c r="AE38" i="10"/>
  <c r="AE39" i="10"/>
  <c r="AE40" i="10"/>
  <c r="AE41" i="10"/>
  <c r="AE42" i="10"/>
  <c r="AE43" i="10"/>
  <c r="AE44" i="10"/>
  <c r="AE45" i="10"/>
  <c r="AE46" i="10"/>
  <c r="AE47" i="10"/>
  <c r="AE48" i="10"/>
  <c r="AE49" i="10"/>
  <c r="AE50" i="10"/>
  <c r="AE51" i="10"/>
  <c r="AE52" i="10"/>
  <c r="AE53" i="10"/>
  <c r="AE54" i="10"/>
  <c r="AE55" i="10"/>
  <c r="AE56" i="10"/>
  <c r="AE57" i="10"/>
  <c r="AE58" i="10"/>
  <c r="AE59" i="10"/>
  <c r="AE60" i="10"/>
  <c r="AE61" i="10"/>
  <c r="AE62" i="10"/>
  <c r="AE63" i="10"/>
  <c r="AE64" i="10"/>
  <c r="AE65" i="10"/>
  <c r="AE66" i="10"/>
  <c r="AE67" i="10"/>
  <c r="AE68" i="10"/>
  <c r="AE69" i="10"/>
  <c r="AE70" i="10"/>
  <c r="AE71" i="10"/>
  <c r="AE72" i="10"/>
  <c r="AE73" i="10"/>
  <c r="AE74" i="10"/>
  <c r="AE75" i="10"/>
  <c r="AE76" i="10"/>
  <c r="AE77" i="10"/>
  <c r="AE78" i="10"/>
  <c r="AE79" i="10"/>
  <c r="AE80" i="10"/>
  <c r="AE81" i="10"/>
  <c r="AE82" i="10"/>
  <c r="AE83" i="10"/>
  <c r="AE84" i="10"/>
  <c r="AE85" i="10"/>
  <c r="AE86" i="10"/>
  <c r="AE87" i="10"/>
  <c r="AE88" i="10"/>
  <c r="AE89" i="10"/>
  <c r="AE90" i="10"/>
  <c r="AE91" i="10"/>
  <c r="AE92" i="10"/>
  <c r="AE93" i="10"/>
  <c r="AE94" i="10"/>
  <c r="AE95" i="10"/>
  <c r="AE96" i="10"/>
  <c r="AE97" i="10"/>
  <c r="AE98" i="10"/>
  <c r="AE99" i="10"/>
  <c r="AE100" i="10"/>
  <c r="AE101" i="10"/>
  <c r="AE102" i="10"/>
  <c r="AE103" i="10"/>
  <c r="AE104" i="10"/>
  <c r="AE105" i="10"/>
  <c r="AE106" i="10"/>
  <c r="AE107" i="10"/>
  <c r="AE108" i="10"/>
  <c r="AE109" i="10"/>
  <c r="AE110" i="10"/>
  <c r="AE111" i="10"/>
  <c r="AE112" i="10"/>
  <c r="AE113" i="10"/>
  <c r="AE114" i="10"/>
  <c r="AE115" i="10"/>
  <c r="AE116" i="10"/>
  <c r="AE117" i="10"/>
  <c r="AE118" i="10"/>
  <c r="AE119" i="10"/>
  <c r="AE120" i="10"/>
  <c r="AE121" i="10"/>
  <c r="AE122" i="10"/>
  <c r="AE123" i="10"/>
  <c r="AE124" i="10"/>
  <c r="AE125" i="10"/>
  <c r="AE126" i="10"/>
  <c r="AE127" i="10"/>
  <c r="AE128" i="10"/>
  <c r="AE129" i="10"/>
  <c r="AE130" i="10"/>
  <c r="AE131" i="10"/>
  <c r="AE132" i="10"/>
  <c r="AE133" i="10"/>
  <c r="AE134" i="10"/>
  <c r="AE135" i="10"/>
  <c r="AE136" i="10"/>
  <c r="AE137" i="10"/>
  <c r="AE138" i="10"/>
  <c r="AE139" i="10"/>
  <c r="AE140" i="10"/>
  <c r="AE141" i="10"/>
  <c r="AE142" i="10"/>
  <c r="AE143" i="10"/>
  <c r="AE144" i="10"/>
  <c r="AE145" i="10"/>
  <c r="AE146" i="10"/>
  <c r="AE147" i="10"/>
  <c r="AE148" i="10"/>
  <c r="AE149" i="10"/>
  <c r="AE150" i="10"/>
  <c r="AE151" i="10"/>
  <c r="AE152" i="10"/>
  <c r="AE153" i="10"/>
  <c r="AE154" i="10"/>
  <c r="AE155" i="10"/>
  <c r="AE156" i="10"/>
  <c r="AE157" i="10"/>
  <c r="AE158" i="10"/>
  <c r="AE159" i="10"/>
  <c r="AE160" i="10"/>
  <c r="AE161" i="10"/>
  <c r="AE162" i="10"/>
  <c r="AE163" i="10"/>
  <c r="AE164" i="10"/>
  <c r="AE165" i="10"/>
  <c r="AE166" i="10"/>
  <c r="AE168" i="10"/>
  <c r="AE169" i="10"/>
  <c r="AE170" i="10"/>
  <c r="AE171" i="10"/>
  <c r="AE172" i="10"/>
  <c r="AE173" i="10"/>
  <c r="AE178" i="10"/>
  <c r="AE179" i="10"/>
  <c r="AE180" i="10"/>
  <c r="AE181" i="10"/>
  <c r="AE183" i="10"/>
  <c r="AE184" i="10"/>
  <c r="AE185" i="10"/>
  <c r="AE186" i="10"/>
  <c r="AE188" i="10"/>
  <c r="AE190" i="10"/>
  <c r="AE192" i="10"/>
  <c r="AE193" i="10"/>
  <c r="AE194" i="10"/>
  <c r="AE195" i="10"/>
  <c r="AE196" i="10"/>
  <c r="AE198" i="10"/>
  <c r="AE199" i="10"/>
  <c r="AE200" i="10"/>
  <c r="AE201" i="10"/>
  <c r="AE202" i="10"/>
  <c r="AE203" i="10"/>
  <c r="AE204" i="10"/>
  <c r="AE205" i="10"/>
  <c r="AE206" i="10"/>
  <c r="AE207" i="10"/>
  <c r="AE208" i="10"/>
  <c r="AE209" i="10"/>
  <c r="AE211" i="10"/>
  <c r="AE213" i="10"/>
  <c r="AE214" i="10"/>
  <c r="AE215" i="10"/>
  <c r="AE216" i="10"/>
  <c r="AE217" i="10"/>
  <c r="AE218" i="10"/>
  <c r="AE219" i="10"/>
  <c r="AE221" i="10"/>
  <c r="AE222" i="10"/>
  <c r="AE223" i="10"/>
  <c r="AE224" i="10"/>
  <c r="AE225" i="10"/>
  <c r="AE226" i="10"/>
  <c r="AE227" i="10"/>
  <c r="AE228" i="10"/>
  <c r="AE229" i="10"/>
  <c r="AE230" i="10"/>
  <c r="AE231" i="10"/>
  <c r="AE232" i="10"/>
  <c r="AE233" i="10"/>
  <c r="AE234" i="10"/>
  <c r="AE235" i="10"/>
  <c r="AE236" i="10"/>
  <c r="AE237" i="10"/>
  <c r="AE238" i="10"/>
  <c r="AE239" i="10"/>
  <c r="AE240" i="10"/>
  <c r="AE241" i="10"/>
  <c r="AE242" i="10"/>
  <c r="AE243" i="10"/>
  <c r="AE244" i="10"/>
  <c r="AE245" i="10"/>
  <c r="AE246" i="10"/>
  <c r="AE247" i="10"/>
  <c r="AE248" i="10"/>
  <c r="AE249" i="10"/>
  <c r="AE250" i="10"/>
  <c r="AE251" i="10"/>
  <c r="AE252" i="10"/>
  <c r="AE253" i="10"/>
  <c r="AE254" i="10"/>
  <c r="AE255" i="10"/>
  <c r="AE256" i="10"/>
  <c r="AE257" i="10"/>
  <c r="AE258" i="10"/>
  <c r="AE259" i="10"/>
  <c r="AE260" i="10"/>
  <c r="AE261" i="10"/>
  <c r="AE262" i="10"/>
  <c r="AE263" i="10"/>
  <c r="AE264" i="10"/>
  <c r="AE265" i="10"/>
  <c r="AE266" i="10"/>
  <c r="AE267" i="10"/>
  <c r="AE268" i="10"/>
  <c r="AE269" i="10"/>
  <c r="AE271" i="10"/>
  <c r="AE272" i="10"/>
  <c r="AE274" i="10"/>
  <c r="AE275" i="10"/>
  <c r="AE276" i="10"/>
  <c r="AE278" i="10"/>
  <c r="AE279" i="10"/>
  <c r="AE280" i="10"/>
  <c r="AE282" i="10"/>
  <c r="AE283" i="10"/>
  <c r="AE284" i="10"/>
  <c r="AE285" i="10"/>
  <c r="AE286" i="10"/>
  <c r="AE287" i="10"/>
  <c r="AE288" i="10"/>
  <c r="AE289" i="10"/>
  <c r="AE291" i="10"/>
  <c r="AE292" i="10"/>
  <c r="AE294" i="10"/>
  <c r="AE296" i="10"/>
  <c r="AE297" i="10"/>
  <c r="AE298" i="10"/>
  <c r="AE301" i="10"/>
  <c r="AE302" i="10"/>
  <c r="AE304" i="10"/>
  <c r="AE305" i="10"/>
  <c r="AE307" i="10"/>
  <c r="AE308" i="10"/>
  <c r="AE309" i="10"/>
  <c r="AE310" i="10"/>
  <c r="AE311" i="10"/>
  <c r="AE312" i="10"/>
  <c r="AE316" i="10"/>
  <c r="AE317" i="10"/>
  <c r="AE320" i="10"/>
  <c r="AE322" i="10"/>
  <c r="AE323" i="10"/>
  <c r="AE324" i="10"/>
  <c r="AE325" i="10"/>
  <c r="AE327" i="10"/>
  <c r="AE328" i="10"/>
  <c r="AE329" i="10"/>
  <c r="AE330" i="10"/>
  <c r="AE333" i="10"/>
  <c r="AE334" i="10"/>
  <c r="AE335" i="10"/>
  <c r="AE336" i="10"/>
  <c r="AE337" i="10"/>
  <c r="AE338" i="10"/>
  <c r="AE339" i="10"/>
  <c r="AE340" i="10"/>
  <c r="AE341" i="10"/>
  <c r="AE342" i="10"/>
  <c r="AE343" i="10"/>
  <c r="AE344" i="10"/>
  <c r="AE345" i="10"/>
  <c r="AE346" i="10"/>
  <c r="AE347" i="10"/>
  <c r="AE348" i="10"/>
  <c r="AE349" i="10"/>
  <c r="AE350" i="10"/>
  <c r="AE351" i="10"/>
  <c r="AE352" i="10"/>
  <c r="AE353" i="10"/>
  <c r="AE354" i="10"/>
  <c r="AE355" i="10"/>
  <c r="AE356" i="10"/>
  <c r="AE357" i="10"/>
  <c r="AE358" i="10"/>
  <c r="AE359" i="10"/>
  <c r="AE360" i="10"/>
  <c r="AE361" i="10"/>
  <c r="AE362" i="10"/>
  <c r="AE363" i="10"/>
  <c r="AE364" i="10"/>
  <c r="AE365" i="10"/>
  <c r="AE366" i="10"/>
  <c r="AE367" i="10"/>
  <c r="AE368" i="10"/>
  <c r="AE369" i="10"/>
  <c r="AE370" i="10"/>
  <c r="AE371" i="10"/>
  <c r="AE372" i="10"/>
  <c r="AE373" i="10"/>
  <c r="AE374" i="10"/>
  <c r="AE375" i="10"/>
  <c r="AE376" i="10"/>
  <c r="AE377" i="10"/>
  <c r="AE378" i="10"/>
  <c r="AE379" i="10"/>
  <c r="AE380" i="10"/>
  <c r="AE381" i="10"/>
  <c r="AE382" i="10"/>
  <c r="AE383" i="10"/>
  <c r="AE384" i="10"/>
  <c r="AE385" i="10"/>
  <c r="AE386" i="10"/>
  <c r="AE387" i="10"/>
  <c r="AE388" i="10"/>
  <c r="AE389" i="10"/>
  <c r="AE390" i="10"/>
  <c r="AE391" i="10"/>
  <c r="AE392" i="10"/>
  <c r="AE393" i="10"/>
  <c r="AE394" i="10"/>
  <c r="AE395" i="10"/>
  <c r="AE396" i="10"/>
  <c r="AE397" i="10"/>
  <c r="AE398" i="10"/>
  <c r="AE399" i="10"/>
  <c r="AE400" i="10"/>
  <c r="AE401" i="10"/>
  <c r="AE402" i="10"/>
  <c r="AE403" i="10"/>
  <c r="AE404" i="10"/>
  <c r="AE405" i="10"/>
  <c r="AE406" i="10"/>
  <c r="AE407" i="10"/>
  <c r="AE408" i="10"/>
  <c r="AE409" i="10"/>
  <c r="AE410" i="10"/>
  <c r="AE411" i="10"/>
  <c r="AE412" i="10"/>
  <c r="AE413" i="10"/>
  <c r="AE414" i="10"/>
  <c r="AE415" i="10"/>
  <c r="AE417" i="10"/>
  <c r="AE418" i="10"/>
  <c r="AE419" i="10"/>
  <c r="AE420" i="10"/>
  <c r="AE421" i="10"/>
  <c r="AE422" i="10"/>
  <c r="AE423" i="10"/>
  <c r="AE424" i="10"/>
  <c r="AE425" i="10"/>
  <c r="AE426" i="10"/>
  <c r="AE427" i="10"/>
  <c r="AE428" i="10"/>
  <c r="AE429" i="10"/>
  <c r="AE430" i="10"/>
  <c r="AE431" i="10"/>
  <c r="AE432" i="10"/>
  <c r="AE433" i="10"/>
  <c r="AE434" i="10"/>
  <c r="AE435" i="10"/>
  <c r="AE436" i="10"/>
  <c r="AE437" i="10"/>
  <c r="AE438" i="10"/>
  <c r="AE439" i="10"/>
  <c r="AE440" i="10"/>
  <c r="AE441" i="10"/>
  <c r="AE442" i="10"/>
  <c r="AE443" i="10"/>
  <c r="AE444" i="10"/>
  <c r="AE445" i="10"/>
  <c r="AE446" i="10"/>
  <c r="AE447" i="10"/>
  <c r="AE448" i="10"/>
  <c r="AE449" i="10"/>
  <c r="AE450" i="10"/>
  <c r="AE451" i="10"/>
  <c r="AE452" i="10"/>
  <c r="AE453" i="10"/>
  <c r="AE454" i="10"/>
  <c r="AE455" i="10"/>
  <c r="AE456" i="10"/>
  <c r="AE457" i="10"/>
  <c r="AE458" i="10"/>
  <c r="AE459" i="10"/>
  <c r="AE460" i="10"/>
  <c r="AE461" i="10"/>
  <c r="AE462" i="10"/>
  <c r="AE463" i="10"/>
  <c r="AE464" i="10"/>
  <c r="AE465" i="10"/>
  <c r="AE466" i="10"/>
  <c r="AE467" i="10"/>
  <c r="AD4" i="10"/>
  <c r="AD5" i="10"/>
  <c r="AD6" i="10"/>
  <c r="AD7" i="10"/>
  <c r="AD8" i="10"/>
  <c r="AD9" i="10"/>
  <c r="AD10" i="10"/>
  <c r="AD11" i="10"/>
  <c r="AD12" i="10"/>
  <c r="AD13" i="10"/>
  <c r="AD14" i="10"/>
  <c r="AD15" i="10"/>
  <c r="AD16" i="10"/>
  <c r="AD17" i="10"/>
  <c r="AD18" i="10"/>
  <c r="AD19" i="10"/>
  <c r="AD20" i="10"/>
  <c r="AD21" i="10"/>
  <c r="AD22" i="10"/>
  <c r="AD23" i="10"/>
  <c r="AD24" i="10"/>
  <c r="AD25" i="10"/>
  <c r="AD26" i="10"/>
  <c r="AD27" i="10"/>
  <c r="AD28" i="10"/>
  <c r="AD29" i="10"/>
  <c r="AD30" i="10"/>
  <c r="AD31" i="10"/>
  <c r="AD32" i="10"/>
  <c r="AD33" i="10"/>
  <c r="AD34" i="10"/>
  <c r="AD35" i="10"/>
  <c r="AD36" i="10"/>
  <c r="AD37" i="10"/>
  <c r="AD38" i="10"/>
  <c r="AD39" i="10"/>
  <c r="AD40" i="10"/>
  <c r="AD41" i="10"/>
  <c r="AD42" i="10"/>
  <c r="AD43" i="10"/>
  <c r="AD44" i="10"/>
  <c r="AD45" i="10"/>
  <c r="AD46" i="10"/>
  <c r="AD47" i="10"/>
  <c r="AD48" i="10"/>
  <c r="AD49" i="10"/>
  <c r="AD50" i="10"/>
  <c r="AD51" i="10"/>
  <c r="AD52" i="10"/>
  <c r="AD53" i="10"/>
  <c r="AD54" i="10"/>
  <c r="AD55" i="10"/>
  <c r="AD56" i="10"/>
  <c r="AD57" i="10"/>
  <c r="AD58" i="10"/>
  <c r="AD59" i="10"/>
  <c r="AD60" i="10"/>
  <c r="AD61" i="10"/>
  <c r="AD62" i="10"/>
  <c r="AD63" i="10"/>
  <c r="AD64" i="10"/>
  <c r="AD65" i="10"/>
  <c r="AD66" i="10"/>
  <c r="AD67" i="10"/>
  <c r="AD68" i="10"/>
  <c r="AD69" i="10"/>
  <c r="AD70" i="10"/>
  <c r="AD71" i="10"/>
  <c r="AD72" i="10"/>
  <c r="AD73" i="10"/>
  <c r="AD74" i="10"/>
  <c r="AD75" i="10"/>
  <c r="AD76" i="10"/>
  <c r="AD77" i="10"/>
  <c r="AD78" i="10"/>
  <c r="AD79" i="10"/>
  <c r="AD80" i="10"/>
  <c r="AD81" i="10"/>
  <c r="AD82" i="10"/>
  <c r="AD83" i="10"/>
  <c r="AD84" i="10"/>
  <c r="AD85" i="10"/>
  <c r="AD86" i="10"/>
  <c r="AD87" i="10"/>
  <c r="AD88" i="10"/>
  <c r="AD89" i="10"/>
  <c r="AD90" i="10"/>
  <c r="AD91" i="10"/>
  <c r="AD92" i="10"/>
  <c r="AD93" i="10"/>
  <c r="AD94" i="10"/>
  <c r="AD95" i="10"/>
  <c r="AD96" i="10"/>
  <c r="AD97" i="10"/>
  <c r="AD98" i="10"/>
  <c r="AD99" i="10"/>
  <c r="AD100" i="10"/>
  <c r="AD101" i="10"/>
  <c r="AD102" i="10"/>
  <c r="AD103" i="10"/>
  <c r="AD104" i="10"/>
  <c r="AD105" i="10"/>
  <c r="AD106" i="10"/>
  <c r="AD107" i="10"/>
  <c r="AD108" i="10"/>
  <c r="AD109" i="10"/>
  <c r="AD110" i="10"/>
  <c r="AD111" i="10"/>
  <c r="AD112" i="10"/>
  <c r="AD113" i="10"/>
  <c r="AD114" i="10"/>
  <c r="AD115" i="10"/>
  <c r="AD116" i="10"/>
  <c r="AD117" i="10"/>
  <c r="AD118" i="10"/>
  <c r="AD119" i="10"/>
  <c r="AD120" i="10"/>
  <c r="AD121" i="10"/>
  <c r="AD122" i="10"/>
  <c r="AD123" i="10"/>
  <c r="AD124" i="10"/>
  <c r="AD125" i="10"/>
  <c r="AD126" i="10"/>
  <c r="AD127" i="10"/>
  <c r="AD128" i="10"/>
  <c r="AD129" i="10"/>
  <c r="AD130" i="10"/>
  <c r="AD131" i="10"/>
  <c r="AD132" i="10"/>
  <c r="AD133" i="10"/>
  <c r="AD134" i="10"/>
  <c r="AD135" i="10"/>
  <c r="AD136" i="10"/>
  <c r="AD137" i="10"/>
  <c r="AD138" i="10"/>
  <c r="AD139" i="10"/>
  <c r="AD140" i="10"/>
  <c r="AD141" i="10"/>
  <c r="AD142" i="10"/>
  <c r="AD143" i="10"/>
  <c r="AD144" i="10"/>
  <c r="AD145" i="10"/>
  <c r="AD146" i="10"/>
  <c r="AD147" i="10"/>
  <c r="AD148" i="10"/>
  <c r="AD149" i="10"/>
  <c r="AD150" i="10"/>
  <c r="AD151" i="10"/>
  <c r="AD152" i="10"/>
  <c r="AD153" i="10"/>
  <c r="AD154" i="10"/>
  <c r="AD155" i="10"/>
  <c r="AD156" i="10"/>
  <c r="AD157" i="10"/>
  <c r="AD158" i="10"/>
  <c r="AD159" i="10"/>
  <c r="AD160" i="10"/>
  <c r="AD161" i="10"/>
  <c r="AD162" i="10"/>
  <c r="AD163" i="10"/>
  <c r="AD164" i="10"/>
  <c r="AD165" i="10"/>
  <c r="AD166" i="10"/>
  <c r="AD168" i="10"/>
  <c r="AD169" i="10"/>
  <c r="AD170" i="10"/>
  <c r="AD171" i="10"/>
  <c r="AD172" i="10"/>
  <c r="AD173" i="10"/>
  <c r="AD178" i="10"/>
  <c r="AD179" i="10"/>
  <c r="AD180" i="10"/>
  <c r="AD181" i="10"/>
  <c r="AD183" i="10"/>
  <c r="AD184" i="10"/>
  <c r="AD185" i="10"/>
  <c r="AD186" i="10"/>
  <c r="AD188" i="10"/>
  <c r="AD190" i="10"/>
  <c r="AD192" i="10"/>
  <c r="AD193" i="10"/>
  <c r="AD194" i="10"/>
  <c r="AD195" i="10"/>
  <c r="AD196" i="10"/>
  <c r="AD198" i="10"/>
  <c r="AD199" i="10"/>
  <c r="AD200" i="10"/>
  <c r="AD201" i="10"/>
  <c r="AD202" i="10"/>
  <c r="AD203" i="10"/>
  <c r="AD204" i="10"/>
  <c r="AD205" i="10"/>
  <c r="AD206" i="10"/>
  <c r="AD207" i="10"/>
  <c r="AD208" i="10"/>
  <c r="AD209" i="10"/>
  <c r="AD211" i="10"/>
  <c r="AD213" i="10"/>
  <c r="AD214" i="10"/>
  <c r="AD215" i="10"/>
  <c r="AD216" i="10"/>
  <c r="AD217" i="10"/>
  <c r="AD218" i="10"/>
  <c r="AD219" i="10"/>
  <c r="AD221" i="10"/>
  <c r="AD222" i="10"/>
  <c r="AD223" i="10"/>
  <c r="AD224" i="10"/>
  <c r="AD225" i="10"/>
  <c r="AD226" i="10"/>
  <c r="AD227" i="10"/>
  <c r="AD228" i="10"/>
  <c r="AD229" i="10"/>
  <c r="AD230" i="10"/>
  <c r="AD231" i="10"/>
  <c r="AD232" i="10"/>
  <c r="AD233" i="10"/>
  <c r="AD234" i="10"/>
  <c r="AD235" i="10"/>
  <c r="AD236" i="10"/>
  <c r="AD237" i="10"/>
  <c r="AD238" i="10"/>
  <c r="AD239" i="10"/>
  <c r="AD240" i="10"/>
  <c r="AD241" i="10"/>
  <c r="AD242" i="10"/>
  <c r="AD243" i="10"/>
  <c r="AD244" i="10"/>
  <c r="AD245" i="10"/>
  <c r="AD246" i="10"/>
  <c r="AD247" i="10"/>
  <c r="AD248" i="10"/>
  <c r="AD249" i="10"/>
  <c r="AD250" i="10"/>
  <c r="AD251" i="10"/>
  <c r="AD252" i="10"/>
  <c r="AD253" i="10"/>
  <c r="AD254" i="10"/>
  <c r="AD255" i="10"/>
  <c r="AD256" i="10"/>
  <c r="AD257" i="10"/>
  <c r="AD258" i="10"/>
  <c r="AD259" i="10"/>
  <c r="AD260" i="10"/>
  <c r="AD261" i="10"/>
  <c r="AD262" i="10"/>
  <c r="AD263" i="10"/>
  <c r="AD264" i="10"/>
  <c r="AD265" i="10"/>
  <c r="AD266" i="10"/>
  <c r="AD267" i="10"/>
  <c r="AD268" i="10"/>
  <c r="AD269" i="10"/>
  <c r="AD271" i="10"/>
  <c r="AD272" i="10"/>
  <c r="AD274" i="10"/>
  <c r="AD275" i="10"/>
  <c r="AD276" i="10"/>
  <c r="AD278" i="10"/>
  <c r="AD279" i="10"/>
  <c r="AD280" i="10"/>
  <c r="AD282" i="10"/>
  <c r="AD283" i="10"/>
  <c r="AD284" i="10"/>
  <c r="AD285" i="10"/>
  <c r="AD286" i="10"/>
  <c r="AD287" i="10"/>
  <c r="AD288" i="10"/>
  <c r="AD289" i="10"/>
  <c r="AD291" i="10"/>
  <c r="AD292" i="10"/>
  <c r="AD294" i="10"/>
  <c r="AD296" i="10"/>
  <c r="AD297" i="10"/>
  <c r="AD298" i="10"/>
  <c r="AD301" i="10"/>
  <c r="AD302" i="10"/>
  <c r="AD304" i="10"/>
  <c r="AD305" i="10"/>
  <c r="AD307" i="10"/>
  <c r="AD308" i="10"/>
  <c r="AD309" i="10"/>
  <c r="AD310" i="10"/>
  <c r="AD311" i="10"/>
  <c r="AD312" i="10"/>
  <c r="AD316" i="10"/>
  <c r="AD317" i="10"/>
  <c r="AD320" i="10"/>
  <c r="AD322" i="10"/>
  <c r="AD323" i="10"/>
  <c r="AD324" i="10"/>
  <c r="AD325" i="10"/>
  <c r="AD327" i="10"/>
  <c r="AD328" i="10"/>
  <c r="AD329" i="10"/>
  <c r="AD330" i="10"/>
  <c r="AD333" i="10"/>
  <c r="AD334" i="10"/>
  <c r="AD335" i="10"/>
  <c r="AD336" i="10"/>
  <c r="AD337" i="10"/>
  <c r="AD338" i="10"/>
  <c r="AD339" i="10"/>
  <c r="AD340" i="10"/>
  <c r="AD341" i="10"/>
  <c r="AD342" i="10"/>
  <c r="AD343" i="10"/>
  <c r="AD344" i="10"/>
  <c r="AD345" i="10"/>
  <c r="AD346" i="10"/>
  <c r="AD347" i="10"/>
  <c r="AD348" i="10"/>
  <c r="AD349" i="10"/>
  <c r="AD350" i="10"/>
  <c r="AD351" i="10"/>
  <c r="AD352" i="10"/>
  <c r="AD353" i="10"/>
  <c r="AD354" i="10"/>
  <c r="AD355" i="10"/>
  <c r="AD356" i="10"/>
  <c r="AD357" i="10"/>
  <c r="AD358" i="10"/>
  <c r="AD359" i="10"/>
  <c r="AD360" i="10"/>
  <c r="AD361" i="10"/>
  <c r="AD362" i="10"/>
  <c r="AD363" i="10"/>
  <c r="AD364" i="10"/>
  <c r="AD365" i="10"/>
  <c r="AD366" i="10"/>
  <c r="AD367" i="10"/>
  <c r="AD368" i="10"/>
  <c r="AD369" i="10"/>
  <c r="AD370" i="10"/>
  <c r="AD371" i="10"/>
  <c r="AD372" i="10"/>
  <c r="AD373" i="10"/>
  <c r="AD374" i="10"/>
  <c r="AD375" i="10"/>
  <c r="AD376" i="10"/>
  <c r="AD377" i="10"/>
  <c r="AD378" i="10"/>
  <c r="AD379" i="10"/>
  <c r="AD380" i="10"/>
  <c r="AD381" i="10"/>
  <c r="AD382" i="10"/>
  <c r="AD383" i="10"/>
  <c r="AD384" i="10"/>
  <c r="AD385" i="10"/>
  <c r="AD386" i="10"/>
  <c r="AD387" i="10"/>
  <c r="AD388" i="10"/>
  <c r="AD389" i="10"/>
  <c r="AD390" i="10"/>
  <c r="AD391" i="10"/>
  <c r="AD392" i="10"/>
  <c r="AD393" i="10"/>
  <c r="AD394" i="10"/>
  <c r="AD395" i="10"/>
  <c r="AD396" i="10"/>
  <c r="AD397" i="10"/>
  <c r="AD398" i="10"/>
  <c r="AD399" i="10"/>
  <c r="AD400" i="10"/>
  <c r="AD401" i="10"/>
  <c r="AD402" i="10"/>
  <c r="AD403" i="10"/>
  <c r="AD404" i="10"/>
  <c r="AD405" i="10"/>
  <c r="AD406" i="10"/>
  <c r="AD407" i="10"/>
  <c r="AD408" i="10"/>
  <c r="AD409" i="10"/>
  <c r="AD410" i="10"/>
  <c r="AD411" i="10"/>
  <c r="AD412" i="10"/>
  <c r="AD413" i="10"/>
  <c r="AD414" i="10"/>
  <c r="AD415" i="10"/>
  <c r="AD417" i="10"/>
  <c r="AD418" i="10"/>
  <c r="AD419" i="10"/>
  <c r="AD420" i="10"/>
  <c r="AD421" i="10"/>
  <c r="AD422" i="10"/>
  <c r="AD423" i="10"/>
  <c r="AD424" i="10"/>
  <c r="AD425" i="10"/>
  <c r="AD426" i="10"/>
  <c r="AD427" i="10"/>
  <c r="AD428" i="10"/>
  <c r="AD429" i="10"/>
  <c r="AD430" i="10"/>
  <c r="AD431" i="10"/>
  <c r="AD432" i="10"/>
  <c r="AD433" i="10"/>
  <c r="AD434" i="10"/>
  <c r="AD435" i="10"/>
  <c r="AD436" i="10"/>
  <c r="AD437" i="10"/>
  <c r="AD438" i="10"/>
  <c r="AD439" i="10"/>
  <c r="AD440" i="10"/>
  <c r="AD441" i="10"/>
  <c r="AD442" i="10"/>
  <c r="AD443" i="10"/>
  <c r="AD444" i="10"/>
  <c r="AD445" i="10"/>
  <c r="AD446" i="10"/>
  <c r="AD447" i="10"/>
  <c r="AD448" i="10"/>
  <c r="AD449" i="10"/>
  <c r="AD450" i="10"/>
  <c r="AD451" i="10"/>
  <c r="AD452" i="10"/>
  <c r="AD453" i="10"/>
  <c r="AD454" i="10"/>
  <c r="AD455" i="10"/>
  <c r="AD456" i="10"/>
  <c r="AD457" i="10"/>
  <c r="AD458" i="10"/>
  <c r="AD459" i="10"/>
  <c r="AD460" i="10"/>
  <c r="AD461" i="10"/>
  <c r="AD462" i="10"/>
  <c r="AD463" i="10"/>
  <c r="AD464" i="10"/>
  <c r="AD465" i="10"/>
  <c r="AD466" i="10"/>
  <c r="AD467" i="10"/>
  <c r="AC4" i="10"/>
  <c r="AC5" i="10"/>
  <c r="AC6" i="10"/>
  <c r="AC7" i="10"/>
  <c r="AC8" i="10"/>
  <c r="AC9" i="10"/>
  <c r="AC10" i="10"/>
  <c r="AC11" i="10"/>
  <c r="AC12" i="10"/>
  <c r="AC13" i="10"/>
  <c r="AC14" i="10"/>
  <c r="AC15" i="10"/>
  <c r="AC16" i="10"/>
  <c r="AC17" i="10"/>
  <c r="AC18" i="10"/>
  <c r="AC19" i="10"/>
  <c r="AC20" i="10"/>
  <c r="AC21" i="10"/>
  <c r="AC22" i="10"/>
  <c r="AC23" i="10"/>
  <c r="AC24" i="10"/>
  <c r="AC25" i="10"/>
  <c r="AC26" i="10"/>
  <c r="AC27" i="10"/>
  <c r="AC28" i="10"/>
  <c r="AC29" i="10"/>
  <c r="AC30" i="10"/>
  <c r="AC31" i="10"/>
  <c r="AC32" i="10"/>
  <c r="AC33" i="10"/>
  <c r="AC34" i="10"/>
  <c r="AC35" i="10"/>
  <c r="AC36" i="10"/>
  <c r="AC37" i="10"/>
  <c r="AC38" i="10"/>
  <c r="AC39" i="10"/>
  <c r="AC40" i="10"/>
  <c r="AC41" i="10"/>
  <c r="AC42" i="10"/>
  <c r="AC43" i="10"/>
  <c r="AC44" i="10"/>
  <c r="AC45" i="10"/>
  <c r="AC46" i="10"/>
  <c r="AC47" i="10"/>
  <c r="AC48" i="10"/>
  <c r="AC49" i="10"/>
  <c r="AC50" i="10"/>
  <c r="AC51" i="10"/>
  <c r="AC52" i="10"/>
  <c r="AC53" i="10"/>
  <c r="AC54" i="10"/>
  <c r="AC55" i="10"/>
  <c r="AC56" i="10"/>
  <c r="AC57" i="10"/>
  <c r="AC58" i="10"/>
  <c r="AC59" i="10"/>
  <c r="AC60" i="10"/>
  <c r="AC61" i="10"/>
  <c r="AC62" i="10"/>
  <c r="AC63" i="10"/>
  <c r="AC64" i="10"/>
  <c r="AC65" i="10"/>
  <c r="AC66" i="10"/>
  <c r="AC67" i="10"/>
  <c r="AC68" i="10"/>
  <c r="AC69" i="10"/>
  <c r="AC70" i="10"/>
  <c r="AC71" i="10"/>
  <c r="AC72" i="10"/>
  <c r="AC73" i="10"/>
  <c r="AC74" i="10"/>
  <c r="AC75" i="10"/>
  <c r="AC76" i="10"/>
  <c r="AC77" i="10"/>
  <c r="AC78" i="10"/>
  <c r="AC79" i="10"/>
  <c r="AC80" i="10"/>
  <c r="AC81" i="10"/>
  <c r="AC82" i="10"/>
  <c r="AC83" i="10"/>
  <c r="AC84" i="10"/>
  <c r="AC85" i="10"/>
  <c r="AC86" i="10"/>
  <c r="AC87" i="10"/>
  <c r="AC88" i="10"/>
  <c r="AC89" i="10"/>
  <c r="AC90" i="10"/>
  <c r="AC91" i="10"/>
  <c r="AC92" i="10"/>
  <c r="AC93" i="10"/>
  <c r="AC94" i="10"/>
  <c r="AC95" i="10"/>
  <c r="AC96" i="10"/>
  <c r="AC97" i="10"/>
  <c r="AC98" i="10"/>
  <c r="AC99" i="10"/>
  <c r="AC100" i="10"/>
  <c r="AC101" i="10"/>
  <c r="AC102" i="10"/>
  <c r="AC103" i="10"/>
  <c r="AC104" i="10"/>
  <c r="AC105" i="10"/>
  <c r="AC106" i="10"/>
  <c r="AC107" i="10"/>
  <c r="AC108" i="10"/>
  <c r="AC109" i="10"/>
  <c r="AC110" i="10"/>
  <c r="AC111" i="10"/>
  <c r="AC112" i="10"/>
  <c r="AC113" i="10"/>
  <c r="AC114" i="10"/>
  <c r="AC115" i="10"/>
  <c r="AC116" i="10"/>
  <c r="AC117" i="10"/>
  <c r="AC118" i="10"/>
  <c r="AC119" i="10"/>
  <c r="AC120" i="10"/>
  <c r="AC121" i="10"/>
  <c r="AC122" i="10"/>
  <c r="AC123" i="10"/>
  <c r="AC124" i="10"/>
  <c r="AC125" i="10"/>
  <c r="AC126" i="10"/>
  <c r="AC127" i="10"/>
  <c r="AC128" i="10"/>
  <c r="AC129" i="10"/>
  <c r="AC130" i="10"/>
  <c r="AC131" i="10"/>
  <c r="AC132" i="10"/>
  <c r="AC133" i="10"/>
  <c r="AC134" i="10"/>
  <c r="AC135" i="10"/>
  <c r="AC136" i="10"/>
  <c r="AC137" i="10"/>
  <c r="AC138" i="10"/>
  <c r="AC139" i="10"/>
  <c r="AC140" i="10"/>
  <c r="AC141" i="10"/>
  <c r="AC142" i="10"/>
  <c r="AC143" i="10"/>
  <c r="AC144" i="10"/>
  <c r="AC145" i="10"/>
  <c r="AC146" i="10"/>
  <c r="AC147" i="10"/>
  <c r="AC148" i="10"/>
  <c r="AC149" i="10"/>
  <c r="AC150" i="10"/>
  <c r="AC151" i="10"/>
  <c r="AC152" i="10"/>
  <c r="AC153" i="10"/>
  <c r="AC154" i="10"/>
  <c r="AC155" i="10"/>
  <c r="AC156" i="10"/>
  <c r="AC157" i="10"/>
  <c r="AC158" i="10"/>
  <c r="AC159" i="10"/>
  <c r="AC160" i="10"/>
  <c r="AC161" i="10"/>
  <c r="AC162" i="10"/>
  <c r="AC163" i="10"/>
  <c r="AC164" i="10"/>
  <c r="AC165" i="10"/>
  <c r="AC166" i="10"/>
  <c r="AC168" i="10"/>
  <c r="AC169" i="10"/>
  <c r="AC170" i="10"/>
  <c r="AC171" i="10"/>
  <c r="AC172" i="10"/>
  <c r="AC173" i="10"/>
  <c r="AC178" i="10"/>
  <c r="AC179" i="10"/>
  <c r="AC180" i="10"/>
  <c r="AC181" i="10"/>
  <c r="AC183" i="10"/>
  <c r="AC184" i="10"/>
  <c r="AC185" i="10"/>
  <c r="AC186" i="10"/>
  <c r="AC188" i="10"/>
  <c r="AC190" i="10"/>
  <c r="AC192" i="10"/>
  <c r="AC193" i="10"/>
  <c r="AC194" i="10"/>
  <c r="AC195" i="10"/>
  <c r="AC196" i="10"/>
  <c r="AC198" i="10"/>
  <c r="AC199" i="10"/>
  <c r="AC200" i="10"/>
  <c r="AC201" i="10"/>
  <c r="AC202" i="10"/>
  <c r="AC203" i="10"/>
  <c r="AC204" i="10"/>
  <c r="AC205" i="10"/>
  <c r="AC206" i="10"/>
  <c r="AC207" i="10"/>
  <c r="AC208" i="10"/>
  <c r="AC209" i="10"/>
  <c r="AC211" i="10"/>
  <c r="AC213" i="10"/>
  <c r="AC214" i="10"/>
  <c r="AC215" i="10"/>
  <c r="AC216" i="10"/>
  <c r="AC217" i="10"/>
  <c r="AC218" i="10"/>
  <c r="AC219" i="10"/>
  <c r="AC221" i="10"/>
  <c r="AC222" i="10"/>
  <c r="AC223" i="10"/>
  <c r="AC224" i="10"/>
  <c r="AC225" i="10"/>
  <c r="AC226" i="10"/>
  <c r="AC227" i="10"/>
  <c r="AC228" i="10"/>
  <c r="AC229" i="10"/>
  <c r="AC230" i="10"/>
  <c r="AC231" i="10"/>
  <c r="AC232" i="10"/>
  <c r="AC233" i="10"/>
  <c r="AC234" i="10"/>
  <c r="AC235" i="10"/>
  <c r="AC236" i="10"/>
  <c r="AC237" i="10"/>
  <c r="AC238" i="10"/>
  <c r="AC239" i="10"/>
  <c r="AC240" i="10"/>
  <c r="AC241" i="10"/>
  <c r="AC242" i="10"/>
  <c r="AC243" i="10"/>
  <c r="AC244" i="10"/>
  <c r="AC245" i="10"/>
  <c r="AC246" i="10"/>
  <c r="AC247" i="10"/>
  <c r="AC248" i="10"/>
  <c r="AC249" i="10"/>
  <c r="AC250" i="10"/>
  <c r="AC251" i="10"/>
  <c r="AC252" i="10"/>
  <c r="AC253" i="10"/>
  <c r="AC254" i="10"/>
  <c r="AC255" i="10"/>
  <c r="AC256" i="10"/>
  <c r="AC257" i="10"/>
  <c r="AC258" i="10"/>
  <c r="AC259" i="10"/>
  <c r="AC260" i="10"/>
  <c r="AC261" i="10"/>
  <c r="AC262" i="10"/>
  <c r="AC263" i="10"/>
  <c r="AC264" i="10"/>
  <c r="AC265" i="10"/>
  <c r="AC266" i="10"/>
  <c r="AC267" i="10"/>
  <c r="AC268" i="10"/>
  <c r="AC269" i="10"/>
  <c r="AC271" i="10"/>
  <c r="AC272" i="10"/>
  <c r="AC274" i="10"/>
  <c r="AC275" i="10"/>
  <c r="AC276" i="10"/>
  <c r="AC278" i="10"/>
  <c r="AC279" i="10"/>
  <c r="AC280" i="10"/>
  <c r="AC282" i="10"/>
  <c r="AC283" i="10"/>
  <c r="AC284" i="10"/>
  <c r="AC285" i="10"/>
  <c r="AC286" i="10"/>
  <c r="AC287" i="10"/>
  <c r="AC288" i="10"/>
  <c r="AC289" i="10"/>
  <c r="AC291" i="10"/>
  <c r="AC292" i="10"/>
  <c r="AC294" i="10"/>
  <c r="AC296" i="10"/>
  <c r="AC297" i="10"/>
  <c r="AC298" i="10"/>
  <c r="AC301" i="10"/>
  <c r="AC302" i="10"/>
  <c r="AC304" i="10"/>
  <c r="AC305" i="10"/>
  <c r="AC307" i="10"/>
  <c r="AC308" i="10"/>
  <c r="AC309" i="10"/>
  <c r="AC310" i="10"/>
  <c r="AC311" i="10"/>
  <c r="AC312" i="10"/>
  <c r="AC316" i="10"/>
  <c r="AC317" i="10"/>
  <c r="AC320" i="10"/>
  <c r="AC322" i="10"/>
  <c r="AC323" i="10"/>
  <c r="AC324" i="10"/>
  <c r="AC325" i="10"/>
  <c r="AC327" i="10"/>
  <c r="AC328" i="10"/>
  <c r="AC329" i="10"/>
  <c r="AC330" i="10"/>
  <c r="AC333" i="10"/>
  <c r="AC334" i="10"/>
  <c r="AC335" i="10"/>
  <c r="AC336" i="10"/>
  <c r="AC337" i="10"/>
  <c r="AC338" i="10"/>
  <c r="AC339" i="10"/>
  <c r="AC340" i="10"/>
  <c r="AC341" i="10"/>
  <c r="AC342" i="10"/>
  <c r="AC343" i="10"/>
  <c r="AC344" i="10"/>
  <c r="AC345" i="10"/>
  <c r="AC346" i="10"/>
  <c r="AC347" i="10"/>
  <c r="AC348" i="10"/>
  <c r="AC349" i="10"/>
  <c r="AC350" i="10"/>
  <c r="AC351" i="10"/>
  <c r="AC352" i="10"/>
  <c r="AC353" i="10"/>
  <c r="AC354" i="10"/>
  <c r="AC355" i="10"/>
  <c r="AC356" i="10"/>
  <c r="AC357" i="10"/>
  <c r="AC358" i="10"/>
  <c r="AC359" i="10"/>
  <c r="AC360" i="10"/>
  <c r="AC361" i="10"/>
  <c r="AC362" i="10"/>
  <c r="AC363" i="10"/>
  <c r="AC364" i="10"/>
  <c r="AC365" i="10"/>
  <c r="AC366" i="10"/>
  <c r="AC367" i="10"/>
  <c r="AC368" i="10"/>
  <c r="AC369" i="10"/>
  <c r="AC370" i="10"/>
  <c r="AC371" i="10"/>
  <c r="AC372" i="10"/>
  <c r="AC373" i="10"/>
  <c r="AC374" i="10"/>
  <c r="AC375" i="10"/>
  <c r="AC376" i="10"/>
  <c r="AC377" i="10"/>
  <c r="AC378" i="10"/>
  <c r="AC379" i="10"/>
  <c r="AC380" i="10"/>
  <c r="AC381" i="10"/>
  <c r="AC382" i="10"/>
  <c r="AC383" i="10"/>
  <c r="AC384" i="10"/>
  <c r="AC385" i="10"/>
  <c r="AC386" i="10"/>
  <c r="AC387" i="10"/>
  <c r="AC388" i="10"/>
  <c r="AC389" i="10"/>
  <c r="AC390" i="10"/>
  <c r="AC391" i="10"/>
  <c r="AC392" i="10"/>
  <c r="AC393" i="10"/>
  <c r="AC394" i="10"/>
  <c r="AC395" i="10"/>
  <c r="AC396" i="10"/>
  <c r="AC397" i="10"/>
  <c r="AC398" i="10"/>
  <c r="AC399" i="10"/>
  <c r="AC400" i="10"/>
  <c r="AC401" i="10"/>
  <c r="AC402" i="10"/>
  <c r="AC403" i="10"/>
  <c r="AC404" i="10"/>
  <c r="AC405" i="10"/>
  <c r="AC406" i="10"/>
  <c r="AC407" i="10"/>
  <c r="AC408" i="10"/>
  <c r="AC409" i="10"/>
  <c r="AC410" i="10"/>
  <c r="AC411" i="10"/>
  <c r="AC412" i="10"/>
  <c r="AC413" i="10"/>
  <c r="AC414" i="10"/>
  <c r="AC415" i="10"/>
  <c r="AC417" i="10"/>
  <c r="AC418" i="10"/>
  <c r="AC419" i="10"/>
  <c r="AC420" i="10"/>
  <c r="AC421" i="10"/>
  <c r="AC422" i="10"/>
  <c r="AC423" i="10"/>
  <c r="AC424" i="10"/>
  <c r="AC425" i="10"/>
  <c r="AC426" i="10"/>
  <c r="AC427" i="10"/>
  <c r="AC428" i="10"/>
  <c r="AC429" i="10"/>
  <c r="AC430" i="10"/>
  <c r="AC431" i="10"/>
  <c r="AC432" i="10"/>
  <c r="AC433" i="10"/>
  <c r="AC434" i="10"/>
  <c r="AC435" i="10"/>
  <c r="AC436" i="10"/>
  <c r="AC437" i="10"/>
  <c r="AC438" i="10"/>
  <c r="AC439" i="10"/>
  <c r="AC440" i="10"/>
  <c r="AC441" i="10"/>
  <c r="AC442" i="10"/>
  <c r="AC443" i="10"/>
  <c r="AC444" i="10"/>
  <c r="AC445" i="10"/>
  <c r="AC446" i="10"/>
  <c r="AC447" i="10"/>
  <c r="AC448" i="10"/>
  <c r="AC449" i="10"/>
  <c r="AC450" i="10"/>
  <c r="AC451" i="10"/>
  <c r="AC452" i="10"/>
  <c r="AC453" i="10"/>
  <c r="AC454" i="10"/>
  <c r="AC455" i="10"/>
  <c r="AC456" i="10"/>
  <c r="AC457" i="10"/>
  <c r="AC458" i="10"/>
  <c r="AC459" i="10"/>
  <c r="AC460" i="10"/>
  <c r="AC461" i="10"/>
  <c r="AC462" i="10"/>
  <c r="AC463" i="10"/>
  <c r="AC464" i="10"/>
  <c r="AC465" i="10"/>
  <c r="AC466" i="10"/>
  <c r="AC467" i="10"/>
  <c r="ET468" i="2"/>
  <c r="U467" i="10"/>
  <c r="ET467" i="2"/>
  <c r="U466" i="10"/>
  <c r="ET466" i="2"/>
  <c r="U465" i="10"/>
  <c r="ET465" i="2"/>
  <c r="U464" i="10"/>
  <c r="ET464" i="2"/>
  <c r="U463" i="10"/>
  <c r="ET463" i="2"/>
  <c r="U462" i="10"/>
  <c r="ET462" i="2"/>
  <c r="U461" i="10"/>
  <c r="ET461" i="2"/>
  <c r="U460" i="10"/>
  <c r="ET460" i="2"/>
  <c r="U459" i="10"/>
  <c r="ET459" i="2"/>
  <c r="U458" i="10"/>
  <c r="ET458" i="2"/>
  <c r="U457" i="10"/>
  <c r="ET457" i="2"/>
  <c r="U456" i="10"/>
  <c r="ET456" i="2"/>
  <c r="U455" i="10"/>
  <c r="ET455" i="2"/>
  <c r="U454" i="10"/>
  <c r="ET454" i="2"/>
  <c r="U453" i="10"/>
  <c r="ET453" i="2"/>
  <c r="U452" i="10"/>
  <c r="ET452" i="2"/>
  <c r="U451" i="10"/>
  <c r="ET451" i="2"/>
  <c r="U450" i="10"/>
  <c r="ET450" i="2"/>
  <c r="U449" i="10"/>
  <c r="ET449" i="2"/>
  <c r="U448" i="10"/>
  <c r="ET448" i="2"/>
  <c r="U447" i="10"/>
  <c r="ET447" i="2"/>
  <c r="U446" i="10"/>
  <c r="ET446" i="2"/>
  <c r="U445" i="10"/>
  <c r="ET445" i="2"/>
  <c r="U444" i="10"/>
  <c r="ET444" i="2"/>
  <c r="U443" i="10"/>
  <c r="ET443" i="2"/>
  <c r="U442" i="10"/>
  <c r="ET442" i="2"/>
  <c r="U441" i="10"/>
  <c r="ET441" i="2"/>
  <c r="U440" i="10"/>
  <c r="ET440" i="2"/>
  <c r="U439" i="10"/>
  <c r="ET439" i="2"/>
  <c r="U438" i="10"/>
  <c r="ET438" i="2"/>
  <c r="U437" i="10"/>
  <c r="ET437" i="2"/>
  <c r="U436" i="10"/>
  <c r="ET436" i="2"/>
  <c r="U435" i="10"/>
  <c r="ET435" i="2"/>
  <c r="U434" i="10"/>
  <c r="ET434" i="2"/>
  <c r="U433" i="10"/>
  <c r="ET433" i="2"/>
  <c r="U432" i="10"/>
  <c r="ET432" i="2"/>
  <c r="U431" i="10"/>
  <c r="ET431" i="2"/>
  <c r="U430" i="10"/>
  <c r="ET430" i="2"/>
  <c r="U429" i="10"/>
  <c r="ET429" i="2"/>
  <c r="U428" i="10"/>
  <c r="ET428" i="2"/>
  <c r="U427" i="10"/>
  <c r="ET427" i="2"/>
  <c r="U426" i="10"/>
  <c r="ET426" i="2"/>
  <c r="U425" i="10"/>
  <c r="ET425" i="2"/>
  <c r="U424" i="10"/>
  <c r="ET424" i="2"/>
  <c r="U423" i="10"/>
  <c r="ET423" i="2"/>
  <c r="U422" i="10"/>
  <c r="ET422" i="2"/>
  <c r="U421" i="10"/>
  <c r="ET421" i="2"/>
  <c r="U420" i="10"/>
  <c r="ET420" i="2"/>
  <c r="U419" i="10"/>
  <c r="ET419" i="2"/>
  <c r="U418" i="10"/>
  <c r="ET418" i="2"/>
  <c r="U417" i="10"/>
  <c r="ET417" i="2"/>
  <c r="U416" i="10"/>
  <c r="ET416" i="2"/>
  <c r="U415" i="10"/>
  <c r="ET415" i="2"/>
  <c r="U414" i="10"/>
  <c r="ET414" i="2"/>
  <c r="U413" i="10"/>
  <c r="ET413" i="2"/>
  <c r="U412" i="10"/>
  <c r="ET412" i="2"/>
  <c r="U411" i="10"/>
  <c r="ET411" i="2"/>
  <c r="U410" i="10"/>
  <c r="ET410" i="2"/>
  <c r="U409" i="10"/>
  <c r="ET409" i="2"/>
  <c r="U408" i="10"/>
  <c r="ET408" i="2"/>
  <c r="U407" i="10"/>
  <c r="ET407" i="2"/>
  <c r="U406" i="10"/>
  <c r="ET406" i="2"/>
  <c r="U405" i="10"/>
  <c r="ET405" i="2"/>
  <c r="U404" i="10"/>
  <c r="ET404" i="2"/>
  <c r="U403" i="10"/>
  <c r="ET403" i="2"/>
  <c r="U402" i="10"/>
  <c r="ET402" i="2"/>
  <c r="U401" i="10"/>
  <c r="ET401" i="2"/>
  <c r="U400" i="10"/>
  <c r="ET400" i="2"/>
  <c r="U399" i="10"/>
  <c r="ET399" i="2"/>
  <c r="U398" i="10"/>
  <c r="ET398" i="2"/>
  <c r="U397" i="10"/>
  <c r="ET397" i="2"/>
  <c r="U396" i="10"/>
  <c r="ET396" i="2"/>
  <c r="U395" i="10"/>
  <c r="ET395" i="2"/>
  <c r="U394" i="10"/>
  <c r="ET394" i="2"/>
  <c r="U393" i="10"/>
  <c r="ET393" i="2"/>
  <c r="U392" i="10"/>
  <c r="ET392" i="2"/>
  <c r="U391" i="10"/>
  <c r="ET391" i="2"/>
  <c r="U390" i="10"/>
  <c r="ET390" i="2"/>
  <c r="U389" i="10"/>
  <c r="ET389" i="2"/>
  <c r="U388" i="10"/>
  <c r="ET388" i="2"/>
  <c r="U387" i="10"/>
  <c r="ET387" i="2"/>
  <c r="U386" i="10"/>
  <c r="ET386" i="2"/>
  <c r="U385" i="10"/>
  <c r="ET385" i="2"/>
  <c r="U384" i="10"/>
  <c r="ET384" i="2"/>
  <c r="U383" i="10"/>
  <c r="ET383" i="2"/>
  <c r="U382" i="10"/>
  <c r="ET382" i="2"/>
  <c r="U381" i="10"/>
  <c r="ET381" i="2"/>
  <c r="U380" i="10"/>
  <c r="ET380" i="2"/>
  <c r="U379" i="10"/>
  <c r="ET379" i="2"/>
  <c r="U378" i="10"/>
  <c r="ET378" i="2"/>
  <c r="U377" i="10"/>
  <c r="ET377" i="2"/>
  <c r="U376" i="10"/>
  <c r="ET376" i="2"/>
  <c r="U375" i="10"/>
  <c r="ET375" i="2"/>
  <c r="U374" i="10"/>
  <c r="ET374" i="2"/>
  <c r="U373" i="10"/>
  <c r="ET373" i="2"/>
  <c r="U372" i="10"/>
  <c r="ET372" i="2"/>
  <c r="U371" i="10"/>
  <c r="ET371" i="2"/>
  <c r="U370" i="10"/>
  <c r="ET370" i="2"/>
  <c r="U369" i="10"/>
  <c r="ET369" i="2"/>
  <c r="U368" i="10"/>
  <c r="ET368" i="2"/>
  <c r="U367" i="10"/>
  <c r="ET367" i="2"/>
  <c r="U366" i="10"/>
  <c r="ET366" i="2"/>
  <c r="U365" i="10"/>
  <c r="ET365" i="2"/>
  <c r="U364" i="10"/>
  <c r="ET364" i="2"/>
  <c r="U363" i="10"/>
  <c r="ET363" i="2"/>
  <c r="U362" i="10"/>
  <c r="ET362" i="2"/>
  <c r="U361" i="10"/>
  <c r="ET361" i="2"/>
  <c r="U360" i="10"/>
  <c r="ET360" i="2"/>
  <c r="U359" i="10"/>
  <c r="ET359" i="2"/>
  <c r="U358" i="10"/>
  <c r="ET358" i="2"/>
  <c r="U357" i="10"/>
  <c r="ET357" i="2"/>
  <c r="U356" i="10"/>
  <c r="ET356" i="2"/>
  <c r="U355" i="10"/>
  <c r="ET355" i="2"/>
  <c r="U354" i="10"/>
  <c r="ET354" i="2"/>
  <c r="U353" i="10"/>
  <c r="ET353" i="2"/>
  <c r="U352" i="10"/>
  <c r="ET352" i="2"/>
  <c r="U351" i="10"/>
  <c r="ET351" i="2"/>
  <c r="U350" i="10"/>
  <c r="ET350" i="2"/>
  <c r="U349" i="10"/>
  <c r="ET349" i="2"/>
  <c r="U348" i="10"/>
  <c r="ET348" i="2"/>
  <c r="U347" i="10"/>
  <c r="ET347" i="2"/>
  <c r="U346" i="10"/>
  <c r="ET346" i="2"/>
  <c r="U345" i="10"/>
  <c r="ET345" i="2"/>
  <c r="U344" i="10"/>
  <c r="ET344" i="2"/>
  <c r="U343" i="10"/>
  <c r="ET343" i="2"/>
  <c r="U342" i="10"/>
  <c r="ET342" i="2"/>
  <c r="U341" i="10"/>
  <c r="ET341" i="2"/>
  <c r="ET340" i="2"/>
  <c r="ET339" i="2"/>
  <c r="ET338" i="2"/>
  <c r="ET337" i="2"/>
  <c r="ET336" i="2"/>
  <c r="U335" i="10"/>
  <c r="ET335" i="2"/>
  <c r="ET334" i="2"/>
  <c r="U333" i="10"/>
  <c r="ET333" i="2"/>
  <c r="U332" i="10"/>
  <c r="ET332" i="2"/>
  <c r="ET331" i="2"/>
  <c r="ET330" i="2"/>
  <c r="U329" i="10"/>
  <c r="ET329" i="2"/>
  <c r="U328" i="10"/>
  <c r="ET328" i="2"/>
  <c r="ET327" i="2"/>
  <c r="ET326" i="2"/>
  <c r="U325" i="10"/>
  <c r="ET325" i="2"/>
  <c r="ET324" i="2"/>
  <c r="U323" i="10"/>
  <c r="ET323" i="2"/>
  <c r="ET322" i="2"/>
  <c r="ET321" i="2"/>
  <c r="ET320" i="2"/>
  <c r="U319" i="10"/>
  <c r="ET319" i="2"/>
  <c r="ET318" i="2"/>
  <c r="ET317" i="2"/>
  <c r="ET316" i="2"/>
  <c r="ET315" i="2"/>
  <c r="ET314" i="2"/>
  <c r="U313" i="10"/>
  <c r="ET313" i="2"/>
  <c r="ET312" i="2"/>
  <c r="U311" i="10"/>
  <c r="ET311" i="2"/>
  <c r="U310" i="10"/>
  <c r="ET310" i="2"/>
  <c r="U309" i="10"/>
  <c r="ET309" i="2"/>
  <c r="U308" i="10"/>
  <c r="ET308" i="2"/>
  <c r="U307" i="10"/>
  <c r="ET307" i="2"/>
  <c r="ET306" i="2"/>
  <c r="ET305" i="2"/>
  <c r="U304" i="10"/>
  <c r="ET304" i="2"/>
  <c r="ET303" i="2"/>
  <c r="ET302" i="2"/>
  <c r="ET301" i="2"/>
  <c r="ET300" i="2"/>
  <c r="ET299" i="2"/>
  <c r="U298" i="10"/>
  <c r="ET298" i="2"/>
  <c r="ET297" i="2"/>
  <c r="ET296" i="2"/>
  <c r="ET295" i="2"/>
  <c r="U294" i="10"/>
  <c r="ET294" i="2"/>
  <c r="U293" i="10"/>
  <c r="ET293" i="2"/>
  <c r="ET292" i="2"/>
  <c r="ET291" i="2"/>
  <c r="ET290" i="2"/>
  <c r="U289" i="10"/>
  <c r="ET289" i="2"/>
  <c r="ET288" i="2"/>
  <c r="ET287" i="2"/>
  <c r="ET286" i="2"/>
  <c r="ET285" i="2"/>
  <c r="ET284" i="2"/>
  <c r="ET283" i="2"/>
  <c r="ET282" i="2"/>
  <c r="ET281" i="2"/>
  <c r="U280" i="10"/>
  <c r="ET280" i="2"/>
  <c r="U279" i="10"/>
  <c r="ET279" i="2"/>
  <c r="U278" i="10"/>
  <c r="ET278" i="2"/>
  <c r="ET277" i="2"/>
  <c r="U276" i="10"/>
  <c r="ET276" i="2"/>
  <c r="ET275" i="2"/>
  <c r="ET274" i="2"/>
  <c r="ET273" i="2"/>
  <c r="U272" i="10"/>
  <c r="ET272" i="2"/>
  <c r="ET271" i="2"/>
  <c r="U270" i="10"/>
  <c r="ET6" i="2"/>
  <c r="U5" i="10"/>
  <c r="ET7" i="2"/>
  <c r="U6" i="10"/>
  <c r="ET8" i="2"/>
  <c r="U7" i="10"/>
  <c r="ET9" i="2"/>
  <c r="U8" i="10"/>
  <c r="ET10" i="2"/>
  <c r="U9" i="10"/>
  <c r="ET11" i="2"/>
  <c r="U10" i="10"/>
  <c r="ET12" i="2"/>
  <c r="U11" i="10"/>
  <c r="ET13" i="2"/>
  <c r="U12" i="10"/>
  <c r="ET14" i="2"/>
  <c r="U13" i="10"/>
  <c r="ET15" i="2"/>
  <c r="U14" i="10"/>
  <c r="ET16" i="2"/>
  <c r="U15" i="10"/>
  <c r="ET17" i="2"/>
  <c r="U16" i="10"/>
  <c r="ET18" i="2"/>
  <c r="U17" i="10"/>
  <c r="ET19" i="2"/>
  <c r="U18" i="10"/>
  <c r="ET20" i="2"/>
  <c r="U19" i="10"/>
  <c r="ET21" i="2"/>
  <c r="U20" i="10"/>
  <c r="ET22" i="2"/>
  <c r="U21" i="10"/>
  <c r="ET23" i="2"/>
  <c r="U22" i="10"/>
  <c r="ET24" i="2"/>
  <c r="U23" i="10"/>
  <c r="ET25" i="2"/>
  <c r="U24" i="10"/>
  <c r="ET26" i="2"/>
  <c r="U25" i="10"/>
  <c r="ET27" i="2"/>
  <c r="U26" i="10"/>
  <c r="ET28" i="2"/>
  <c r="U27" i="10"/>
  <c r="ET29" i="2"/>
  <c r="U28" i="10"/>
  <c r="ET30" i="2"/>
  <c r="U29" i="10"/>
  <c r="ET31" i="2"/>
  <c r="U30" i="10"/>
  <c r="ET32" i="2"/>
  <c r="U31" i="10"/>
  <c r="ET33" i="2"/>
  <c r="U32" i="10"/>
  <c r="ET34" i="2"/>
  <c r="U33" i="10"/>
  <c r="ET35" i="2"/>
  <c r="U34" i="10"/>
  <c r="ET36" i="2"/>
  <c r="U35" i="10"/>
  <c r="ET37" i="2"/>
  <c r="U36" i="10"/>
  <c r="ET38" i="2"/>
  <c r="U37" i="10"/>
  <c r="ET39" i="2"/>
  <c r="U38" i="10"/>
  <c r="ET40" i="2"/>
  <c r="U39" i="10"/>
  <c r="ET41" i="2"/>
  <c r="U40" i="10"/>
  <c r="ET42" i="2"/>
  <c r="U41" i="10"/>
  <c r="ET43" i="2"/>
  <c r="U42" i="10"/>
  <c r="ET44" i="2"/>
  <c r="U43" i="10"/>
  <c r="ET45" i="2"/>
  <c r="U44" i="10"/>
  <c r="ET46" i="2"/>
  <c r="U45" i="10"/>
  <c r="ET47" i="2"/>
  <c r="U46" i="10"/>
  <c r="ET48" i="2"/>
  <c r="U47" i="10"/>
  <c r="ET49" i="2"/>
  <c r="U48" i="10"/>
  <c r="ET50" i="2"/>
  <c r="U49" i="10"/>
  <c r="ET51" i="2"/>
  <c r="U50" i="10"/>
  <c r="ET52" i="2"/>
  <c r="U51" i="10"/>
  <c r="ET53" i="2"/>
  <c r="U52" i="10"/>
  <c r="ET54" i="2"/>
  <c r="U53" i="10"/>
  <c r="ET55" i="2"/>
  <c r="U54" i="10"/>
  <c r="ET56" i="2"/>
  <c r="U55" i="10"/>
  <c r="ET57" i="2"/>
  <c r="U56" i="10"/>
  <c r="ET58" i="2"/>
  <c r="U57" i="10"/>
  <c r="ET59" i="2"/>
  <c r="U58" i="10"/>
  <c r="ET60" i="2"/>
  <c r="U59" i="10"/>
  <c r="ET61" i="2"/>
  <c r="U60" i="10"/>
  <c r="ET62" i="2"/>
  <c r="U61" i="10"/>
  <c r="ET63" i="2"/>
  <c r="U62" i="10"/>
  <c r="ET64" i="2"/>
  <c r="U63" i="10"/>
  <c r="ET65" i="2"/>
  <c r="U64" i="10"/>
  <c r="ET66" i="2"/>
  <c r="U65" i="10"/>
  <c r="ET67" i="2"/>
  <c r="U66" i="10"/>
  <c r="ET68" i="2"/>
  <c r="U67" i="10"/>
  <c r="ET69" i="2"/>
  <c r="U68" i="10"/>
  <c r="ET70" i="2"/>
  <c r="U69" i="10"/>
  <c r="ET71" i="2"/>
  <c r="U70" i="10"/>
  <c r="ET72" i="2"/>
  <c r="U71" i="10"/>
  <c r="ET73" i="2"/>
  <c r="U72" i="10"/>
  <c r="ET74" i="2"/>
  <c r="U73" i="10"/>
  <c r="ET75" i="2"/>
  <c r="U74" i="10"/>
  <c r="ET76" i="2"/>
  <c r="U75" i="10"/>
  <c r="ET77" i="2"/>
  <c r="U76" i="10"/>
  <c r="ET78" i="2"/>
  <c r="U77" i="10"/>
  <c r="ET79" i="2"/>
  <c r="U78" i="10"/>
  <c r="ET80" i="2"/>
  <c r="U79" i="10"/>
  <c r="ET81" i="2"/>
  <c r="U80" i="10"/>
  <c r="ET82" i="2"/>
  <c r="U81" i="10"/>
  <c r="ET83" i="2"/>
  <c r="U82" i="10"/>
  <c r="ET84" i="2"/>
  <c r="U83" i="10"/>
  <c r="ET85" i="2"/>
  <c r="U84" i="10"/>
  <c r="ET86" i="2"/>
  <c r="U85" i="10"/>
  <c r="ET87" i="2"/>
  <c r="U86" i="10"/>
  <c r="ET88" i="2"/>
  <c r="U87" i="10"/>
  <c r="ET89" i="2"/>
  <c r="U88" i="10"/>
  <c r="ET90" i="2"/>
  <c r="U89" i="10"/>
  <c r="ET91" i="2"/>
  <c r="U90" i="10"/>
  <c r="ET92" i="2"/>
  <c r="U91" i="10"/>
  <c r="ET93" i="2"/>
  <c r="U92" i="10"/>
  <c r="ET94" i="2"/>
  <c r="U93" i="10"/>
  <c r="ET95" i="2"/>
  <c r="U94" i="10"/>
  <c r="ET96" i="2"/>
  <c r="U95" i="10"/>
  <c r="ET97" i="2"/>
  <c r="U96" i="10"/>
  <c r="ET98" i="2"/>
  <c r="U97" i="10"/>
  <c r="ET99" i="2"/>
  <c r="U98" i="10"/>
  <c r="ET100" i="2"/>
  <c r="U99" i="10"/>
  <c r="ET101" i="2"/>
  <c r="U100" i="10"/>
  <c r="ET102" i="2"/>
  <c r="U101" i="10"/>
  <c r="ET103" i="2"/>
  <c r="U102" i="10"/>
  <c r="ET104" i="2"/>
  <c r="U103" i="10"/>
  <c r="ET105" i="2"/>
  <c r="ET106" i="2"/>
  <c r="U105" i="10"/>
  <c r="ET107" i="2"/>
  <c r="U106" i="10"/>
  <c r="ET108" i="2"/>
  <c r="U107" i="10"/>
  <c r="ET109" i="2"/>
  <c r="U108" i="10"/>
  <c r="ET110" i="2"/>
  <c r="U109" i="10"/>
  <c r="ET111" i="2"/>
  <c r="U110" i="10"/>
  <c r="ET112" i="2"/>
  <c r="U111" i="10"/>
  <c r="ET113" i="2"/>
  <c r="U112" i="10"/>
  <c r="ET114" i="2"/>
  <c r="U113" i="10"/>
  <c r="ET115" i="2"/>
  <c r="U114" i="10"/>
  <c r="ET116" i="2"/>
  <c r="U115" i="10"/>
  <c r="ET117" i="2"/>
  <c r="ET118" i="2"/>
  <c r="ET119" i="2"/>
  <c r="ET120" i="2"/>
  <c r="ET121" i="2"/>
  <c r="U120" i="10"/>
  <c r="ET122" i="2"/>
  <c r="ET123" i="2"/>
  <c r="ET124" i="2"/>
  <c r="ET125" i="2"/>
  <c r="ET126" i="2"/>
  <c r="ET127" i="2"/>
  <c r="U126" i="10"/>
  <c r="ET128" i="2"/>
  <c r="U127" i="10"/>
  <c r="ET129" i="2"/>
  <c r="ET130" i="2"/>
  <c r="ET131" i="2"/>
  <c r="U130" i="10"/>
  <c r="ET132" i="2"/>
  <c r="U131" i="10"/>
  <c r="ET133" i="2"/>
  <c r="ET134" i="2"/>
  <c r="ET135" i="2"/>
  <c r="U134" i="10"/>
  <c r="ET136" i="2"/>
  <c r="ET137" i="2"/>
  <c r="U136" i="10"/>
  <c r="ET138" i="2"/>
  <c r="ET139" i="2"/>
  <c r="ET140" i="2"/>
  <c r="U139" i="10"/>
  <c r="ET141" i="2"/>
  <c r="ET142" i="2"/>
  <c r="ET143" i="2"/>
  <c r="ET144" i="2"/>
  <c r="ET145" i="2"/>
  <c r="ET146" i="2"/>
  <c r="ET147" i="2"/>
  <c r="ET148" i="2"/>
  <c r="ET149" i="2"/>
  <c r="ET150" i="2"/>
  <c r="U149" i="10"/>
  <c r="ET151" i="2"/>
  <c r="U150" i="10"/>
  <c r="ET152" i="2"/>
  <c r="ET153" i="2"/>
  <c r="ET154" i="2"/>
  <c r="U153" i="10"/>
  <c r="ET155" i="2"/>
  <c r="ET156" i="2"/>
  <c r="ET157" i="2"/>
  <c r="U156" i="10"/>
  <c r="ET158" i="2"/>
  <c r="U157" i="10"/>
  <c r="ET159" i="2"/>
  <c r="ET160" i="2"/>
  <c r="ET161" i="2"/>
  <c r="U160" i="10"/>
  <c r="ET162" i="2"/>
  <c r="U161" i="10"/>
  <c r="ET163" i="2"/>
  <c r="ET164" i="2"/>
  <c r="ET165" i="2"/>
  <c r="ET166" i="2"/>
  <c r="ET167" i="2"/>
  <c r="U166" i="10"/>
  <c r="ET168" i="2"/>
  <c r="U167" i="10"/>
  <c r="ET169" i="2"/>
  <c r="ET170" i="2"/>
  <c r="ET171" i="2"/>
  <c r="U170" i="10"/>
  <c r="ET172" i="2"/>
  <c r="U171" i="10"/>
  <c r="ET173" i="2"/>
  <c r="U172" i="10"/>
  <c r="ET174" i="2"/>
  <c r="ET175" i="2"/>
  <c r="ET176" i="2"/>
  <c r="U175" i="10"/>
  <c r="ET177" i="2"/>
  <c r="U176" i="10"/>
  <c r="ET178" i="2"/>
  <c r="ET179" i="2"/>
  <c r="U178" i="10"/>
  <c r="ET180" i="2"/>
  <c r="ET181" i="2"/>
  <c r="U180" i="10"/>
  <c r="ET182" i="2"/>
  <c r="ET183" i="2"/>
  <c r="ET184" i="2"/>
  <c r="ET185" i="2"/>
  <c r="ET186" i="2"/>
  <c r="U185" i="10"/>
  <c r="ET187" i="2"/>
  <c r="ET188" i="2"/>
  <c r="U187" i="10"/>
  <c r="ET189" i="2"/>
  <c r="ET190" i="2"/>
  <c r="U189" i="10"/>
  <c r="ET191" i="2"/>
  <c r="ET192" i="2"/>
  <c r="ET193" i="2"/>
  <c r="ET194" i="2"/>
  <c r="ET195" i="2"/>
  <c r="ET196" i="2"/>
  <c r="ET197" i="2"/>
  <c r="ET198" i="2"/>
  <c r="U197" i="10"/>
  <c r="ET199" i="2"/>
  <c r="U198" i="10"/>
  <c r="ET200" i="2"/>
  <c r="ET201" i="2"/>
  <c r="ET202" i="2"/>
  <c r="ET203" i="2"/>
  <c r="U202" i="10"/>
  <c r="ET204" i="2"/>
  <c r="ET205" i="2"/>
  <c r="ET206" i="2"/>
  <c r="U205" i="10"/>
  <c r="ET207" i="2"/>
  <c r="ET208" i="2"/>
  <c r="ET209" i="2"/>
  <c r="ET210" i="2"/>
  <c r="ET211" i="2"/>
  <c r="U210" i="10"/>
  <c r="ET212" i="2"/>
  <c r="ET213" i="2"/>
  <c r="ET214" i="2"/>
  <c r="ET215" i="2"/>
  <c r="ET216" i="2"/>
  <c r="ET217" i="2"/>
  <c r="ET218" i="2"/>
  <c r="ET219" i="2"/>
  <c r="U218" i="10"/>
  <c r="ET220" i="2"/>
  <c r="U219" i="10"/>
  <c r="ET221" i="2"/>
  <c r="U220" i="10"/>
  <c r="ET222" i="2"/>
  <c r="ET223" i="2"/>
  <c r="ET224" i="2"/>
  <c r="ET225" i="2"/>
  <c r="U224" i="10"/>
  <c r="ET226" i="2"/>
  <c r="U225" i="10"/>
  <c r="ET227" i="2"/>
  <c r="ET228" i="2"/>
  <c r="U227" i="10"/>
  <c r="ET229" i="2"/>
  <c r="ET230" i="2"/>
  <c r="U229" i="10"/>
  <c r="ET231" i="2"/>
  <c r="U230" i="10"/>
  <c r="ET232" i="2"/>
  <c r="ET233" i="2"/>
  <c r="U232" i="10"/>
  <c r="ET234" i="2"/>
  <c r="ET235" i="2"/>
  <c r="U234" i="10"/>
  <c r="ET236" i="2"/>
  <c r="ET237" i="2"/>
  <c r="ET238" i="2"/>
  <c r="ET239" i="2"/>
  <c r="U238" i="10"/>
  <c r="ET240" i="2"/>
  <c r="ET241" i="2"/>
  <c r="U240" i="10"/>
  <c r="ET242" i="2"/>
  <c r="U241" i="10"/>
  <c r="ET243" i="2"/>
  <c r="ET244" i="2"/>
  <c r="ET245" i="2"/>
  <c r="U244" i="10"/>
  <c r="ET246" i="2"/>
  <c r="ET247" i="2"/>
  <c r="U246" i="10"/>
  <c r="ET248" i="2"/>
  <c r="U247" i="10"/>
  <c r="ET249" i="2"/>
  <c r="ET250" i="2"/>
  <c r="U249" i="10"/>
  <c r="ET251" i="2"/>
  <c r="U250" i="10"/>
  <c r="ET252" i="2"/>
  <c r="U251" i="10"/>
  <c r="ET253" i="2"/>
  <c r="U252" i="10"/>
  <c r="ET254" i="2"/>
  <c r="U253" i="10"/>
  <c r="ET255" i="2"/>
  <c r="ET256" i="2"/>
  <c r="ET257" i="2"/>
  <c r="U256" i="10"/>
  <c r="ET258" i="2"/>
  <c r="U257" i="10"/>
  <c r="ET259" i="2"/>
  <c r="ET260" i="2"/>
  <c r="ET261" i="2"/>
  <c r="U260" i="10"/>
  <c r="ET262" i="2"/>
  <c r="ET263" i="2"/>
  <c r="U262" i="10"/>
  <c r="ET264" i="2"/>
  <c r="U263" i="10"/>
  <c r="ET265" i="2"/>
  <c r="U264" i="10"/>
  <c r="ET266" i="2"/>
  <c r="U265" i="10"/>
  <c r="ET267" i="2"/>
  <c r="ET268" i="2"/>
  <c r="ET269" i="2"/>
  <c r="U268" i="10"/>
  <c r="ET270" i="2"/>
  <c r="U269" i="10"/>
  <c r="DE468" i="2"/>
  <c r="O467" i="10"/>
  <c r="DE467" i="2"/>
  <c r="O466" i="10"/>
  <c r="DE466" i="2"/>
  <c r="O465" i="10"/>
  <c r="DE465" i="2"/>
  <c r="DE464" i="2"/>
  <c r="O463" i="10"/>
  <c r="DE463" i="2"/>
  <c r="DE462" i="2"/>
  <c r="DE461" i="2"/>
  <c r="DE460" i="2"/>
  <c r="O459" i="10"/>
  <c r="DE459" i="2"/>
  <c r="O458" i="10"/>
  <c r="DE458" i="2"/>
  <c r="O457" i="10"/>
  <c r="DE457" i="2"/>
  <c r="O456" i="10"/>
  <c r="DE456" i="2"/>
  <c r="O455" i="10"/>
  <c r="DE455" i="2"/>
  <c r="O454" i="10"/>
  <c r="DE454" i="2"/>
  <c r="DE453" i="2"/>
  <c r="DE452" i="2"/>
  <c r="DE451" i="2"/>
  <c r="DE450" i="2"/>
  <c r="DE449" i="2"/>
  <c r="DE448" i="2"/>
  <c r="O447" i="10"/>
  <c r="DE447" i="2"/>
  <c r="DE446" i="2"/>
  <c r="DE445" i="2"/>
  <c r="DE444" i="2"/>
  <c r="O443" i="10"/>
  <c r="DE443" i="2"/>
  <c r="DE442" i="2"/>
  <c r="DE441" i="2"/>
  <c r="DE440" i="2"/>
  <c r="DE439" i="2"/>
  <c r="DE438" i="2"/>
  <c r="O437" i="10"/>
  <c r="DE437" i="2"/>
  <c r="DE436" i="2"/>
  <c r="DE435" i="2"/>
  <c r="DE434" i="2"/>
  <c r="DE433" i="2"/>
  <c r="DE432" i="2"/>
  <c r="O431" i="10"/>
  <c r="DE431" i="2"/>
  <c r="DE430" i="2"/>
  <c r="O429" i="10"/>
  <c r="DE429" i="2"/>
  <c r="DE428" i="2"/>
  <c r="DE427" i="2"/>
  <c r="DE426" i="2"/>
  <c r="DE425" i="2"/>
  <c r="DE424" i="2"/>
  <c r="DE423" i="2"/>
  <c r="DE422" i="2"/>
  <c r="O421" i="10"/>
  <c r="DE421" i="2"/>
  <c r="O420" i="10"/>
  <c r="DE420" i="2"/>
  <c r="O419" i="10"/>
  <c r="DE419" i="2"/>
  <c r="DE418" i="2"/>
  <c r="DE417" i="2"/>
  <c r="O416" i="10"/>
  <c r="DE416" i="2"/>
  <c r="DE415" i="2"/>
  <c r="DE414" i="2"/>
  <c r="DE413" i="2"/>
  <c r="DE412" i="2"/>
  <c r="O411" i="10"/>
  <c r="DE411" i="2"/>
  <c r="DE410" i="2"/>
  <c r="DE409" i="2"/>
  <c r="DE408" i="2"/>
  <c r="O407" i="10"/>
  <c r="DE407" i="2"/>
  <c r="DE406" i="2"/>
  <c r="DE405" i="2"/>
  <c r="DE404" i="2"/>
  <c r="DE403" i="2"/>
  <c r="DE402" i="2"/>
  <c r="DE401" i="2"/>
  <c r="O400" i="10"/>
  <c r="DE400" i="2"/>
  <c r="DE399" i="2"/>
  <c r="O398" i="10"/>
  <c r="DE398" i="2"/>
  <c r="DE397" i="2"/>
  <c r="DE396" i="2"/>
  <c r="DE395" i="2"/>
  <c r="DE394" i="2"/>
  <c r="O393" i="10"/>
  <c r="DE393" i="2"/>
  <c r="DE392" i="2"/>
  <c r="DE391" i="2"/>
  <c r="DE390" i="2"/>
  <c r="O389" i="10"/>
  <c r="DE389" i="2"/>
  <c r="DE388" i="2"/>
  <c r="DE387" i="2"/>
  <c r="O386" i="10"/>
  <c r="DE386" i="2"/>
  <c r="DE385" i="2"/>
  <c r="DE384" i="2"/>
  <c r="DE383" i="2"/>
  <c r="O382" i="10"/>
  <c r="DE382" i="2"/>
  <c r="DE381" i="2"/>
  <c r="DE380" i="2"/>
  <c r="DE379" i="2"/>
  <c r="DE378" i="2"/>
  <c r="O377" i="10"/>
  <c r="DE377" i="2"/>
  <c r="DE376" i="2"/>
  <c r="O375" i="10"/>
  <c r="DE375" i="2"/>
  <c r="O374" i="10"/>
  <c r="DE374" i="2"/>
  <c r="DE373" i="2"/>
  <c r="DE372" i="2"/>
  <c r="DE371" i="2"/>
  <c r="DE370" i="2"/>
  <c r="DE369" i="2"/>
  <c r="DE368" i="2"/>
  <c r="DE367" i="2"/>
  <c r="DE366" i="2"/>
  <c r="DE365" i="2"/>
  <c r="DE364" i="2"/>
  <c r="DE363" i="2"/>
  <c r="DE362" i="2"/>
  <c r="DE361" i="2"/>
  <c r="DE360" i="2"/>
  <c r="DE359" i="2"/>
  <c r="DE358" i="2"/>
  <c r="DE357" i="2"/>
  <c r="DE356" i="2"/>
  <c r="DE355" i="2"/>
  <c r="DE354" i="2"/>
  <c r="DE353" i="2"/>
  <c r="DE352" i="2"/>
  <c r="DE351" i="2"/>
  <c r="DE350" i="2"/>
  <c r="O349" i="10"/>
  <c r="DE349" i="2"/>
  <c r="DE348" i="2"/>
  <c r="DE347" i="2"/>
  <c r="DE346" i="2"/>
  <c r="DE345" i="2"/>
  <c r="DE344" i="2"/>
  <c r="DE343" i="2"/>
  <c r="O342" i="10"/>
  <c r="DE342" i="2"/>
  <c r="DE341" i="2"/>
  <c r="DE340" i="2"/>
  <c r="O339" i="10"/>
  <c r="DE339" i="2"/>
  <c r="DE338" i="2"/>
  <c r="DE337" i="2"/>
  <c r="DE336" i="2"/>
  <c r="DE335" i="2"/>
  <c r="DE334" i="2"/>
  <c r="DE333" i="2"/>
  <c r="DE332" i="2"/>
  <c r="DE331" i="2"/>
  <c r="DE330" i="2"/>
  <c r="DE329" i="2"/>
  <c r="O328" i="10"/>
  <c r="DE328" i="2"/>
  <c r="DE327" i="2"/>
  <c r="DE326" i="2"/>
  <c r="DE325" i="2"/>
  <c r="DE324" i="2"/>
  <c r="DE323" i="2"/>
  <c r="DE322" i="2"/>
  <c r="DE321" i="2"/>
  <c r="DE320" i="2"/>
  <c r="DE319" i="2"/>
  <c r="DE318" i="2"/>
  <c r="DE317" i="2"/>
  <c r="DE316" i="2"/>
  <c r="DE315" i="2"/>
  <c r="DE314" i="2"/>
  <c r="DE313" i="2"/>
  <c r="DE312" i="2"/>
  <c r="DE311" i="2"/>
  <c r="DE310" i="2"/>
  <c r="DE309" i="2"/>
  <c r="DE308" i="2"/>
  <c r="DE307" i="2"/>
  <c r="DE306" i="2"/>
  <c r="O305" i="10"/>
  <c r="DE305" i="2"/>
  <c r="DE304" i="2"/>
  <c r="DE303" i="2"/>
  <c r="DE302" i="2"/>
  <c r="DE301" i="2"/>
  <c r="DE300" i="2"/>
  <c r="DE299" i="2"/>
  <c r="DE298" i="2"/>
  <c r="DE297" i="2"/>
  <c r="DE296" i="2"/>
  <c r="DE295" i="2"/>
  <c r="DE294" i="2"/>
  <c r="O293" i="10"/>
  <c r="DE293" i="2"/>
  <c r="DE292" i="2"/>
  <c r="DE291" i="2"/>
  <c r="DE290" i="2"/>
  <c r="DE289" i="2"/>
  <c r="DE288" i="2"/>
  <c r="DE287" i="2"/>
  <c r="DE286" i="2"/>
  <c r="DE285" i="2"/>
  <c r="DE284" i="2"/>
  <c r="DE283" i="2"/>
  <c r="DE282" i="2"/>
  <c r="DE281" i="2"/>
  <c r="DE280" i="2"/>
  <c r="DE279" i="2"/>
  <c r="DE278" i="2"/>
  <c r="DE277" i="2"/>
  <c r="DE276" i="2"/>
  <c r="DE275" i="2"/>
  <c r="DE274" i="2"/>
  <c r="DE273" i="2"/>
  <c r="DE272" i="2"/>
  <c r="DE271" i="2"/>
  <c r="DE270" i="2"/>
  <c r="DE269" i="2"/>
  <c r="DE268" i="2"/>
  <c r="O267" i="10"/>
  <c r="DE267" i="2"/>
  <c r="DE266" i="2"/>
  <c r="DE265" i="2"/>
  <c r="DE264" i="2"/>
  <c r="O263" i="10"/>
  <c r="DE263" i="2"/>
  <c r="DE262" i="2"/>
  <c r="DE261" i="2"/>
  <c r="DE260" i="2"/>
  <c r="DE259" i="2"/>
  <c r="DE258" i="2"/>
  <c r="DE257" i="2"/>
  <c r="DE256" i="2"/>
  <c r="DE255" i="2"/>
  <c r="DE254" i="2"/>
  <c r="DE253" i="2"/>
  <c r="DE252" i="2"/>
  <c r="DE251" i="2"/>
  <c r="DE250" i="2"/>
  <c r="DE249" i="2"/>
  <c r="DE248" i="2"/>
  <c r="DE247" i="2"/>
  <c r="DE246" i="2"/>
  <c r="DE245" i="2"/>
  <c r="DE244" i="2"/>
  <c r="DE243" i="2"/>
  <c r="DE242" i="2"/>
  <c r="DE241" i="2"/>
  <c r="DE240" i="2"/>
  <c r="DE239" i="2"/>
  <c r="DE238" i="2"/>
  <c r="DE237" i="2"/>
  <c r="DE236" i="2"/>
  <c r="DE235" i="2"/>
  <c r="DE234" i="2"/>
  <c r="DE233" i="2"/>
  <c r="DE232" i="2"/>
  <c r="DE231" i="2"/>
  <c r="DE230" i="2"/>
  <c r="DE229" i="2"/>
  <c r="DE228" i="2"/>
  <c r="DE227" i="2"/>
  <c r="DE226" i="2"/>
  <c r="DE225" i="2"/>
  <c r="DE224" i="2"/>
  <c r="DE223" i="2"/>
  <c r="DE222" i="2"/>
  <c r="DE221" i="2"/>
  <c r="DE220" i="2"/>
  <c r="DE219" i="2"/>
  <c r="DE218" i="2"/>
  <c r="DE217" i="2"/>
  <c r="DE215" i="2"/>
  <c r="DE214" i="2"/>
  <c r="DE213" i="2"/>
  <c r="DE212" i="2"/>
  <c r="DE211" i="2"/>
  <c r="DE210" i="2"/>
  <c r="DE209" i="2"/>
  <c r="DE208" i="2"/>
  <c r="DE207" i="2"/>
  <c r="DE206" i="2"/>
  <c r="DE205" i="2"/>
  <c r="DE204" i="2"/>
  <c r="DE203" i="2"/>
  <c r="DE202" i="2"/>
  <c r="DE201" i="2"/>
  <c r="DE200" i="2"/>
  <c r="DE199" i="2"/>
  <c r="DE198" i="2"/>
  <c r="DE197" i="2"/>
  <c r="DE196" i="2"/>
  <c r="DE195" i="2"/>
  <c r="DE194" i="2"/>
  <c r="DE193" i="2"/>
  <c r="DE192" i="2"/>
  <c r="DE191" i="2"/>
  <c r="DE190" i="2"/>
  <c r="DE189" i="2"/>
  <c r="DE188" i="2"/>
  <c r="DE187" i="2"/>
  <c r="DE186" i="2"/>
  <c r="DE185" i="2"/>
  <c r="DE184" i="2"/>
  <c r="DE183" i="2"/>
  <c r="DE182" i="2"/>
  <c r="DE181" i="2"/>
  <c r="DE180" i="2"/>
  <c r="DE179" i="2"/>
  <c r="DE178" i="2"/>
  <c r="DE177" i="2"/>
  <c r="DE176" i="2"/>
  <c r="DE175" i="2"/>
  <c r="DE174" i="2"/>
  <c r="DE173" i="2"/>
  <c r="DE172" i="2"/>
  <c r="DE171" i="2"/>
  <c r="DE170" i="2"/>
  <c r="DE169" i="2"/>
  <c r="DE168" i="2"/>
  <c r="DE167" i="2"/>
  <c r="DE166" i="2"/>
  <c r="DE165" i="2"/>
  <c r="DE164" i="2"/>
  <c r="DE163" i="2"/>
  <c r="DE162" i="2"/>
  <c r="DE161" i="2"/>
  <c r="DE160" i="2"/>
  <c r="DE159" i="2"/>
  <c r="DE158" i="2"/>
  <c r="DE157" i="2"/>
  <c r="DE156" i="2"/>
  <c r="DE155" i="2"/>
  <c r="DE154" i="2"/>
  <c r="DE153" i="2"/>
  <c r="DE152" i="2"/>
  <c r="DE151" i="2"/>
  <c r="DE150" i="2"/>
  <c r="DE149" i="2"/>
  <c r="DE148" i="2"/>
  <c r="DE147" i="2"/>
  <c r="DE146" i="2"/>
  <c r="DE145" i="2"/>
  <c r="DE144" i="2"/>
  <c r="DE143" i="2"/>
  <c r="DE142" i="2"/>
  <c r="DE141" i="2"/>
  <c r="DE140" i="2"/>
  <c r="DE139" i="2"/>
  <c r="DE138" i="2"/>
  <c r="DE137" i="2"/>
  <c r="DE136" i="2"/>
  <c r="DE135" i="2"/>
  <c r="DE134" i="2"/>
  <c r="DE133" i="2"/>
  <c r="DE132" i="2"/>
  <c r="DE131" i="2"/>
  <c r="DE130" i="2"/>
  <c r="DE129" i="2"/>
  <c r="DE128" i="2"/>
  <c r="DE127" i="2"/>
  <c r="DE126" i="2"/>
  <c r="DE125" i="2"/>
  <c r="DE124" i="2"/>
  <c r="DE123" i="2"/>
  <c r="DE122" i="2"/>
  <c r="DE121" i="2"/>
  <c r="DE120" i="2"/>
  <c r="DE119" i="2"/>
  <c r="DE118" i="2"/>
  <c r="DE117" i="2"/>
  <c r="DE116" i="2"/>
  <c r="DE115" i="2"/>
  <c r="DE114" i="2"/>
  <c r="DE113" i="2"/>
  <c r="DE112" i="2"/>
  <c r="DE111" i="2"/>
  <c r="DE110" i="2"/>
  <c r="DE109" i="2"/>
  <c r="DE108" i="2"/>
  <c r="DE107" i="2"/>
  <c r="DE106" i="2"/>
  <c r="DE105" i="2"/>
  <c r="DE104" i="2"/>
  <c r="DE103" i="2"/>
  <c r="DE102" i="2"/>
  <c r="DE101" i="2"/>
  <c r="DE100" i="2"/>
  <c r="O99" i="10"/>
  <c r="DE99" i="2"/>
  <c r="DE98" i="2"/>
  <c r="DE97" i="2"/>
  <c r="DE96" i="2"/>
  <c r="DE95" i="2"/>
  <c r="DE94" i="2"/>
  <c r="DE93" i="2"/>
  <c r="DE92" i="2"/>
  <c r="DE91" i="2"/>
  <c r="DE90" i="2"/>
  <c r="DE89" i="2"/>
  <c r="DE88" i="2"/>
  <c r="DE87" i="2"/>
  <c r="O86" i="10"/>
  <c r="DE86" i="2"/>
  <c r="DE85" i="2"/>
  <c r="DE84" i="2"/>
  <c r="DE83" i="2"/>
  <c r="DE82" i="2"/>
  <c r="DE81" i="2"/>
  <c r="DE80" i="2"/>
  <c r="DE79" i="2"/>
  <c r="DE78" i="2"/>
  <c r="DE77" i="2"/>
  <c r="DE76" i="2"/>
  <c r="DE75" i="2"/>
  <c r="DE74" i="2"/>
  <c r="DE73" i="2"/>
  <c r="DE72" i="2"/>
  <c r="DE71" i="2"/>
  <c r="DE70" i="2"/>
  <c r="DE69" i="2"/>
  <c r="O68" i="10"/>
  <c r="DE68" i="2"/>
  <c r="DE67" i="2"/>
  <c r="DE66" i="2"/>
  <c r="DE65" i="2"/>
  <c r="DE64" i="2"/>
  <c r="DE63" i="2"/>
  <c r="DE62" i="2"/>
  <c r="DE61" i="2"/>
  <c r="DE60" i="2"/>
  <c r="DE59" i="2"/>
  <c r="DE58" i="2"/>
  <c r="DE57" i="2"/>
  <c r="DE56" i="2"/>
  <c r="DE55" i="2"/>
  <c r="DE54" i="2"/>
  <c r="DE53" i="2"/>
  <c r="DE52" i="2"/>
  <c r="DE51" i="2"/>
  <c r="DE50" i="2"/>
  <c r="O49" i="10"/>
  <c r="DE49" i="2"/>
  <c r="DE48" i="2"/>
  <c r="DE47" i="2"/>
  <c r="DE46" i="2"/>
  <c r="DE45" i="2"/>
  <c r="DE44" i="2"/>
  <c r="DE43" i="2"/>
  <c r="DE42" i="2"/>
  <c r="DE41" i="2"/>
  <c r="DE40" i="2"/>
  <c r="DE39" i="2"/>
  <c r="DE38" i="2"/>
  <c r="DE37" i="2"/>
  <c r="DE36" i="2"/>
  <c r="DE35" i="2"/>
  <c r="DE34" i="2"/>
  <c r="DE33" i="2"/>
  <c r="DE32" i="2"/>
  <c r="DE31" i="2"/>
  <c r="DE30" i="2"/>
  <c r="DE29" i="2"/>
  <c r="DE28" i="2"/>
  <c r="DE27" i="2"/>
  <c r="DE26" i="2"/>
  <c r="DE25" i="2"/>
  <c r="DE24" i="2"/>
  <c r="DE23" i="2"/>
  <c r="DE22" i="2"/>
  <c r="DE21" i="2"/>
  <c r="DE20" i="2"/>
  <c r="DE19" i="2"/>
  <c r="DE18" i="2"/>
  <c r="DE17" i="2"/>
  <c r="DE16" i="2"/>
  <c r="DE15" i="2"/>
  <c r="DE14" i="2"/>
  <c r="DE13" i="2"/>
  <c r="DE12" i="2"/>
  <c r="DE11" i="2"/>
  <c r="DE10" i="2"/>
  <c r="DE9" i="2"/>
  <c r="DE8" i="2"/>
  <c r="DE7" i="2"/>
  <c r="DE6" i="2"/>
  <c r="DE5" i="2"/>
  <c r="DE216" i="2"/>
  <c r="H29" i="10"/>
  <c r="H33" i="10"/>
  <c r="H56" i="10"/>
  <c r="H73" i="10"/>
  <c r="H74" i="10"/>
  <c r="H75" i="10"/>
  <c r="H76" i="10"/>
  <c r="H77" i="10"/>
  <c r="H126" i="10"/>
  <c r="H167" i="10"/>
  <c r="H174" i="10"/>
  <c r="H175" i="10"/>
  <c r="H176" i="10"/>
  <c r="H177" i="10"/>
  <c r="H182" i="10"/>
  <c r="H187" i="10"/>
  <c r="H189" i="10"/>
  <c r="H191" i="10"/>
  <c r="H197" i="10"/>
  <c r="H210" i="10"/>
  <c r="H212" i="10"/>
  <c r="H220" i="10"/>
  <c r="H270" i="10"/>
  <c r="H273" i="10"/>
  <c r="H277" i="10"/>
  <c r="H281" i="10"/>
  <c r="H290" i="10"/>
  <c r="H293" i="10"/>
  <c r="H295" i="10"/>
  <c r="H299" i="10"/>
  <c r="H300" i="10"/>
  <c r="H303" i="10"/>
  <c r="H306" i="10"/>
  <c r="H313" i="10"/>
  <c r="H314" i="10"/>
  <c r="H315" i="10"/>
  <c r="H318" i="10"/>
  <c r="H319" i="10"/>
  <c r="H321" i="10"/>
  <c r="H326" i="10"/>
  <c r="H331" i="10"/>
  <c r="H332" i="10"/>
  <c r="GA344" i="2"/>
  <c r="GA343" i="2"/>
  <c r="GA342" i="2"/>
  <c r="GA341" i="2"/>
  <c r="GA340" i="2"/>
  <c r="GA339" i="2"/>
  <c r="GA338" i="2"/>
  <c r="GA337" i="2"/>
  <c r="GA336" i="2"/>
  <c r="GA335" i="2"/>
  <c r="GA334" i="2"/>
  <c r="GA333" i="2"/>
  <c r="GA332" i="2"/>
  <c r="GA331" i="2"/>
  <c r="GA330" i="2"/>
  <c r="GA329" i="2"/>
  <c r="GA328" i="2"/>
  <c r="GA327" i="2"/>
  <c r="GA326" i="2"/>
  <c r="GA325" i="2"/>
  <c r="GA324" i="2"/>
  <c r="GA323" i="2"/>
  <c r="GA322" i="2"/>
  <c r="V321" i="10"/>
  <c r="GA321" i="2"/>
  <c r="GA320" i="2"/>
  <c r="GA319" i="2"/>
  <c r="GA318" i="2"/>
  <c r="V317" i="10"/>
  <c r="GA317" i="2"/>
  <c r="GA316" i="2"/>
  <c r="GA315" i="2"/>
  <c r="GA314" i="2"/>
  <c r="GA313" i="2"/>
  <c r="GA312" i="2"/>
  <c r="GA311" i="2"/>
  <c r="GA310" i="2"/>
  <c r="GA309" i="2"/>
  <c r="GA308" i="2"/>
  <c r="GA307" i="2"/>
  <c r="GA306" i="2"/>
  <c r="GA305" i="2"/>
  <c r="GA304" i="2"/>
  <c r="GA303" i="2"/>
  <c r="GA302" i="2"/>
  <c r="GA301" i="2"/>
  <c r="GA300" i="2"/>
  <c r="GA299" i="2"/>
  <c r="GA298" i="2"/>
  <c r="GA297" i="2"/>
  <c r="GA296" i="2"/>
  <c r="GA295" i="2"/>
  <c r="GA294" i="2"/>
  <c r="GA293" i="2"/>
  <c r="GA292" i="2"/>
  <c r="GA291" i="2"/>
  <c r="GA290" i="2"/>
  <c r="GA289" i="2"/>
  <c r="GA288" i="2"/>
  <c r="GA287" i="2"/>
  <c r="GA286" i="2"/>
  <c r="GA285" i="2"/>
  <c r="GA284" i="2"/>
  <c r="GA283" i="2"/>
  <c r="GA282" i="2"/>
  <c r="GA281" i="2"/>
  <c r="GA280" i="2"/>
  <c r="GA279" i="2"/>
  <c r="GA278" i="2"/>
  <c r="GA277" i="2"/>
  <c r="GA276" i="2"/>
  <c r="GA275" i="2"/>
  <c r="GA274" i="2"/>
  <c r="GA273" i="2"/>
  <c r="GA272" i="2"/>
  <c r="GA271" i="2"/>
  <c r="GA270" i="2"/>
  <c r="GA269" i="2"/>
  <c r="GA268" i="2"/>
  <c r="GA267" i="2"/>
  <c r="GA266" i="2"/>
  <c r="GA265" i="2"/>
  <c r="GA264" i="2"/>
  <c r="GA263" i="2"/>
  <c r="GA262" i="2"/>
  <c r="GA261" i="2"/>
  <c r="GA260" i="2"/>
  <c r="GA259" i="2"/>
  <c r="GA258" i="2"/>
  <c r="GA257" i="2"/>
  <c r="GA256" i="2"/>
  <c r="GA255" i="2"/>
  <c r="GA254" i="2"/>
  <c r="GA253" i="2"/>
  <c r="GA252" i="2"/>
  <c r="GA251" i="2"/>
  <c r="GA250" i="2"/>
  <c r="GA249" i="2"/>
  <c r="GA248" i="2"/>
  <c r="GA247" i="2"/>
  <c r="GA246" i="2"/>
  <c r="GA245" i="2"/>
  <c r="GA244" i="2"/>
  <c r="GA243" i="2"/>
  <c r="GA242" i="2"/>
  <c r="GA241" i="2"/>
  <c r="GA240" i="2"/>
  <c r="GA239" i="2"/>
  <c r="GA238" i="2"/>
  <c r="GA237" i="2"/>
  <c r="GA236" i="2"/>
  <c r="GA235" i="2"/>
  <c r="GA234" i="2"/>
  <c r="GA233" i="2"/>
  <c r="GA232" i="2"/>
  <c r="GA231" i="2"/>
  <c r="GA230" i="2"/>
  <c r="GA229" i="2"/>
  <c r="GA228" i="2"/>
  <c r="GA227" i="2"/>
  <c r="GA226" i="2"/>
  <c r="GA225" i="2"/>
  <c r="GA224" i="2"/>
  <c r="GA223" i="2"/>
  <c r="GA222" i="2"/>
  <c r="GA221" i="2"/>
  <c r="GA220" i="2"/>
  <c r="GA219" i="2"/>
  <c r="GA218" i="2"/>
  <c r="GA217" i="2"/>
  <c r="GA216" i="2"/>
  <c r="GA215" i="2"/>
  <c r="GA214" i="2"/>
  <c r="GA213" i="2"/>
  <c r="GA212" i="2"/>
  <c r="GA211" i="2"/>
  <c r="GA210" i="2"/>
  <c r="GA209" i="2"/>
  <c r="GA208" i="2"/>
  <c r="GA207" i="2"/>
  <c r="GA206" i="2"/>
  <c r="GA205" i="2"/>
  <c r="GA204" i="2"/>
  <c r="GA203" i="2"/>
  <c r="GA202" i="2"/>
  <c r="GA201" i="2"/>
  <c r="GA200" i="2"/>
  <c r="GA199" i="2"/>
  <c r="GA198" i="2"/>
  <c r="GA197" i="2"/>
  <c r="GA196" i="2"/>
  <c r="GA195" i="2"/>
  <c r="GA194" i="2"/>
  <c r="GA193" i="2"/>
  <c r="GA192" i="2"/>
  <c r="GA191" i="2"/>
  <c r="GA190" i="2"/>
  <c r="GA189" i="2"/>
  <c r="GA188" i="2"/>
  <c r="GA187" i="2"/>
  <c r="GA186" i="2"/>
  <c r="GA185" i="2"/>
  <c r="GA184" i="2"/>
  <c r="GA183" i="2"/>
  <c r="GA182" i="2"/>
  <c r="GA181" i="2"/>
  <c r="GA180" i="2"/>
  <c r="GA179" i="2"/>
  <c r="GA178" i="2"/>
  <c r="GA177" i="2"/>
  <c r="GA176" i="2"/>
  <c r="GA175" i="2"/>
  <c r="GA174" i="2"/>
  <c r="GA173" i="2"/>
  <c r="GA172" i="2"/>
  <c r="GA171" i="2"/>
  <c r="GA170" i="2"/>
  <c r="GA169" i="2"/>
  <c r="GA168" i="2"/>
  <c r="GA167" i="2"/>
  <c r="GA166" i="2"/>
  <c r="GA165" i="2"/>
  <c r="GA164" i="2"/>
  <c r="GA163" i="2"/>
  <c r="GA162" i="2"/>
  <c r="GA161" i="2"/>
  <c r="GA160" i="2"/>
  <c r="GA159" i="2"/>
  <c r="GA158" i="2"/>
  <c r="GA157" i="2"/>
  <c r="GA156" i="2"/>
  <c r="GA155" i="2"/>
  <c r="GA154" i="2"/>
  <c r="GA153" i="2"/>
  <c r="GA152" i="2"/>
  <c r="GA151" i="2"/>
  <c r="GA150" i="2"/>
  <c r="GA149" i="2"/>
  <c r="GA148" i="2"/>
  <c r="GA147" i="2"/>
  <c r="GA146" i="2"/>
  <c r="GA145" i="2"/>
  <c r="GA144" i="2"/>
  <c r="GA143" i="2"/>
  <c r="GA142" i="2"/>
  <c r="GA141" i="2"/>
  <c r="GA140" i="2"/>
  <c r="GA139" i="2"/>
  <c r="GA138" i="2"/>
  <c r="GA137" i="2"/>
  <c r="GA136" i="2"/>
  <c r="GA135" i="2"/>
  <c r="GA134" i="2"/>
  <c r="GA133" i="2"/>
  <c r="GA132" i="2"/>
  <c r="GA131" i="2"/>
  <c r="GA130" i="2"/>
  <c r="GA129" i="2"/>
  <c r="GA128" i="2"/>
  <c r="GA127" i="2"/>
  <c r="GA126" i="2"/>
  <c r="GA125" i="2"/>
  <c r="GA124" i="2"/>
  <c r="GA123" i="2"/>
  <c r="GA122" i="2"/>
  <c r="GA121" i="2"/>
  <c r="GA120" i="2"/>
  <c r="GA119" i="2"/>
  <c r="GA118" i="2"/>
  <c r="GA117" i="2"/>
  <c r="GA116" i="2"/>
  <c r="GA115" i="2"/>
  <c r="GA114" i="2"/>
  <c r="GA113" i="2"/>
  <c r="GA112" i="2"/>
  <c r="GA111" i="2"/>
  <c r="GA110" i="2"/>
  <c r="GA109" i="2"/>
  <c r="GA108" i="2"/>
  <c r="GA107" i="2"/>
  <c r="GA106" i="2"/>
  <c r="GA105" i="2"/>
  <c r="GA104" i="2"/>
  <c r="GA103" i="2"/>
  <c r="GA102" i="2"/>
  <c r="GA101" i="2"/>
  <c r="GA100" i="2"/>
  <c r="GA99" i="2"/>
  <c r="GA98" i="2"/>
  <c r="GA97" i="2"/>
  <c r="GA96" i="2"/>
  <c r="GA95" i="2"/>
  <c r="GA94" i="2"/>
  <c r="GA93" i="2"/>
  <c r="GA92" i="2"/>
  <c r="GA91" i="2"/>
  <c r="GA90" i="2"/>
  <c r="GA89" i="2"/>
  <c r="GA88" i="2"/>
  <c r="GA87" i="2"/>
  <c r="GA86" i="2"/>
  <c r="GA85" i="2"/>
  <c r="GA84" i="2"/>
  <c r="GA83" i="2"/>
  <c r="GA82" i="2"/>
  <c r="GA81" i="2"/>
  <c r="GA80" i="2"/>
  <c r="GA79" i="2"/>
  <c r="GA78" i="2"/>
  <c r="GA77" i="2"/>
  <c r="GA76" i="2"/>
  <c r="GA75" i="2"/>
  <c r="GA74" i="2"/>
  <c r="GA73" i="2"/>
  <c r="GA72" i="2"/>
  <c r="GA71" i="2"/>
  <c r="GA70" i="2"/>
  <c r="GA69" i="2"/>
  <c r="GA68" i="2"/>
  <c r="GA67" i="2"/>
  <c r="GA66" i="2"/>
  <c r="GA65" i="2"/>
  <c r="GA64" i="2"/>
  <c r="GA63" i="2"/>
  <c r="GA62" i="2"/>
  <c r="GA61" i="2"/>
  <c r="GA60" i="2"/>
  <c r="GA59" i="2"/>
  <c r="GA58" i="2"/>
  <c r="GA57" i="2"/>
  <c r="GA56" i="2"/>
  <c r="GA55" i="2"/>
  <c r="GA54" i="2"/>
  <c r="GA53" i="2"/>
  <c r="GA52" i="2"/>
  <c r="GA51" i="2"/>
  <c r="GA50" i="2"/>
  <c r="GA49" i="2"/>
  <c r="GA48" i="2"/>
  <c r="GA47" i="2"/>
  <c r="GA46" i="2"/>
  <c r="GA45" i="2"/>
  <c r="GA44" i="2"/>
  <c r="GA43" i="2"/>
  <c r="GA42" i="2"/>
  <c r="GA41" i="2"/>
  <c r="GA40" i="2"/>
  <c r="GA39" i="2"/>
  <c r="GA38" i="2"/>
  <c r="GA37" i="2"/>
  <c r="GA36" i="2"/>
  <c r="GA35" i="2"/>
  <c r="GA34" i="2"/>
  <c r="GA33" i="2"/>
  <c r="GA32" i="2"/>
  <c r="GA31" i="2"/>
  <c r="GA30" i="2"/>
  <c r="GA29" i="2"/>
  <c r="GA28" i="2"/>
  <c r="GA27" i="2"/>
  <c r="GA26" i="2"/>
  <c r="GA25" i="2"/>
  <c r="GA24" i="2"/>
  <c r="GA23" i="2"/>
  <c r="GA22" i="2"/>
  <c r="GA21" i="2"/>
  <c r="GA20" i="2"/>
  <c r="GA19" i="2"/>
  <c r="GA18" i="2"/>
  <c r="GA17" i="2"/>
  <c r="GA16" i="2"/>
  <c r="GA15" i="2"/>
  <c r="GA14" i="2"/>
  <c r="GA13" i="2"/>
  <c r="GA12" i="2"/>
  <c r="GA11" i="2"/>
  <c r="V10" i="10"/>
  <c r="GA10" i="2"/>
  <c r="GA9" i="2"/>
  <c r="GA8" i="2"/>
  <c r="GA7" i="2"/>
  <c r="GA6" i="2"/>
  <c r="GA5" i="2"/>
  <c r="ET5" i="2"/>
  <c r="S270" i="10"/>
  <c r="S273" i="10"/>
  <c r="S277" i="10"/>
  <c r="S281" i="10"/>
  <c r="S290" i="10"/>
  <c r="S293" i="10"/>
  <c r="S295" i="10"/>
  <c r="S299" i="10"/>
  <c r="S300" i="10"/>
  <c r="S303" i="10"/>
  <c r="S306" i="10"/>
  <c r="S313" i="10"/>
  <c r="S314" i="10"/>
  <c r="S315" i="10"/>
  <c r="S318" i="10"/>
  <c r="S321" i="10"/>
  <c r="S326" i="10"/>
  <c r="S331" i="10"/>
  <c r="R270" i="10"/>
  <c r="R273" i="10"/>
  <c r="R277" i="10"/>
  <c r="R281" i="10"/>
  <c r="R290" i="10"/>
  <c r="R293" i="10"/>
  <c r="R295" i="10"/>
  <c r="R299" i="10"/>
  <c r="R300" i="10"/>
  <c r="R303" i="10"/>
  <c r="R306" i="10"/>
  <c r="R313" i="10"/>
  <c r="R314" i="10"/>
  <c r="R315" i="10"/>
  <c r="R318" i="10"/>
  <c r="R321" i="10"/>
  <c r="R326" i="10"/>
  <c r="R331" i="10"/>
  <c r="Q270" i="10"/>
  <c r="Q273" i="10"/>
  <c r="Q277" i="10"/>
  <c r="Q281" i="10"/>
  <c r="Q290" i="10"/>
  <c r="Q293" i="10"/>
  <c r="Q295" i="10"/>
  <c r="Q299" i="10"/>
  <c r="Q300" i="10"/>
  <c r="Q303" i="10"/>
  <c r="Q306" i="10"/>
  <c r="Q313" i="10"/>
  <c r="Q314" i="10"/>
  <c r="Q315" i="10"/>
  <c r="Q318" i="10"/>
  <c r="Q321" i="10"/>
  <c r="Q326" i="10"/>
  <c r="Q331" i="10"/>
  <c r="P270" i="10"/>
  <c r="P273" i="10"/>
  <c r="P277" i="10"/>
  <c r="P281" i="10"/>
  <c r="P290" i="10"/>
  <c r="P293" i="10"/>
  <c r="P295" i="10"/>
  <c r="P299" i="10"/>
  <c r="P300" i="10"/>
  <c r="P303" i="10"/>
  <c r="P306" i="10"/>
  <c r="P313" i="10"/>
  <c r="P314" i="10"/>
  <c r="P315" i="10"/>
  <c r="P318" i="10"/>
  <c r="P321" i="10"/>
  <c r="P326" i="10"/>
  <c r="P331"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 i="10"/>
  <c r="C2" i="10"/>
  <c r="EI5" i="2"/>
  <c r="EI6" i="2"/>
  <c r="EI7" i="2"/>
  <c r="EI8" i="2"/>
  <c r="EI9" i="2"/>
  <c r="EI10" i="2"/>
  <c r="EI11" i="2"/>
  <c r="EI12" i="2"/>
  <c r="EI13" i="2"/>
  <c r="EI14" i="2"/>
  <c r="EI15" i="2"/>
  <c r="EI16" i="2"/>
  <c r="EI17" i="2"/>
  <c r="EI18" i="2"/>
  <c r="EI19" i="2"/>
  <c r="EI20" i="2"/>
  <c r="EI21" i="2"/>
  <c r="EI22" i="2"/>
  <c r="EI23" i="2"/>
  <c r="EI24" i="2"/>
  <c r="EI25" i="2"/>
  <c r="EI26" i="2"/>
  <c r="EI27" i="2"/>
  <c r="EI28" i="2"/>
  <c r="EI29" i="2"/>
  <c r="EI30" i="2"/>
  <c r="EI31" i="2"/>
  <c r="EI32" i="2"/>
  <c r="EI33" i="2"/>
  <c r="EI34" i="2"/>
  <c r="EI35" i="2"/>
  <c r="EI36" i="2"/>
  <c r="EI37" i="2"/>
  <c r="EI38" i="2"/>
  <c r="EI39" i="2"/>
  <c r="EI40" i="2"/>
  <c r="EI41" i="2"/>
  <c r="EI42" i="2"/>
  <c r="EI43" i="2"/>
  <c r="EI44" i="2"/>
  <c r="EI45" i="2"/>
  <c r="EI46" i="2"/>
  <c r="EI47" i="2"/>
  <c r="EI48" i="2"/>
  <c r="EI49" i="2"/>
  <c r="EI50" i="2"/>
  <c r="EI51" i="2"/>
  <c r="EI52" i="2"/>
  <c r="EI53" i="2"/>
  <c r="EI54" i="2"/>
  <c r="EI55" i="2"/>
  <c r="EI56" i="2"/>
  <c r="EI57" i="2"/>
  <c r="EI58" i="2"/>
  <c r="EI59" i="2"/>
  <c r="EI60" i="2"/>
  <c r="EI61" i="2"/>
  <c r="EI62" i="2"/>
  <c r="EI63" i="2"/>
  <c r="EI64" i="2"/>
  <c r="EI65" i="2"/>
  <c r="EI66" i="2"/>
  <c r="EI67" i="2"/>
  <c r="EI68" i="2"/>
  <c r="EI69" i="2"/>
  <c r="EI70" i="2"/>
  <c r="EI71" i="2"/>
  <c r="EI72" i="2"/>
  <c r="EI73" i="2"/>
  <c r="EI74" i="2"/>
  <c r="EI75" i="2"/>
  <c r="EI76" i="2"/>
  <c r="EI77" i="2"/>
  <c r="EI78" i="2"/>
  <c r="EI79" i="2"/>
  <c r="EI80" i="2"/>
  <c r="EI81" i="2"/>
  <c r="EI82" i="2"/>
  <c r="EI83" i="2"/>
  <c r="EI84" i="2"/>
  <c r="EI85" i="2"/>
  <c r="EI86" i="2"/>
  <c r="EI87" i="2"/>
  <c r="EI88" i="2"/>
  <c r="EI89" i="2"/>
  <c r="EI90" i="2"/>
  <c r="EI91" i="2"/>
  <c r="EI92" i="2"/>
  <c r="EI93" i="2"/>
  <c r="EI94" i="2"/>
  <c r="EI95" i="2"/>
  <c r="EI96" i="2"/>
  <c r="EI97" i="2"/>
  <c r="EI98" i="2"/>
  <c r="EI99" i="2"/>
  <c r="EI100" i="2"/>
  <c r="EI101" i="2"/>
  <c r="EI102" i="2"/>
  <c r="EI103" i="2"/>
  <c r="EI104" i="2"/>
  <c r="EI105" i="2"/>
  <c r="EI106" i="2"/>
  <c r="EI107" i="2"/>
  <c r="EI108" i="2"/>
  <c r="EI109" i="2"/>
  <c r="EI110" i="2"/>
  <c r="EI111" i="2"/>
  <c r="EI112" i="2"/>
  <c r="EI113" i="2"/>
  <c r="EI114" i="2"/>
  <c r="EI115" i="2"/>
  <c r="EI116" i="2"/>
  <c r="EI117" i="2"/>
  <c r="EI118" i="2"/>
  <c r="EI119" i="2"/>
  <c r="EI120" i="2"/>
  <c r="T119" i="10"/>
  <c r="EI121" i="2"/>
  <c r="EI122" i="2"/>
  <c r="EI123" i="2"/>
  <c r="EI124" i="2"/>
  <c r="T123" i="10"/>
  <c r="EI125" i="2"/>
  <c r="EI126" i="2"/>
  <c r="EI127" i="2"/>
  <c r="EI128" i="2"/>
  <c r="EI129" i="2"/>
  <c r="EI130" i="2"/>
  <c r="EI131" i="2"/>
  <c r="EI132" i="2"/>
  <c r="EI133" i="2"/>
  <c r="EI134" i="2"/>
  <c r="EI135" i="2"/>
  <c r="EI136" i="2"/>
  <c r="EI137" i="2"/>
  <c r="EI138" i="2"/>
  <c r="EI139" i="2"/>
  <c r="EI140" i="2"/>
  <c r="EI141" i="2"/>
  <c r="EI142" i="2"/>
  <c r="EI143" i="2"/>
  <c r="EI144" i="2"/>
  <c r="EI145" i="2"/>
  <c r="EI146" i="2"/>
  <c r="EI147" i="2"/>
  <c r="EI148" i="2"/>
  <c r="EI149" i="2"/>
  <c r="EI150" i="2"/>
  <c r="EI151" i="2"/>
  <c r="EI152" i="2"/>
  <c r="EI153" i="2"/>
  <c r="EI154" i="2"/>
  <c r="EI155" i="2"/>
  <c r="EI156" i="2"/>
  <c r="EI157" i="2"/>
  <c r="EI158" i="2"/>
  <c r="EI159" i="2"/>
  <c r="EI160" i="2"/>
  <c r="EI161" i="2"/>
  <c r="EI162" i="2"/>
  <c r="EI163" i="2"/>
  <c r="EI164" i="2"/>
  <c r="EI165" i="2"/>
  <c r="EI166" i="2"/>
  <c r="EI167" i="2"/>
  <c r="EI168" i="2"/>
  <c r="EI169" i="2"/>
  <c r="EI170" i="2"/>
  <c r="EI171" i="2"/>
  <c r="EI172" i="2"/>
  <c r="EI173" i="2"/>
  <c r="EI174" i="2"/>
  <c r="EI175" i="2"/>
  <c r="EI176" i="2"/>
  <c r="EI177" i="2"/>
  <c r="EI178" i="2"/>
  <c r="EI179" i="2"/>
  <c r="EI180" i="2"/>
  <c r="EI181" i="2"/>
  <c r="EI182" i="2"/>
  <c r="EI183" i="2"/>
  <c r="EI184" i="2"/>
  <c r="EI185" i="2"/>
  <c r="EI186" i="2"/>
  <c r="EI187" i="2"/>
  <c r="EI188" i="2"/>
  <c r="EI189" i="2"/>
  <c r="EI190" i="2"/>
  <c r="EI191" i="2"/>
  <c r="EI192" i="2"/>
  <c r="EI193" i="2"/>
  <c r="EI194" i="2"/>
  <c r="EI195" i="2"/>
  <c r="EI196" i="2"/>
  <c r="EI197" i="2"/>
  <c r="EI198" i="2"/>
  <c r="EI199" i="2"/>
  <c r="EI200" i="2"/>
  <c r="EI201" i="2"/>
  <c r="EI202" i="2"/>
  <c r="EI203" i="2"/>
  <c r="EI204" i="2"/>
  <c r="EI205" i="2"/>
  <c r="EI206" i="2"/>
  <c r="EI207" i="2"/>
  <c r="EI208" i="2"/>
  <c r="EI209" i="2"/>
  <c r="EI210" i="2"/>
  <c r="EI211" i="2"/>
  <c r="EI212" i="2"/>
  <c r="EI213" i="2"/>
  <c r="EI214" i="2"/>
  <c r="EI215" i="2"/>
  <c r="EI216" i="2"/>
  <c r="EI217" i="2"/>
  <c r="EI218" i="2"/>
  <c r="EI219" i="2"/>
  <c r="EI220" i="2"/>
  <c r="EI221" i="2"/>
  <c r="T220" i="10"/>
  <c r="EI222" i="2"/>
  <c r="EI223" i="2"/>
  <c r="EI224" i="2"/>
  <c r="EI225" i="2"/>
  <c r="T224" i="10"/>
  <c r="EI226" i="2"/>
  <c r="EI227" i="2"/>
  <c r="EI228" i="2"/>
  <c r="EI229" i="2"/>
  <c r="EI230" i="2"/>
  <c r="EI231" i="2"/>
  <c r="EI232" i="2"/>
  <c r="EI233" i="2"/>
  <c r="EI234" i="2"/>
  <c r="EI235" i="2"/>
  <c r="EI236" i="2"/>
  <c r="EI237" i="2"/>
  <c r="EI238" i="2"/>
  <c r="EI239" i="2"/>
  <c r="EI240" i="2"/>
  <c r="EI241" i="2"/>
  <c r="EI242" i="2"/>
  <c r="EI243" i="2"/>
  <c r="EI244" i="2"/>
  <c r="EI245" i="2"/>
  <c r="EI246" i="2"/>
  <c r="EI247" i="2"/>
  <c r="EI248" i="2"/>
  <c r="EI249" i="2"/>
  <c r="EI250" i="2"/>
  <c r="EI251" i="2"/>
  <c r="EI252" i="2"/>
  <c r="EI253" i="2"/>
  <c r="EI254" i="2"/>
  <c r="EI255" i="2"/>
  <c r="EI256" i="2"/>
  <c r="EI257" i="2"/>
  <c r="EI258" i="2"/>
  <c r="EI259" i="2"/>
  <c r="EI260" i="2"/>
  <c r="EI261" i="2"/>
  <c r="EI262" i="2"/>
  <c r="EI263" i="2"/>
  <c r="EI264" i="2"/>
  <c r="EI265" i="2"/>
  <c r="EI266" i="2"/>
  <c r="EI267" i="2"/>
  <c r="EI268" i="2"/>
  <c r="EI269" i="2"/>
  <c r="EI270" i="2"/>
  <c r="EI271" i="2"/>
  <c r="EI272" i="2"/>
  <c r="EI273" i="2"/>
  <c r="EI274" i="2"/>
  <c r="EI275" i="2"/>
  <c r="EI276" i="2"/>
  <c r="EI277" i="2"/>
  <c r="EI278" i="2"/>
  <c r="EI279" i="2"/>
  <c r="EI280" i="2"/>
  <c r="T279" i="10"/>
  <c r="EI281" i="2"/>
  <c r="EI282" i="2"/>
  <c r="T281" i="10"/>
  <c r="EI283" i="2"/>
  <c r="EI284" i="2"/>
  <c r="EI285" i="2"/>
  <c r="EI286" i="2"/>
  <c r="EI287" i="2"/>
  <c r="EI288" i="2"/>
  <c r="EI289" i="2"/>
  <c r="EI290" i="2"/>
  <c r="EI291" i="2"/>
  <c r="EI292" i="2"/>
  <c r="EI293" i="2"/>
  <c r="EI294" i="2"/>
  <c r="EI295" i="2"/>
  <c r="EI296" i="2"/>
  <c r="EI297" i="2"/>
  <c r="EI298" i="2"/>
  <c r="EI299" i="2"/>
  <c r="EI300" i="2"/>
  <c r="EI301" i="2"/>
  <c r="EI302" i="2"/>
  <c r="EI303" i="2"/>
  <c r="EI304" i="2"/>
  <c r="EI305" i="2"/>
  <c r="EI306" i="2"/>
  <c r="EI307" i="2"/>
  <c r="EI308" i="2"/>
  <c r="EI309" i="2"/>
  <c r="EI310" i="2"/>
  <c r="EI311" i="2"/>
  <c r="EI312" i="2"/>
  <c r="EI313" i="2"/>
  <c r="EI314" i="2"/>
  <c r="EI315" i="2"/>
  <c r="EI316" i="2"/>
  <c r="EI317" i="2"/>
  <c r="EI318" i="2"/>
  <c r="EI319" i="2"/>
  <c r="EI320" i="2"/>
  <c r="EI321" i="2"/>
  <c r="EI322" i="2"/>
  <c r="EI323" i="2"/>
  <c r="EI324" i="2"/>
  <c r="EI325" i="2"/>
  <c r="EI326" i="2"/>
  <c r="EI327" i="2"/>
  <c r="EI328" i="2"/>
  <c r="EI329" i="2"/>
  <c r="EI330" i="2"/>
  <c r="EI331" i="2"/>
  <c r="EI332" i="2"/>
  <c r="EI333" i="2"/>
  <c r="EI334" i="2"/>
  <c r="EI335" i="2"/>
  <c r="EI336" i="2"/>
  <c r="EI337" i="2"/>
  <c r="EI338" i="2"/>
  <c r="EI339" i="2"/>
  <c r="EI340" i="2"/>
  <c r="EI341" i="2"/>
  <c r="EI342" i="2"/>
  <c r="EI343" i="2"/>
  <c r="EI344" i="2"/>
  <c r="EI345" i="2"/>
  <c r="EI346" i="2"/>
  <c r="EI347" i="2"/>
  <c r="EI348" i="2"/>
  <c r="EI349" i="2"/>
  <c r="EI350" i="2"/>
  <c r="EI351" i="2"/>
  <c r="EI352" i="2"/>
  <c r="EI353" i="2"/>
  <c r="EI354" i="2"/>
  <c r="EI355" i="2"/>
  <c r="EI356" i="2"/>
  <c r="EI357" i="2"/>
  <c r="EI358" i="2"/>
  <c r="EI359" i="2"/>
  <c r="EI360" i="2"/>
  <c r="EI361" i="2"/>
  <c r="EI362" i="2"/>
  <c r="EI363" i="2"/>
  <c r="EI364" i="2"/>
  <c r="EI365" i="2"/>
  <c r="EI366" i="2"/>
  <c r="EI367" i="2"/>
  <c r="EI368" i="2"/>
  <c r="EI369" i="2"/>
  <c r="EI370" i="2"/>
  <c r="EI371" i="2"/>
  <c r="EI372" i="2"/>
  <c r="EI373" i="2"/>
  <c r="EI374" i="2"/>
  <c r="EI375" i="2"/>
  <c r="EI376" i="2"/>
  <c r="EI377" i="2"/>
  <c r="EI378" i="2"/>
  <c r="EI379" i="2"/>
  <c r="EI380" i="2"/>
  <c r="EI381" i="2"/>
  <c r="EI382" i="2"/>
  <c r="EI383" i="2"/>
  <c r="EI384" i="2"/>
  <c r="EI385" i="2"/>
  <c r="EI386" i="2"/>
  <c r="EI387" i="2"/>
  <c r="EI388" i="2"/>
  <c r="EI389" i="2"/>
  <c r="EI390" i="2"/>
  <c r="T389" i="10"/>
  <c r="EI391" i="2"/>
  <c r="EI392" i="2"/>
  <c r="EI393" i="2"/>
  <c r="EI394" i="2"/>
  <c r="EI395" i="2"/>
  <c r="EI396" i="2"/>
  <c r="EI397" i="2"/>
  <c r="EI398" i="2"/>
  <c r="EI399" i="2"/>
  <c r="EI400" i="2"/>
  <c r="EI401" i="2"/>
  <c r="EI402" i="2"/>
  <c r="EI403" i="2"/>
  <c r="EI404" i="2"/>
  <c r="EI405" i="2"/>
  <c r="EI406" i="2"/>
  <c r="EI407" i="2"/>
  <c r="EI408" i="2"/>
  <c r="EI409" i="2"/>
  <c r="EI410" i="2"/>
  <c r="EI411" i="2"/>
  <c r="EI412" i="2"/>
  <c r="EI413" i="2"/>
  <c r="EI414" i="2"/>
  <c r="EI415" i="2"/>
  <c r="EI416" i="2"/>
  <c r="EI417" i="2"/>
  <c r="EI418" i="2"/>
  <c r="EI419" i="2"/>
  <c r="EI420" i="2"/>
  <c r="EI421" i="2"/>
  <c r="EI422" i="2"/>
  <c r="EI423" i="2"/>
  <c r="EI424" i="2"/>
  <c r="EI425" i="2"/>
  <c r="EI426" i="2"/>
  <c r="EI427" i="2"/>
  <c r="EI428" i="2"/>
  <c r="EI429" i="2"/>
  <c r="EI430" i="2"/>
  <c r="EI431" i="2"/>
  <c r="EI432" i="2"/>
  <c r="EI433" i="2"/>
  <c r="EI434" i="2"/>
  <c r="EI435" i="2"/>
  <c r="EI436" i="2"/>
  <c r="EI437" i="2"/>
  <c r="EI438" i="2"/>
  <c r="EI439" i="2"/>
  <c r="EI440" i="2"/>
  <c r="EI441" i="2"/>
  <c r="EI442" i="2"/>
  <c r="EI443" i="2"/>
  <c r="EI444" i="2"/>
  <c r="EI445" i="2"/>
  <c r="EI446" i="2"/>
  <c r="EI447" i="2"/>
  <c r="EI448" i="2"/>
  <c r="EI449" i="2"/>
  <c r="EI450" i="2"/>
  <c r="EI451" i="2"/>
  <c r="EI452" i="2"/>
  <c r="EI453" i="2"/>
  <c r="EI454" i="2"/>
  <c r="EI455" i="2"/>
  <c r="EI456" i="2"/>
  <c r="EI457" i="2"/>
  <c r="EI458" i="2"/>
  <c r="EI459" i="2"/>
  <c r="EI460" i="2"/>
  <c r="EI461" i="2"/>
  <c r="EI462" i="2"/>
  <c r="EI463" i="2"/>
  <c r="EI464" i="2"/>
  <c r="EI465" i="2"/>
  <c r="EI466" i="2"/>
  <c r="EI467" i="2"/>
  <c r="EI468" i="2"/>
  <c r="BJ228" i="2"/>
  <c r="W228" i="2"/>
  <c r="M227" i="10"/>
  <c r="AU401" i="2"/>
  <c r="AP401" i="2"/>
  <c r="AO401" i="2"/>
  <c r="AP422" i="2"/>
  <c r="AO422" i="2"/>
  <c r="AP404" i="2"/>
  <c r="AO404" i="2"/>
  <c r="AP425" i="2"/>
  <c r="AO425" i="2"/>
  <c r="AP341" i="2"/>
  <c r="AO341" i="2"/>
  <c r="AO5" i="2"/>
  <c r="AO6" i="2"/>
  <c r="AO7" i="2"/>
  <c r="AO8" i="2"/>
  <c r="AO9" i="2"/>
  <c r="AO10" i="2"/>
  <c r="AO11" i="2"/>
  <c r="AO12" i="2"/>
  <c r="AO13" i="2"/>
  <c r="AO14" i="2"/>
  <c r="AO15" i="2"/>
  <c r="AO16" i="2"/>
  <c r="AO17" i="2"/>
  <c r="AO18" i="2"/>
  <c r="AO19" i="2"/>
  <c r="AO20" i="2"/>
  <c r="AO21" i="2"/>
  <c r="AO22" i="2"/>
  <c r="AO23" i="2"/>
  <c r="AO24" i="2"/>
  <c r="AO25" i="2"/>
  <c r="AO26" i="2"/>
  <c r="AO27" i="2"/>
  <c r="AO28" i="2"/>
  <c r="AO29" i="2"/>
  <c r="AO30" i="2"/>
  <c r="AO31" i="2"/>
  <c r="AO32" i="2"/>
  <c r="AO33" i="2"/>
  <c r="AO34" i="2"/>
  <c r="AO35" i="2"/>
  <c r="AO36" i="2"/>
  <c r="AO37" i="2"/>
  <c r="AO38" i="2"/>
  <c r="AO39" i="2"/>
  <c r="AO40" i="2"/>
  <c r="AO41" i="2"/>
  <c r="AO42" i="2"/>
  <c r="AO43" i="2"/>
  <c r="AO44" i="2"/>
  <c r="AO45" i="2"/>
  <c r="AO46" i="2"/>
  <c r="AO47" i="2"/>
  <c r="AO48" i="2"/>
  <c r="AO49" i="2"/>
  <c r="AO50" i="2"/>
  <c r="AO51" i="2"/>
  <c r="AO52" i="2"/>
  <c r="AO53" i="2"/>
  <c r="AO54" i="2"/>
  <c r="AO55" i="2"/>
  <c r="AO56" i="2"/>
  <c r="AO57" i="2"/>
  <c r="AO58" i="2"/>
  <c r="AO59" i="2"/>
  <c r="AO60" i="2"/>
  <c r="AO61" i="2"/>
  <c r="AO62" i="2"/>
  <c r="AO63" i="2"/>
  <c r="AO64" i="2"/>
  <c r="AO65" i="2"/>
  <c r="AO66" i="2"/>
  <c r="AO67" i="2"/>
  <c r="AO68" i="2"/>
  <c r="AO69" i="2"/>
  <c r="AO70" i="2"/>
  <c r="AO71" i="2"/>
  <c r="AO72" i="2"/>
  <c r="AO73" i="2"/>
  <c r="AO74" i="2"/>
  <c r="AO75" i="2"/>
  <c r="AO76" i="2"/>
  <c r="AO77" i="2"/>
  <c r="AO78" i="2"/>
  <c r="AO79" i="2"/>
  <c r="AO80" i="2"/>
  <c r="AO81" i="2"/>
  <c r="AO82" i="2"/>
  <c r="AO83" i="2"/>
  <c r="AO84" i="2"/>
  <c r="AO85" i="2"/>
  <c r="AO86" i="2"/>
  <c r="AO87" i="2"/>
  <c r="AO88" i="2"/>
  <c r="AO89" i="2"/>
  <c r="AO90" i="2"/>
  <c r="AO91" i="2"/>
  <c r="AO92" i="2"/>
  <c r="AO93" i="2"/>
  <c r="AO94" i="2"/>
  <c r="AO95" i="2"/>
  <c r="AO96" i="2"/>
  <c r="AO97" i="2"/>
  <c r="AO98" i="2"/>
  <c r="AO99" i="2"/>
  <c r="AO100" i="2"/>
  <c r="AO101" i="2"/>
  <c r="AO102" i="2"/>
  <c r="AO103" i="2"/>
  <c r="AO104" i="2"/>
  <c r="AO105" i="2"/>
  <c r="AO106" i="2"/>
  <c r="AO107" i="2"/>
  <c r="AO108" i="2"/>
  <c r="AO109" i="2"/>
  <c r="AO110" i="2"/>
  <c r="AO111" i="2"/>
  <c r="AO112" i="2"/>
  <c r="AO113" i="2"/>
  <c r="AO114" i="2"/>
  <c r="AO115" i="2"/>
  <c r="AO116" i="2"/>
  <c r="AO117" i="2"/>
  <c r="AO118" i="2"/>
  <c r="AO119" i="2"/>
  <c r="AO120" i="2"/>
  <c r="AO121" i="2"/>
  <c r="AO122" i="2"/>
  <c r="AO123" i="2"/>
  <c r="AO124" i="2"/>
  <c r="AO125" i="2"/>
  <c r="AO126" i="2"/>
  <c r="AO127" i="2"/>
  <c r="AO128" i="2"/>
  <c r="AO129" i="2"/>
  <c r="AO130" i="2"/>
  <c r="AO131" i="2"/>
  <c r="AO132" i="2"/>
  <c r="AO133" i="2"/>
  <c r="AO134" i="2"/>
  <c r="AO135" i="2"/>
  <c r="AO136" i="2"/>
  <c r="AO137" i="2"/>
  <c r="AO138" i="2"/>
  <c r="AO139" i="2"/>
  <c r="AO140" i="2"/>
  <c r="AO141" i="2"/>
  <c r="AO142" i="2"/>
  <c r="AO143" i="2"/>
  <c r="AO144" i="2"/>
  <c r="AO145" i="2"/>
  <c r="AO146" i="2"/>
  <c r="AO147" i="2"/>
  <c r="AO148" i="2"/>
  <c r="AO149" i="2"/>
  <c r="AO150" i="2"/>
  <c r="AO151" i="2"/>
  <c r="AO152" i="2"/>
  <c r="AO153" i="2"/>
  <c r="AO154" i="2"/>
  <c r="AO155" i="2"/>
  <c r="AO157" i="2"/>
  <c r="AO158" i="2"/>
  <c r="AO159" i="2"/>
  <c r="AO160" i="2"/>
  <c r="AO161" i="2"/>
  <c r="AO162" i="2"/>
  <c r="AO163" i="2"/>
  <c r="AO164" i="2"/>
  <c r="AO165" i="2"/>
  <c r="AO166" i="2"/>
  <c r="AO167" i="2"/>
  <c r="AO168" i="2"/>
  <c r="AO169" i="2"/>
  <c r="AO170" i="2"/>
  <c r="AO171" i="2"/>
  <c r="AO172" i="2"/>
  <c r="AO173" i="2"/>
  <c r="AO174" i="2"/>
  <c r="AO175" i="2"/>
  <c r="AO176" i="2"/>
  <c r="AO177" i="2"/>
  <c r="AO178" i="2"/>
  <c r="AO179" i="2"/>
  <c r="AO180" i="2"/>
  <c r="AO181" i="2"/>
  <c r="AO182" i="2"/>
  <c r="AO183" i="2"/>
  <c r="AO184" i="2"/>
  <c r="AO185" i="2"/>
  <c r="AO186" i="2"/>
  <c r="AO187" i="2"/>
  <c r="AO188" i="2"/>
  <c r="AO189" i="2"/>
  <c r="AO190" i="2"/>
  <c r="AO191" i="2"/>
  <c r="AO192" i="2"/>
  <c r="AO193" i="2"/>
  <c r="AO194" i="2"/>
  <c r="AO195" i="2"/>
  <c r="AO196" i="2"/>
  <c r="AO197" i="2"/>
  <c r="AO198" i="2"/>
  <c r="AO199" i="2"/>
  <c r="AO200" i="2"/>
  <c r="AO201" i="2"/>
  <c r="AO202" i="2"/>
  <c r="AO203" i="2"/>
  <c r="AO204" i="2"/>
  <c r="AO205" i="2"/>
  <c r="AO206" i="2"/>
  <c r="AO207" i="2"/>
  <c r="AO208" i="2"/>
  <c r="AO209" i="2"/>
  <c r="AO210" i="2"/>
  <c r="AO211" i="2"/>
  <c r="AO212" i="2"/>
  <c r="AO213" i="2"/>
  <c r="AO214" i="2"/>
  <c r="AO215" i="2"/>
  <c r="AO216" i="2"/>
  <c r="AO217" i="2"/>
  <c r="AO218" i="2"/>
  <c r="AO219" i="2"/>
  <c r="AO220" i="2"/>
  <c r="AO221" i="2"/>
  <c r="AO222" i="2"/>
  <c r="AO223" i="2"/>
  <c r="AO224" i="2"/>
  <c r="AO225" i="2"/>
  <c r="AO226" i="2"/>
  <c r="AO227" i="2"/>
  <c r="AO228" i="2"/>
  <c r="AO229" i="2"/>
  <c r="AO230" i="2"/>
  <c r="AO231" i="2"/>
  <c r="AO232" i="2"/>
  <c r="AO233" i="2"/>
  <c r="AO234" i="2"/>
  <c r="AO235" i="2"/>
  <c r="AO236" i="2"/>
  <c r="AO237" i="2"/>
  <c r="AO238" i="2"/>
  <c r="AO239" i="2"/>
  <c r="AO240" i="2"/>
  <c r="AO241" i="2"/>
  <c r="AO242" i="2"/>
  <c r="AO243" i="2"/>
  <c r="AO244" i="2"/>
  <c r="AO245" i="2"/>
  <c r="AO246" i="2"/>
  <c r="AO249" i="2"/>
  <c r="AO250" i="2"/>
  <c r="AO251" i="2"/>
  <c r="AO255" i="2"/>
  <c r="AO256" i="2"/>
  <c r="AO259" i="2"/>
  <c r="AO260" i="2"/>
  <c r="AO261" i="2"/>
  <c r="AO262" i="2"/>
  <c r="AO263" i="2"/>
  <c r="AO264" i="2"/>
  <c r="AO265" i="2"/>
  <c r="AO266" i="2"/>
  <c r="AO267" i="2"/>
  <c r="AO268" i="2"/>
  <c r="AO269" i="2"/>
  <c r="AO270" i="2"/>
  <c r="AO271" i="2"/>
  <c r="AO272" i="2"/>
  <c r="AO273" i="2"/>
  <c r="AO274" i="2"/>
  <c r="AO275" i="2"/>
  <c r="AO276" i="2"/>
  <c r="AO277" i="2"/>
  <c r="AO278" i="2"/>
  <c r="AO279" i="2"/>
  <c r="AO280" i="2"/>
  <c r="AO281" i="2"/>
  <c r="AO282" i="2"/>
  <c r="AO283" i="2"/>
  <c r="AO284" i="2"/>
  <c r="AO285" i="2"/>
  <c r="AO286" i="2"/>
  <c r="AO287" i="2"/>
  <c r="AO288" i="2"/>
  <c r="AO289" i="2"/>
  <c r="AO290" i="2"/>
  <c r="AO291" i="2"/>
  <c r="AO292" i="2"/>
  <c r="AO293" i="2"/>
  <c r="AO294" i="2"/>
  <c r="AO295" i="2"/>
  <c r="AO296" i="2"/>
  <c r="AO297" i="2"/>
  <c r="AO298" i="2"/>
  <c r="AO299" i="2"/>
  <c r="AO300" i="2"/>
  <c r="AO301" i="2"/>
  <c r="AO302" i="2"/>
  <c r="AO303" i="2"/>
  <c r="AO304" i="2"/>
  <c r="AO305" i="2"/>
  <c r="AO306" i="2"/>
  <c r="AO307" i="2"/>
  <c r="AO308" i="2"/>
  <c r="AO309" i="2"/>
  <c r="AO310" i="2"/>
  <c r="AO311" i="2"/>
  <c r="AO312" i="2"/>
  <c r="AO313" i="2"/>
  <c r="AO314" i="2"/>
  <c r="AO315" i="2"/>
  <c r="AO316" i="2"/>
  <c r="AO317" i="2"/>
  <c r="AO318" i="2"/>
  <c r="AO319" i="2"/>
  <c r="AO320" i="2"/>
  <c r="AO321" i="2"/>
  <c r="AO322" i="2"/>
  <c r="AO323" i="2"/>
  <c r="AO324" i="2"/>
  <c r="AO325" i="2"/>
  <c r="AO326" i="2"/>
  <c r="AO327" i="2"/>
  <c r="AO328" i="2"/>
  <c r="AO329" i="2"/>
  <c r="AO330" i="2"/>
  <c r="AO331" i="2"/>
  <c r="AO332" i="2"/>
  <c r="AO333" i="2"/>
  <c r="AO334" i="2"/>
  <c r="AO335" i="2"/>
  <c r="AO336" i="2"/>
  <c r="AO337" i="2"/>
  <c r="AO338" i="2"/>
  <c r="AO339" i="2"/>
  <c r="AO340" i="2"/>
  <c r="AO342" i="2"/>
  <c r="AO343" i="2"/>
  <c r="AO344" i="2"/>
  <c r="AO345" i="2"/>
  <c r="AO346" i="2"/>
  <c r="AO347" i="2"/>
  <c r="AO348" i="2"/>
  <c r="AO349" i="2"/>
  <c r="AO350" i="2"/>
  <c r="AO351" i="2"/>
  <c r="AO352" i="2"/>
  <c r="AO353" i="2"/>
  <c r="AO354" i="2"/>
  <c r="AO355" i="2"/>
  <c r="AO356" i="2"/>
  <c r="AO357" i="2"/>
  <c r="AO358" i="2"/>
  <c r="AO359" i="2"/>
  <c r="AO360" i="2"/>
  <c r="AO361" i="2"/>
  <c r="AO362" i="2"/>
  <c r="AO363" i="2"/>
  <c r="AO364" i="2"/>
  <c r="AO365" i="2"/>
  <c r="AO366" i="2"/>
  <c r="AO367" i="2"/>
  <c r="AO368" i="2"/>
  <c r="AO369" i="2"/>
  <c r="AO370" i="2"/>
  <c r="AO371" i="2"/>
  <c r="AO372" i="2"/>
  <c r="AO373" i="2"/>
  <c r="AO374" i="2"/>
  <c r="AO375" i="2"/>
  <c r="AO376" i="2"/>
  <c r="AO377" i="2"/>
  <c r="AO378" i="2"/>
  <c r="AO379" i="2"/>
  <c r="AO380" i="2"/>
  <c r="AO381" i="2"/>
  <c r="AO382" i="2"/>
  <c r="AO383" i="2"/>
  <c r="AO384" i="2"/>
  <c r="AO385" i="2"/>
  <c r="AO386" i="2"/>
  <c r="AO387" i="2"/>
  <c r="AO388" i="2"/>
  <c r="AO389" i="2"/>
  <c r="AO390" i="2"/>
  <c r="AO391" i="2"/>
  <c r="AO392" i="2"/>
  <c r="AO393" i="2"/>
  <c r="AO394" i="2"/>
  <c r="AO395" i="2"/>
  <c r="AO396" i="2"/>
  <c r="AO397" i="2"/>
  <c r="AO398" i="2"/>
  <c r="AO399" i="2"/>
  <c r="AO400" i="2"/>
  <c r="AO402" i="2"/>
  <c r="AO403" i="2"/>
  <c r="AO405" i="2"/>
  <c r="AO406" i="2"/>
  <c r="AO407" i="2"/>
  <c r="AO408" i="2"/>
  <c r="AO409" i="2"/>
  <c r="AO410" i="2"/>
  <c r="AO411" i="2"/>
  <c r="AO412" i="2"/>
  <c r="AO413" i="2"/>
  <c r="AO414" i="2"/>
  <c r="AO415" i="2"/>
  <c r="AO416" i="2"/>
  <c r="AO417" i="2"/>
  <c r="AO418" i="2"/>
  <c r="AO419" i="2"/>
  <c r="AO420" i="2"/>
  <c r="AO421" i="2"/>
  <c r="AO423" i="2"/>
  <c r="AO424" i="2"/>
  <c r="AO426" i="2"/>
  <c r="AO427" i="2"/>
  <c r="AO428" i="2"/>
  <c r="AO429" i="2"/>
  <c r="AO430" i="2"/>
  <c r="AO431" i="2"/>
  <c r="AO432" i="2"/>
  <c r="AO433" i="2"/>
  <c r="AO434" i="2"/>
  <c r="AO435" i="2"/>
  <c r="AO436" i="2"/>
  <c r="AO437" i="2"/>
  <c r="AO438" i="2"/>
  <c r="AO439" i="2"/>
  <c r="AO440" i="2"/>
  <c r="AO441" i="2"/>
  <c r="AO442" i="2"/>
  <c r="AO443" i="2"/>
  <c r="AO444" i="2"/>
  <c r="AO445" i="2"/>
  <c r="AO446" i="2"/>
  <c r="AO447" i="2"/>
  <c r="AO448" i="2"/>
  <c r="AO449" i="2"/>
  <c r="AO450" i="2"/>
  <c r="AO451" i="2"/>
  <c r="AO452" i="2"/>
  <c r="AO453" i="2"/>
  <c r="AO454" i="2"/>
  <c r="AO455" i="2"/>
  <c r="AO456" i="2"/>
  <c r="AO457" i="2"/>
  <c r="AO458" i="2"/>
  <c r="AO459" i="2"/>
  <c r="AO460" i="2"/>
  <c r="AO461" i="2"/>
  <c r="AO462" i="2"/>
  <c r="AO463" i="2"/>
  <c r="AO464" i="2"/>
  <c r="AO465" i="2"/>
  <c r="AO466" i="2"/>
  <c r="AO467" i="2"/>
  <c r="AO468" i="2"/>
  <c r="GG5" i="2"/>
  <c r="GG6" i="2"/>
  <c r="GG7" i="2"/>
  <c r="GG8" i="2"/>
  <c r="GG9" i="2"/>
  <c r="GG10" i="2"/>
  <c r="GG11" i="2"/>
  <c r="GG12" i="2"/>
  <c r="GG13" i="2"/>
  <c r="GG14" i="2"/>
  <c r="GG15" i="2"/>
  <c r="GG16" i="2"/>
  <c r="GG17" i="2"/>
  <c r="GG18" i="2"/>
  <c r="GG19" i="2"/>
  <c r="GG20" i="2"/>
  <c r="GG21" i="2"/>
  <c r="GG22" i="2"/>
  <c r="GG23" i="2"/>
  <c r="X22" i="10"/>
  <c r="GG24" i="2"/>
  <c r="GG25" i="2"/>
  <c r="GG26" i="2"/>
  <c r="GG27" i="2"/>
  <c r="GG28" i="2"/>
  <c r="GG29" i="2"/>
  <c r="GG30" i="2"/>
  <c r="GG31" i="2"/>
  <c r="GG32" i="2"/>
  <c r="GG33" i="2"/>
  <c r="GG34" i="2"/>
  <c r="GG35" i="2"/>
  <c r="GG36" i="2"/>
  <c r="GG37" i="2"/>
  <c r="GG38" i="2"/>
  <c r="GG39" i="2"/>
  <c r="GG40" i="2"/>
  <c r="GG41" i="2"/>
  <c r="GG42" i="2"/>
  <c r="GG43" i="2"/>
  <c r="GG44" i="2"/>
  <c r="GG45" i="2"/>
  <c r="GG46" i="2"/>
  <c r="GG47" i="2"/>
  <c r="GG48" i="2"/>
  <c r="GG49" i="2"/>
  <c r="X48" i="10"/>
  <c r="GG50" i="2"/>
  <c r="GG51" i="2"/>
  <c r="GG52" i="2"/>
  <c r="GG53" i="2"/>
  <c r="GG54" i="2"/>
  <c r="GG55" i="2"/>
  <c r="GG56" i="2"/>
  <c r="GG57" i="2"/>
  <c r="GG58" i="2"/>
  <c r="GG59" i="2"/>
  <c r="GG60" i="2"/>
  <c r="GG61" i="2"/>
  <c r="GG62" i="2"/>
  <c r="GG63" i="2"/>
  <c r="GG64" i="2"/>
  <c r="GG65" i="2"/>
  <c r="GG66" i="2"/>
  <c r="GG67" i="2"/>
  <c r="GG68" i="2"/>
  <c r="GG69" i="2"/>
  <c r="GG70" i="2"/>
  <c r="GG71" i="2"/>
  <c r="GG72" i="2"/>
  <c r="GG73" i="2"/>
  <c r="GG74" i="2"/>
  <c r="GG75" i="2"/>
  <c r="GG76" i="2"/>
  <c r="GG77" i="2"/>
  <c r="GG78" i="2"/>
  <c r="GG79" i="2"/>
  <c r="GG80" i="2"/>
  <c r="GG81" i="2"/>
  <c r="GG82" i="2"/>
  <c r="X81" i="10"/>
  <c r="GG83" i="2"/>
  <c r="GG84" i="2"/>
  <c r="GG85" i="2"/>
  <c r="GG86" i="2"/>
  <c r="GG87" i="2"/>
  <c r="GG88" i="2"/>
  <c r="GG89" i="2"/>
  <c r="GG90" i="2"/>
  <c r="GG91" i="2"/>
  <c r="GG92" i="2"/>
  <c r="GG93" i="2"/>
  <c r="GG94" i="2"/>
  <c r="GG95" i="2"/>
  <c r="GG96" i="2"/>
  <c r="GG97" i="2"/>
  <c r="GG98" i="2"/>
  <c r="GG99" i="2"/>
  <c r="GG100" i="2"/>
  <c r="GG101" i="2"/>
  <c r="GG102" i="2"/>
  <c r="GG103" i="2"/>
  <c r="GG104" i="2"/>
  <c r="GG105" i="2"/>
  <c r="GG106" i="2"/>
  <c r="GG107" i="2"/>
  <c r="GG108" i="2"/>
  <c r="GG109" i="2"/>
  <c r="GG110" i="2"/>
  <c r="GG111" i="2"/>
  <c r="GG112" i="2"/>
  <c r="GG113" i="2"/>
  <c r="GG114" i="2"/>
  <c r="GG115" i="2"/>
  <c r="GG116" i="2"/>
  <c r="GG117" i="2"/>
  <c r="GG118" i="2"/>
  <c r="GG119" i="2"/>
  <c r="GG120" i="2"/>
  <c r="GG121" i="2"/>
  <c r="GG122" i="2"/>
  <c r="GG123" i="2"/>
  <c r="GG124" i="2"/>
  <c r="GG125" i="2"/>
  <c r="GG126" i="2"/>
  <c r="GG127" i="2"/>
  <c r="GG128" i="2"/>
  <c r="GG129" i="2"/>
  <c r="GG130" i="2"/>
  <c r="GG131" i="2"/>
  <c r="GG132" i="2"/>
  <c r="GG133" i="2"/>
  <c r="GG134" i="2"/>
  <c r="GG135" i="2"/>
  <c r="GG136" i="2"/>
  <c r="GG137" i="2"/>
  <c r="GG138" i="2"/>
  <c r="GG139" i="2"/>
  <c r="GG140" i="2"/>
  <c r="GG141" i="2"/>
  <c r="GG142" i="2"/>
  <c r="GG143" i="2"/>
  <c r="GG144" i="2"/>
  <c r="GG145" i="2"/>
  <c r="GG146" i="2"/>
  <c r="GG147" i="2"/>
  <c r="GG148" i="2"/>
  <c r="GG149" i="2"/>
  <c r="GG150" i="2"/>
  <c r="GG151" i="2"/>
  <c r="GG152" i="2"/>
  <c r="GG153" i="2"/>
  <c r="GG154" i="2"/>
  <c r="GG155" i="2"/>
  <c r="GG156" i="2"/>
  <c r="GG157" i="2"/>
  <c r="X156" i="10"/>
  <c r="GG158" i="2"/>
  <c r="GG159" i="2"/>
  <c r="X158" i="10"/>
  <c r="GG160" i="2"/>
  <c r="GG161" i="2"/>
  <c r="GG162" i="2"/>
  <c r="GG163" i="2"/>
  <c r="GG164" i="2"/>
  <c r="GG165" i="2"/>
  <c r="GG166" i="2"/>
  <c r="GG167" i="2"/>
  <c r="GG168" i="2"/>
  <c r="GG169" i="2"/>
  <c r="GG170" i="2"/>
  <c r="GG171" i="2"/>
  <c r="GG172" i="2"/>
  <c r="GG173" i="2"/>
  <c r="GG174" i="2"/>
  <c r="GG175" i="2"/>
  <c r="GG176" i="2"/>
  <c r="GG177" i="2"/>
  <c r="GG178" i="2"/>
  <c r="GG179" i="2"/>
  <c r="GG180" i="2"/>
  <c r="GG181" i="2"/>
  <c r="GG182" i="2"/>
  <c r="GG183" i="2"/>
  <c r="GG184" i="2"/>
  <c r="GG185" i="2"/>
  <c r="GG186" i="2"/>
  <c r="GG187" i="2"/>
  <c r="GG188" i="2"/>
  <c r="GG189" i="2"/>
  <c r="GG190" i="2"/>
  <c r="GG191" i="2"/>
  <c r="GG192" i="2"/>
  <c r="GG193" i="2"/>
  <c r="GG194" i="2"/>
  <c r="GG195" i="2"/>
  <c r="GG196" i="2"/>
  <c r="GG197" i="2"/>
  <c r="GG198" i="2"/>
  <c r="GG199" i="2"/>
  <c r="GG200" i="2"/>
  <c r="GG201" i="2"/>
  <c r="GG202" i="2"/>
  <c r="GG203" i="2"/>
  <c r="GG204" i="2"/>
  <c r="GG205" i="2"/>
  <c r="GG206" i="2"/>
  <c r="GG207" i="2"/>
  <c r="GG208" i="2"/>
  <c r="GG209" i="2"/>
  <c r="GG210" i="2"/>
  <c r="GG211" i="2"/>
  <c r="GG212" i="2"/>
  <c r="GG213" i="2"/>
  <c r="GG214" i="2"/>
  <c r="GG215" i="2"/>
  <c r="GG216" i="2"/>
  <c r="GG217" i="2"/>
  <c r="GG218" i="2"/>
  <c r="GG219" i="2"/>
  <c r="GG220" i="2"/>
  <c r="GG221" i="2"/>
  <c r="GG222" i="2"/>
  <c r="GG223" i="2"/>
  <c r="GG224" i="2"/>
  <c r="GG225" i="2"/>
  <c r="GG226" i="2"/>
  <c r="GG227" i="2"/>
  <c r="GG228" i="2"/>
  <c r="GG229" i="2"/>
  <c r="GG230" i="2"/>
  <c r="GG231" i="2"/>
  <c r="GG232" i="2"/>
  <c r="GG233" i="2"/>
  <c r="GG234" i="2"/>
  <c r="GG235" i="2"/>
  <c r="GG236" i="2"/>
  <c r="GG237" i="2"/>
  <c r="GG238" i="2"/>
  <c r="GG239" i="2"/>
  <c r="GG240" i="2"/>
  <c r="GG241" i="2"/>
  <c r="GG242" i="2"/>
  <c r="GG243" i="2"/>
  <c r="GG244" i="2"/>
  <c r="GG245" i="2"/>
  <c r="GG246" i="2"/>
  <c r="GG247" i="2"/>
  <c r="GG248" i="2"/>
  <c r="GG249" i="2"/>
  <c r="GG250" i="2"/>
  <c r="GG251" i="2"/>
  <c r="GG252" i="2"/>
  <c r="X251" i="10"/>
  <c r="GG253" i="2"/>
  <c r="GG254" i="2"/>
  <c r="GG255" i="2"/>
  <c r="GG256" i="2"/>
  <c r="GG257" i="2"/>
  <c r="GG258" i="2"/>
  <c r="GG259" i="2"/>
  <c r="GG260" i="2"/>
  <c r="GG261" i="2"/>
  <c r="GG262" i="2"/>
  <c r="GG263" i="2"/>
  <c r="GG264" i="2"/>
  <c r="GG265" i="2"/>
  <c r="GG266" i="2"/>
  <c r="GG267" i="2"/>
  <c r="GG268" i="2"/>
  <c r="GG269" i="2"/>
  <c r="GG270" i="2"/>
  <c r="GG271" i="2"/>
  <c r="GG272" i="2"/>
  <c r="GG273" i="2"/>
  <c r="GG274" i="2"/>
  <c r="GG275" i="2"/>
  <c r="GG276" i="2"/>
  <c r="GG277" i="2"/>
  <c r="GG278" i="2"/>
  <c r="GG279" i="2"/>
  <c r="GG280" i="2"/>
  <c r="GG281" i="2"/>
  <c r="GG282" i="2"/>
  <c r="GG283" i="2"/>
  <c r="GG284" i="2"/>
  <c r="GG285" i="2"/>
  <c r="GG286" i="2"/>
  <c r="GG287" i="2"/>
  <c r="GG288" i="2"/>
  <c r="GG289" i="2"/>
  <c r="GG290" i="2"/>
  <c r="GG291" i="2"/>
  <c r="GG292" i="2"/>
  <c r="GG293" i="2"/>
  <c r="GG294" i="2"/>
  <c r="GG295" i="2"/>
  <c r="GG296" i="2"/>
  <c r="GG297" i="2"/>
  <c r="GG298" i="2"/>
  <c r="GG299" i="2"/>
  <c r="GG300" i="2"/>
  <c r="GG301" i="2"/>
  <c r="GG302" i="2"/>
  <c r="GG303" i="2"/>
  <c r="GG304" i="2"/>
  <c r="GG305" i="2"/>
  <c r="GG306" i="2"/>
  <c r="GG307" i="2"/>
  <c r="GG308" i="2"/>
  <c r="GG309" i="2"/>
  <c r="GG310" i="2"/>
  <c r="GG311" i="2"/>
  <c r="GG312" i="2"/>
  <c r="GG313" i="2"/>
  <c r="GG314" i="2"/>
  <c r="GG315" i="2"/>
  <c r="GG316" i="2"/>
  <c r="GG317" i="2"/>
  <c r="GG318" i="2"/>
  <c r="GG319" i="2"/>
  <c r="GG320" i="2"/>
  <c r="GG321" i="2"/>
  <c r="GG322" i="2"/>
  <c r="GG323" i="2"/>
  <c r="GG324" i="2"/>
  <c r="GG325" i="2"/>
  <c r="GG326" i="2"/>
  <c r="GG327" i="2"/>
  <c r="GG328" i="2"/>
  <c r="GG329" i="2"/>
  <c r="GG330" i="2"/>
  <c r="GG331" i="2"/>
  <c r="GG332" i="2"/>
  <c r="GG333" i="2"/>
  <c r="GG334" i="2"/>
  <c r="GG335" i="2"/>
  <c r="GG336" i="2"/>
  <c r="GG337" i="2"/>
  <c r="GG338" i="2"/>
  <c r="GG339" i="2"/>
  <c r="GG340" i="2"/>
  <c r="GG341" i="2"/>
  <c r="GG342" i="2"/>
  <c r="GG343" i="2"/>
  <c r="GG344" i="2"/>
  <c r="GG345" i="2"/>
  <c r="GG346" i="2"/>
  <c r="GG347" i="2"/>
  <c r="GG348" i="2"/>
  <c r="GG349" i="2"/>
  <c r="GG350" i="2"/>
  <c r="GG351" i="2"/>
  <c r="GG352" i="2"/>
  <c r="GG353" i="2"/>
  <c r="GG354" i="2"/>
  <c r="GG355" i="2"/>
  <c r="GG356" i="2"/>
  <c r="GG357" i="2"/>
  <c r="GG358" i="2"/>
  <c r="GG359" i="2"/>
  <c r="GG360" i="2"/>
  <c r="GG361" i="2"/>
  <c r="GG362" i="2"/>
  <c r="GG363" i="2"/>
  <c r="GG364" i="2"/>
  <c r="GG365" i="2"/>
  <c r="GG366" i="2"/>
  <c r="GG367" i="2"/>
  <c r="GG368" i="2"/>
  <c r="GG369" i="2"/>
  <c r="GG370" i="2"/>
  <c r="GG371" i="2"/>
  <c r="GG372" i="2"/>
  <c r="GG373" i="2"/>
  <c r="GG374" i="2"/>
  <c r="GG375" i="2"/>
  <c r="GG376" i="2"/>
  <c r="GG377" i="2"/>
  <c r="GG378" i="2"/>
  <c r="GG379" i="2"/>
  <c r="GG380" i="2"/>
  <c r="GG381" i="2"/>
  <c r="GG382" i="2"/>
  <c r="GG383" i="2"/>
  <c r="GG384" i="2"/>
  <c r="GG385" i="2"/>
  <c r="GG386" i="2"/>
  <c r="GG387" i="2"/>
  <c r="GG388" i="2"/>
  <c r="GG389" i="2"/>
  <c r="GG390" i="2"/>
  <c r="GG391" i="2"/>
  <c r="GG392" i="2"/>
  <c r="GG393" i="2"/>
  <c r="GG394" i="2"/>
  <c r="GG395" i="2"/>
  <c r="GG396" i="2"/>
  <c r="GG397" i="2"/>
  <c r="GG398" i="2"/>
  <c r="GG399" i="2"/>
  <c r="GG400" i="2"/>
  <c r="GG401" i="2"/>
  <c r="GG402" i="2"/>
  <c r="GG403" i="2"/>
  <c r="GG404" i="2"/>
  <c r="GG405" i="2"/>
  <c r="GG406" i="2"/>
  <c r="GG407" i="2"/>
  <c r="GG408" i="2"/>
  <c r="GG409" i="2"/>
  <c r="GG410" i="2"/>
  <c r="GG411" i="2"/>
  <c r="GG412" i="2"/>
  <c r="GG413" i="2"/>
  <c r="GG414" i="2"/>
  <c r="GG415" i="2"/>
  <c r="GG416" i="2"/>
  <c r="GG417" i="2"/>
  <c r="GG418" i="2"/>
  <c r="GG419" i="2"/>
  <c r="GG420" i="2"/>
  <c r="GG421" i="2"/>
  <c r="GG422" i="2"/>
  <c r="GG423" i="2"/>
  <c r="GG424" i="2"/>
  <c r="GG425" i="2"/>
  <c r="GG426" i="2"/>
  <c r="GG427" i="2"/>
  <c r="GG428" i="2"/>
  <c r="GG429" i="2"/>
  <c r="GG430" i="2"/>
  <c r="GG431" i="2"/>
  <c r="GG432" i="2"/>
  <c r="GG433" i="2"/>
  <c r="GG434" i="2"/>
  <c r="GG435" i="2"/>
  <c r="GG436" i="2"/>
  <c r="GG437" i="2"/>
  <c r="GG438" i="2"/>
  <c r="GG439" i="2"/>
  <c r="GG440" i="2"/>
  <c r="GG441" i="2"/>
  <c r="GG442" i="2"/>
  <c r="GG443" i="2"/>
  <c r="GG444" i="2"/>
  <c r="GG445" i="2"/>
  <c r="GG446" i="2"/>
  <c r="GG447" i="2"/>
  <c r="GG448" i="2"/>
  <c r="GG449" i="2"/>
  <c r="GG450" i="2"/>
  <c r="GG451" i="2"/>
  <c r="GG452" i="2"/>
  <c r="GG453" i="2"/>
  <c r="GG454" i="2"/>
  <c r="GG455" i="2"/>
  <c r="GG456" i="2"/>
  <c r="GG457" i="2"/>
  <c r="GG458" i="2"/>
  <c r="GG459" i="2"/>
  <c r="GG460" i="2"/>
  <c r="GG461" i="2"/>
  <c r="GG462" i="2"/>
  <c r="GG463" i="2"/>
  <c r="GG464" i="2"/>
  <c r="GG465" i="2"/>
  <c r="GG466" i="2"/>
  <c r="GG467" i="2"/>
  <c r="GG468"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P452" i="2"/>
  <c r="T452" i="2"/>
  <c r="J451" i="10"/>
  <c r="V452" i="2"/>
  <c r="L451" i="10"/>
  <c r="AB452" i="2"/>
  <c r="AA452" i="2"/>
  <c r="BJ452" i="2"/>
  <c r="W452" i="2"/>
  <c r="M451" i="10"/>
  <c r="CQ452" i="2"/>
  <c r="CR452" i="2"/>
  <c r="CS452" i="2"/>
  <c r="CT452" i="2"/>
  <c r="DI452" i="2"/>
  <c r="EA452" i="2"/>
  <c r="EH452" i="2"/>
  <c r="DN452" i="2"/>
  <c r="DR452" i="2"/>
  <c r="ES452" i="2"/>
  <c r="FN452" i="2"/>
  <c r="FT452" i="2"/>
  <c r="FV452" i="2"/>
  <c r="GA452" i="2"/>
  <c r="V451" i="10"/>
  <c r="GD452" i="2"/>
  <c r="W451" i="10"/>
  <c r="GK452" i="2"/>
  <c r="GQ452" i="2"/>
  <c r="GU452" i="2"/>
  <c r="GY452" i="2"/>
  <c r="HC452" i="2"/>
  <c r="HH452" i="2"/>
  <c r="HR452" i="2"/>
  <c r="HX452" i="2"/>
  <c r="P453" i="2"/>
  <c r="T453" i="2"/>
  <c r="V453" i="2"/>
  <c r="L452" i="10"/>
  <c r="AB453" i="2"/>
  <c r="AJ453" i="2"/>
  <c r="CQ453" i="2"/>
  <c r="CR453" i="2"/>
  <c r="CS453" i="2"/>
  <c r="CT453" i="2"/>
  <c r="DI453" i="2"/>
  <c r="EA453" i="2"/>
  <c r="EH453" i="2"/>
  <c r="DN453" i="2"/>
  <c r="DR453" i="2"/>
  <c r="ES453" i="2"/>
  <c r="FN453" i="2"/>
  <c r="FT453" i="2"/>
  <c r="FV453" i="2"/>
  <c r="GA453" i="2"/>
  <c r="GD453" i="2"/>
  <c r="GK453" i="2"/>
  <c r="GQ453" i="2"/>
  <c r="GU453" i="2"/>
  <c r="GY453" i="2"/>
  <c r="HC453" i="2"/>
  <c r="HH453" i="2"/>
  <c r="HR453" i="2"/>
  <c r="HX453" i="2"/>
  <c r="P432" i="2"/>
  <c r="T432" i="2"/>
  <c r="U432" i="2"/>
  <c r="K431" i="10"/>
  <c r="V432" i="2"/>
  <c r="L431" i="10"/>
  <c r="AB432" i="2"/>
  <c r="AI432" i="2"/>
  <c r="AH432" i="2"/>
  <c r="BJ432" i="2"/>
  <c r="W432" i="2"/>
  <c r="M431" i="10"/>
  <c r="CQ432" i="2"/>
  <c r="CR432" i="2"/>
  <c r="CS432" i="2"/>
  <c r="CT432" i="2"/>
  <c r="DI432" i="2"/>
  <c r="EA432" i="2"/>
  <c r="EH432" i="2"/>
  <c r="DN432" i="2"/>
  <c r="DR432" i="2"/>
  <c r="ES432" i="2"/>
  <c r="FN432" i="2"/>
  <c r="FT432" i="2"/>
  <c r="FV432" i="2"/>
  <c r="GA432" i="2"/>
  <c r="GD432" i="2"/>
  <c r="GK432" i="2"/>
  <c r="GQ432" i="2"/>
  <c r="GU432" i="2"/>
  <c r="GY432" i="2"/>
  <c r="HC432" i="2"/>
  <c r="HH432" i="2"/>
  <c r="HR432" i="2"/>
  <c r="HX432" i="2"/>
  <c r="P433" i="2"/>
  <c r="T433" i="2"/>
  <c r="V433" i="2"/>
  <c r="L432" i="10"/>
  <c r="AB433" i="2"/>
  <c r="AJ433" i="2"/>
  <c r="CQ433" i="2"/>
  <c r="CR433" i="2"/>
  <c r="CS433" i="2"/>
  <c r="CT433" i="2"/>
  <c r="DI433" i="2"/>
  <c r="EA433" i="2"/>
  <c r="S432" i="10"/>
  <c r="EH433" i="2"/>
  <c r="DN433" i="2"/>
  <c r="DR433" i="2"/>
  <c r="ES433" i="2"/>
  <c r="FN433" i="2"/>
  <c r="FT433" i="2"/>
  <c r="FV433" i="2"/>
  <c r="GA433" i="2"/>
  <c r="GD433" i="2"/>
  <c r="GK433" i="2"/>
  <c r="GQ433" i="2"/>
  <c r="GU433" i="2"/>
  <c r="GY433" i="2"/>
  <c r="HC433" i="2"/>
  <c r="HH433" i="2"/>
  <c r="HR433" i="2"/>
  <c r="HX433" i="2"/>
  <c r="P434" i="2"/>
  <c r="T434" i="2"/>
  <c r="U434" i="2"/>
  <c r="K433" i="10"/>
  <c r="V434" i="2"/>
  <c r="L433" i="10"/>
  <c r="AB434" i="2"/>
  <c r="CQ434" i="2"/>
  <c r="CR434" i="2"/>
  <c r="CS434" i="2"/>
  <c r="CT434" i="2"/>
  <c r="DI434" i="2"/>
  <c r="EA434" i="2"/>
  <c r="EH434" i="2"/>
  <c r="DN434" i="2"/>
  <c r="DR434" i="2"/>
  <c r="ES434" i="2"/>
  <c r="FN434" i="2"/>
  <c r="FT434" i="2"/>
  <c r="FV434" i="2"/>
  <c r="GA434" i="2"/>
  <c r="V433" i="10"/>
  <c r="GD434" i="2"/>
  <c r="GK434" i="2"/>
  <c r="GQ434" i="2"/>
  <c r="GU434" i="2"/>
  <c r="GY434" i="2"/>
  <c r="HC434" i="2"/>
  <c r="HH434" i="2"/>
  <c r="HR434" i="2"/>
  <c r="HX434" i="2"/>
  <c r="FA129" i="2"/>
  <c r="BJ453" i="2"/>
  <c r="BJ434" i="2"/>
  <c r="W434" i="2"/>
  <c r="M433" i="10"/>
  <c r="BJ433" i="2"/>
  <c r="DZ3" i="2"/>
  <c r="CW3" i="2"/>
  <c r="CV3" i="2"/>
  <c r="DX3" i="2"/>
  <c r="DG3" i="2"/>
  <c r="DC3" i="2"/>
  <c r="BS1" i="2"/>
  <c r="V263" i="2"/>
  <c r="V264" i="2"/>
  <c r="V265" i="2"/>
  <c r="V270" i="2"/>
  <c r="EF3" i="2"/>
  <c r="FZ3" i="2"/>
  <c r="GF3" i="2"/>
  <c r="GJ3" i="2"/>
  <c r="GT3" i="2"/>
  <c r="GX3" i="2"/>
  <c r="HB3" i="2"/>
  <c r="HG3" i="2"/>
  <c r="HK3" i="2"/>
  <c r="HQ3" i="2"/>
  <c r="DY3" i="2"/>
  <c r="D3" i="2"/>
  <c r="FR3" i="2"/>
  <c r="FQ3" i="2"/>
  <c r="FP3" i="2"/>
  <c r="P456" i="2"/>
  <c r="P457" i="2"/>
  <c r="P458" i="2"/>
  <c r="P459" i="2"/>
  <c r="P460" i="2"/>
  <c r="P461" i="2"/>
  <c r="P462" i="2"/>
  <c r="P463" i="2"/>
  <c r="P464" i="2"/>
  <c r="P465" i="2"/>
  <c r="P466" i="2"/>
  <c r="P467" i="2"/>
  <c r="P468" i="2"/>
  <c r="T456" i="2"/>
  <c r="T457" i="2"/>
  <c r="U457" i="2"/>
  <c r="K456" i="10"/>
  <c r="T458" i="2"/>
  <c r="T459" i="2"/>
  <c r="J458" i="10"/>
  <c r="T460" i="2"/>
  <c r="U460" i="2"/>
  <c r="K459" i="10"/>
  <c r="T461" i="2"/>
  <c r="U461" i="2"/>
  <c r="K460" i="10"/>
  <c r="T462" i="2"/>
  <c r="J461" i="10"/>
  <c r="T463" i="2"/>
  <c r="T464" i="2"/>
  <c r="U464" i="2"/>
  <c r="K463" i="10"/>
  <c r="T465" i="2"/>
  <c r="U465" i="2"/>
  <c r="K464" i="10"/>
  <c r="T466" i="2"/>
  <c r="J465" i="10"/>
  <c r="T467" i="2"/>
  <c r="T468" i="2"/>
  <c r="U468" i="2"/>
  <c r="K467" i="10"/>
  <c r="V456" i="2"/>
  <c r="L455" i="10"/>
  <c r="V457" i="2"/>
  <c r="L456" i="10"/>
  <c r="V458" i="2"/>
  <c r="L457" i="10"/>
  <c r="V459" i="2"/>
  <c r="L458" i="10"/>
  <c r="V460" i="2"/>
  <c r="L459" i="10"/>
  <c r="V461" i="2"/>
  <c r="L460" i="10"/>
  <c r="V462" i="2"/>
  <c r="L461" i="10"/>
  <c r="V463" i="2"/>
  <c r="L462" i="10"/>
  <c r="V464" i="2"/>
  <c r="L463" i="10"/>
  <c r="V465" i="2"/>
  <c r="L464" i="10"/>
  <c r="V466" i="2"/>
  <c r="L465" i="10"/>
  <c r="V467" i="2"/>
  <c r="L466" i="10"/>
  <c r="V468" i="2"/>
  <c r="L467" i="10"/>
  <c r="AB456" i="2"/>
  <c r="AA456" i="2"/>
  <c r="AB457" i="2"/>
  <c r="AB458" i="2"/>
  <c r="AK458" i="2"/>
  <c r="AB459" i="2"/>
  <c r="AB460" i="2"/>
  <c r="AL460" i="2"/>
  <c r="AB461" i="2"/>
  <c r="AL461" i="2"/>
  <c r="AB462" i="2"/>
  <c r="AK462" i="2"/>
  <c r="AB463" i="2"/>
  <c r="AA463" i="2"/>
  <c r="AB464" i="2"/>
  <c r="AB465" i="2"/>
  <c r="AK465" i="2"/>
  <c r="AB466" i="2"/>
  <c r="AB467" i="2"/>
  <c r="AJ467" i="2"/>
  <c r="AB468" i="2"/>
  <c r="BJ468" i="2"/>
  <c r="BJ459" i="2"/>
  <c r="BJ460" i="2"/>
  <c r="CJ460" i="2"/>
  <c r="BJ461" i="2"/>
  <c r="W461" i="2"/>
  <c r="M460" i="10"/>
  <c r="BJ462" i="2"/>
  <c r="CJ462" i="2"/>
  <c r="BJ463" i="2"/>
  <c r="W463" i="2"/>
  <c r="M462" i="10"/>
  <c r="BJ464" i="2"/>
  <c r="CQ456" i="2"/>
  <c r="CQ457" i="2"/>
  <c r="CQ458" i="2"/>
  <c r="CQ459" i="2"/>
  <c r="CQ460" i="2"/>
  <c r="CQ461" i="2"/>
  <c r="CQ462" i="2"/>
  <c r="CQ463" i="2"/>
  <c r="CQ464" i="2"/>
  <c r="CQ465" i="2"/>
  <c r="CQ466" i="2"/>
  <c r="CQ467" i="2"/>
  <c r="CQ468" i="2"/>
  <c r="CR456" i="2"/>
  <c r="CR457" i="2"/>
  <c r="CR458" i="2"/>
  <c r="CR459" i="2"/>
  <c r="CR460" i="2"/>
  <c r="CR461" i="2"/>
  <c r="CR462" i="2"/>
  <c r="CR463" i="2"/>
  <c r="CR464" i="2"/>
  <c r="CR465" i="2"/>
  <c r="CR466" i="2"/>
  <c r="CR467" i="2"/>
  <c r="CR468" i="2"/>
  <c r="CS456" i="2"/>
  <c r="CS457" i="2"/>
  <c r="CS458" i="2"/>
  <c r="CS459" i="2"/>
  <c r="CS460" i="2"/>
  <c r="CS461" i="2"/>
  <c r="CS462" i="2"/>
  <c r="CS463" i="2"/>
  <c r="CS464" i="2"/>
  <c r="CS465" i="2"/>
  <c r="CS466" i="2"/>
  <c r="CS467" i="2"/>
  <c r="CS468" i="2"/>
  <c r="CT456" i="2"/>
  <c r="CT457" i="2"/>
  <c r="CT458" i="2"/>
  <c r="CT459" i="2"/>
  <c r="CT460" i="2"/>
  <c r="CT461" i="2"/>
  <c r="CT462" i="2"/>
  <c r="CT463" i="2"/>
  <c r="CT464" i="2"/>
  <c r="CT465" i="2"/>
  <c r="CT466" i="2"/>
  <c r="CT467" i="2"/>
  <c r="CT468" i="2"/>
  <c r="DI456" i="2"/>
  <c r="DI457" i="2"/>
  <c r="DI458" i="2"/>
  <c r="DI459" i="2"/>
  <c r="DI460" i="2"/>
  <c r="DI461" i="2"/>
  <c r="DI462" i="2"/>
  <c r="DI463" i="2"/>
  <c r="DI464" i="2"/>
  <c r="DI465" i="2"/>
  <c r="DI466" i="2"/>
  <c r="DI467" i="2"/>
  <c r="DI468" i="2"/>
  <c r="EA456" i="2"/>
  <c r="EA457" i="2"/>
  <c r="EA458" i="2"/>
  <c r="EA459" i="2"/>
  <c r="EA460" i="2"/>
  <c r="EA461" i="2"/>
  <c r="EA462" i="2"/>
  <c r="EA463" i="2"/>
  <c r="EA464" i="2"/>
  <c r="EA465" i="2"/>
  <c r="EA466" i="2"/>
  <c r="EA467" i="2"/>
  <c r="EA468" i="2"/>
  <c r="EH456" i="2"/>
  <c r="EH457" i="2"/>
  <c r="EH458" i="2"/>
  <c r="EH459" i="2"/>
  <c r="EH460" i="2"/>
  <c r="EH461" i="2"/>
  <c r="EH462" i="2"/>
  <c r="EH463" i="2"/>
  <c r="EH464" i="2"/>
  <c r="EH465" i="2"/>
  <c r="EH466" i="2"/>
  <c r="EH467" i="2"/>
  <c r="EH468" i="2"/>
  <c r="DN456" i="2"/>
  <c r="DN457" i="2"/>
  <c r="DN458" i="2"/>
  <c r="DN459" i="2"/>
  <c r="DN460" i="2"/>
  <c r="Q459" i="10"/>
  <c r="DN461" i="2"/>
  <c r="DN462" i="2"/>
  <c r="DN463" i="2"/>
  <c r="DN464" i="2"/>
  <c r="DN465" i="2"/>
  <c r="DN466" i="2"/>
  <c r="DN467" i="2"/>
  <c r="DN468" i="2"/>
  <c r="DR456" i="2"/>
  <c r="DR457" i="2"/>
  <c r="DR458" i="2"/>
  <c r="DR459" i="2"/>
  <c r="DR460" i="2"/>
  <c r="DR461" i="2"/>
  <c r="DR462" i="2"/>
  <c r="DR463" i="2"/>
  <c r="DR464" i="2"/>
  <c r="DR465" i="2"/>
  <c r="DR466" i="2"/>
  <c r="DR467" i="2"/>
  <c r="DR468" i="2"/>
  <c r="ES456" i="2"/>
  <c r="ES457" i="2"/>
  <c r="ES458" i="2"/>
  <c r="ES459" i="2"/>
  <c r="ES460" i="2"/>
  <c r="ES461" i="2"/>
  <c r="ES462" i="2"/>
  <c r="ES463" i="2"/>
  <c r="ES464" i="2"/>
  <c r="ES465" i="2"/>
  <c r="ES466" i="2"/>
  <c r="ES467" i="2"/>
  <c r="ES468" i="2"/>
  <c r="FN456" i="2"/>
  <c r="FN457" i="2"/>
  <c r="FN458" i="2"/>
  <c r="FN459" i="2"/>
  <c r="FN460" i="2"/>
  <c r="FN461" i="2"/>
  <c r="FN462" i="2"/>
  <c r="FN463" i="2"/>
  <c r="FN464" i="2"/>
  <c r="FN465" i="2"/>
  <c r="FN466" i="2"/>
  <c r="FN467" i="2"/>
  <c r="FN468" i="2"/>
  <c r="FT456" i="2"/>
  <c r="FT457" i="2"/>
  <c r="FT458" i="2"/>
  <c r="FT459" i="2"/>
  <c r="FT460" i="2"/>
  <c r="FT461" i="2"/>
  <c r="FT462" i="2"/>
  <c r="FT463" i="2"/>
  <c r="FT464" i="2"/>
  <c r="FT465" i="2"/>
  <c r="FT466" i="2"/>
  <c r="FT467" i="2"/>
  <c r="FT468" i="2"/>
  <c r="FV456" i="2"/>
  <c r="FV457" i="2"/>
  <c r="FV458" i="2"/>
  <c r="FV459" i="2"/>
  <c r="FV460" i="2"/>
  <c r="FV461" i="2"/>
  <c r="FV462" i="2"/>
  <c r="FV463" i="2"/>
  <c r="FV464" i="2"/>
  <c r="FV465" i="2"/>
  <c r="FV466" i="2"/>
  <c r="FV467" i="2"/>
  <c r="FV468" i="2"/>
  <c r="GA456" i="2"/>
  <c r="V455" i="10"/>
  <c r="GA457" i="2"/>
  <c r="GA458" i="2"/>
  <c r="GA459" i="2"/>
  <c r="GA460" i="2"/>
  <c r="GA461" i="2"/>
  <c r="GA462" i="2"/>
  <c r="GA463" i="2"/>
  <c r="GA464" i="2"/>
  <c r="GA465" i="2"/>
  <c r="GA466" i="2"/>
  <c r="GA467" i="2"/>
  <c r="GA468" i="2"/>
  <c r="GD456" i="2"/>
  <c r="GD457" i="2"/>
  <c r="GD458" i="2"/>
  <c r="GD459" i="2"/>
  <c r="GD460" i="2"/>
  <c r="GD461" i="2"/>
  <c r="GD462" i="2"/>
  <c r="GD463" i="2"/>
  <c r="GD464" i="2"/>
  <c r="GD465" i="2"/>
  <c r="GD466" i="2"/>
  <c r="GD467" i="2"/>
  <c r="GD468" i="2"/>
  <c r="GK456" i="2"/>
  <c r="GK457" i="2"/>
  <c r="GK458" i="2"/>
  <c r="Y457" i="10"/>
  <c r="GK459" i="2"/>
  <c r="GK460" i="2"/>
  <c r="GK461" i="2"/>
  <c r="GK462" i="2"/>
  <c r="GK463" i="2"/>
  <c r="GK464" i="2"/>
  <c r="GK465" i="2"/>
  <c r="GK466" i="2"/>
  <c r="GK467" i="2"/>
  <c r="GK468" i="2"/>
  <c r="GQ456" i="2"/>
  <c r="GQ457" i="2"/>
  <c r="GQ458" i="2"/>
  <c r="GQ459" i="2"/>
  <c r="GQ460" i="2"/>
  <c r="GQ461" i="2"/>
  <c r="GQ462" i="2"/>
  <c r="GQ463" i="2"/>
  <c r="GQ464" i="2"/>
  <c r="GQ465" i="2"/>
  <c r="GQ466" i="2"/>
  <c r="GQ467" i="2"/>
  <c r="GQ468" i="2"/>
  <c r="GU456" i="2"/>
  <c r="GU457" i="2"/>
  <c r="GU458" i="2"/>
  <c r="GU459" i="2"/>
  <c r="GU460" i="2"/>
  <c r="GU461" i="2"/>
  <c r="GU462" i="2"/>
  <c r="GU463" i="2"/>
  <c r="GU464" i="2"/>
  <c r="GU465" i="2"/>
  <c r="GU466" i="2"/>
  <c r="GU467" i="2"/>
  <c r="GU468" i="2"/>
  <c r="GY456" i="2"/>
  <c r="GY457" i="2"/>
  <c r="GY458" i="2"/>
  <c r="GY459" i="2"/>
  <c r="GY460" i="2"/>
  <c r="GY461" i="2"/>
  <c r="GY462" i="2"/>
  <c r="GY463" i="2"/>
  <c r="GY464" i="2"/>
  <c r="GY465" i="2"/>
  <c r="GY466" i="2"/>
  <c r="GY467" i="2"/>
  <c r="GY468" i="2"/>
  <c r="HC456" i="2"/>
  <c r="HC457" i="2"/>
  <c r="HC458" i="2"/>
  <c r="HC459" i="2"/>
  <c r="HC460" i="2"/>
  <c r="HC461" i="2"/>
  <c r="HC462" i="2"/>
  <c r="HC463" i="2"/>
  <c r="HC464" i="2"/>
  <c r="HC465" i="2"/>
  <c r="HC466" i="2"/>
  <c r="HC467" i="2"/>
  <c r="HC468" i="2"/>
  <c r="HH456" i="2"/>
  <c r="HH457" i="2"/>
  <c r="HH458" i="2"/>
  <c r="HH459" i="2"/>
  <c r="HH460" i="2"/>
  <c r="HH461" i="2"/>
  <c r="HH462" i="2"/>
  <c r="HH463" i="2"/>
  <c r="HH464" i="2"/>
  <c r="HH465" i="2"/>
  <c r="HH466" i="2"/>
  <c r="HH467" i="2"/>
  <c r="HH468" i="2"/>
  <c r="HR456" i="2"/>
  <c r="HR457" i="2"/>
  <c r="HR458" i="2"/>
  <c r="HR459" i="2"/>
  <c r="HR460" i="2"/>
  <c r="HR461" i="2"/>
  <c r="HR462" i="2"/>
  <c r="HR463" i="2"/>
  <c r="HR464" i="2"/>
  <c r="HR465" i="2"/>
  <c r="HR466" i="2"/>
  <c r="HR467" i="2"/>
  <c r="HR468" i="2"/>
  <c r="HX456" i="2"/>
  <c r="HX457" i="2"/>
  <c r="HX458" i="2"/>
  <c r="HX459" i="2"/>
  <c r="HX460" i="2"/>
  <c r="HX461" i="2"/>
  <c r="HX462" i="2"/>
  <c r="HX463" i="2"/>
  <c r="HX464" i="2"/>
  <c r="HX465" i="2"/>
  <c r="HX466" i="2"/>
  <c r="HX467" i="2"/>
  <c r="HX468" i="2"/>
  <c r="P455" i="2"/>
  <c r="T455" i="2"/>
  <c r="J454" i="10"/>
  <c r="V455" i="2"/>
  <c r="L454" i="10"/>
  <c r="AB455" i="2"/>
  <c r="AL455" i="2"/>
  <c r="CQ455" i="2"/>
  <c r="CR455" i="2"/>
  <c r="CS455" i="2"/>
  <c r="CT455" i="2"/>
  <c r="DI455" i="2"/>
  <c r="EA455" i="2"/>
  <c r="EH455" i="2"/>
  <c r="DN455" i="2"/>
  <c r="DR455" i="2"/>
  <c r="ES455" i="2"/>
  <c r="FN455" i="2"/>
  <c r="FT455" i="2"/>
  <c r="FV455" i="2"/>
  <c r="GA455" i="2"/>
  <c r="GD455" i="2"/>
  <c r="GK455" i="2"/>
  <c r="GQ455" i="2"/>
  <c r="GU455" i="2"/>
  <c r="GY455" i="2"/>
  <c r="HC455" i="2"/>
  <c r="HH455" i="2"/>
  <c r="HR455" i="2"/>
  <c r="HX455" i="2"/>
  <c r="P448" i="2"/>
  <c r="P449" i="2"/>
  <c r="P450" i="2"/>
  <c r="P451" i="2"/>
  <c r="P454" i="2"/>
  <c r="T448" i="2"/>
  <c r="T449" i="2"/>
  <c r="T450" i="2"/>
  <c r="J449" i="10"/>
  <c r="T451" i="2"/>
  <c r="J450" i="10"/>
  <c r="T454" i="2"/>
  <c r="U454" i="2"/>
  <c r="K453" i="10"/>
  <c r="V448" i="2"/>
  <c r="L447" i="10"/>
  <c r="V449" i="2"/>
  <c r="L448" i="10"/>
  <c r="V450" i="2"/>
  <c r="L449" i="10"/>
  <c r="V451" i="2"/>
  <c r="L450" i="10"/>
  <c r="V454" i="2"/>
  <c r="L453" i="10"/>
  <c r="AB448" i="2"/>
  <c r="AA448" i="2"/>
  <c r="AB449" i="2"/>
  <c r="AK449" i="2"/>
  <c r="AB450" i="2"/>
  <c r="AA450" i="2"/>
  <c r="AB451" i="2"/>
  <c r="AA451" i="2"/>
  <c r="AB454" i="2"/>
  <c r="CQ448" i="2"/>
  <c r="CQ449" i="2"/>
  <c r="CQ450" i="2"/>
  <c r="CQ451" i="2"/>
  <c r="CQ454" i="2"/>
  <c r="CR448" i="2"/>
  <c r="CR449" i="2"/>
  <c r="CR450" i="2"/>
  <c r="CR451" i="2"/>
  <c r="CR454" i="2"/>
  <c r="CS448" i="2"/>
  <c r="CS449" i="2"/>
  <c r="CS450" i="2"/>
  <c r="CS451" i="2"/>
  <c r="CS454" i="2"/>
  <c r="CT448" i="2"/>
  <c r="CT449" i="2"/>
  <c r="CT450" i="2"/>
  <c r="CT451" i="2"/>
  <c r="CT454" i="2"/>
  <c r="DI448" i="2"/>
  <c r="DI449" i="2"/>
  <c r="P448" i="10"/>
  <c r="DI450" i="2"/>
  <c r="DI451" i="2"/>
  <c r="DI454" i="2"/>
  <c r="EA448" i="2"/>
  <c r="EA449" i="2"/>
  <c r="EA450" i="2"/>
  <c r="EA451" i="2"/>
  <c r="EA454" i="2"/>
  <c r="EH448" i="2"/>
  <c r="EH449" i="2"/>
  <c r="EH450" i="2"/>
  <c r="EH451" i="2"/>
  <c r="EH454" i="2"/>
  <c r="DN448" i="2"/>
  <c r="DN449" i="2"/>
  <c r="DN450" i="2"/>
  <c r="DN451" i="2"/>
  <c r="DN454" i="2"/>
  <c r="DR448" i="2"/>
  <c r="DR449" i="2"/>
  <c r="DR450" i="2"/>
  <c r="DR451" i="2"/>
  <c r="DR454" i="2"/>
  <c r="ES448" i="2"/>
  <c r="ES449" i="2"/>
  <c r="ES450" i="2"/>
  <c r="ES451" i="2"/>
  <c r="ES454" i="2"/>
  <c r="FN448" i="2"/>
  <c r="FN449" i="2"/>
  <c r="FN450" i="2"/>
  <c r="FN451" i="2"/>
  <c r="FN454" i="2"/>
  <c r="FT448" i="2"/>
  <c r="FT449" i="2"/>
  <c r="FT450" i="2"/>
  <c r="FT451" i="2"/>
  <c r="FT454" i="2"/>
  <c r="FV448" i="2"/>
  <c r="FV449" i="2"/>
  <c r="FV450" i="2"/>
  <c r="FV451" i="2"/>
  <c r="FV454" i="2"/>
  <c r="GA448" i="2"/>
  <c r="GA449" i="2"/>
  <c r="GA450" i="2"/>
  <c r="GA451" i="2"/>
  <c r="GA454" i="2"/>
  <c r="GD448" i="2"/>
  <c r="GD449" i="2"/>
  <c r="GD450" i="2"/>
  <c r="GD451" i="2"/>
  <c r="GD454" i="2"/>
  <c r="GK448" i="2"/>
  <c r="GK449" i="2"/>
  <c r="GK450" i="2"/>
  <c r="GK451" i="2"/>
  <c r="GK454" i="2"/>
  <c r="GQ448" i="2"/>
  <c r="GQ449" i="2"/>
  <c r="GQ450" i="2"/>
  <c r="GQ451" i="2"/>
  <c r="GQ454" i="2"/>
  <c r="GU448" i="2"/>
  <c r="GU449" i="2"/>
  <c r="GU450" i="2"/>
  <c r="GU451" i="2"/>
  <c r="GU454" i="2"/>
  <c r="GY448" i="2"/>
  <c r="GY449" i="2"/>
  <c r="GY450" i="2"/>
  <c r="GY451" i="2"/>
  <c r="GY454" i="2"/>
  <c r="HC448" i="2"/>
  <c r="HC449" i="2"/>
  <c r="HC450" i="2"/>
  <c r="HC451" i="2"/>
  <c r="HC454" i="2"/>
  <c r="HH448" i="2"/>
  <c r="HH449" i="2"/>
  <c r="HH450" i="2"/>
  <c r="HH451" i="2"/>
  <c r="HH454" i="2"/>
  <c r="HR448" i="2"/>
  <c r="HR449" i="2"/>
  <c r="HR450" i="2"/>
  <c r="HR451" i="2"/>
  <c r="HR454" i="2"/>
  <c r="HX448" i="2"/>
  <c r="HX449" i="2"/>
  <c r="HX450" i="2"/>
  <c r="HX451" i="2"/>
  <c r="HX454" i="2"/>
  <c r="P447" i="2"/>
  <c r="T447" i="2"/>
  <c r="U447" i="2"/>
  <c r="K446" i="10"/>
  <c r="V447" i="2"/>
  <c r="L446" i="10"/>
  <c r="AB447" i="2"/>
  <c r="AL447" i="2"/>
  <c r="CQ447" i="2"/>
  <c r="CR447" i="2"/>
  <c r="CS447" i="2"/>
  <c r="CT447" i="2"/>
  <c r="DI447" i="2"/>
  <c r="EA447" i="2"/>
  <c r="EH447" i="2"/>
  <c r="DN447" i="2"/>
  <c r="DR447" i="2"/>
  <c r="ES447" i="2"/>
  <c r="FN447" i="2"/>
  <c r="FT447" i="2"/>
  <c r="FV447" i="2"/>
  <c r="GA447" i="2"/>
  <c r="GD447" i="2"/>
  <c r="GK447" i="2"/>
  <c r="GQ447" i="2"/>
  <c r="GU447" i="2"/>
  <c r="GY447" i="2"/>
  <c r="HC447" i="2"/>
  <c r="HH447" i="2"/>
  <c r="HR447" i="2"/>
  <c r="HX447" i="2"/>
  <c r="P446" i="2"/>
  <c r="T446" i="2"/>
  <c r="V446" i="2"/>
  <c r="L445" i="10"/>
  <c r="AB446" i="2"/>
  <c r="CQ446" i="2"/>
  <c r="CR446" i="2"/>
  <c r="CS446" i="2"/>
  <c r="CT446" i="2"/>
  <c r="DI446" i="2"/>
  <c r="EA446" i="2"/>
  <c r="EH446" i="2"/>
  <c r="DN446" i="2"/>
  <c r="DR446" i="2"/>
  <c r="ES446" i="2"/>
  <c r="FN446" i="2"/>
  <c r="FT446" i="2"/>
  <c r="FV446" i="2"/>
  <c r="GA446" i="2"/>
  <c r="GD446" i="2"/>
  <c r="GK446" i="2"/>
  <c r="GQ446" i="2"/>
  <c r="GU446" i="2"/>
  <c r="GY446" i="2"/>
  <c r="HC446" i="2"/>
  <c r="HH446" i="2"/>
  <c r="HR446" i="2"/>
  <c r="HX446" i="2"/>
  <c r="P445" i="2"/>
  <c r="T445" i="2"/>
  <c r="V445" i="2"/>
  <c r="L444" i="10"/>
  <c r="AB445" i="2"/>
  <c r="AL445" i="2"/>
  <c r="CQ445" i="2"/>
  <c r="CR445" i="2"/>
  <c r="CS445" i="2"/>
  <c r="CT445" i="2"/>
  <c r="DI445" i="2"/>
  <c r="EA445" i="2"/>
  <c r="S444" i="10"/>
  <c r="EH445" i="2"/>
  <c r="DN445" i="2"/>
  <c r="DR445" i="2"/>
  <c r="ES445" i="2"/>
  <c r="FN445" i="2"/>
  <c r="FT445" i="2"/>
  <c r="FV445" i="2"/>
  <c r="GA445" i="2"/>
  <c r="V444" i="10"/>
  <c r="GD445" i="2"/>
  <c r="GK445" i="2"/>
  <c r="GQ445" i="2"/>
  <c r="GU445" i="2"/>
  <c r="GY445" i="2"/>
  <c r="HC445" i="2"/>
  <c r="HH445" i="2"/>
  <c r="HR445" i="2"/>
  <c r="HX445" i="2"/>
  <c r="P444" i="2"/>
  <c r="T444" i="2"/>
  <c r="V444" i="2"/>
  <c r="L443" i="10"/>
  <c r="AB444" i="2"/>
  <c r="AI444" i="2"/>
  <c r="AH444" i="2"/>
  <c r="CQ444" i="2"/>
  <c r="CR444" i="2"/>
  <c r="CS444" i="2"/>
  <c r="CT444" i="2"/>
  <c r="DI444" i="2"/>
  <c r="EA444" i="2"/>
  <c r="EH444" i="2"/>
  <c r="DN444" i="2"/>
  <c r="DR444" i="2"/>
  <c r="ES444" i="2"/>
  <c r="FN444" i="2"/>
  <c r="FT444" i="2"/>
  <c r="FV444" i="2"/>
  <c r="GA444" i="2"/>
  <c r="GD444" i="2"/>
  <c r="GK444" i="2"/>
  <c r="GQ444" i="2"/>
  <c r="GU444" i="2"/>
  <c r="GY444" i="2"/>
  <c r="HC444" i="2"/>
  <c r="HH444" i="2"/>
  <c r="HR444" i="2"/>
  <c r="HX444" i="2"/>
  <c r="P442" i="2"/>
  <c r="P443" i="2"/>
  <c r="T442" i="2"/>
  <c r="T443" i="2"/>
  <c r="J442" i="10"/>
  <c r="V442" i="2"/>
  <c r="L441" i="10"/>
  <c r="V443" i="2"/>
  <c r="L442" i="10"/>
  <c r="AB442" i="2"/>
  <c r="AJ442" i="2"/>
  <c r="AB443" i="2"/>
  <c r="AA443" i="2"/>
  <c r="CQ442" i="2"/>
  <c r="CQ443" i="2"/>
  <c r="CR442" i="2"/>
  <c r="CR443" i="2"/>
  <c r="CS442" i="2"/>
  <c r="CS443" i="2"/>
  <c r="CT442" i="2"/>
  <c r="CT443" i="2"/>
  <c r="DI442" i="2"/>
  <c r="DI443" i="2"/>
  <c r="EA442" i="2"/>
  <c r="EA443" i="2"/>
  <c r="EH442" i="2"/>
  <c r="EH443" i="2"/>
  <c r="DN442" i="2"/>
  <c r="DN443" i="2"/>
  <c r="DR442" i="2"/>
  <c r="DR443" i="2"/>
  <c r="ES442" i="2"/>
  <c r="ES443" i="2"/>
  <c r="FN442" i="2"/>
  <c r="FN443" i="2"/>
  <c r="FT442" i="2"/>
  <c r="FT443" i="2"/>
  <c r="FV442" i="2"/>
  <c r="FV443" i="2"/>
  <c r="GA442" i="2"/>
  <c r="GA443" i="2"/>
  <c r="GD442" i="2"/>
  <c r="GD443" i="2"/>
  <c r="GK442" i="2"/>
  <c r="GK443" i="2"/>
  <c r="GQ442" i="2"/>
  <c r="GQ443" i="2"/>
  <c r="GU442" i="2"/>
  <c r="GU443" i="2"/>
  <c r="GY442" i="2"/>
  <c r="GY443" i="2"/>
  <c r="HC442" i="2"/>
  <c r="HC443" i="2"/>
  <c r="HH442" i="2"/>
  <c r="HH443" i="2"/>
  <c r="HR442" i="2"/>
  <c r="HR443" i="2"/>
  <c r="HX442" i="2"/>
  <c r="HX443" i="2"/>
  <c r="P441" i="2"/>
  <c r="T441" i="2"/>
  <c r="V441" i="2"/>
  <c r="L440" i="10"/>
  <c r="AB441" i="2"/>
  <c r="CQ441" i="2"/>
  <c r="CR441" i="2"/>
  <c r="CS441" i="2"/>
  <c r="CT441" i="2"/>
  <c r="DI441" i="2"/>
  <c r="EA441" i="2"/>
  <c r="EH441" i="2"/>
  <c r="DN441" i="2"/>
  <c r="DR441" i="2"/>
  <c r="ES441" i="2"/>
  <c r="FN441" i="2"/>
  <c r="FT441" i="2"/>
  <c r="FV441" i="2"/>
  <c r="GA441" i="2"/>
  <c r="V440" i="10"/>
  <c r="GD441" i="2"/>
  <c r="GK441" i="2"/>
  <c r="GQ441" i="2"/>
  <c r="GU441" i="2"/>
  <c r="GY441" i="2"/>
  <c r="HC441" i="2"/>
  <c r="HH441" i="2"/>
  <c r="HR441" i="2"/>
  <c r="HX441" i="2"/>
  <c r="CU3" i="2"/>
  <c r="N3" i="2"/>
  <c r="BJ467" i="2"/>
  <c r="BJ458" i="2"/>
  <c r="BJ466" i="2"/>
  <c r="CJ466" i="2"/>
  <c r="BJ457" i="2"/>
  <c r="BJ465" i="2"/>
  <c r="BJ456" i="2"/>
  <c r="BJ455" i="2"/>
  <c r="BJ454" i="2"/>
  <c r="W454" i="2"/>
  <c r="M453" i="10"/>
  <c r="BJ451" i="2"/>
  <c r="W451" i="2"/>
  <c r="M450" i="10"/>
  <c r="BJ450" i="2"/>
  <c r="BJ449" i="2"/>
  <c r="CJ449" i="2"/>
  <c r="BJ448" i="2"/>
  <c r="BJ447" i="2"/>
  <c r="BJ446" i="2"/>
  <c r="BJ442" i="2"/>
  <c r="BJ445" i="2"/>
  <c r="BJ443" i="2"/>
  <c r="CJ443" i="2"/>
  <c r="BJ444" i="2"/>
  <c r="BJ441" i="2"/>
  <c r="H456" i="10"/>
  <c r="H454" i="10"/>
  <c r="V368" i="2"/>
  <c r="L367" i="10"/>
  <c r="R3" i="2"/>
  <c r="BA19" i="3"/>
  <c r="BA20" i="3"/>
  <c r="BA21" i="3"/>
  <c r="BA22" i="3"/>
  <c r="BA23" i="3"/>
  <c r="BA18" i="3"/>
  <c r="ER440" i="2"/>
  <c r="EG440" i="2"/>
  <c r="EP3" i="2"/>
  <c r="GD5" i="2"/>
  <c r="GD6" i="2"/>
  <c r="GD7" i="2"/>
  <c r="GD8" i="2"/>
  <c r="GD9" i="2"/>
  <c r="GD10" i="2"/>
  <c r="GD11" i="2"/>
  <c r="GD12" i="2"/>
  <c r="GD13" i="2"/>
  <c r="GD14" i="2"/>
  <c r="GD15" i="2"/>
  <c r="GD16" i="2"/>
  <c r="GD17" i="2"/>
  <c r="GD18" i="2"/>
  <c r="GD19" i="2"/>
  <c r="GD20" i="2"/>
  <c r="GD21" i="2"/>
  <c r="GD22" i="2"/>
  <c r="GD23" i="2"/>
  <c r="GD24" i="2"/>
  <c r="GD25" i="2"/>
  <c r="GD26" i="2"/>
  <c r="GD27" i="2"/>
  <c r="GD28" i="2"/>
  <c r="GD29" i="2"/>
  <c r="GD30" i="2"/>
  <c r="GD31" i="2"/>
  <c r="GD32" i="2"/>
  <c r="GD33" i="2"/>
  <c r="GD34" i="2"/>
  <c r="GD35" i="2"/>
  <c r="GD36" i="2"/>
  <c r="GD37" i="2"/>
  <c r="GD38" i="2"/>
  <c r="GD39" i="2"/>
  <c r="GD40" i="2"/>
  <c r="GD41" i="2"/>
  <c r="GD42" i="2"/>
  <c r="GD43" i="2"/>
  <c r="GD44" i="2"/>
  <c r="GD45" i="2"/>
  <c r="GD46" i="2"/>
  <c r="GD47" i="2"/>
  <c r="GD48" i="2"/>
  <c r="GD49" i="2"/>
  <c r="GD50" i="2"/>
  <c r="GD51" i="2"/>
  <c r="GD52" i="2"/>
  <c r="GD53" i="2"/>
  <c r="GD54" i="2"/>
  <c r="GD55" i="2"/>
  <c r="GD56" i="2"/>
  <c r="GD57" i="2"/>
  <c r="GD58" i="2"/>
  <c r="GD59" i="2"/>
  <c r="GD60" i="2"/>
  <c r="GD61" i="2"/>
  <c r="GD62" i="2"/>
  <c r="GD63" i="2"/>
  <c r="GD64" i="2"/>
  <c r="GD65" i="2"/>
  <c r="GD66" i="2"/>
  <c r="GD67" i="2"/>
  <c r="GD68" i="2"/>
  <c r="GD69" i="2"/>
  <c r="GD70" i="2"/>
  <c r="GD71" i="2"/>
  <c r="GD72" i="2"/>
  <c r="GD73" i="2"/>
  <c r="GD74" i="2"/>
  <c r="GD75" i="2"/>
  <c r="GD76" i="2"/>
  <c r="GD77" i="2"/>
  <c r="GD78" i="2"/>
  <c r="GD79" i="2"/>
  <c r="GD80" i="2"/>
  <c r="GD81" i="2"/>
  <c r="GD82" i="2"/>
  <c r="W81" i="10"/>
  <c r="GD83" i="2"/>
  <c r="GD84" i="2"/>
  <c r="GD85" i="2"/>
  <c r="GD86" i="2"/>
  <c r="GD87" i="2"/>
  <c r="GD88" i="2"/>
  <c r="GD89" i="2"/>
  <c r="GD90" i="2"/>
  <c r="GD91" i="2"/>
  <c r="GD92" i="2"/>
  <c r="GD93" i="2"/>
  <c r="GD94" i="2"/>
  <c r="GD95" i="2"/>
  <c r="GD96" i="2"/>
  <c r="GD97" i="2"/>
  <c r="GD98" i="2"/>
  <c r="GD99" i="2"/>
  <c r="GD100" i="2"/>
  <c r="GD101" i="2"/>
  <c r="GD102" i="2"/>
  <c r="GD103" i="2"/>
  <c r="GD104" i="2"/>
  <c r="GD105" i="2"/>
  <c r="GD106" i="2"/>
  <c r="GD107" i="2"/>
  <c r="GD108" i="2"/>
  <c r="GD109" i="2"/>
  <c r="GD110" i="2"/>
  <c r="GD111" i="2"/>
  <c r="GD112" i="2"/>
  <c r="GD113" i="2"/>
  <c r="GD114" i="2"/>
  <c r="GD115" i="2"/>
  <c r="GD116" i="2"/>
  <c r="GD117" i="2"/>
  <c r="GD118" i="2"/>
  <c r="GD119" i="2"/>
  <c r="GD120" i="2"/>
  <c r="GD121" i="2"/>
  <c r="GD122" i="2"/>
  <c r="GD123" i="2"/>
  <c r="GD124" i="2"/>
  <c r="GD125" i="2"/>
  <c r="GD126" i="2"/>
  <c r="W125" i="10"/>
  <c r="GD127" i="2"/>
  <c r="GD128" i="2"/>
  <c r="GD129" i="2"/>
  <c r="GD130" i="2"/>
  <c r="GD131" i="2"/>
  <c r="GD132" i="2"/>
  <c r="GD133" i="2"/>
  <c r="GD134" i="2"/>
  <c r="GD135" i="2"/>
  <c r="GD136" i="2"/>
  <c r="GD137" i="2"/>
  <c r="GD138" i="2"/>
  <c r="GD139" i="2"/>
  <c r="GD140" i="2"/>
  <c r="GD141" i="2"/>
  <c r="GD142" i="2"/>
  <c r="GD143" i="2"/>
  <c r="GD144" i="2"/>
  <c r="GD145" i="2"/>
  <c r="GD146" i="2"/>
  <c r="GD147" i="2"/>
  <c r="GD148" i="2"/>
  <c r="GD149" i="2"/>
  <c r="GD150" i="2"/>
  <c r="GD151" i="2"/>
  <c r="GD152" i="2"/>
  <c r="GD153" i="2"/>
  <c r="GD154" i="2"/>
  <c r="GD155" i="2"/>
  <c r="GD156" i="2"/>
  <c r="GD157" i="2"/>
  <c r="GD158" i="2"/>
  <c r="GD159" i="2"/>
  <c r="GD160" i="2"/>
  <c r="GD161" i="2"/>
  <c r="GD162" i="2"/>
  <c r="GD163" i="2"/>
  <c r="GD164" i="2"/>
  <c r="GD165" i="2"/>
  <c r="GD166" i="2"/>
  <c r="GD167" i="2"/>
  <c r="GD168" i="2"/>
  <c r="GD169" i="2"/>
  <c r="GD170" i="2"/>
  <c r="GD171" i="2"/>
  <c r="GD172" i="2"/>
  <c r="GD173" i="2"/>
  <c r="GD174" i="2"/>
  <c r="GD175" i="2"/>
  <c r="W174" i="10"/>
  <c r="GD176" i="2"/>
  <c r="GD177" i="2"/>
  <c r="GD178" i="2"/>
  <c r="GD179" i="2"/>
  <c r="GD180" i="2"/>
  <c r="GD181" i="2"/>
  <c r="GD182" i="2"/>
  <c r="GD183" i="2"/>
  <c r="GD184" i="2"/>
  <c r="GD185" i="2"/>
  <c r="GD186" i="2"/>
  <c r="GD187" i="2"/>
  <c r="GD188" i="2"/>
  <c r="GD189" i="2"/>
  <c r="GD190" i="2"/>
  <c r="GD191" i="2"/>
  <c r="GD192" i="2"/>
  <c r="GD193" i="2"/>
  <c r="GD194" i="2"/>
  <c r="GD195" i="2"/>
  <c r="GD196" i="2"/>
  <c r="GD197" i="2"/>
  <c r="GD198" i="2"/>
  <c r="GD199" i="2"/>
  <c r="GD200" i="2"/>
  <c r="GD201" i="2"/>
  <c r="GD202" i="2"/>
  <c r="GD203" i="2"/>
  <c r="GD204" i="2"/>
  <c r="GD205" i="2"/>
  <c r="GD206" i="2"/>
  <c r="GD207" i="2"/>
  <c r="GD208" i="2"/>
  <c r="GD209" i="2"/>
  <c r="GD210" i="2"/>
  <c r="GD211" i="2"/>
  <c r="GD212" i="2"/>
  <c r="GD213" i="2"/>
  <c r="GD214" i="2"/>
  <c r="GD215" i="2"/>
  <c r="GD216" i="2"/>
  <c r="GD217" i="2"/>
  <c r="GD218" i="2"/>
  <c r="GD219" i="2"/>
  <c r="GD220" i="2"/>
  <c r="GD221" i="2"/>
  <c r="GD222" i="2"/>
  <c r="GD223" i="2"/>
  <c r="GD224" i="2"/>
  <c r="GD225" i="2"/>
  <c r="GD226" i="2"/>
  <c r="GD227" i="2"/>
  <c r="GD228" i="2"/>
  <c r="GD229" i="2"/>
  <c r="GD230" i="2"/>
  <c r="W229" i="10"/>
  <c r="GD231" i="2"/>
  <c r="GD232" i="2"/>
  <c r="GD233" i="2"/>
  <c r="GD234" i="2"/>
  <c r="GD235" i="2"/>
  <c r="GD236" i="2"/>
  <c r="GD237" i="2"/>
  <c r="GD238" i="2"/>
  <c r="GD239" i="2"/>
  <c r="GD240" i="2"/>
  <c r="GD241" i="2"/>
  <c r="GD242" i="2"/>
  <c r="GD243" i="2"/>
  <c r="GD244" i="2"/>
  <c r="GD245" i="2"/>
  <c r="GD246" i="2"/>
  <c r="GD247" i="2"/>
  <c r="GD248" i="2"/>
  <c r="GD249" i="2"/>
  <c r="GD250" i="2"/>
  <c r="GD251" i="2"/>
  <c r="GD252" i="2"/>
  <c r="GD253" i="2"/>
  <c r="GD254" i="2"/>
  <c r="GD255" i="2"/>
  <c r="GD256" i="2"/>
  <c r="GD257" i="2"/>
  <c r="GD258" i="2"/>
  <c r="GD259" i="2"/>
  <c r="GD260" i="2"/>
  <c r="GD261" i="2"/>
  <c r="GD262" i="2"/>
  <c r="GD263" i="2"/>
  <c r="GD264" i="2"/>
  <c r="GD265" i="2"/>
  <c r="GD266" i="2"/>
  <c r="GD267" i="2"/>
  <c r="GD268" i="2"/>
  <c r="GD269" i="2"/>
  <c r="GD270" i="2"/>
  <c r="GD271" i="2"/>
  <c r="GD272" i="2"/>
  <c r="GD273" i="2"/>
  <c r="GD274" i="2"/>
  <c r="GD275" i="2"/>
  <c r="GD276" i="2"/>
  <c r="GD277" i="2"/>
  <c r="GD278" i="2"/>
  <c r="GD279" i="2"/>
  <c r="GD280" i="2"/>
  <c r="GD281" i="2"/>
  <c r="GD282" i="2"/>
  <c r="GD283" i="2"/>
  <c r="GD284" i="2"/>
  <c r="GD285" i="2"/>
  <c r="GD286" i="2"/>
  <c r="GD287" i="2"/>
  <c r="GD288" i="2"/>
  <c r="GD289" i="2"/>
  <c r="GD290" i="2"/>
  <c r="GD291" i="2"/>
  <c r="GD292" i="2"/>
  <c r="GD293" i="2"/>
  <c r="GD294" i="2"/>
  <c r="GD295" i="2"/>
  <c r="GD296" i="2"/>
  <c r="GD297" i="2"/>
  <c r="GD298" i="2"/>
  <c r="GD299" i="2"/>
  <c r="GD300" i="2"/>
  <c r="GD301" i="2"/>
  <c r="GD302" i="2"/>
  <c r="GD303" i="2"/>
  <c r="GD304" i="2"/>
  <c r="GD305" i="2"/>
  <c r="GD306" i="2"/>
  <c r="GD307" i="2"/>
  <c r="GD308" i="2"/>
  <c r="GD309" i="2"/>
  <c r="GD310" i="2"/>
  <c r="GD311" i="2"/>
  <c r="GD312" i="2"/>
  <c r="GD313" i="2"/>
  <c r="GD314" i="2"/>
  <c r="GD315" i="2"/>
  <c r="GD316" i="2"/>
  <c r="GD317" i="2"/>
  <c r="GD318" i="2"/>
  <c r="GD319" i="2"/>
  <c r="GD320" i="2"/>
  <c r="GD321" i="2"/>
  <c r="GD322" i="2"/>
  <c r="GD323" i="2"/>
  <c r="GD324" i="2"/>
  <c r="GD325" i="2"/>
  <c r="GD326" i="2"/>
  <c r="GD327" i="2"/>
  <c r="GD328" i="2"/>
  <c r="GD329" i="2"/>
  <c r="GD330" i="2"/>
  <c r="GD331" i="2"/>
  <c r="GD332" i="2"/>
  <c r="GD333" i="2"/>
  <c r="GD334" i="2"/>
  <c r="GD335" i="2"/>
  <c r="GD336" i="2"/>
  <c r="GD337" i="2"/>
  <c r="GD338" i="2"/>
  <c r="GD339" i="2"/>
  <c r="GD340" i="2"/>
  <c r="GD341" i="2"/>
  <c r="GD342" i="2"/>
  <c r="GD343" i="2"/>
  <c r="GD344" i="2"/>
  <c r="GD345" i="2"/>
  <c r="GD346" i="2"/>
  <c r="GD347" i="2"/>
  <c r="GD348" i="2"/>
  <c r="GD349" i="2"/>
  <c r="GD350" i="2"/>
  <c r="GD351" i="2"/>
  <c r="GD352" i="2"/>
  <c r="GD353" i="2"/>
  <c r="GD354" i="2"/>
  <c r="GD357" i="2"/>
  <c r="GD358" i="2"/>
  <c r="GD360" i="2"/>
  <c r="GD362" i="2"/>
  <c r="GD363" i="2"/>
  <c r="GD364" i="2"/>
  <c r="GD365" i="2"/>
  <c r="GD366" i="2"/>
  <c r="GD367" i="2"/>
  <c r="GD368" i="2"/>
  <c r="GD369" i="2"/>
  <c r="GD371" i="2"/>
  <c r="GD372" i="2"/>
  <c r="GD373" i="2"/>
  <c r="GD374" i="2"/>
  <c r="GD375" i="2"/>
  <c r="GD376" i="2"/>
  <c r="GD377" i="2"/>
  <c r="GD378" i="2"/>
  <c r="GD380" i="2"/>
  <c r="GD381" i="2"/>
  <c r="GD382" i="2"/>
  <c r="GD383" i="2"/>
  <c r="GD384" i="2"/>
  <c r="GD385" i="2"/>
  <c r="GD386" i="2"/>
  <c r="GD388" i="2"/>
  <c r="GD389" i="2"/>
  <c r="GD390" i="2"/>
  <c r="GD392" i="2"/>
  <c r="GD393" i="2"/>
  <c r="GD394" i="2"/>
  <c r="GD395" i="2"/>
  <c r="GD396" i="2"/>
  <c r="GD397" i="2"/>
  <c r="GD398" i="2"/>
  <c r="GD399" i="2"/>
  <c r="GD400" i="2"/>
  <c r="GD401" i="2"/>
  <c r="GD402" i="2"/>
  <c r="GD403" i="2"/>
  <c r="GD404" i="2"/>
  <c r="GD405" i="2"/>
  <c r="GD406" i="2"/>
  <c r="GD407" i="2"/>
  <c r="GD408" i="2"/>
  <c r="GD409" i="2"/>
  <c r="GD410" i="2"/>
  <c r="GD411" i="2"/>
  <c r="GD412" i="2"/>
  <c r="GD413" i="2"/>
  <c r="GD414" i="2"/>
  <c r="GD415" i="2"/>
  <c r="GD416" i="2"/>
  <c r="GD417" i="2"/>
  <c r="GD418" i="2"/>
  <c r="GD419" i="2"/>
  <c r="GD420" i="2"/>
  <c r="GD421" i="2"/>
  <c r="GD422" i="2"/>
  <c r="GD423" i="2"/>
  <c r="GD424" i="2"/>
  <c r="GD425" i="2"/>
  <c r="GD426" i="2"/>
  <c r="GD427" i="2"/>
  <c r="GD428" i="2"/>
  <c r="GD429" i="2"/>
  <c r="GD430" i="2"/>
  <c r="GD431" i="2"/>
  <c r="GD435" i="2"/>
  <c r="GD436" i="2"/>
  <c r="GD437" i="2"/>
  <c r="GD438" i="2"/>
  <c r="GD439" i="2"/>
  <c r="GD440" i="2"/>
  <c r="AA1" i="2"/>
  <c r="GC391" i="2"/>
  <c r="GC387" i="2"/>
  <c r="AK386" i="10"/>
  <c r="GC379" i="2"/>
  <c r="AK378" i="10"/>
  <c r="GC370" i="2"/>
  <c r="GC361" i="2"/>
  <c r="AK360" i="10"/>
  <c r="GC359" i="2"/>
  <c r="GD359" i="2"/>
  <c r="GC356" i="2"/>
  <c r="GD356" i="2"/>
  <c r="GC355" i="2"/>
  <c r="AE3" i="2"/>
  <c r="AC3" i="2"/>
  <c r="AB440" i="2"/>
  <c r="AL440" i="2"/>
  <c r="BJ440" i="2"/>
  <c r="W440" i="2"/>
  <c r="M439" i="10"/>
  <c r="CQ440" i="2"/>
  <c r="CR440" i="2"/>
  <c r="CS440" i="2"/>
  <c r="CT440" i="2"/>
  <c r="DI440" i="2"/>
  <c r="EA440" i="2"/>
  <c r="EH440" i="2"/>
  <c r="DN440" i="2"/>
  <c r="DR440" i="2"/>
  <c r="ES440" i="2"/>
  <c r="FN440" i="2"/>
  <c r="FT440" i="2"/>
  <c r="FV440" i="2"/>
  <c r="GA440" i="2"/>
  <c r="GK440" i="2"/>
  <c r="GQ440" i="2"/>
  <c r="GU440" i="2"/>
  <c r="GY440" i="2"/>
  <c r="HC440" i="2"/>
  <c r="HH440" i="2"/>
  <c r="HR440" i="2"/>
  <c r="HX440" i="2"/>
  <c r="BQ151" i="2"/>
  <c r="BJ151" i="2"/>
  <c r="W151" i="2"/>
  <c r="M150" i="10"/>
  <c r="AN5" i="3"/>
  <c r="AO5" i="3"/>
  <c r="AT5" i="3"/>
  <c r="AU5" i="3"/>
  <c r="D5" i="3"/>
  <c r="AA236" i="2"/>
  <c r="AA235" i="2"/>
  <c r="AA234" i="2"/>
  <c r="AA233" i="2"/>
  <c r="AA232" i="2"/>
  <c r="AA231" i="2"/>
  <c r="AA230" i="2"/>
  <c r="AA229" i="2"/>
  <c r="AA222" i="2"/>
  <c r="AA221" i="2"/>
  <c r="AA220" i="2"/>
  <c r="AA219" i="2"/>
  <c r="CP219" i="2"/>
  <c r="T219" i="2"/>
  <c r="AA218" i="2"/>
  <c r="AA217" i="2"/>
  <c r="AA216" i="2"/>
  <c r="AA215" i="2"/>
  <c r="AA214" i="2"/>
  <c r="AA213" i="2"/>
  <c r="AA212" i="2"/>
  <c r="AA211" i="2"/>
  <c r="AA210" i="2"/>
  <c r="CP210" i="2"/>
  <c r="T210" i="2"/>
  <c r="U210" i="2"/>
  <c r="K209" i="10"/>
  <c r="AA209" i="2"/>
  <c r="CP209" i="2"/>
  <c r="T209" i="2"/>
  <c r="AA208" i="2"/>
  <c r="CP208" i="2"/>
  <c r="T208" i="2"/>
  <c r="U208" i="2"/>
  <c r="K207" i="10"/>
  <c r="AA207" i="2"/>
  <c r="AA206" i="2"/>
  <c r="CP206" i="2"/>
  <c r="T206" i="2"/>
  <c r="AA205" i="2"/>
  <c r="AA204" i="2"/>
  <c r="CP204" i="2"/>
  <c r="T204" i="2"/>
  <c r="U204" i="2"/>
  <c r="K203" i="10"/>
  <c r="AA203" i="2"/>
  <c r="AA202" i="2"/>
  <c r="AA201" i="2"/>
  <c r="AA200" i="2"/>
  <c r="AA199" i="2"/>
  <c r="AA198" i="2"/>
  <c r="AA197" i="2"/>
  <c r="AA196" i="2"/>
  <c r="AA195" i="2"/>
  <c r="AA194" i="2"/>
  <c r="AA193" i="2"/>
  <c r="AA192" i="2"/>
  <c r="AA191" i="2"/>
  <c r="AA190" i="2"/>
  <c r="AA189" i="2"/>
  <c r="AA188" i="2"/>
  <c r="CP188" i="2"/>
  <c r="T188" i="2"/>
  <c r="AA187" i="2"/>
  <c r="AA186" i="2"/>
  <c r="AA185" i="2"/>
  <c r="AA184" i="2"/>
  <c r="AA183" i="2"/>
  <c r="AA182" i="2"/>
  <c r="AA181" i="2"/>
  <c r="AA180" i="2"/>
  <c r="AA179" i="2"/>
  <c r="AA178" i="2"/>
  <c r="AA177" i="2"/>
  <c r="AA176" i="2"/>
  <c r="AA175" i="2"/>
  <c r="AA174" i="2"/>
  <c r="AA173" i="2"/>
  <c r="CP173" i="2"/>
  <c r="T173" i="2"/>
  <c r="AA172" i="2"/>
  <c r="AA171" i="2"/>
  <c r="CP171" i="2"/>
  <c r="T171" i="2"/>
  <c r="U171" i="2"/>
  <c r="K170" i="10"/>
  <c r="AA170" i="2"/>
  <c r="CP170" i="2"/>
  <c r="T170" i="2"/>
  <c r="J169" i="10"/>
  <c r="AA169" i="2"/>
  <c r="CP169" i="2"/>
  <c r="T169" i="2"/>
  <c r="AA168" i="2"/>
  <c r="CP168" i="2"/>
  <c r="T168" i="2"/>
  <c r="AA167" i="2"/>
  <c r="CP167" i="2"/>
  <c r="T167" i="2"/>
  <c r="AA166" i="2"/>
  <c r="AA165" i="2"/>
  <c r="AA164" i="2"/>
  <c r="AA163" i="2"/>
  <c r="AA162" i="2"/>
  <c r="AA161" i="2"/>
  <c r="AA160" i="2"/>
  <c r="AA159" i="2"/>
  <c r="AA158" i="2"/>
  <c r="AA157" i="2"/>
  <c r="AA156" i="2"/>
  <c r="AA155" i="2"/>
  <c r="AA154" i="2"/>
  <c r="AA153" i="2"/>
  <c r="AA152" i="2"/>
  <c r="AA151" i="2"/>
  <c r="CP151" i="2"/>
  <c r="T151" i="2"/>
  <c r="J150" i="10"/>
  <c r="AA149" i="2"/>
  <c r="AA148" i="2"/>
  <c r="AA147" i="2"/>
  <c r="AA146" i="2"/>
  <c r="AA145" i="2"/>
  <c r="AA144" i="2"/>
  <c r="AA143" i="2"/>
  <c r="AA142" i="2"/>
  <c r="AA141" i="2"/>
  <c r="AA140" i="2"/>
  <c r="AA139" i="2"/>
  <c r="AA138" i="2"/>
  <c r="AA137" i="2"/>
  <c r="AA136" i="2"/>
  <c r="CP136" i="2"/>
  <c r="T136" i="2"/>
  <c r="U136" i="2"/>
  <c r="K135" i="10"/>
  <c r="AA135" i="2"/>
  <c r="AA134" i="2"/>
  <c r="AA133" i="2"/>
  <c r="AA132" i="2"/>
  <c r="AA131" i="2"/>
  <c r="AA130" i="2"/>
  <c r="AA129" i="2"/>
  <c r="GA346" i="2"/>
  <c r="GA347" i="2"/>
  <c r="GA348" i="2"/>
  <c r="GA349" i="2"/>
  <c r="GA350" i="2"/>
  <c r="GA351" i="2"/>
  <c r="GA352" i="2"/>
  <c r="GA353" i="2"/>
  <c r="GA354" i="2"/>
  <c r="GA355" i="2"/>
  <c r="GA356" i="2"/>
  <c r="GA357" i="2"/>
  <c r="GA358" i="2"/>
  <c r="GA359" i="2"/>
  <c r="GA360" i="2"/>
  <c r="GA361" i="2"/>
  <c r="GA362" i="2"/>
  <c r="GA363" i="2"/>
  <c r="GA364" i="2"/>
  <c r="GA365" i="2"/>
  <c r="GA366" i="2"/>
  <c r="GA367" i="2"/>
  <c r="GA368" i="2"/>
  <c r="GA369" i="2"/>
  <c r="GA370" i="2"/>
  <c r="GA371" i="2"/>
  <c r="GA372" i="2"/>
  <c r="GA373" i="2"/>
  <c r="GA374" i="2"/>
  <c r="GA375" i="2"/>
  <c r="GA376" i="2"/>
  <c r="GA377" i="2"/>
  <c r="GA378" i="2"/>
  <c r="GA379" i="2"/>
  <c r="GA380" i="2"/>
  <c r="GA381" i="2"/>
  <c r="GA382" i="2"/>
  <c r="GA383" i="2"/>
  <c r="GA384" i="2"/>
  <c r="GA385" i="2"/>
  <c r="GA386" i="2"/>
  <c r="GA387" i="2"/>
  <c r="GA388" i="2"/>
  <c r="GA389" i="2"/>
  <c r="GA390" i="2"/>
  <c r="GA391" i="2"/>
  <c r="GA392" i="2"/>
  <c r="GA393" i="2"/>
  <c r="GA394" i="2"/>
  <c r="GA395" i="2"/>
  <c r="GA396" i="2"/>
  <c r="GA397" i="2"/>
  <c r="GA398" i="2"/>
  <c r="GA399" i="2"/>
  <c r="GA400" i="2"/>
  <c r="GA401" i="2"/>
  <c r="GA402" i="2"/>
  <c r="GA403" i="2"/>
  <c r="GA404" i="2"/>
  <c r="GA405" i="2"/>
  <c r="GA406" i="2"/>
  <c r="GA407" i="2"/>
  <c r="GA408" i="2"/>
  <c r="GA409" i="2"/>
  <c r="GA410" i="2"/>
  <c r="GA411" i="2"/>
  <c r="GA412" i="2"/>
  <c r="GA413" i="2"/>
  <c r="GA414" i="2"/>
  <c r="GA415" i="2"/>
  <c r="GA416" i="2"/>
  <c r="GA417" i="2"/>
  <c r="GA418" i="2"/>
  <c r="GA419" i="2"/>
  <c r="GA420" i="2"/>
  <c r="GA421" i="2"/>
  <c r="GA422" i="2"/>
  <c r="GA423" i="2"/>
  <c r="GA424" i="2"/>
  <c r="GA425" i="2"/>
  <c r="GA426" i="2"/>
  <c r="GA427" i="2"/>
  <c r="GA428" i="2"/>
  <c r="GA429" i="2"/>
  <c r="GA430" i="2"/>
  <c r="GA431" i="2"/>
  <c r="GA435" i="2"/>
  <c r="GA436" i="2"/>
  <c r="GA437" i="2"/>
  <c r="GA438" i="2"/>
  <c r="GA439" i="2"/>
  <c r="GA345" i="2"/>
  <c r="EH348" i="2"/>
  <c r="EH349" i="2"/>
  <c r="EH350" i="2"/>
  <c r="EH351" i="2"/>
  <c r="EA351" i="2"/>
  <c r="EA350" i="2"/>
  <c r="EA349" i="2"/>
  <c r="EA348" i="2"/>
  <c r="ER389" i="2"/>
  <c r="ER390" i="2"/>
  <c r="ER435" i="2"/>
  <c r="ER351" i="2"/>
  <c r="ER373" i="2"/>
  <c r="ER407" i="2"/>
  <c r="ER391" i="2"/>
  <c r="ER348" i="2"/>
  <c r="ER370" i="2"/>
  <c r="ER392" i="2"/>
  <c r="ER437" i="2"/>
  <c r="ER366" i="2"/>
  <c r="ER388" i="2"/>
  <c r="ER430" i="2"/>
  <c r="ER438" i="2"/>
  <c r="ER394" i="2"/>
  <c r="ER439" i="2"/>
  <c r="ER369" i="2"/>
  <c r="ER367" i="2"/>
  <c r="ER431" i="2"/>
  <c r="ER436" i="2"/>
  <c r="ER368" i="2"/>
  <c r="ER347" i="2"/>
  <c r="ER383" i="2"/>
  <c r="ER417" i="2"/>
  <c r="ER363" i="2"/>
  <c r="ER385" i="2"/>
  <c r="ER427" i="2"/>
  <c r="ER365" i="2"/>
  <c r="ER387" i="2"/>
  <c r="ER429" i="2"/>
  <c r="ER408" i="2"/>
  <c r="ER353" i="2"/>
  <c r="ER375" i="2"/>
  <c r="ER409" i="2"/>
  <c r="ER374" i="2"/>
  <c r="ER354" i="2"/>
  <c r="ER376" i="2"/>
  <c r="ER410" i="2"/>
  <c r="ER360" i="2"/>
  <c r="ER361" i="2"/>
  <c r="ER349" i="2"/>
  <c r="ER371" i="2"/>
  <c r="ER393" i="2"/>
  <c r="ER352" i="2"/>
  <c r="ER359" i="2"/>
  <c r="ER381" i="2"/>
  <c r="ER415" i="2"/>
  <c r="ER362" i="2"/>
  <c r="ER384" i="2"/>
  <c r="ER418" i="2"/>
  <c r="ER382" i="2"/>
  <c r="ER416" i="2"/>
  <c r="ER364" i="2"/>
  <c r="ER386" i="2"/>
  <c r="ER428" i="2"/>
  <c r="ER358" i="2"/>
  <c r="ER380" i="2"/>
  <c r="ER414" i="2"/>
  <c r="ER350" i="2"/>
  <c r="ER372" i="2"/>
  <c r="ER355" i="2"/>
  <c r="ER377" i="2"/>
  <c r="ER411" i="2"/>
  <c r="ER356" i="2"/>
  <c r="ER378" i="2"/>
  <c r="ER412" i="2"/>
  <c r="ER357" i="2"/>
  <c r="ER379" i="2"/>
  <c r="ER413" i="2"/>
  <c r="EQ3" i="2"/>
  <c r="DR348" i="2"/>
  <c r="DR349" i="2"/>
  <c r="DR350" i="2"/>
  <c r="DR351" i="2"/>
  <c r="DN348" i="2"/>
  <c r="DN349" i="2"/>
  <c r="DN350" i="2"/>
  <c r="DN351" i="2"/>
  <c r="ER346" i="2"/>
  <c r="ER395" i="2"/>
  <c r="ER396" i="2"/>
  <c r="ER397" i="2"/>
  <c r="ER398" i="2"/>
  <c r="ER399" i="2"/>
  <c r="ER400" i="2"/>
  <c r="ER401" i="2"/>
  <c r="ER402" i="2"/>
  <c r="ER403" i="2"/>
  <c r="ER404" i="2"/>
  <c r="ER405" i="2"/>
  <c r="ER406" i="2"/>
  <c r="ER419" i="2"/>
  <c r="ER420" i="2"/>
  <c r="ER421" i="2"/>
  <c r="ER422" i="2"/>
  <c r="ER423" i="2"/>
  <c r="ER424" i="2"/>
  <c r="ER425" i="2"/>
  <c r="ER426" i="2"/>
  <c r="D6" i="3"/>
  <c r="D7" i="3"/>
  <c r="D8" i="3"/>
  <c r="D9" i="3"/>
  <c r="D10" i="3"/>
  <c r="D11" i="3"/>
  <c r="AT7" i="3"/>
  <c r="AU7" i="3"/>
  <c r="AT8" i="3"/>
  <c r="AU8" i="3"/>
  <c r="AT9" i="3"/>
  <c r="AU9" i="3"/>
  <c r="AT10" i="3"/>
  <c r="AU10" i="3"/>
  <c r="AU6" i="3"/>
  <c r="AT6" i="3"/>
  <c r="AN7" i="3"/>
  <c r="AO7" i="3"/>
  <c r="AN8" i="3"/>
  <c r="AO8" i="3"/>
  <c r="AN9" i="3"/>
  <c r="AO9" i="3"/>
  <c r="AN10" i="3"/>
  <c r="AO10" i="3"/>
  <c r="AN11" i="3"/>
  <c r="AO11" i="3"/>
  <c r="AO6" i="3"/>
  <c r="AN6" i="3"/>
  <c r="EG341" i="2"/>
  <c r="EG340" i="2"/>
  <c r="EG338" i="2"/>
  <c r="EG337" i="2"/>
  <c r="EG336" i="2"/>
  <c r="EG334" i="2"/>
  <c r="EG330" i="2"/>
  <c r="EG329" i="2"/>
  <c r="EG328" i="2"/>
  <c r="EG325" i="2"/>
  <c r="EG324" i="2"/>
  <c r="EG323" i="2"/>
  <c r="EG321" i="2"/>
  <c r="EG317" i="2"/>
  <c r="EG308" i="2"/>
  <c r="EG295" i="2"/>
  <c r="EG293" i="2"/>
  <c r="EG292" i="2"/>
  <c r="EG290" i="2"/>
  <c r="EG289" i="2"/>
  <c r="EG287" i="2"/>
  <c r="EG284" i="2"/>
  <c r="EG283" i="2"/>
  <c r="EG280" i="2"/>
  <c r="EG279" i="2"/>
  <c r="EG277" i="2"/>
  <c r="EG276" i="2"/>
  <c r="EG272" i="2"/>
  <c r="EG270" i="2"/>
  <c r="EG269" i="2"/>
  <c r="EG268" i="2"/>
  <c r="EG267" i="2"/>
  <c r="EG266" i="2"/>
  <c r="EG265" i="2"/>
  <c r="EG264" i="2"/>
  <c r="EG263" i="2"/>
  <c r="EG262" i="2"/>
  <c r="EG258" i="2"/>
  <c r="EG255" i="2"/>
  <c r="EG253" i="2"/>
  <c r="EG252" i="2"/>
  <c r="EG251" i="2"/>
  <c r="EG250" i="2"/>
  <c r="EG249" i="2"/>
  <c r="EG248" i="2"/>
  <c r="EG247" i="2"/>
  <c r="EG246" i="2"/>
  <c r="EG245" i="2"/>
  <c r="EG244" i="2"/>
  <c r="EG243" i="2"/>
  <c r="EG242" i="2"/>
  <c r="CP217" i="2"/>
  <c r="T217" i="2"/>
  <c r="U217" i="2"/>
  <c r="K216" i="10"/>
  <c r="CP218" i="2"/>
  <c r="T218" i="2"/>
  <c r="CP220" i="2"/>
  <c r="T220" i="2"/>
  <c r="J219" i="10"/>
  <c r="CP222" i="2"/>
  <c r="T222" i="2"/>
  <c r="CP229" i="2"/>
  <c r="T229" i="2"/>
  <c r="U229" i="2"/>
  <c r="K228" i="10"/>
  <c r="CP230" i="2"/>
  <c r="T230" i="2"/>
  <c r="U230" i="2"/>
  <c r="K229" i="10"/>
  <c r="CP231" i="2"/>
  <c r="T231" i="2"/>
  <c r="J230" i="10"/>
  <c r="CP232" i="2"/>
  <c r="T232" i="2"/>
  <c r="U232" i="2"/>
  <c r="K231" i="10"/>
  <c r="CP233" i="2"/>
  <c r="T233" i="2"/>
  <c r="CP234" i="2"/>
  <c r="T234" i="2"/>
  <c r="U234" i="2"/>
  <c r="K233" i="10"/>
  <c r="CP235" i="2"/>
  <c r="T235" i="2"/>
  <c r="CP236" i="2"/>
  <c r="T236" i="2"/>
  <c r="CP254" i="2"/>
  <c r="T254" i="2"/>
  <c r="CP255" i="2"/>
  <c r="T255" i="2"/>
  <c r="CP256" i="2"/>
  <c r="T256" i="2"/>
  <c r="J255" i="10"/>
  <c r="CP257" i="2"/>
  <c r="T257" i="2"/>
  <c r="U257" i="2"/>
  <c r="K256" i="10"/>
  <c r="CP260" i="2"/>
  <c r="T260" i="2"/>
  <c r="U260" i="2"/>
  <c r="K259" i="10"/>
  <c r="CP285" i="2"/>
  <c r="T285" i="2"/>
  <c r="U285" i="2"/>
  <c r="K284" i="10"/>
  <c r="CP303" i="2"/>
  <c r="T303" i="2"/>
  <c r="U303" i="2"/>
  <c r="K302" i="10"/>
  <c r="CP312" i="2"/>
  <c r="T312" i="2"/>
  <c r="CP313" i="2"/>
  <c r="T313" i="2"/>
  <c r="CP331" i="2"/>
  <c r="T331" i="2"/>
  <c r="J330" i="10"/>
  <c r="CP342" i="2"/>
  <c r="T342" i="2"/>
  <c r="U342" i="2"/>
  <c r="K341" i="10"/>
  <c r="CP343" i="2"/>
  <c r="T343" i="2"/>
  <c r="J342" i="10"/>
  <c r="CP344" i="2"/>
  <c r="T344" i="2"/>
  <c r="U344" i="2"/>
  <c r="K343" i="10"/>
  <c r="CP5" i="2"/>
  <c r="T5" i="2"/>
  <c r="CP6" i="2"/>
  <c r="T6" i="2"/>
  <c r="J5" i="10"/>
  <c r="CP7" i="2"/>
  <c r="T7" i="2"/>
  <c r="CP8" i="2"/>
  <c r="T8" i="2"/>
  <c r="CP9" i="2"/>
  <c r="T9" i="2"/>
  <c r="CP10" i="2"/>
  <c r="T10" i="2"/>
  <c r="CP11" i="2"/>
  <c r="T11" i="2"/>
  <c r="J10" i="10"/>
  <c r="CP12" i="2"/>
  <c r="T12" i="2"/>
  <c r="J11" i="10"/>
  <c r="CP13" i="2"/>
  <c r="T13" i="2"/>
  <c r="CP14" i="2"/>
  <c r="T14" i="2"/>
  <c r="J13" i="10"/>
  <c r="CP15" i="2"/>
  <c r="T15" i="2"/>
  <c r="CP16" i="2"/>
  <c r="T16" i="2"/>
  <c r="J15" i="10"/>
  <c r="CP17" i="2"/>
  <c r="T17" i="2"/>
  <c r="U17" i="2"/>
  <c r="K16" i="10"/>
  <c r="CP18" i="2"/>
  <c r="T18" i="2"/>
  <c r="CP19" i="2"/>
  <c r="T19" i="2"/>
  <c r="U19" i="2"/>
  <c r="K18" i="10"/>
  <c r="CP20" i="2"/>
  <c r="T20" i="2"/>
  <c r="CP21" i="2"/>
  <c r="T21" i="2"/>
  <c r="CP22" i="2"/>
  <c r="T22" i="2"/>
  <c r="J21" i="10"/>
  <c r="CP23" i="2"/>
  <c r="T23" i="2"/>
  <c r="J22" i="10"/>
  <c r="CP24" i="2"/>
  <c r="T24" i="2"/>
  <c r="U24" i="2"/>
  <c r="K23" i="10"/>
  <c r="CP25" i="2"/>
  <c r="T25" i="2"/>
  <c r="J24" i="10"/>
  <c r="CP26" i="2"/>
  <c r="T26" i="2"/>
  <c r="U26" i="2"/>
  <c r="K25" i="10"/>
  <c r="CP27" i="2"/>
  <c r="T27" i="2"/>
  <c r="CP28" i="2"/>
  <c r="T28" i="2"/>
  <c r="CP29" i="2"/>
  <c r="T29" i="2"/>
  <c r="CP31" i="2"/>
  <c r="T31" i="2"/>
  <c r="U31" i="2"/>
  <c r="K30" i="10"/>
  <c r="CP32" i="2"/>
  <c r="T32" i="2"/>
  <c r="U32" i="2"/>
  <c r="K31" i="10"/>
  <c r="CP33" i="2"/>
  <c r="T33" i="2"/>
  <c r="CP35" i="2"/>
  <c r="T35" i="2"/>
  <c r="CP36" i="2"/>
  <c r="T36" i="2"/>
  <c r="CP37" i="2"/>
  <c r="T37" i="2"/>
  <c r="J36" i="10"/>
  <c r="CP38" i="2"/>
  <c r="T38" i="2"/>
  <c r="U38" i="2"/>
  <c r="K37" i="10"/>
  <c r="CP39" i="2"/>
  <c r="T39" i="2"/>
  <c r="U39" i="2"/>
  <c r="K38" i="10"/>
  <c r="CP40" i="2"/>
  <c r="T40" i="2"/>
  <c r="U40" i="2"/>
  <c r="K39" i="10"/>
  <c r="CP41" i="2"/>
  <c r="T41" i="2"/>
  <c r="CP42" i="2"/>
  <c r="T42" i="2"/>
  <c r="CP43" i="2"/>
  <c r="T43" i="2"/>
  <c r="U43" i="2"/>
  <c r="K42" i="10"/>
  <c r="CP44" i="2"/>
  <c r="T44" i="2"/>
  <c r="U44" i="2"/>
  <c r="K43" i="10"/>
  <c r="CP45" i="2"/>
  <c r="T45" i="2"/>
  <c r="J44" i="10"/>
  <c r="CP46" i="2"/>
  <c r="T46" i="2"/>
  <c r="CP47" i="2"/>
  <c r="T47" i="2"/>
  <c r="U47" i="2"/>
  <c r="K46" i="10"/>
  <c r="CP48" i="2"/>
  <c r="T48" i="2"/>
  <c r="CP49" i="2"/>
  <c r="T49" i="2"/>
  <c r="CP50" i="2"/>
  <c r="T50" i="2"/>
  <c r="U50" i="2"/>
  <c r="K49" i="10"/>
  <c r="CP51" i="2"/>
  <c r="T51" i="2"/>
  <c r="CP52" i="2"/>
  <c r="T52" i="2"/>
  <c r="J51" i="10"/>
  <c r="CP53" i="2"/>
  <c r="T53" i="2"/>
  <c r="U53" i="2"/>
  <c r="K52" i="10"/>
  <c r="CP54" i="2"/>
  <c r="T54" i="2"/>
  <c r="U54" i="2"/>
  <c r="K53" i="10"/>
  <c r="CP55" i="2"/>
  <c r="T55" i="2"/>
  <c r="J54" i="10"/>
  <c r="CP56" i="2"/>
  <c r="T56" i="2"/>
  <c r="CP58" i="2"/>
  <c r="T58" i="2"/>
  <c r="CP59" i="2"/>
  <c r="T59" i="2"/>
  <c r="CP60" i="2"/>
  <c r="T60" i="2"/>
  <c r="J59" i="10"/>
  <c r="CP61" i="2"/>
  <c r="T61" i="2"/>
  <c r="J60" i="10"/>
  <c r="CP62" i="2"/>
  <c r="T62" i="2"/>
  <c r="CP63" i="2"/>
  <c r="T63" i="2"/>
  <c r="CP64" i="2"/>
  <c r="T64" i="2"/>
  <c r="CP65" i="2"/>
  <c r="T65" i="2"/>
  <c r="J64" i="10"/>
  <c r="CP66" i="2"/>
  <c r="T66" i="2"/>
  <c r="U66" i="2"/>
  <c r="K65" i="10"/>
  <c r="CP67" i="2"/>
  <c r="T67" i="2"/>
  <c r="J66" i="10"/>
  <c r="CP68" i="2"/>
  <c r="T68" i="2"/>
  <c r="J67" i="10"/>
  <c r="CP69" i="2"/>
  <c r="T69" i="2"/>
  <c r="U69" i="2"/>
  <c r="K68" i="10"/>
  <c r="CP70" i="2"/>
  <c r="T70" i="2"/>
  <c r="J69" i="10"/>
  <c r="CP71" i="2"/>
  <c r="T71" i="2"/>
  <c r="J70" i="10"/>
  <c r="CP72" i="2"/>
  <c r="T72" i="2"/>
  <c r="J71" i="10"/>
  <c r="CP73" i="2"/>
  <c r="T73" i="2"/>
  <c r="CP79" i="2"/>
  <c r="T79" i="2"/>
  <c r="CP80" i="2"/>
  <c r="T80" i="2"/>
  <c r="CP81" i="2"/>
  <c r="T81" i="2"/>
  <c r="CP82" i="2"/>
  <c r="T82" i="2"/>
  <c r="CP83" i="2"/>
  <c r="T83" i="2"/>
  <c r="J82" i="10"/>
  <c r="CP84" i="2"/>
  <c r="T84" i="2"/>
  <c r="U84" i="2"/>
  <c r="K83" i="10"/>
  <c r="CP85" i="2"/>
  <c r="T85" i="2"/>
  <c r="CP86" i="2"/>
  <c r="T86" i="2"/>
  <c r="U86" i="2"/>
  <c r="K85" i="10"/>
  <c r="CP87" i="2"/>
  <c r="T87" i="2"/>
  <c r="CP88" i="2"/>
  <c r="T88" i="2"/>
  <c r="U88" i="2"/>
  <c r="K87" i="10"/>
  <c r="CP89" i="2"/>
  <c r="T89" i="2"/>
  <c r="J88" i="10"/>
  <c r="CP90" i="2"/>
  <c r="T90" i="2"/>
  <c r="CP91" i="2"/>
  <c r="T91" i="2"/>
  <c r="U91" i="2"/>
  <c r="K90" i="10"/>
  <c r="CP92" i="2"/>
  <c r="T92" i="2"/>
  <c r="U92" i="2"/>
  <c r="K91" i="10"/>
  <c r="CP93" i="2"/>
  <c r="T93" i="2"/>
  <c r="U93" i="2"/>
  <c r="K92" i="10"/>
  <c r="CP94" i="2"/>
  <c r="T94" i="2"/>
  <c r="J93" i="10"/>
  <c r="CP95" i="2"/>
  <c r="T95" i="2"/>
  <c r="CP96" i="2"/>
  <c r="T96" i="2"/>
  <c r="J95" i="10"/>
  <c r="CP97" i="2"/>
  <c r="T97" i="2"/>
  <c r="J96" i="10"/>
  <c r="CP98" i="2"/>
  <c r="T98" i="2"/>
  <c r="CP99" i="2"/>
  <c r="T99" i="2"/>
  <c r="CP100" i="2"/>
  <c r="T100" i="2"/>
  <c r="J99" i="10"/>
  <c r="CP101" i="2"/>
  <c r="T101" i="2"/>
  <c r="CP102" i="2"/>
  <c r="T102" i="2"/>
  <c r="CP103" i="2"/>
  <c r="T103" i="2"/>
  <c r="U103" i="2"/>
  <c r="K102" i="10"/>
  <c r="CP104" i="2"/>
  <c r="T104" i="2"/>
  <c r="U104" i="2"/>
  <c r="K103" i="10"/>
  <c r="CP105" i="2"/>
  <c r="T105" i="2"/>
  <c r="U105" i="2"/>
  <c r="K104" i="10"/>
  <c r="CP106" i="2"/>
  <c r="T106" i="2"/>
  <c r="CP107" i="2"/>
  <c r="T107" i="2"/>
  <c r="CP108" i="2"/>
  <c r="T108" i="2"/>
  <c r="CP109" i="2"/>
  <c r="T109" i="2"/>
  <c r="CP110" i="2"/>
  <c r="T110" i="2"/>
  <c r="CP111" i="2"/>
  <c r="T111" i="2"/>
  <c r="U111" i="2"/>
  <c r="K110" i="10"/>
  <c r="CP112" i="2"/>
  <c r="T112" i="2"/>
  <c r="U112" i="2"/>
  <c r="K111" i="10"/>
  <c r="CP113" i="2"/>
  <c r="T113" i="2"/>
  <c r="CP114" i="2"/>
  <c r="T114" i="2"/>
  <c r="CP115" i="2"/>
  <c r="T115" i="2"/>
  <c r="CP116" i="2"/>
  <c r="T116" i="2"/>
  <c r="U116" i="2"/>
  <c r="K115" i="10"/>
  <c r="CP117" i="2"/>
  <c r="T117" i="2"/>
  <c r="J116" i="10"/>
  <c r="CP118" i="2"/>
  <c r="T118" i="2"/>
  <c r="U118" i="2"/>
  <c r="K117" i="10"/>
  <c r="CP119" i="2"/>
  <c r="T119" i="2"/>
  <c r="CP120" i="2"/>
  <c r="T120" i="2"/>
  <c r="CP121" i="2"/>
  <c r="T121" i="2"/>
  <c r="J120" i="10"/>
  <c r="CP122" i="2"/>
  <c r="T122" i="2"/>
  <c r="U122" i="2"/>
  <c r="K121" i="10"/>
  <c r="CP123" i="2"/>
  <c r="T123" i="2"/>
  <c r="CP124" i="2"/>
  <c r="T124" i="2"/>
  <c r="J123" i="10"/>
  <c r="CP125" i="2"/>
  <c r="T125" i="2"/>
  <c r="CP129" i="2"/>
  <c r="T129" i="2"/>
  <c r="CP130" i="2"/>
  <c r="T130" i="2"/>
  <c r="CP131" i="2"/>
  <c r="T131" i="2"/>
  <c r="CP132" i="2"/>
  <c r="T132" i="2"/>
  <c r="CP133" i="2"/>
  <c r="T133" i="2"/>
  <c r="U133" i="2"/>
  <c r="K132" i="10"/>
  <c r="CP134" i="2"/>
  <c r="T134" i="2"/>
  <c r="U134" i="2"/>
  <c r="K133" i="10"/>
  <c r="CP135" i="2"/>
  <c r="T135" i="2"/>
  <c r="CP137" i="2"/>
  <c r="T137" i="2"/>
  <c r="CP138" i="2"/>
  <c r="T138" i="2"/>
  <c r="J137" i="10"/>
  <c r="CP139" i="2"/>
  <c r="T139" i="2"/>
  <c r="U139" i="2"/>
  <c r="K138" i="10"/>
  <c r="CP140" i="2"/>
  <c r="T140" i="2"/>
  <c r="U140" i="2"/>
  <c r="K139" i="10"/>
  <c r="CP141" i="2"/>
  <c r="T141" i="2"/>
  <c r="J140" i="10"/>
  <c r="CP142" i="2"/>
  <c r="T142" i="2"/>
  <c r="U142" i="2"/>
  <c r="K141" i="10"/>
  <c r="CP143" i="2"/>
  <c r="T143" i="2"/>
  <c r="U143" i="2"/>
  <c r="K142" i="10"/>
  <c r="CP144" i="2"/>
  <c r="T144" i="2"/>
  <c r="CP145" i="2"/>
  <c r="T145" i="2"/>
  <c r="CP146" i="2"/>
  <c r="T146" i="2"/>
  <c r="U146" i="2"/>
  <c r="K145" i="10"/>
  <c r="CP147" i="2"/>
  <c r="T147" i="2"/>
  <c r="J146" i="10"/>
  <c r="CP148" i="2"/>
  <c r="T148" i="2"/>
  <c r="CP149" i="2"/>
  <c r="T149" i="2"/>
  <c r="U149" i="2"/>
  <c r="K148" i="10"/>
  <c r="CP152" i="2"/>
  <c r="T152" i="2"/>
  <c r="CP153" i="2"/>
  <c r="T153" i="2"/>
  <c r="CP154" i="2"/>
  <c r="T154" i="2"/>
  <c r="CP155" i="2"/>
  <c r="T155" i="2"/>
  <c r="U155" i="2"/>
  <c r="K154" i="10"/>
  <c r="CP156" i="2"/>
  <c r="T156" i="2"/>
  <c r="CP157" i="2"/>
  <c r="T157" i="2"/>
  <c r="J156" i="10"/>
  <c r="CP158" i="2"/>
  <c r="T158" i="2"/>
  <c r="U158" i="2"/>
  <c r="K157" i="10"/>
  <c r="CP159" i="2"/>
  <c r="T159" i="2"/>
  <c r="J158" i="10"/>
  <c r="CP160" i="2"/>
  <c r="T160" i="2"/>
  <c r="J159" i="10"/>
  <c r="CP161" i="2"/>
  <c r="T161" i="2"/>
  <c r="CP162" i="2"/>
  <c r="T162" i="2"/>
  <c r="CP163" i="2"/>
  <c r="T163" i="2"/>
  <c r="CP164" i="2"/>
  <c r="T164" i="2"/>
  <c r="CP165" i="2"/>
  <c r="T165" i="2"/>
  <c r="CP166" i="2"/>
  <c r="T166" i="2"/>
  <c r="CP172" i="2"/>
  <c r="T172" i="2"/>
  <c r="U172" i="2"/>
  <c r="K171" i="10"/>
  <c r="CP174" i="2"/>
  <c r="T174" i="2"/>
  <c r="CP179" i="2"/>
  <c r="T179" i="2"/>
  <c r="U179" i="2"/>
  <c r="K178" i="10"/>
  <c r="CP180" i="2"/>
  <c r="T180" i="2"/>
  <c r="U180" i="2"/>
  <c r="K179" i="10"/>
  <c r="CP181" i="2"/>
  <c r="T181" i="2"/>
  <c r="CP182" i="2"/>
  <c r="T182" i="2"/>
  <c r="J181" i="10"/>
  <c r="CP184" i="2"/>
  <c r="T184" i="2"/>
  <c r="U184" i="2"/>
  <c r="K183" i="10"/>
  <c r="CP185" i="2"/>
  <c r="T185" i="2"/>
  <c r="U185" i="2"/>
  <c r="K184" i="10"/>
  <c r="CP186" i="2"/>
  <c r="T186" i="2"/>
  <c r="U186" i="2"/>
  <c r="K185" i="10"/>
  <c r="CP187" i="2"/>
  <c r="T187" i="2"/>
  <c r="CP189" i="2"/>
  <c r="T189" i="2"/>
  <c r="CP191" i="2"/>
  <c r="T191" i="2"/>
  <c r="CP193" i="2"/>
  <c r="T193" i="2"/>
  <c r="CP194" i="2"/>
  <c r="T194" i="2"/>
  <c r="CP195" i="2"/>
  <c r="T195" i="2"/>
  <c r="U195" i="2"/>
  <c r="K194" i="10"/>
  <c r="CP196" i="2"/>
  <c r="T196" i="2"/>
  <c r="U196" i="2"/>
  <c r="K195" i="10"/>
  <c r="CP197" i="2"/>
  <c r="T197" i="2"/>
  <c r="J196" i="10"/>
  <c r="CP199" i="2"/>
  <c r="T199" i="2"/>
  <c r="J198" i="10"/>
  <c r="CP200" i="2"/>
  <c r="T200" i="2"/>
  <c r="U200" i="2"/>
  <c r="K199" i="10"/>
  <c r="CP201" i="2"/>
  <c r="T201" i="2"/>
  <c r="CP202" i="2"/>
  <c r="T202" i="2"/>
  <c r="J201" i="10"/>
  <c r="CP205" i="2"/>
  <c r="T205" i="2"/>
  <c r="J204" i="10"/>
  <c r="CP212" i="2"/>
  <c r="T212" i="2"/>
  <c r="J211" i="10"/>
  <c r="CP214" i="2"/>
  <c r="T214" i="2"/>
  <c r="U214" i="2"/>
  <c r="K213" i="10"/>
  <c r="CP215" i="2"/>
  <c r="T215" i="2"/>
  <c r="CP216" i="2"/>
  <c r="T216" i="2"/>
  <c r="U216" i="2"/>
  <c r="K215" i="10"/>
  <c r="EG435" i="2"/>
  <c r="EG436" i="2"/>
  <c r="EG437" i="2"/>
  <c r="EG438" i="2"/>
  <c r="EG439" i="2"/>
  <c r="ES348" i="2"/>
  <c r="ES349" i="2"/>
  <c r="ES350" i="2"/>
  <c r="ES351" i="2"/>
  <c r="AZ19" i="3"/>
  <c r="AZ22" i="3"/>
  <c r="AZ23" i="3"/>
  <c r="EG240" i="2"/>
  <c r="EG241" i="2"/>
  <c r="EG237" i="2"/>
  <c r="AZ18" i="3"/>
  <c r="AZ20" i="3"/>
  <c r="AZ21" i="3"/>
  <c r="ES6" i="2"/>
  <c r="ES7" i="2"/>
  <c r="ES8" i="2"/>
  <c r="ES9" i="2"/>
  <c r="ES10" i="2"/>
  <c r="ES11" i="2"/>
  <c r="ES12" i="2"/>
  <c r="ES13" i="2"/>
  <c r="ES14" i="2"/>
  <c r="ES15" i="2"/>
  <c r="ES16" i="2"/>
  <c r="ES17" i="2"/>
  <c r="ES18" i="2"/>
  <c r="ES19" i="2"/>
  <c r="ES20" i="2"/>
  <c r="ES21" i="2"/>
  <c r="ES22" i="2"/>
  <c r="ES23" i="2"/>
  <c r="ES24" i="2"/>
  <c r="ES25" i="2"/>
  <c r="ES26" i="2"/>
  <c r="ES27" i="2"/>
  <c r="ES28" i="2"/>
  <c r="ES29" i="2"/>
  <c r="ES30" i="2"/>
  <c r="ES31" i="2"/>
  <c r="ES32" i="2"/>
  <c r="ES33" i="2"/>
  <c r="ES34" i="2"/>
  <c r="ES35" i="2"/>
  <c r="ES36" i="2"/>
  <c r="ES37" i="2"/>
  <c r="ES38" i="2"/>
  <c r="ES39" i="2"/>
  <c r="ES40" i="2"/>
  <c r="ES41" i="2"/>
  <c r="ES42" i="2"/>
  <c r="ES43" i="2"/>
  <c r="ES44" i="2"/>
  <c r="ES45" i="2"/>
  <c r="ES46" i="2"/>
  <c r="ES47" i="2"/>
  <c r="ES48" i="2"/>
  <c r="ES49" i="2"/>
  <c r="ES50" i="2"/>
  <c r="ES51" i="2"/>
  <c r="ES52" i="2"/>
  <c r="ES53" i="2"/>
  <c r="ES54" i="2"/>
  <c r="ES55" i="2"/>
  <c r="ES56" i="2"/>
  <c r="ES57" i="2"/>
  <c r="ES58" i="2"/>
  <c r="ES59" i="2"/>
  <c r="ES60" i="2"/>
  <c r="ES61" i="2"/>
  <c r="ES62" i="2"/>
  <c r="ES63" i="2"/>
  <c r="ES64" i="2"/>
  <c r="ES65" i="2"/>
  <c r="ES66" i="2"/>
  <c r="ES67" i="2"/>
  <c r="ES68" i="2"/>
  <c r="ES69" i="2"/>
  <c r="ES70" i="2"/>
  <c r="ES71" i="2"/>
  <c r="ES72" i="2"/>
  <c r="ES73" i="2"/>
  <c r="ES74" i="2"/>
  <c r="ES75" i="2"/>
  <c r="ES76" i="2"/>
  <c r="ES77" i="2"/>
  <c r="ES78" i="2"/>
  <c r="ES79" i="2"/>
  <c r="ES80" i="2"/>
  <c r="ES81" i="2"/>
  <c r="ES82" i="2"/>
  <c r="ES83" i="2"/>
  <c r="ES84" i="2"/>
  <c r="ES85" i="2"/>
  <c r="ES86" i="2"/>
  <c r="ES87" i="2"/>
  <c r="ES88" i="2"/>
  <c r="ES89" i="2"/>
  <c r="ES90" i="2"/>
  <c r="ES91" i="2"/>
  <c r="ES92" i="2"/>
  <c r="ES93" i="2"/>
  <c r="ES94" i="2"/>
  <c r="ES95" i="2"/>
  <c r="ES96" i="2"/>
  <c r="ES97" i="2"/>
  <c r="ES98" i="2"/>
  <c r="ES99" i="2"/>
  <c r="ES100" i="2"/>
  <c r="ES101" i="2"/>
  <c r="ES102" i="2"/>
  <c r="ES103" i="2"/>
  <c r="ES104" i="2"/>
  <c r="ES105" i="2"/>
  <c r="ES106" i="2"/>
  <c r="ES107" i="2"/>
  <c r="ES108" i="2"/>
  <c r="ES109" i="2"/>
  <c r="ES110" i="2"/>
  <c r="ES111" i="2"/>
  <c r="ES112" i="2"/>
  <c r="ES113" i="2"/>
  <c r="ES114" i="2"/>
  <c r="ES115" i="2"/>
  <c r="ES116" i="2"/>
  <c r="ES117" i="2"/>
  <c r="ES118" i="2"/>
  <c r="ES119" i="2"/>
  <c r="ES120" i="2"/>
  <c r="ES121" i="2"/>
  <c r="ES122" i="2"/>
  <c r="ES123" i="2"/>
  <c r="ES124" i="2"/>
  <c r="ES125" i="2"/>
  <c r="ES126" i="2"/>
  <c r="ES127" i="2"/>
  <c r="ES128" i="2"/>
  <c r="ES129" i="2"/>
  <c r="ES130" i="2"/>
  <c r="ES131" i="2"/>
  <c r="ES132" i="2"/>
  <c r="ES133" i="2"/>
  <c r="ES134" i="2"/>
  <c r="ES135" i="2"/>
  <c r="ES136" i="2"/>
  <c r="ES137" i="2"/>
  <c r="ES138" i="2"/>
  <c r="ES139" i="2"/>
  <c r="ES140" i="2"/>
  <c r="ES141" i="2"/>
  <c r="ES142" i="2"/>
  <c r="ES143" i="2"/>
  <c r="ES144" i="2"/>
  <c r="ES145" i="2"/>
  <c r="ES146" i="2"/>
  <c r="ES147" i="2"/>
  <c r="ES148" i="2"/>
  <c r="ES149" i="2"/>
  <c r="ES150" i="2"/>
  <c r="ES151" i="2"/>
  <c r="ES152" i="2"/>
  <c r="ES153" i="2"/>
  <c r="ES154" i="2"/>
  <c r="ES155" i="2"/>
  <c r="ES156" i="2"/>
  <c r="ES157" i="2"/>
  <c r="ES158" i="2"/>
  <c r="ES159" i="2"/>
  <c r="ES160" i="2"/>
  <c r="ES161" i="2"/>
  <c r="ES162" i="2"/>
  <c r="ES163" i="2"/>
  <c r="ES164" i="2"/>
  <c r="ES165" i="2"/>
  <c r="ES166" i="2"/>
  <c r="ES167" i="2"/>
  <c r="ES168" i="2"/>
  <c r="ES169" i="2"/>
  <c r="ES170" i="2"/>
  <c r="ES171" i="2"/>
  <c r="ES172" i="2"/>
  <c r="ES173" i="2"/>
  <c r="ES174" i="2"/>
  <c r="ES175" i="2"/>
  <c r="ES176" i="2"/>
  <c r="ES177" i="2"/>
  <c r="ES178" i="2"/>
  <c r="ES179" i="2"/>
  <c r="ES180" i="2"/>
  <c r="ES181" i="2"/>
  <c r="ES182" i="2"/>
  <c r="ES183" i="2"/>
  <c r="ES184" i="2"/>
  <c r="ES185" i="2"/>
  <c r="ES186" i="2"/>
  <c r="ES187" i="2"/>
  <c r="ES188" i="2"/>
  <c r="ES189" i="2"/>
  <c r="ES190" i="2"/>
  <c r="ES191" i="2"/>
  <c r="ES192" i="2"/>
  <c r="ES193" i="2"/>
  <c r="ES194" i="2"/>
  <c r="ES195" i="2"/>
  <c r="ES196" i="2"/>
  <c r="ES197" i="2"/>
  <c r="ES198" i="2"/>
  <c r="ES199" i="2"/>
  <c r="ES200" i="2"/>
  <c r="ES201" i="2"/>
  <c r="ES202" i="2"/>
  <c r="ES203" i="2"/>
  <c r="ES204" i="2"/>
  <c r="ES205" i="2"/>
  <c r="ES206" i="2"/>
  <c r="ES207" i="2"/>
  <c r="ES208" i="2"/>
  <c r="ES209" i="2"/>
  <c r="ES210" i="2"/>
  <c r="ES211" i="2"/>
  <c r="ES212" i="2"/>
  <c r="ES213" i="2"/>
  <c r="ES214" i="2"/>
  <c r="ES215" i="2"/>
  <c r="ES216" i="2"/>
  <c r="ES217" i="2"/>
  <c r="ES218" i="2"/>
  <c r="ES219" i="2"/>
  <c r="ES220" i="2"/>
  <c r="ES221" i="2"/>
  <c r="ES222" i="2"/>
  <c r="ES223" i="2"/>
  <c r="ES224" i="2"/>
  <c r="ES225" i="2"/>
  <c r="ES226" i="2"/>
  <c r="ES227" i="2"/>
  <c r="ES228" i="2"/>
  <c r="ES229" i="2"/>
  <c r="ES230" i="2"/>
  <c r="ES231" i="2"/>
  <c r="ES232" i="2"/>
  <c r="ES233" i="2"/>
  <c r="ES234" i="2"/>
  <c r="ES235" i="2"/>
  <c r="ES236" i="2"/>
  <c r="ES237" i="2"/>
  <c r="ES241" i="2"/>
  <c r="ES242" i="2"/>
  <c r="ES243" i="2"/>
  <c r="ES244" i="2"/>
  <c r="ES245" i="2"/>
  <c r="ES246" i="2"/>
  <c r="ES247" i="2"/>
  <c r="ES248" i="2"/>
  <c r="ES249" i="2"/>
  <c r="ES250" i="2"/>
  <c r="ES251" i="2"/>
  <c r="ES252" i="2"/>
  <c r="ES253" i="2"/>
  <c r="ES254" i="2"/>
  <c r="ES255" i="2"/>
  <c r="ES256" i="2"/>
  <c r="ES257" i="2"/>
  <c r="ES258" i="2"/>
  <c r="ES259" i="2"/>
  <c r="ES260" i="2"/>
  <c r="ES261" i="2"/>
  <c r="ES262" i="2"/>
  <c r="ES263" i="2"/>
  <c r="ES264" i="2"/>
  <c r="ES265" i="2"/>
  <c r="ES266" i="2"/>
  <c r="ES267" i="2"/>
  <c r="ES268" i="2"/>
  <c r="ES269" i="2"/>
  <c r="ES270" i="2"/>
  <c r="ES272" i="2"/>
  <c r="ES273" i="2"/>
  <c r="ES275" i="2"/>
  <c r="ES276" i="2"/>
  <c r="ES277" i="2"/>
  <c r="ES279" i="2"/>
  <c r="ES280" i="2"/>
  <c r="ES281" i="2"/>
  <c r="ES283" i="2"/>
  <c r="ES284" i="2"/>
  <c r="ES285" i="2"/>
  <c r="ES286" i="2"/>
  <c r="ES287" i="2"/>
  <c r="ES288" i="2"/>
  <c r="ES289" i="2"/>
  <c r="ES290" i="2"/>
  <c r="ES292" i="2"/>
  <c r="ES293" i="2"/>
  <c r="ES295" i="2"/>
  <c r="ES297" i="2"/>
  <c r="ES298" i="2"/>
  <c r="ES299" i="2"/>
  <c r="ES302" i="2"/>
  <c r="ES303" i="2"/>
  <c r="ES305" i="2"/>
  <c r="ES306" i="2"/>
  <c r="ES308" i="2"/>
  <c r="ES309" i="2"/>
  <c r="ES310" i="2"/>
  <c r="ES311" i="2"/>
  <c r="ES312" i="2"/>
  <c r="ES313" i="2"/>
  <c r="ES317" i="2"/>
  <c r="ES318" i="2"/>
  <c r="ES321" i="2"/>
  <c r="ES323" i="2"/>
  <c r="ES324" i="2"/>
  <c r="ES325" i="2"/>
  <c r="ES326" i="2"/>
  <c r="ES328" i="2"/>
  <c r="ES329" i="2"/>
  <c r="ES330" i="2"/>
  <c r="ES331" i="2"/>
  <c r="ES334" i="2"/>
  <c r="ES335" i="2"/>
  <c r="ES336" i="2"/>
  <c r="ES337" i="2"/>
  <c r="ES338" i="2"/>
  <c r="ES339" i="2"/>
  <c r="ES340" i="2"/>
  <c r="ES341" i="2"/>
  <c r="ES342" i="2"/>
  <c r="ES343" i="2"/>
  <c r="ES344" i="2"/>
  <c r="ES345" i="2"/>
  <c r="ES346" i="2"/>
  <c r="ES347" i="2"/>
  <c r="ES352" i="2"/>
  <c r="ES353" i="2"/>
  <c r="ES354" i="2"/>
  <c r="ES355" i="2"/>
  <c r="ES356" i="2"/>
  <c r="ES357" i="2"/>
  <c r="ES358" i="2"/>
  <c r="ES359" i="2"/>
  <c r="ES360" i="2"/>
  <c r="ES361" i="2"/>
  <c r="ES362" i="2"/>
  <c r="ES363" i="2"/>
  <c r="ES364" i="2"/>
  <c r="ES365" i="2"/>
  <c r="ES366" i="2"/>
  <c r="ES367" i="2"/>
  <c r="ES368" i="2"/>
  <c r="ES369" i="2"/>
  <c r="ES370" i="2"/>
  <c r="ES371" i="2"/>
  <c r="ES372" i="2"/>
  <c r="ES373" i="2"/>
  <c r="ES374" i="2"/>
  <c r="ES375" i="2"/>
  <c r="ES376" i="2"/>
  <c r="ES377" i="2"/>
  <c r="ES378" i="2"/>
  <c r="ES379" i="2"/>
  <c r="ES380" i="2"/>
  <c r="ES381" i="2"/>
  <c r="ES382" i="2"/>
  <c r="ES383" i="2"/>
  <c r="ES384" i="2"/>
  <c r="ES385" i="2"/>
  <c r="ES386" i="2"/>
  <c r="ES387" i="2"/>
  <c r="ES388" i="2"/>
  <c r="ES389" i="2"/>
  <c r="ES390" i="2"/>
  <c r="ES391" i="2"/>
  <c r="ES392" i="2"/>
  <c r="ES393" i="2"/>
  <c r="ES394" i="2"/>
  <c r="ES395" i="2"/>
  <c r="ES396" i="2"/>
  <c r="ES397" i="2"/>
  <c r="ES398" i="2"/>
  <c r="ES399" i="2"/>
  <c r="ES400" i="2"/>
  <c r="ES401" i="2"/>
  <c r="ES402" i="2"/>
  <c r="ES403" i="2"/>
  <c r="ES404" i="2"/>
  <c r="ES405" i="2"/>
  <c r="ES406" i="2"/>
  <c r="ES407" i="2"/>
  <c r="ES408" i="2"/>
  <c r="ES409" i="2"/>
  <c r="ES410" i="2"/>
  <c r="ES411" i="2"/>
  <c r="ES412" i="2"/>
  <c r="ES413" i="2"/>
  <c r="ES414" i="2"/>
  <c r="ES415" i="2"/>
  <c r="ES416" i="2"/>
  <c r="ES417" i="2"/>
  <c r="ES418" i="2"/>
  <c r="ES419" i="2"/>
  <c r="ES420" i="2"/>
  <c r="ES421" i="2"/>
  <c r="ES422" i="2"/>
  <c r="ES423" i="2"/>
  <c r="ES424" i="2"/>
  <c r="ES425" i="2"/>
  <c r="ES426" i="2"/>
  <c r="ES427" i="2"/>
  <c r="ES428" i="2"/>
  <c r="ES429" i="2"/>
  <c r="ES430" i="2"/>
  <c r="ES431" i="2"/>
  <c r="ES435" i="2"/>
  <c r="ES436" i="2"/>
  <c r="ES437" i="2"/>
  <c r="ES438" i="2"/>
  <c r="ES439" i="2"/>
  <c r="ES5" i="2"/>
  <c r="EH5" i="2"/>
  <c r="EH6" i="2"/>
  <c r="EH7" i="2"/>
  <c r="EH8" i="2"/>
  <c r="EH9" i="2"/>
  <c r="EH10" i="2"/>
  <c r="EH11" i="2"/>
  <c r="EH12" i="2"/>
  <c r="EH13" i="2"/>
  <c r="EH14" i="2"/>
  <c r="EH15" i="2"/>
  <c r="EH16" i="2"/>
  <c r="EH17" i="2"/>
  <c r="EH18" i="2"/>
  <c r="EH19" i="2"/>
  <c r="EH20" i="2"/>
  <c r="EH21" i="2"/>
  <c r="EH22" i="2"/>
  <c r="EH23" i="2"/>
  <c r="EH24" i="2"/>
  <c r="EH25" i="2"/>
  <c r="EH26" i="2"/>
  <c r="EH27" i="2"/>
  <c r="EH28" i="2"/>
  <c r="EH29" i="2"/>
  <c r="EH30" i="2"/>
  <c r="EH31" i="2"/>
  <c r="EH32" i="2"/>
  <c r="EH33" i="2"/>
  <c r="EH34" i="2"/>
  <c r="EH35" i="2"/>
  <c r="EH36" i="2"/>
  <c r="EH37" i="2"/>
  <c r="EH38" i="2"/>
  <c r="EH39" i="2"/>
  <c r="EH40" i="2"/>
  <c r="EH41" i="2"/>
  <c r="EH42" i="2"/>
  <c r="EH43" i="2"/>
  <c r="EH44" i="2"/>
  <c r="EH45" i="2"/>
  <c r="EH46" i="2"/>
  <c r="EH47" i="2"/>
  <c r="EH48" i="2"/>
  <c r="EH49" i="2"/>
  <c r="EH50" i="2"/>
  <c r="EH51" i="2"/>
  <c r="EH52" i="2"/>
  <c r="EH53" i="2"/>
  <c r="EH54" i="2"/>
  <c r="EH55" i="2"/>
  <c r="EH56" i="2"/>
  <c r="EH57" i="2"/>
  <c r="EH58" i="2"/>
  <c r="EH59" i="2"/>
  <c r="EH60" i="2"/>
  <c r="EH61" i="2"/>
  <c r="EH62" i="2"/>
  <c r="EH63" i="2"/>
  <c r="EH64" i="2"/>
  <c r="EH65" i="2"/>
  <c r="EH66" i="2"/>
  <c r="EH67" i="2"/>
  <c r="EH68" i="2"/>
  <c r="EH69" i="2"/>
  <c r="EH70" i="2"/>
  <c r="EH71" i="2"/>
  <c r="EH72" i="2"/>
  <c r="EH73" i="2"/>
  <c r="EH74" i="2"/>
  <c r="EH75" i="2"/>
  <c r="EH76" i="2"/>
  <c r="EH77" i="2"/>
  <c r="EH78" i="2"/>
  <c r="EH79" i="2"/>
  <c r="EH80" i="2"/>
  <c r="EH81" i="2"/>
  <c r="EH82" i="2"/>
  <c r="EH83" i="2"/>
  <c r="EH84" i="2"/>
  <c r="EH85" i="2"/>
  <c r="EH86" i="2"/>
  <c r="EH87" i="2"/>
  <c r="EH88" i="2"/>
  <c r="EH89" i="2"/>
  <c r="EH90" i="2"/>
  <c r="EH91" i="2"/>
  <c r="EH92" i="2"/>
  <c r="EH93" i="2"/>
  <c r="EH94" i="2"/>
  <c r="EH95" i="2"/>
  <c r="EH96" i="2"/>
  <c r="EH97" i="2"/>
  <c r="EH98" i="2"/>
  <c r="EH99" i="2"/>
  <c r="EH100" i="2"/>
  <c r="EH101" i="2"/>
  <c r="EH102" i="2"/>
  <c r="EH103" i="2"/>
  <c r="EH104" i="2"/>
  <c r="EH105" i="2"/>
  <c r="EH106" i="2"/>
  <c r="EH107" i="2"/>
  <c r="EH108" i="2"/>
  <c r="EH109" i="2"/>
  <c r="EH110" i="2"/>
  <c r="EH111" i="2"/>
  <c r="EH112" i="2"/>
  <c r="EH113" i="2"/>
  <c r="EH114" i="2"/>
  <c r="EH115" i="2"/>
  <c r="EH116" i="2"/>
  <c r="EH117" i="2"/>
  <c r="EH118" i="2"/>
  <c r="EH119" i="2"/>
  <c r="EH120" i="2"/>
  <c r="EH121" i="2"/>
  <c r="EH122" i="2"/>
  <c r="EH123" i="2"/>
  <c r="EH124" i="2"/>
  <c r="EH125" i="2"/>
  <c r="EH126" i="2"/>
  <c r="EH127" i="2"/>
  <c r="EH128" i="2"/>
  <c r="EH129" i="2"/>
  <c r="EH130" i="2"/>
  <c r="EH131" i="2"/>
  <c r="EH132" i="2"/>
  <c r="EH133" i="2"/>
  <c r="EH134" i="2"/>
  <c r="EH135" i="2"/>
  <c r="EH136" i="2"/>
  <c r="EH137" i="2"/>
  <c r="EH138" i="2"/>
  <c r="EH139" i="2"/>
  <c r="EH140" i="2"/>
  <c r="EH141" i="2"/>
  <c r="EH142" i="2"/>
  <c r="EH143" i="2"/>
  <c r="EH144" i="2"/>
  <c r="EH145" i="2"/>
  <c r="EH146" i="2"/>
  <c r="EH147" i="2"/>
  <c r="EH148" i="2"/>
  <c r="EH149" i="2"/>
  <c r="EH150" i="2"/>
  <c r="EH151" i="2"/>
  <c r="EH152" i="2"/>
  <c r="EH153" i="2"/>
  <c r="EH154" i="2"/>
  <c r="EH155" i="2"/>
  <c r="EH156" i="2"/>
  <c r="EH157" i="2"/>
  <c r="EH158" i="2"/>
  <c r="EH159" i="2"/>
  <c r="EH160" i="2"/>
  <c r="EH161" i="2"/>
  <c r="EH162" i="2"/>
  <c r="EH163" i="2"/>
  <c r="EH164" i="2"/>
  <c r="EH165" i="2"/>
  <c r="EH166" i="2"/>
  <c r="EH167" i="2"/>
  <c r="EH168" i="2"/>
  <c r="EH169" i="2"/>
  <c r="EH170" i="2"/>
  <c r="EH171" i="2"/>
  <c r="EH172" i="2"/>
  <c r="EH173" i="2"/>
  <c r="EH174" i="2"/>
  <c r="EH175" i="2"/>
  <c r="EH176" i="2"/>
  <c r="EH177" i="2"/>
  <c r="EH178" i="2"/>
  <c r="EH179" i="2"/>
  <c r="EH180" i="2"/>
  <c r="EH181" i="2"/>
  <c r="EH182" i="2"/>
  <c r="EH183" i="2"/>
  <c r="EH184" i="2"/>
  <c r="EH185" i="2"/>
  <c r="EH186" i="2"/>
  <c r="EH187" i="2"/>
  <c r="EH188" i="2"/>
  <c r="EH189" i="2"/>
  <c r="EH190" i="2"/>
  <c r="EH191" i="2"/>
  <c r="EH192" i="2"/>
  <c r="EH193" i="2"/>
  <c r="EH194" i="2"/>
  <c r="EH195" i="2"/>
  <c r="EH196" i="2"/>
  <c r="EH197" i="2"/>
  <c r="EH198" i="2"/>
  <c r="EH199" i="2"/>
  <c r="EH200" i="2"/>
  <c r="EH201" i="2"/>
  <c r="EH202" i="2"/>
  <c r="EH203" i="2"/>
  <c r="EH204" i="2"/>
  <c r="EH205" i="2"/>
  <c r="EH206" i="2"/>
  <c r="EH207" i="2"/>
  <c r="EH208" i="2"/>
  <c r="EH209" i="2"/>
  <c r="EH210" i="2"/>
  <c r="EH211" i="2"/>
  <c r="EH212" i="2"/>
  <c r="EH213" i="2"/>
  <c r="EH214" i="2"/>
  <c r="EH215" i="2"/>
  <c r="EH216" i="2"/>
  <c r="EH217" i="2"/>
  <c r="EH218" i="2"/>
  <c r="EH219" i="2"/>
  <c r="EH220" i="2"/>
  <c r="EH221" i="2"/>
  <c r="EH222" i="2"/>
  <c r="EH223" i="2"/>
  <c r="EH224" i="2"/>
  <c r="EH225" i="2"/>
  <c r="EH226" i="2"/>
  <c r="EH227" i="2"/>
  <c r="EH228" i="2"/>
  <c r="EH229" i="2"/>
  <c r="EH230" i="2"/>
  <c r="EH231" i="2"/>
  <c r="EH232" i="2"/>
  <c r="EH233" i="2"/>
  <c r="EH234" i="2"/>
  <c r="EH235" i="2"/>
  <c r="EH236" i="2"/>
  <c r="EH237" i="2"/>
  <c r="EH238" i="2"/>
  <c r="EH239" i="2"/>
  <c r="EH240" i="2"/>
  <c r="EH241" i="2"/>
  <c r="EH242" i="2"/>
  <c r="EH243" i="2"/>
  <c r="EH244" i="2"/>
  <c r="EH245" i="2"/>
  <c r="EH246" i="2"/>
  <c r="EH247" i="2"/>
  <c r="EH248" i="2"/>
  <c r="EH249" i="2"/>
  <c r="EH250" i="2"/>
  <c r="EH251" i="2"/>
  <c r="EH252" i="2"/>
  <c r="EH253" i="2"/>
  <c r="EH254" i="2"/>
  <c r="EH255" i="2"/>
  <c r="EH256" i="2"/>
  <c r="EH257" i="2"/>
  <c r="EH258" i="2"/>
  <c r="EH259" i="2"/>
  <c r="EH260" i="2"/>
  <c r="EH261" i="2"/>
  <c r="EH262" i="2"/>
  <c r="EH263" i="2"/>
  <c r="EH264" i="2"/>
  <c r="EH265" i="2"/>
  <c r="EH266" i="2"/>
  <c r="EH267" i="2"/>
  <c r="EH268" i="2"/>
  <c r="EH269" i="2"/>
  <c r="EH270" i="2"/>
  <c r="EH272" i="2"/>
  <c r="EH273" i="2"/>
  <c r="EH275" i="2"/>
  <c r="EH276" i="2"/>
  <c r="EH277" i="2"/>
  <c r="EH279" i="2"/>
  <c r="EH280" i="2"/>
  <c r="EH281" i="2"/>
  <c r="EH283" i="2"/>
  <c r="EH284" i="2"/>
  <c r="EH285" i="2"/>
  <c r="EH286" i="2"/>
  <c r="EH287" i="2"/>
  <c r="EH288" i="2"/>
  <c r="EH289" i="2"/>
  <c r="EH290" i="2"/>
  <c r="EH292" i="2"/>
  <c r="EH293" i="2"/>
  <c r="EH295" i="2"/>
  <c r="EH297" i="2"/>
  <c r="EH298" i="2"/>
  <c r="EH299" i="2"/>
  <c r="EH302" i="2"/>
  <c r="EH303" i="2"/>
  <c r="EH305" i="2"/>
  <c r="EH306" i="2"/>
  <c r="EH308" i="2"/>
  <c r="EH309" i="2"/>
  <c r="EH310" i="2"/>
  <c r="EH311" i="2"/>
  <c r="EH312" i="2"/>
  <c r="EH313" i="2"/>
  <c r="EH317" i="2"/>
  <c r="EH318" i="2"/>
  <c r="EH320" i="2"/>
  <c r="EH321" i="2"/>
  <c r="EH323" i="2"/>
  <c r="EH324" i="2"/>
  <c r="EH325" i="2"/>
  <c r="EH326" i="2"/>
  <c r="EH328" i="2"/>
  <c r="EH329" i="2"/>
  <c r="EH330" i="2"/>
  <c r="EH331" i="2"/>
  <c r="EH333" i="2"/>
  <c r="EH334" i="2"/>
  <c r="EH335" i="2"/>
  <c r="EH336" i="2"/>
  <c r="EH337" i="2"/>
  <c r="EH338" i="2"/>
  <c r="EH339" i="2"/>
  <c r="EH340" i="2"/>
  <c r="EH341" i="2"/>
  <c r="EH342" i="2"/>
  <c r="EH343" i="2"/>
  <c r="EH344" i="2"/>
  <c r="EH345" i="2"/>
  <c r="EH346" i="2"/>
  <c r="EH347" i="2"/>
  <c r="EH352" i="2"/>
  <c r="EH353" i="2"/>
  <c r="EH354" i="2"/>
  <c r="EH355" i="2"/>
  <c r="EH356" i="2"/>
  <c r="EH357" i="2"/>
  <c r="EH358" i="2"/>
  <c r="EH359" i="2"/>
  <c r="EH360" i="2"/>
  <c r="EH361" i="2"/>
  <c r="EH362" i="2"/>
  <c r="EH363" i="2"/>
  <c r="EH364" i="2"/>
  <c r="EH365" i="2"/>
  <c r="EH366" i="2"/>
  <c r="EH367" i="2"/>
  <c r="EH368" i="2"/>
  <c r="EH369" i="2"/>
  <c r="EH370" i="2"/>
  <c r="EH371" i="2"/>
  <c r="EH372" i="2"/>
  <c r="EH373" i="2"/>
  <c r="EH374" i="2"/>
  <c r="EH375" i="2"/>
  <c r="EH376" i="2"/>
  <c r="EH377" i="2"/>
  <c r="EH378" i="2"/>
  <c r="EH379" i="2"/>
  <c r="EH380" i="2"/>
  <c r="EH381" i="2"/>
  <c r="EH382" i="2"/>
  <c r="EH383" i="2"/>
  <c r="EH384" i="2"/>
  <c r="EH385" i="2"/>
  <c r="EH386" i="2"/>
  <c r="EH387" i="2"/>
  <c r="EH388" i="2"/>
  <c r="EH389" i="2"/>
  <c r="EH390" i="2"/>
  <c r="EH391" i="2"/>
  <c r="EH392" i="2"/>
  <c r="EH393" i="2"/>
  <c r="EH394" i="2"/>
  <c r="EH395" i="2"/>
  <c r="EH396" i="2"/>
  <c r="EH397" i="2"/>
  <c r="EH398" i="2"/>
  <c r="EH399" i="2"/>
  <c r="EH400" i="2"/>
  <c r="EH401" i="2"/>
  <c r="EH402" i="2"/>
  <c r="EH403" i="2"/>
  <c r="EH404" i="2"/>
  <c r="EH405" i="2"/>
  <c r="EH406" i="2"/>
  <c r="EH407" i="2"/>
  <c r="EH408" i="2"/>
  <c r="EH409" i="2"/>
  <c r="EH410" i="2"/>
  <c r="EH411" i="2"/>
  <c r="EH412" i="2"/>
  <c r="EH413" i="2"/>
  <c r="EH414" i="2"/>
  <c r="EH415" i="2"/>
  <c r="EH416" i="2"/>
  <c r="EH417" i="2"/>
  <c r="EH418" i="2"/>
  <c r="EH419" i="2"/>
  <c r="EH420" i="2"/>
  <c r="EH421" i="2"/>
  <c r="EH422" i="2"/>
  <c r="EH423" i="2"/>
  <c r="EH424" i="2"/>
  <c r="EH425" i="2"/>
  <c r="EH426" i="2"/>
  <c r="EH427" i="2"/>
  <c r="EH428" i="2"/>
  <c r="EH429" i="2"/>
  <c r="EH430" i="2"/>
  <c r="EH431" i="2"/>
  <c r="EH435" i="2"/>
  <c r="EH436" i="2"/>
  <c r="EH437" i="2"/>
  <c r="EH438" i="2"/>
  <c r="EH439" i="2"/>
  <c r="AL22" i="3"/>
  <c r="FT345" i="2"/>
  <c r="AY23" i="3"/>
  <c r="AY22" i="3"/>
  <c r="AY21" i="3"/>
  <c r="AY20" i="3"/>
  <c r="AY19" i="3"/>
  <c r="AY18" i="3"/>
  <c r="EA347" i="2"/>
  <c r="S346" i="10"/>
  <c r="DN347" i="2"/>
  <c r="DR347" i="2"/>
  <c r="DO3" i="2"/>
  <c r="V22" i="3"/>
  <c r="DN5" i="2"/>
  <c r="DN6" i="2"/>
  <c r="DN7" i="2"/>
  <c r="Q6" i="10"/>
  <c r="DN8" i="2"/>
  <c r="DN9" i="2"/>
  <c r="DN10" i="2"/>
  <c r="DN11" i="2"/>
  <c r="DN12" i="2"/>
  <c r="DN13" i="2"/>
  <c r="DN14" i="2"/>
  <c r="DN15" i="2"/>
  <c r="DN16" i="2"/>
  <c r="DN17" i="2"/>
  <c r="DN18" i="2"/>
  <c r="DN19" i="2"/>
  <c r="DN20" i="2"/>
  <c r="DN21" i="2"/>
  <c r="DN22" i="2"/>
  <c r="DN23" i="2"/>
  <c r="DN24" i="2"/>
  <c r="DN25" i="2"/>
  <c r="DN26" i="2"/>
  <c r="DN27" i="2"/>
  <c r="DN28" i="2"/>
  <c r="DN29" i="2"/>
  <c r="DN30" i="2"/>
  <c r="DN31" i="2"/>
  <c r="DN32" i="2"/>
  <c r="DN33" i="2"/>
  <c r="DN34" i="2"/>
  <c r="DN35" i="2"/>
  <c r="DN36" i="2"/>
  <c r="DN37" i="2"/>
  <c r="DN38" i="2"/>
  <c r="DN39" i="2"/>
  <c r="DN40" i="2"/>
  <c r="DN41" i="2"/>
  <c r="DN42" i="2"/>
  <c r="DN43" i="2"/>
  <c r="DN44" i="2"/>
  <c r="DN45" i="2"/>
  <c r="DN46" i="2"/>
  <c r="DN47" i="2"/>
  <c r="DN48" i="2"/>
  <c r="DN49" i="2"/>
  <c r="DN50" i="2"/>
  <c r="DN51" i="2"/>
  <c r="DN52" i="2"/>
  <c r="DN53" i="2"/>
  <c r="DN54" i="2"/>
  <c r="DN55" i="2"/>
  <c r="DN56" i="2"/>
  <c r="DN57" i="2"/>
  <c r="DN58" i="2"/>
  <c r="DN59" i="2"/>
  <c r="DN60" i="2"/>
  <c r="DN61" i="2"/>
  <c r="DN62" i="2"/>
  <c r="DN63" i="2"/>
  <c r="DN64" i="2"/>
  <c r="DN65" i="2"/>
  <c r="DN66" i="2"/>
  <c r="DN67" i="2"/>
  <c r="DN68" i="2"/>
  <c r="DN69" i="2"/>
  <c r="DN70" i="2"/>
  <c r="DN71" i="2"/>
  <c r="DN72" i="2"/>
  <c r="DN73" i="2"/>
  <c r="DN74" i="2"/>
  <c r="DN75" i="2"/>
  <c r="DN76" i="2"/>
  <c r="DN77" i="2"/>
  <c r="DN78" i="2"/>
  <c r="DN79" i="2"/>
  <c r="DN80" i="2"/>
  <c r="DN81" i="2"/>
  <c r="DN82" i="2"/>
  <c r="DN83" i="2"/>
  <c r="DN84" i="2"/>
  <c r="DN85" i="2"/>
  <c r="DN86" i="2"/>
  <c r="DN87" i="2"/>
  <c r="DN88" i="2"/>
  <c r="DN89" i="2"/>
  <c r="DN90" i="2"/>
  <c r="DN91" i="2"/>
  <c r="DN92" i="2"/>
  <c r="DN93" i="2"/>
  <c r="DN94" i="2"/>
  <c r="DN95" i="2"/>
  <c r="DN96" i="2"/>
  <c r="DN97" i="2"/>
  <c r="DN98" i="2"/>
  <c r="DN99" i="2"/>
  <c r="DN100" i="2"/>
  <c r="DN101" i="2"/>
  <c r="DN102" i="2"/>
  <c r="DN103" i="2"/>
  <c r="DN104" i="2"/>
  <c r="DN105" i="2"/>
  <c r="DN106" i="2"/>
  <c r="DN107" i="2"/>
  <c r="DN108" i="2"/>
  <c r="DN109" i="2"/>
  <c r="DN110" i="2"/>
  <c r="DN111" i="2"/>
  <c r="DN112" i="2"/>
  <c r="DN113" i="2"/>
  <c r="DN114" i="2"/>
  <c r="DN115" i="2"/>
  <c r="DN116" i="2"/>
  <c r="DN117" i="2"/>
  <c r="DN118" i="2"/>
  <c r="DN119" i="2"/>
  <c r="DN120" i="2"/>
  <c r="DN121" i="2"/>
  <c r="DN122" i="2"/>
  <c r="DN123" i="2"/>
  <c r="DN124" i="2"/>
  <c r="DN125" i="2"/>
  <c r="DN126" i="2"/>
  <c r="DN127" i="2"/>
  <c r="DN128" i="2"/>
  <c r="DN129" i="2"/>
  <c r="DN130" i="2"/>
  <c r="DN131" i="2"/>
  <c r="DN132" i="2"/>
  <c r="DN133" i="2"/>
  <c r="DN134" i="2"/>
  <c r="DN135" i="2"/>
  <c r="DN136" i="2"/>
  <c r="DN137" i="2"/>
  <c r="DN138" i="2"/>
  <c r="DN139" i="2"/>
  <c r="DN140" i="2"/>
  <c r="DN141" i="2"/>
  <c r="DN142" i="2"/>
  <c r="DN143" i="2"/>
  <c r="DN144" i="2"/>
  <c r="Q143" i="10"/>
  <c r="DN145" i="2"/>
  <c r="DN146" i="2"/>
  <c r="DN147" i="2"/>
  <c r="DN148" i="2"/>
  <c r="DN149" i="2"/>
  <c r="DN150" i="2"/>
  <c r="DN151" i="2"/>
  <c r="DN152" i="2"/>
  <c r="DN153" i="2"/>
  <c r="DN154" i="2"/>
  <c r="DN155" i="2"/>
  <c r="DN156" i="2"/>
  <c r="DN157" i="2"/>
  <c r="DN158" i="2"/>
  <c r="DN159" i="2"/>
  <c r="DN160" i="2"/>
  <c r="DN161" i="2"/>
  <c r="DN162" i="2"/>
  <c r="DN163" i="2"/>
  <c r="DN164" i="2"/>
  <c r="DN165" i="2"/>
  <c r="DN166" i="2"/>
  <c r="DN167" i="2"/>
  <c r="DN168" i="2"/>
  <c r="DN169" i="2"/>
  <c r="DN170" i="2"/>
  <c r="DN171" i="2"/>
  <c r="DN172" i="2"/>
  <c r="DN173" i="2"/>
  <c r="DN174" i="2"/>
  <c r="DN175" i="2"/>
  <c r="DN176" i="2"/>
  <c r="DN177" i="2"/>
  <c r="DN178" i="2"/>
  <c r="DN179" i="2"/>
  <c r="DN180" i="2"/>
  <c r="DN181" i="2"/>
  <c r="DN182" i="2"/>
  <c r="DN183" i="2"/>
  <c r="DN184" i="2"/>
  <c r="DN185" i="2"/>
  <c r="Q184" i="10"/>
  <c r="DN186" i="2"/>
  <c r="DN187" i="2"/>
  <c r="DN188" i="2"/>
  <c r="DN189" i="2"/>
  <c r="DN190" i="2"/>
  <c r="DN191" i="2"/>
  <c r="DN192" i="2"/>
  <c r="DN193" i="2"/>
  <c r="DN194" i="2"/>
  <c r="DN195" i="2"/>
  <c r="DN196" i="2"/>
  <c r="DN197" i="2"/>
  <c r="DN198" i="2"/>
  <c r="DN199" i="2"/>
  <c r="DN200" i="2"/>
  <c r="DN201" i="2"/>
  <c r="DN202" i="2"/>
  <c r="DN203" i="2"/>
  <c r="DN204" i="2"/>
  <c r="DN205" i="2"/>
  <c r="DN206" i="2"/>
  <c r="DN207" i="2"/>
  <c r="DN208" i="2"/>
  <c r="DN209" i="2"/>
  <c r="DN210" i="2"/>
  <c r="DN211" i="2"/>
  <c r="DN212" i="2"/>
  <c r="DN213" i="2"/>
  <c r="DN214" i="2"/>
  <c r="DN215" i="2"/>
  <c r="DN216" i="2"/>
  <c r="DN217" i="2"/>
  <c r="DN218" i="2"/>
  <c r="DN219" i="2"/>
  <c r="DN220" i="2"/>
  <c r="DN221" i="2"/>
  <c r="DN222" i="2"/>
  <c r="DN223" i="2"/>
  <c r="DN224" i="2"/>
  <c r="DN225" i="2"/>
  <c r="DN226" i="2"/>
  <c r="DN227" i="2"/>
  <c r="DN228" i="2"/>
  <c r="DN229" i="2"/>
  <c r="DN230" i="2"/>
  <c r="DN231" i="2"/>
  <c r="DN232" i="2"/>
  <c r="DN233" i="2"/>
  <c r="DN234" i="2"/>
  <c r="DN235" i="2"/>
  <c r="DN236" i="2"/>
  <c r="DN237" i="2"/>
  <c r="DN238" i="2"/>
  <c r="DN239" i="2"/>
  <c r="DN240" i="2"/>
  <c r="DN241" i="2"/>
  <c r="DN242" i="2"/>
  <c r="DN243" i="2"/>
  <c r="DN244" i="2"/>
  <c r="DN245" i="2"/>
  <c r="DN246" i="2"/>
  <c r="DN247" i="2"/>
  <c r="DN248" i="2"/>
  <c r="DN249" i="2"/>
  <c r="DN250" i="2"/>
  <c r="DN251" i="2"/>
  <c r="DN252" i="2"/>
  <c r="DN253" i="2"/>
  <c r="DN254" i="2"/>
  <c r="DN255" i="2"/>
  <c r="DN256" i="2"/>
  <c r="DN257" i="2"/>
  <c r="DN258" i="2"/>
  <c r="DN259" i="2"/>
  <c r="DN260" i="2"/>
  <c r="DN261" i="2"/>
  <c r="DN262" i="2"/>
  <c r="DN263" i="2"/>
  <c r="DN264" i="2"/>
  <c r="DN265" i="2"/>
  <c r="DN266" i="2"/>
  <c r="DN267" i="2"/>
  <c r="DN268" i="2"/>
  <c r="DN269" i="2"/>
  <c r="DN270" i="2"/>
  <c r="DN272" i="2"/>
  <c r="DN273" i="2"/>
  <c r="DN275" i="2"/>
  <c r="DN276" i="2"/>
  <c r="DN277" i="2"/>
  <c r="DN279" i="2"/>
  <c r="DN280" i="2"/>
  <c r="DN281" i="2"/>
  <c r="DN283" i="2"/>
  <c r="DN284" i="2"/>
  <c r="DN285" i="2"/>
  <c r="DN286" i="2"/>
  <c r="DN287" i="2"/>
  <c r="DN288" i="2"/>
  <c r="DN289" i="2"/>
  <c r="DN290" i="2"/>
  <c r="DN292" i="2"/>
  <c r="DN293" i="2"/>
  <c r="DN295" i="2"/>
  <c r="DN297" i="2"/>
  <c r="DN298" i="2"/>
  <c r="DN299" i="2"/>
  <c r="DN302" i="2"/>
  <c r="DN303" i="2"/>
  <c r="DN305" i="2"/>
  <c r="DN306" i="2"/>
  <c r="DN308" i="2"/>
  <c r="DN309" i="2"/>
  <c r="DN310" i="2"/>
  <c r="DN311" i="2"/>
  <c r="DN312" i="2"/>
  <c r="DN313" i="2"/>
  <c r="DN317" i="2"/>
  <c r="DN318" i="2"/>
  <c r="DN320" i="2"/>
  <c r="DN321" i="2"/>
  <c r="DN323" i="2"/>
  <c r="DN324" i="2"/>
  <c r="DN325" i="2"/>
  <c r="DN326" i="2"/>
  <c r="DN328" i="2"/>
  <c r="DN329" i="2"/>
  <c r="DN330" i="2"/>
  <c r="DN331" i="2"/>
  <c r="DN333" i="2"/>
  <c r="DN334" i="2"/>
  <c r="DN335" i="2"/>
  <c r="DN336" i="2"/>
  <c r="DN337" i="2"/>
  <c r="DN338" i="2"/>
  <c r="DN339" i="2"/>
  <c r="DN340" i="2"/>
  <c r="DN341" i="2"/>
  <c r="DN342" i="2"/>
  <c r="DN343" i="2"/>
  <c r="DN344" i="2"/>
  <c r="DN345" i="2"/>
  <c r="DN346" i="2"/>
  <c r="DN352" i="2"/>
  <c r="DN353" i="2"/>
  <c r="DN354" i="2"/>
  <c r="DN355" i="2"/>
  <c r="DN356" i="2"/>
  <c r="DN357" i="2"/>
  <c r="DN358" i="2"/>
  <c r="DN359" i="2"/>
  <c r="DN360" i="2"/>
  <c r="DN361" i="2"/>
  <c r="DN362" i="2"/>
  <c r="DN363" i="2"/>
  <c r="DN364" i="2"/>
  <c r="DN365" i="2"/>
  <c r="DN366" i="2"/>
  <c r="DN367" i="2"/>
  <c r="DN368" i="2"/>
  <c r="DN369" i="2"/>
  <c r="DN370" i="2"/>
  <c r="DN371" i="2"/>
  <c r="DN372" i="2"/>
  <c r="DN373" i="2"/>
  <c r="DN374" i="2"/>
  <c r="DN375" i="2"/>
  <c r="DN376" i="2"/>
  <c r="DN377" i="2"/>
  <c r="DN378" i="2"/>
  <c r="DN379" i="2"/>
  <c r="DN380" i="2"/>
  <c r="DN381" i="2"/>
  <c r="DN382" i="2"/>
  <c r="DN383" i="2"/>
  <c r="DN384" i="2"/>
  <c r="DN385" i="2"/>
  <c r="DN386" i="2"/>
  <c r="DN387" i="2"/>
  <c r="DN388" i="2"/>
  <c r="DN389" i="2"/>
  <c r="DN390" i="2"/>
  <c r="DN391" i="2"/>
  <c r="DN392" i="2"/>
  <c r="DN393" i="2"/>
  <c r="DN394" i="2"/>
  <c r="DN395" i="2"/>
  <c r="DN396" i="2"/>
  <c r="DN397" i="2"/>
  <c r="DN398" i="2"/>
  <c r="DN399" i="2"/>
  <c r="DN400" i="2"/>
  <c r="DN401" i="2"/>
  <c r="DN402" i="2"/>
  <c r="DN403" i="2"/>
  <c r="DN404" i="2"/>
  <c r="DN405" i="2"/>
  <c r="DN406" i="2"/>
  <c r="DN407" i="2"/>
  <c r="DN408" i="2"/>
  <c r="DN409" i="2"/>
  <c r="DN410" i="2"/>
  <c r="DN411" i="2"/>
  <c r="DN412" i="2"/>
  <c r="DN413" i="2"/>
  <c r="DN414" i="2"/>
  <c r="DN415" i="2"/>
  <c r="DN416" i="2"/>
  <c r="DN417" i="2"/>
  <c r="DN418" i="2"/>
  <c r="DN419" i="2"/>
  <c r="DN420" i="2"/>
  <c r="DN421" i="2"/>
  <c r="DN422" i="2"/>
  <c r="DN423" i="2"/>
  <c r="DN424" i="2"/>
  <c r="DN425" i="2"/>
  <c r="DN426" i="2"/>
  <c r="DN427" i="2"/>
  <c r="DN428" i="2"/>
  <c r="DN429" i="2"/>
  <c r="DN430" i="2"/>
  <c r="DN431" i="2"/>
  <c r="DN435" i="2"/>
  <c r="DN436" i="2"/>
  <c r="DN437" i="2"/>
  <c r="DN438" i="2"/>
  <c r="DN439" i="2"/>
  <c r="G22" i="3"/>
  <c r="H22" i="3"/>
  <c r="J22" i="3"/>
  <c r="K22" i="3"/>
  <c r="M22" i="3"/>
  <c r="N22" i="3"/>
  <c r="P22" i="3"/>
  <c r="Q22" i="3"/>
  <c r="S22" i="3"/>
  <c r="T22" i="3"/>
  <c r="W22" i="3"/>
  <c r="Y22" i="3"/>
  <c r="Z22" i="3"/>
  <c r="AB22" i="3"/>
  <c r="AC22" i="3"/>
  <c r="AE22" i="3"/>
  <c r="AF22" i="3"/>
  <c r="AH22" i="3"/>
  <c r="AI22" i="3"/>
  <c r="HX30" i="2"/>
  <c r="HX34" i="2"/>
  <c r="HX57" i="2"/>
  <c r="HX74" i="2"/>
  <c r="HX75" i="2"/>
  <c r="HX76" i="2"/>
  <c r="HX77" i="2"/>
  <c r="HX78" i="2"/>
  <c r="HX126" i="2"/>
  <c r="HX127" i="2"/>
  <c r="AB126" i="10"/>
  <c r="HX128" i="2"/>
  <c r="HX129" i="2"/>
  <c r="Q129" i="2"/>
  <c r="HX130" i="2"/>
  <c r="HX131" i="2"/>
  <c r="HX132" i="2"/>
  <c r="HX133" i="2"/>
  <c r="HX134" i="2"/>
  <c r="HX135" i="2"/>
  <c r="HX137" i="2"/>
  <c r="HX138" i="2"/>
  <c r="HX139" i="2"/>
  <c r="HX140" i="2"/>
  <c r="HX141" i="2"/>
  <c r="HX142" i="2"/>
  <c r="HX143" i="2"/>
  <c r="HX144" i="2"/>
  <c r="HX145" i="2"/>
  <c r="HX146" i="2"/>
  <c r="HX147" i="2"/>
  <c r="HX148" i="2"/>
  <c r="HX149" i="2"/>
  <c r="HX152" i="2"/>
  <c r="HX153" i="2"/>
  <c r="Q153" i="2"/>
  <c r="HX154" i="2"/>
  <c r="HX155" i="2"/>
  <c r="HX156" i="2"/>
  <c r="HX157" i="2"/>
  <c r="HX158" i="2"/>
  <c r="HX159" i="2"/>
  <c r="HX160" i="2"/>
  <c r="HX161" i="2"/>
  <c r="HX162" i="2"/>
  <c r="HX163" i="2"/>
  <c r="HX164" i="2"/>
  <c r="HX165" i="2"/>
  <c r="HX166" i="2"/>
  <c r="HX167" i="2"/>
  <c r="HX168" i="2"/>
  <c r="HX169" i="2"/>
  <c r="HX170" i="2"/>
  <c r="HX171" i="2"/>
  <c r="HX172" i="2"/>
  <c r="HX173" i="2"/>
  <c r="HX174" i="2"/>
  <c r="HX175" i="2"/>
  <c r="HX176" i="2"/>
  <c r="HX177" i="2"/>
  <c r="HX178" i="2"/>
  <c r="HX179" i="2"/>
  <c r="HX180" i="2"/>
  <c r="HX181" i="2"/>
  <c r="HX182" i="2"/>
  <c r="HX183" i="2"/>
  <c r="HX184" i="2"/>
  <c r="HX185" i="2"/>
  <c r="HX186" i="2"/>
  <c r="HX187" i="2"/>
  <c r="HX188" i="2"/>
  <c r="AB187" i="10"/>
  <c r="HX189" i="2"/>
  <c r="HX190" i="2"/>
  <c r="AB189" i="10"/>
  <c r="HX191" i="2"/>
  <c r="HX192" i="2"/>
  <c r="HX193" i="2"/>
  <c r="HX194" i="2"/>
  <c r="HX195" i="2"/>
  <c r="HX196" i="2"/>
  <c r="HX197" i="2"/>
  <c r="HX198" i="2"/>
  <c r="HX199" i="2"/>
  <c r="HX200" i="2"/>
  <c r="HX201" i="2"/>
  <c r="HX202" i="2"/>
  <c r="HX203" i="2"/>
  <c r="HX204" i="2"/>
  <c r="HX205" i="2"/>
  <c r="HX206" i="2"/>
  <c r="HX207" i="2"/>
  <c r="HX208" i="2"/>
  <c r="HX209" i="2"/>
  <c r="HX210" i="2"/>
  <c r="HX211" i="2"/>
  <c r="HX212" i="2"/>
  <c r="HX213" i="2"/>
  <c r="AB212" i="10"/>
  <c r="HX214" i="2"/>
  <c r="HX215" i="2"/>
  <c r="HX216" i="2"/>
  <c r="HX217" i="2"/>
  <c r="HX218" i="2"/>
  <c r="HX219" i="2"/>
  <c r="HX220" i="2"/>
  <c r="HX221" i="2"/>
  <c r="HX222" i="2"/>
  <c r="HX223" i="2"/>
  <c r="HX224" i="2"/>
  <c r="HX225" i="2"/>
  <c r="HX226" i="2"/>
  <c r="HX227" i="2"/>
  <c r="HX228" i="2"/>
  <c r="HX229" i="2"/>
  <c r="HX230" i="2"/>
  <c r="HX231" i="2"/>
  <c r="HX232" i="2"/>
  <c r="HX233" i="2"/>
  <c r="HX234" i="2"/>
  <c r="HX235" i="2"/>
  <c r="HX236" i="2"/>
  <c r="HX237" i="2"/>
  <c r="HX238" i="2"/>
  <c r="HX239" i="2"/>
  <c r="HX240" i="2"/>
  <c r="HX241" i="2"/>
  <c r="HX242" i="2"/>
  <c r="HX243" i="2"/>
  <c r="HX244" i="2"/>
  <c r="HX245" i="2"/>
  <c r="HX246" i="2"/>
  <c r="HX247" i="2"/>
  <c r="HX248" i="2"/>
  <c r="HX249" i="2"/>
  <c r="HX250" i="2"/>
  <c r="HX251" i="2"/>
  <c r="HX252" i="2"/>
  <c r="HX253" i="2"/>
  <c r="HX254" i="2"/>
  <c r="HX255" i="2"/>
  <c r="HX256" i="2"/>
  <c r="HX257" i="2"/>
  <c r="HX258" i="2"/>
  <c r="HX259" i="2"/>
  <c r="HX260" i="2"/>
  <c r="HX261" i="2"/>
  <c r="HX262" i="2"/>
  <c r="HX263" i="2"/>
  <c r="HX264" i="2"/>
  <c r="HX265" i="2"/>
  <c r="HX266" i="2"/>
  <c r="HX267" i="2"/>
  <c r="HX268" i="2"/>
  <c r="HX269" i="2"/>
  <c r="HX270" i="2"/>
  <c r="HX271" i="2"/>
  <c r="HX272" i="2"/>
  <c r="HX273" i="2"/>
  <c r="HX274" i="2"/>
  <c r="HX275" i="2"/>
  <c r="HX276" i="2"/>
  <c r="HX277" i="2"/>
  <c r="HX278" i="2"/>
  <c r="HX279" i="2"/>
  <c r="HX280" i="2"/>
  <c r="HX281" i="2"/>
  <c r="HX282" i="2"/>
  <c r="AB281" i="10"/>
  <c r="HX284" i="2"/>
  <c r="HX285" i="2"/>
  <c r="HX286" i="2"/>
  <c r="HX287" i="2"/>
  <c r="HX288" i="2"/>
  <c r="HX289" i="2"/>
  <c r="HX290" i="2"/>
  <c r="HX291" i="2"/>
  <c r="AB290" i="10"/>
  <c r="HX292" i="2"/>
  <c r="HX293" i="2"/>
  <c r="HX294" i="2"/>
  <c r="AB293" i="10"/>
  <c r="HX295" i="2"/>
  <c r="HX296" i="2"/>
  <c r="HX297" i="2"/>
  <c r="HX298" i="2"/>
  <c r="HX299" i="2"/>
  <c r="HX300" i="2"/>
  <c r="HX301" i="2"/>
  <c r="HX302" i="2"/>
  <c r="HX303" i="2"/>
  <c r="HX304" i="2"/>
  <c r="HX305" i="2"/>
  <c r="HX306" i="2"/>
  <c r="HX307" i="2"/>
  <c r="HX308" i="2"/>
  <c r="HX309" i="2"/>
  <c r="HX310" i="2"/>
  <c r="HX311" i="2"/>
  <c r="HX312" i="2"/>
  <c r="Q312" i="2"/>
  <c r="HX313" i="2"/>
  <c r="AB312" i="10"/>
  <c r="HX314" i="2"/>
  <c r="HX315" i="2"/>
  <c r="AB314" i="10"/>
  <c r="HX316" i="2"/>
  <c r="HX317" i="2"/>
  <c r="HX318" i="2"/>
  <c r="HX319" i="2"/>
  <c r="HX320" i="2"/>
  <c r="HX321" i="2"/>
  <c r="HX322" i="2"/>
  <c r="HX323" i="2"/>
  <c r="HX324" i="2"/>
  <c r="HX325" i="2"/>
  <c r="HX326" i="2"/>
  <c r="HX327" i="2"/>
  <c r="HX328" i="2"/>
  <c r="AB327" i="10"/>
  <c r="HX329" i="2"/>
  <c r="HX330" i="2"/>
  <c r="AB329" i="10"/>
  <c r="HX331" i="2"/>
  <c r="Q331" i="2"/>
  <c r="HX332" i="2"/>
  <c r="AB331" i="10"/>
  <c r="HX333" i="2"/>
  <c r="HX334" i="2"/>
  <c r="HX335" i="2"/>
  <c r="HX336" i="2"/>
  <c r="HX337" i="2"/>
  <c r="AB336" i="10"/>
  <c r="HX338" i="2"/>
  <c r="HX339" i="2"/>
  <c r="HX340" i="2"/>
  <c r="HX341" i="2"/>
  <c r="HX342" i="2"/>
  <c r="Q342" i="2"/>
  <c r="HX343" i="2"/>
  <c r="HX344" i="2"/>
  <c r="HX345" i="2"/>
  <c r="AB344" i="10"/>
  <c r="HX346" i="2"/>
  <c r="HX347" i="2"/>
  <c r="HX348" i="2"/>
  <c r="HX349" i="2"/>
  <c r="AB348" i="10"/>
  <c r="HX350" i="2"/>
  <c r="HX351" i="2"/>
  <c r="HX352" i="2"/>
  <c r="HX353" i="2"/>
  <c r="HX354" i="2"/>
  <c r="HX355" i="2"/>
  <c r="HX356" i="2"/>
  <c r="HX357" i="2"/>
  <c r="AB356" i="10"/>
  <c r="HX358" i="2"/>
  <c r="AB357" i="10"/>
  <c r="HX359" i="2"/>
  <c r="HX360" i="2"/>
  <c r="HX361" i="2"/>
  <c r="HX362" i="2"/>
  <c r="HX363" i="2"/>
  <c r="AB362" i="10"/>
  <c r="HX364" i="2"/>
  <c r="HX365" i="2"/>
  <c r="HX366" i="2"/>
  <c r="HX367" i="2"/>
  <c r="AB366" i="10"/>
  <c r="HX368" i="2"/>
  <c r="HX369" i="2"/>
  <c r="HX370" i="2"/>
  <c r="HX371" i="2"/>
  <c r="HX372" i="2"/>
  <c r="HX373" i="2"/>
  <c r="HX374" i="2"/>
  <c r="HX375" i="2"/>
  <c r="AB374" i="10"/>
  <c r="HX376" i="2"/>
  <c r="HX377" i="2"/>
  <c r="HX378" i="2"/>
  <c r="HX379" i="2"/>
  <c r="HX380" i="2"/>
  <c r="HX381" i="2"/>
  <c r="HX382" i="2"/>
  <c r="HX383" i="2"/>
  <c r="HX384" i="2"/>
  <c r="HX385" i="2"/>
  <c r="HX386" i="2"/>
  <c r="HX387" i="2"/>
  <c r="HX388" i="2"/>
  <c r="HX389" i="2"/>
  <c r="HX390" i="2"/>
  <c r="HX391" i="2"/>
  <c r="AB390" i="10"/>
  <c r="HX392" i="2"/>
  <c r="HX393" i="2"/>
  <c r="HX394" i="2"/>
  <c r="HX395" i="2"/>
  <c r="AB394" i="10"/>
  <c r="HX396" i="2"/>
  <c r="AB395" i="10"/>
  <c r="HX397" i="2"/>
  <c r="HX398" i="2"/>
  <c r="HX399" i="2"/>
  <c r="HX400" i="2"/>
  <c r="HX401" i="2"/>
  <c r="HX402" i="2"/>
  <c r="HX403" i="2"/>
  <c r="HX404" i="2"/>
  <c r="HX405" i="2"/>
  <c r="HX406" i="2"/>
  <c r="HX407" i="2"/>
  <c r="HX408" i="2"/>
  <c r="HX409" i="2"/>
  <c r="HX410" i="2"/>
  <c r="HX411" i="2"/>
  <c r="HX412" i="2"/>
  <c r="HX413" i="2"/>
  <c r="AB412" i="10"/>
  <c r="HX414" i="2"/>
  <c r="HX415" i="2"/>
  <c r="HX416" i="2"/>
  <c r="HX417" i="2"/>
  <c r="HX418" i="2"/>
  <c r="HX419" i="2"/>
  <c r="HX420" i="2"/>
  <c r="HX421" i="2"/>
  <c r="HX422" i="2"/>
  <c r="HX423" i="2"/>
  <c r="HX424" i="2"/>
  <c r="HX425" i="2"/>
  <c r="HX426" i="2"/>
  <c r="HX427" i="2"/>
  <c r="HX428" i="2"/>
  <c r="HX429" i="2"/>
  <c r="AB428" i="10"/>
  <c r="HX430" i="2"/>
  <c r="HX431" i="2"/>
  <c r="HX435" i="2"/>
  <c r="HX436" i="2"/>
  <c r="HX437" i="2"/>
  <c r="HX438" i="2"/>
  <c r="HX439" i="2"/>
  <c r="HR5" i="2"/>
  <c r="HR6" i="2"/>
  <c r="HR7" i="2"/>
  <c r="HR8" i="2"/>
  <c r="HR9" i="2"/>
  <c r="HR10" i="2"/>
  <c r="HR11" i="2"/>
  <c r="HR12" i="2"/>
  <c r="AA11" i="10"/>
  <c r="HR13" i="2"/>
  <c r="HR14" i="2"/>
  <c r="HR15" i="2"/>
  <c r="HR16" i="2"/>
  <c r="HR17" i="2"/>
  <c r="HR18" i="2"/>
  <c r="HR19" i="2"/>
  <c r="AA18" i="10"/>
  <c r="HR20" i="2"/>
  <c r="HR21" i="2"/>
  <c r="HR22" i="2"/>
  <c r="HR23" i="2"/>
  <c r="HR24" i="2"/>
  <c r="HR25" i="2"/>
  <c r="HR26" i="2"/>
  <c r="HR27" i="2"/>
  <c r="HR28" i="2"/>
  <c r="HR29" i="2"/>
  <c r="HR30" i="2"/>
  <c r="HR31" i="2"/>
  <c r="HR32" i="2"/>
  <c r="HR33" i="2"/>
  <c r="HR34" i="2"/>
  <c r="AA33" i="10"/>
  <c r="HR35" i="2"/>
  <c r="HR36" i="2"/>
  <c r="HR37" i="2"/>
  <c r="HR38" i="2"/>
  <c r="HR39" i="2"/>
  <c r="HR40" i="2"/>
  <c r="HR41" i="2"/>
  <c r="HR42" i="2"/>
  <c r="HR43" i="2"/>
  <c r="HR44" i="2"/>
  <c r="HR45" i="2"/>
  <c r="HR46" i="2"/>
  <c r="HR47" i="2"/>
  <c r="HR48" i="2"/>
  <c r="HR49" i="2"/>
  <c r="HR50" i="2"/>
  <c r="AA49" i="10"/>
  <c r="HR51" i="2"/>
  <c r="HR52" i="2"/>
  <c r="HR53" i="2"/>
  <c r="HR54" i="2"/>
  <c r="HR55" i="2"/>
  <c r="HR56" i="2"/>
  <c r="HR57" i="2"/>
  <c r="HR58" i="2"/>
  <c r="HR59" i="2"/>
  <c r="HR60" i="2"/>
  <c r="HR61" i="2"/>
  <c r="HR62" i="2"/>
  <c r="HR63" i="2"/>
  <c r="AA62" i="10"/>
  <c r="HR64" i="2"/>
  <c r="HR65" i="2"/>
  <c r="HR66" i="2"/>
  <c r="HR67" i="2"/>
  <c r="HR68" i="2"/>
  <c r="HR69" i="2"/>
  <c r="HR70" i="2"/>
  <c r="HR71" i="2"/>
  <c r="HR72" i="2"/>
  <c r="HR73" i="2"/>
  <c r="HR74" i="2"/>
  <c r="HR75" i="2"/>
  <c r="HR76" i="2"/>
  <c r="HR77" i="2"/>
  <c r="HR78" i="2"/>
  <c r="HR79" i="2"/>
  <c r="HR80" i="2"/>
  <c r="HR81" i="2"/>
  <c r="HR82" i="2"/>
  <c r="HR83" i="2"/>
  <c r="HR84" i="2"/>
  <c r="HR85" i="2"/>
  <c r="HR86" i="2"/>
  <c r="HR87" i="2"/>
  <c r="HR88" i="2"/>
  <c r="HR89" i="2"/>
  <c r="HR90" i="2"/>
  <c r="AA89" i="10"/>
  <c r="HR91" i="2"/>
  <c r="HR92" i="2"/>
  <c r="AA91" i="10"/>
  <c r="HR93" i="2"/>
  <c r="HR94" i="2"/>
  <c r="HR95" i="2"/>
  <c r="HR96" i="2"/>
  <c r="HR97" i="2"/>
  <c r="HR98" i="2"/>
  <c r="HR99" i="2"/>
  <c r="HR100" i="2"/>
  <c r="HR101" i="2"/>
  <c r="HR102" i="2"/>
  <c r="HR103" i="2"/>
  <c r="HR104" i="2"/>
  <c r="HR105" i="2"/>
  <c r="HR106" i="2"/>
  <c r="HR107" i="2"/>
  <c r="HR108" i="2"/>
  <c r="HR109" i="2"/>
  <c r="AA108" i="10"/>
  <c r="HR110" i="2"/>
  <c r="HR111" i="2"/>
  <c r="HR112" i="2"/>
  <c r="HR113" i="2"/>
  <c r="HR114" i="2"/>
  <c r="HR115" i="2"/>
  <c r="HR116" i="2"/>
  <c r="HR117" i="2"/>
  <c r="HR118" i="2"/>
  <c r="HR119" i="2"/>
  <c r="HR120" i="2"/>
  <c r="HR121" i="2"/>
  <c r="HR122" i="2"/>
  <c r="AA121" i="10"/>
  <c r="HR123" i="2"/>
  <c r="HR124" i="2"/>
  <c r="HR125" i="2"/>
  <c r="HR126" i="2"/>
  <c r="HR127" i="2"/>
  <c r="HR128" i="2"/>
  <c r="HR129" i="2"/>
  <c r="HR130" i="2"/>
  <c r="HR131" i="2"/>
  <c r="HR132" i="2"/>
  <c r="HR133" i="2"/>
  <c r="AA132" i="10"/>
  <c r="HR134" i="2"/>
  <c r="HR135" i="2"/>
  <c r="HR136" i="2"/>
  <c r="HR137" i="2"/>
  <c r="HR138" i="2"/>
  <c r="HR139" i="2"/>
  <c r="HR140" i="2"/>
  <c r="HR141" i="2"/>
  <c r="HR142" i="2"/>
  <c r="HR143" i="2"/>
  <c r="HR144" i="2"/>
  <c r="HR145" i="2"/>
  <c r="HR146" i="2"/>
  <c r="HR147" i="2"/>
  <c r="HR148" i="2"/>
  <c r="HR149" i="2"/>
  <c r="HR150" i="2"/>
  <c r="HR151" i="2"/>
  <c r="HR152" i="2"/>
  <c r="HR153" i="2"/>
  <c r="HR154" i="2"/>
  <c r="HR155" i="2"/>
  <c r="HR156" i="2"/>
  <c r="HR157" i="2"/>
  <c r="HR158" i="2"/>
  <c r="HR159" i="2"/>
  <c r="HR160" i="2"/>
  <c r="HR161" i="2"/>
  <c r="HR162" i="2"/>
  <c r="HR163" i="2"/>
  <c r="HR164" i="2"/>
  <c r="HR165" i="2"/>
  <c r="HR166" i="2"/>
  <c r="HR167" i="2"/>
  <c r="HR168" i="2"/>
  <c r="HR169" i="2"/>
  <c r="HR170" i="2"/>
  <c r="HR171" i="2"/>
  <c r="HR172" i="2"/>
  <c r="HR173" i="2"/>
  <c r="HR174" i="2"/>
  <c r="HR175" i="2"/>
  <c r="HR176" i="2"/>
  <c r="HR177" i="2"/>
  <c r="HR178" i="2"/>
  <c r="HR179" i="2"/>
  <c r="HR180" i="2"/>
  <c r="HR181" i="2"/>
  <c r="HR182" i="2"/>
  <c r="HR183" i="2"/>
  <c r="HR184" i="2"/>
  <c r="HR185" i="2"/>
  <c r="HR186" i="2"/>
  <c r="HR187" i="2"/>
  <c r="HR188" i="2"/>
  <c r="HR189" i="2"/>
  <c r="HR190" i="2"/>
  <c r="HR191" i="2"/>
  <c r="HR192" i="2"/>
  <c r="HR193" i="2"/>
  <c r="HR194" i="2"/>
  <c r="HR195" i="2"/>
  <c r="HR196" i="2"/>
  <c r="HR197" i="2"/>
  <c r="HR198" i="2"/>
  <c r="HR199" i="2"/>
  <c r="HR200" i="2"/>
  <c r="HR201" i="2"/>
  <c r="HR202" i="2"/>
  <c r="HR203" i="2"/>
  <c r="HR204" i="2"/>
  <c r="HR205" i="2"/>
  <c r="HR206" i="2"/>
  <c r="HR207" i="2"/>
  <c r="HR208" i="2"/>
  <c r="HR209" i="2"/>
  <c r="HR210" i="2"/>
  <c r="HR211" i="2"/>
  <c r="HR212" i="2"/>
  <c r="HR213" i="2"/>
  <c r="HR214" i="2"/>
  <c r="HR215" i="2"/>
  <c r="HR216" i="2"/>
  <c r="HR217" i="2"/>
  <c r="HR218" i="2"/>
  <c r="HR219" i="2"/>
  <c r="HR220" i="2"/>
  <c r="HR221" i="2"/>
  <c r="HR222" i="2"/>
  <c r="HR223" i="2"/>
  <c r="HR224" i="2"/>
  <c r="HR225" i="2"/>
  <c r="HR226" i="2"/>
  <c r="HR227" i="2"/>
  <c r="HR228" i="2"/>
  <c r="HR229" i="2"/>
  <c r="HR230" i="2"/>
  <c r="HR231" i="2"/>
  <c r="HR232" i="2"/>
  <c r="HR233" i="2"/>
  <c r="HR234" i="2"/>
  <c r="HR235" i="2"/>
  <c r="HR236" i="2"/>
  <c r="HR237" i="2"/>
  <c r="HR238" i="2"/>
  <c r="HR239" i="2"/>
  <c r="HR240" i="2"/>
  <c r="HR241" i="2"/>
  <c r="HR242" i="2"/>
  <c r="HR243" i="2"/>
  <c r="HR244" i="2"/>
  <c r="HR245" i="2"/>
  <c r="HR246" i="2"/>
  <c r="HR247" i="2"/>
  <c r="HR248" i="2"/>
  <c r="HR249" i="2"/>
  <c r="HR250" i="2"/>
  <c r="HR251" i="2"/>
  <c r="HR252" i="2"/>
  <c r="HR253" i="2"/>
  <c r="HR254" i="2"/>
  <c r="HR255" i="2"/>
  <c r="HR256" i="2"/>
  <c r="HR257" i="2"/>
  <c r="HR258" i="2"/>
  <c r="HR259" i="2"/>
  <c r="HR260" i="2"/>
  <c r="HR261" i="2"/>
  <c r="HR262" i="2"/>
  <c r="AA261" i="10"/>
  <c r="HR263" i="2"/>
  <c r="HR264" i="2"/>
  <c r="HR265" i="2"/>
  <c r="HR266" i="2"/>
  <c r="HR267" i="2"/>
  <c r="HR268" i="2"/>
  <c r="HR269" i="2"/>
  <c r="HR270" i="2"/>
  <c r="HR271" i="2"/>
  <c r="HR272" i="2"/>
  <c r="HR273" i="2"/>
  <c r="HR274" i="2"/>
  <c r="HR275" i="2"/>
  <c r="HR276" i="2"/>
  <c r="HR277" i="2"/>
  <c r="HR278" i="2"/>
  <c r="HR279" i="2"/>
  <c r="HR280" i="2"/>
  <c r="HR281" i="2"/>
  <c r="HR282" i="2"/>
  <c r="HR284" i="2"/>
  <c r="HR285" i="2"/>
  <c r="HR286" i="2"/>
  <c r="HR287" i="2"/>
  <c r="HR288" i="2"/>
  <c r="HR289" i="2"/>
  <c r="HR290" i="2"/>
  <c r="HR291" i="2"/>
  <c r="HR292" i="2"/>
  <c r="HR293" i="2"/>
  <c r="HR294" i="2"/>
  <c r="HR295" i="2"/>
  <c r="HR296" i="2"/>
  <c r="HR297" i="2"/>
  <c r="HR298" i="2"/>
  <c r="HR299" i="2"/>
  <c r="HR300" i="2"/>
  <c r="HR301" i="2"/>
  <c r="HR302" i="2"/>
  <c r="HR303" i="2"/>
  <c r="HR304" i="2"/>
  <c r="HR305" i="2"/>
  <c r="HR306" i="2"/>
  <c r="HR307" i="2"/>
  <c r="HR308" i="2"/>
  <c r="HR309" i="2"/>
  <c r="HR310" i="2"/>
  <c r="HR311" i="2"/>
  <c r="HR312" i="2"/>
  <c r="HR313" i="2"/>
  <c r="HR314" i="2"/>
  <c r="HR315" i="2"/>
  <c r="HR316" i="2"/>
  <c r="HR317" i="2"/>
  <c r="HR318" i="2"/>
  <c r="HR319" i="2"/>
  <c r="HR320" i="2"/>
  <c r="HR321" i="2"/>
  <c r="HR322" i="2"/>
  <c r="HR323" i="2"/>
  <c r="HR324" i="2"/>
  <c r="HR325" i="2"/>
  <c r="HR326" i="2"/>
  <c r="HR327" i="2"/>
  <c r="HR328" i="2"/>
  <c r="HR329" i="2"/>
  <c r="HR330" i="2"/>
  <c r="HR331" i="2"/>
  <c r="HR332" i="2"/>
  <c r="HR333" i="2"/>
  <c r="HR334" i="2"/>
  <c r="HR335" i="2"/>
  <c r="HR336" i="2"/>
  <c r="HR337" i="2"/>
  <c r="HR338" i="2"/>
  <c r="HR339" i="2"/>
  <c r="HR340" i="2"/>
  <c r="HR341" i="2"/>
  <c r="HR342" i="2"/>
  <c r="HR343" i="2"/>
  <c r="HR344" i="2"/>
  <c r="HR345" i="2"/>
  <c r="HR346" i="2"/>
  <c r="HR347" i="2"/>
  <c r="HR348" i="2"/>
  <c r="HR349" i="2"/>
  <c r="HR350" i="2"/>
  <c r="HR351" i="2"/>
  <c r="HR352" i="2"/>
  <c r="HR353" i="2"/>
  <c r="HR354" i="2"/>
  <c r="HR355" i="2"/>
  <c r="HR356" i="2"/>
  <c r="HR357" i="2"/>
  <c r="HR358" i="2"/>
  <c r="HR359" i="2"/>
  <c r="HR360" i="2"/>
  <c r="HR361" i="2"/>
  <c r="HR362" i="2"/>
  <c r="HR363" i="2"/>
  <c r="HR364" i="2"/>
  <c r="HR365" i="2"/>
  <c r="HR366" i="2"/>
  <c r="HR367" i="2"/>
  <c r="HR368" i="2"/>
  <c r="HR369" i="2"/>
  <c r="HR370" i="2"/>
  <c r="HR371" i="2"/>
  <c r="HR372" i="2"/>
  <c r="HR373" i="2"/>
  <c r="HR374" i="2"/>
  <c r="HR375" i="2"/>
  <c r="HR376" i="2"/>
  <c r="HR377" i="2"/>
  <c r="HR378" i="2"/>
  <c r="HR379" i="2"/>
  <c r="HR380" i="2"/>
  <c r="HR381" i="2"/>
  <c r="HR382" i="2"/>
  <c r="HR383" i="2"/>
  <c r="HR384" i="2"/>
  <c r="HR385" i="2"/>
  <c r="HR386" i="2"/>
  <c r="HR387" i="2"/>
  <c r="HR388" i="2"/>
  <c r="HR389" i="2"/>
  <c r="HR390" i="2"/>
  <c r="HR391" i="2"/>
  <c r="HR392" i="2"/>
  <c r="HR393" i="2"/>
  <c r="HR394" i="2"/>
  <c r="HR395" i="2"/>
  <c r="HR396" i="2"/>
  <c r="HR397" i="2"/>
  <c r="HR398" i="2"/>
  <c r="HR399" i="2"/>
  <c r="HR400" i="2"/>
  <c r="HR401" i="2"/>
  <c r="HR402" i="2"/>
  <c r="HR403" i="2"/>
  <c r="HR404" i="2"/>
  <c r="HR405" i="2"/>
  <c r="HR406" i="2"/>
  <c r="HR407" i="2"/>
  <c r="HR408" i="2"/>
  <c r="HR409" i="2"/>
  <c r="HR410" i="2"/>
  <c r="HR411" i="2"/>
  <c r="HR412" i="2"/>
  <c r="HR413" i="2"/>
  <c r="HR414" i="2"/>
  <c r="HR415" i="2"/>
  <c r="HR416" i="2"/>
  <c r="HR417" i="2"/>
  <c r="HR418" i="2"/>
  <c r="HR419" i="2"/>
  <c r="HR420" i="2"/>
  <c r="HR421" i="2"/>
  <c r="HR422" i="2"/>
  <c r="HR423" i="2"/>
  <c r="HR424" i="2"/>
  <c r="HR425" i="2"/>
  <c r="HR426" i="2"/>
  <c r="HR427" i="2"/>
  <c r="AA426" i="10"/>
  <c r="HR428" i="2"/>
  <c r="HR429" i="2"/>
  <c r="HR430" i="2"/>
  <c r="HR431" i="2"/>
  <c r="HR435" i="2"/>
  <c r="HR436" i="2"/>
  <c r="HR437" i="2"/>
  <c r="HR438" i="2"/>
  <c r="HR439" i="2"/>
  <c r="HH5" i="2"/>
  <c r="HH6" i="2"/>
  <c r="HH7" i="2"/>
  <c r="HH8" i="2"/>
  <c r="HH9" i="2"/>
  <c r="HH10" i="2"/>
  <c r="HH11" i="2"/>
  <c r="HH12" i="2"/>
  <c r="HH13" i="2"/>
  <c r="HH14" i="2"/>
  <c r="HH15" i="2"/>
  <c r="HH16" i="2"/>
  <c r="HH17" i="2"/>
  <c r="HH18" i="2"/>
  <c r="HH19" i="2"/>
  <c r="HH20" i="2"/>
  <c r="HH21" i="2"/>
  <c r="HH22" i="2"/>
  <c r="HH23" i="2"/>
  <c r="HH24" i="2"/>
  <c r="HH25" i="2"/>
  <c r="HH26" i="2"/>
  <c r="HH27" i="2"/>
  <c r="HH28" i="2"/>
  <c r="HH29" i="2"/>
  <c r="HH30" i="2"/>
  <c r="HH31" i="2"/>
  <c r="HH32" i="2"/>
  <c r="HH33" i="2"/>
  <c r="HH34" i="2"/>
  <c r="HH35" i="2"/>
  <c r="HH36" i="2"/>
  <c r="HH37" i="2"/>
  <c r="HH38" i="2"/>
  <c r="HH39" i="2"/>
  <c r="HH40" i="2"/>
  <c r="HH41" i="2"/>
  <c r="HH42" i="2"/>
  <c r="HH43" i="2"/>
  <c r="HH44" i="2"/>
  <c r="HH45" i="2"/>
  <c r="HH46" i="2"/>
  <c r="HH47" i="2"/>
  <c r="HH48" i="2"/>
  <c r="HH49" i="2"/>
  <c r="HH50" i="2"/>
  <c r="HH51" i="2"/>
  <c r="HH52" i="2"/>
  <c r="HH53" i="2"/>
  <c r="HH54" i="2"/>
  <c r="HH55" i="2"/>
  <c r="HH56" i="2"/>
  <c r="HH57" i="2"/>
  <c r="HH58" i="2"/>
  <c r="HH59" i="2"/>
  <c r="HH60" i="2"/>
  <c r="HH61" i="2"/>
  <c r="HH62" i="2"/>
  <c r="HH63" i="2"/>
  <c r="HH64" i="2"/>
  <c r="HH65" i="2"/>
  <c r="HH66" i="2"/>
  <c r="HH67" i="2"/>
  <c r="HH68" i="2"/>
  <c r="HH69" i="2"/>
  <c r="HH70" i="2"/>
  <c r="HH71" i="2"/>
  <c r="HH72" i="2"/>
  <c r="HH73" i="2"/>
  <c r="HH74" i="2"/>
  <c r="HH75" i="2"/>
  <c r="HH76" i="2"/>
  <c r="HH77" i="2"/>
  <c r="HH78" i="2"/>
  <c r="HH79" i="2"/>
  <c r="HH80" i="2"/>
  <c r="HH81" i="2"/>
  <c r="HH82" i="2"/>
  <c r="HH83" i="2"/>
  <c r="HH84" i="2"/>
  <c r="HH85" i="2"/>
  <c r="HH86" i="2"/>
  <c r="HH87" i="2"/>
  <c r="HH88" i="2"/>
  <c r="HH89" i="2"/>
  <c r="HH90" i="2"/>
  <c r="HH91" i="2"/>
  <c r="HH92" i="2"/>
  <c r="HH93" i="2"/>
  <c r="HH94" i="2"/>
  <c r="HH95" i="2"/>
  <c r="HH96" i="2"/>
  <c r="HH97" i="2"/>
  <c r="HH98" i="2"/>
  <c r="HH99" i="2"/>
  <c r="HH100" i="2"/>
  <c r="HH101" i="2"/>
  <c r="HH102" i="2"/>
  <c r="HH103" i="2"/>
  <c r="HH104" i="2"/>
  <c r="HH105" i="2"/>
  <c r="HH106" i="2"/>
  <c r="HH107" i="2"/>
  <c r="HH108" i="2"/>
  <c r="HH109" i="2"/>
  <c r="HH110" i="2"/>
  <c r="HH111" i="2"/>
  <c r="HH112" i="2"/>
  <c r="HH113" i="2"/>
  <c r="HH114" i="2"/>
  <c r="HH115" i="2"/>
  <c r="HH116" i="2"/>
  <c r="HH117" i="2"/>
  <c r="HH118" i="2"/>
  <c r="HH119" i="2"/>
  <c r="HH120" i="2"/>
  <c r="HH121" i="2"/>
  <c r="HH122" i="2"/>
  <c r="HH123" i="2"/>
  <c r="HH124" i="2"/>
  <c r="HH125" i="2"/>
  <c r="HH126" i="2"/>
  <c r="HH127" i="2"/>
  <c r="HH128" i="2"/>
  <c r="HH129" i="2"/>
  <c r="HH130" i="2"/>
  <c r="HH131" i="2"/>
  <c r="HH132" i="2"/>
  <c r="HH133" i="2"/>
  <c r="HH134" i="2"/>
  <c r="HH135" i="2"/>
  <c r="HH136" i="2"/>
  <c r="HH137" i="2"/>
  <c r="HH138" i="2"/>
  <c r="HH139" i="2"/>
  <c r="HH140" i="2"/>
  <c r="HH141" i="2"/>
  <c r="HH142" i="2"/>
  <c r="HH143" i="2"/>
  <c r="HH144" i="2"/>
  <c r="HH145" i="2"/>
  <c r="HH146" i="2"/>
  <c r="HH147" i="2"/>
  <c r="HH148" i="2"/>
  <c r="HH149" i="2"/>
  <c r="HH150" i="2"/>
  <c r="HH151" i="2"/>
  <c r="HH152" i="2"/>
  <c r="HH153" i="2"/>
  <c r="HH154" i="2"/>
  <c r="HH155" i="2"/>
  <c r="HH156" i="2"/>
  <c r="HH157" i="2"/>
  <c r="HH158" i="2"/>
  <c r="HH159" i="2"/>
  <c r="HH160" i="2"/>
  <c r="HH161" i="2"/>
  <c r="HH162" i="2"/>
  <c r="HH163" i="2"/>
  <c r="HH164" i="2"/>
  <c r="HH165" i="2"/>
  <c r="HH166" i="2"/>
  <c r="HH167" i="2"/>
  <c r="HH168" i="2"/>
  <c r="HH169" i="2"/>
  <c r="HH170" i="2"/>
  <c r="HH171" i="2"/>
  <c r="HH172" i="2"/>
  <c r="HH173" i="2"/>
  <c r="HH174" i="2"/>
  <c r="HH175" i="2"/>
  <c r="HH176" i="2"/>
  <c r="HH177" i="2"/>
  <c r="HH178" i="2"/>
  <c r="HH179" i="2"/>
  <c r="HH180" i="2"/>
  <c r="HH181" i="2"/>
  <c r="HH182" i="2"/>
  <c r="HH183" i="2"/>
  <c r="HH184" i="2"/>
  <c r="HH185" i="2"/>
  <c r="HH186" i="2"/>
  <c r="HH187" i="2"/>
  <c r="HH188" i="2"/>
  <c r="HH189" i="2"/>
  <c r="HH190" i="2"/>
  <c r="HH191" i="2"/>
  <c r="HH192" i="2"/>
  <c r="HH193" i="2"/>
  <c r="HH194" i="2"/>
  <c r="HH195" i="2"/>
  <c r="HH196" i="2"/>
  <c r="HH197" i="2"/>
  <c r="HH198" i="2"/>
  <c r="HH199" i="2"/>
  <c r="HH200" i="2"/>
  <c r="HH201" i="2"/>
  <c r="HH202" i="2"/>
  <c r="HH203" i="2"/>
  <c r="HH204" i="2"/>
  <c r="HH205" i="2"/>
  <c r="HH206" i="2"/>
  <c r="HH207" i="2"/>
  <c r="HH208" i="2"/>
  <c r="HH209" i="2"/>
  <c r="HH210" i="2"/>
  <c r="HH211" i="2"/>
  <c r="HH212" i="2"/>
  <c r="HH213" i="2"/>
  <c r="HH214" i="2"/>
  <c r="HH215" i="2"/>
  <c r="HH216" i="2"/>
  <c r="HH217" i="2"/>
  <c r="HH218" i="2"/>
  <c r="HH219" i="2"/>
  <c r="HH220" i="2"/>
  <c r="HH221" i="2"/>
  <c r="HH222" i="2"/>
  <c r="HH223" i="2"/>
  <c r="HH224" i="2"/>
  <c r="HH225" i="2"/>
  <c r="HH226" i="2"/>
  <c r="HH227" i="2"/>
  <c r="HH228" i="2"/>
  <c r="HH229" i="2"/>
  <c r="HH230" i="2"/>
  <c r="HH231" i="2"/>
  <c r="HH232" i="2"/>
  <c r="HH233" i="2"/>
  <c r="HH234" i="2"/>
  <c r="HH235" i="2"/>
  <c r="HH236" i="2"/>
  <c r="HH237" i="2"/>
  <c r="HH238" i="2"/>
  <c r="HH239" i="2"/>
  <c r="HH240" i="2"/>
  <c r="HH241" i="2"/>
  <c r="HH242" i="2"/>
  <c r="HH243" i="2"/>
  <c r="HH244" i="2"/>
  <c r="HH245" i="2"/>
  <c r="HH246" i="2"/>
  <c r="HH247" i="2"/>
  <c r="HH248" i="2"/>
  <c r="HH249" i="2"/>
  <c r="HH250" i="2"/>
  <c r="HH251" i="2"/>
  <c r="HH252" i="2"/>
  <c r="HH253" i="2"/>
  <c r="HH254" i="2"/>
  <c r="HH255" i="2"/>
  <c r="HH256" i="2"/>
  <c r="HH257" i="2"/>
  <c r="HH258" i="2"/>
  <c r="HH259" i="2"/>
  <c r="HH260" i="2"/>
  <c r="HH261" i="2"/>
  <c r="HH262" i="2"/>
  <c r="HH263" i="2"/>
  <c r="HH264" i="2"/>
  <c r="HH265" i="2"/>
  <c r="HH266" i="2"/>
  <c r="HH267" i="2"/>
  <c r="HH268" i="2"/>
  <c r="HH269" i="2"/>
  <c r="HH270" i="2"/>
  <c r="HH271" i="2"/>
  <c r="HH272" i="2"/>
  <c r="HH273" i="2"/>
  <c r="HH274" i="2"/>
  <c r="HH275" i="2"/>
  <c r="HH276" i="2"/>
  <c r="HH277" i="2"/>
  <c r="HH278" i="2"/>
  <c r="HH279" i="2"/>
  <c r="HH280" i="2"/>
  <c r="HH281" i="2"/>
  <c r="HH282" i="2"/>
  <c r="HH284" i="2"/>
  <c r="HH285" i="2"/>
  <c r="HH286" i="2"/>
  <c r="HH287" i="2"/>
  <c r="HH288" i="2"/>
  <c r="HH289" i="2"/>
  <c r="HH290" i="2"/>
  <c r="HH291" i="2"/>
  <c r="HH292" i="2"/>
  <c r="HH293" i="2"/>
  <c r="HH294" i="2"/>
  <c r="HH295" i="2"/>
  <c r="HH296" i="2"/>
  <c r="HH297" i="2"/>
  <c r="HH298" i="2"/>
  <c r="HH299" i="2"/>
  <c r="HH300" i="2"/>
  <c r="HH301" i="2"/>
  <c r="HH302" i="2"/>
  <c r="HH303" i="2"/>
  <c r="HH304" i="2"/>
  <c r="HH305" i="2"/>
  <c r="HH306" i="2"/>
  <c r="HH307" i="2"/>
  <c r="HH308" i="2"/>
  <c r="HH309" i="2"/>
  <c r="HH310" i="2"/>
  <c r="HH311" i="2"/>
  <c r="HH312" i="2"/>
  <c r="HH313" i="2"/>
  <c r="HH314" i="2"/>
  <c r="HH315" i="2"/>
  <c r="HH316" i="2"/>
  <c r="HH317" i="2"/>
  <c r="HH318" i="2"/>
  <c r="HH319" i="2"/>
  <c r="HH320" i="2"/>
  <c r="HH321" i="2"/>
  <c r="HH322" i="2"/>
  <c r="HH323" i="2"/>
  <c r="HH324" i="2"/>
  <c r="HH325" i="2"/>
  <c r="HH326" i="2"/>
  <c r="HH327" i="2"/>
  <c r="HH328" i="2"/>
  <c r="HH329" i="2"/>
  <c r="HH330" i="2"/>
  <c r="HH331" i="2"/>
  <c r="HH332" i="2"/>
  <c r="HH333" i="2"/>
  <c r="HH334" i="2"/>
  <c r="HH335" i="2"/>
  <c r="HH336" i="2"/>
  <c r="HH337" i="2"/>
  <c r="HH338" i="2"/>
  <c r="HH339" i="2"/>
  <c r="HH340" i="2"/>
  <c r="HH341" i="2"/>
  <c r="HH342" i="2"/>
  <c r="HH343" i="2"/>
  <c r="HH344" i="2"/>
  <c r="HH345" i="2"/>
  <c r="HH346" i="2"/>
  <c r="HH347" i="2"/>
  <c r="HH348" i="2"/>
  <c r="HH349" i="2"/>
  <c r="HH350" i="2"/>
  <c r="HH351" i="2"/>
  <c r="HH352" i="2"/>
  <c r="HH353" i="2"/>
  <c r="HH354" i="2"/>
  <c r="HH355" i="2"/>
  <c r="HH356" i="2"/>
  <c r="HH357" i="2"/>
  <c r="HH358" i="2"/>
  <c r="HH359" i="2"/>
  <c r="HH360" i="2"/>
  <c r="HH361" i="2"/>
  <c r="HH362" i="2"/>
  <c r="HH363" i="2"/>
  <c r="HH364" i="2"/>
  <c r="HH365" i="2"/>
  <c r="HH366" i="2"/>
  <c r="HH367" i="2"/>
  <c r="HH368" i="2"/>
  <c r="HH369" i="2"/>
  <c r="HH370" i="2"/>
  <c r="HH371" i="2"/>
  <c r="HH372" i="2"/>
  <c r="HH373" i="2"/>
  <c r="HH374" i="2"/>
  <c r="HH375" i="2"/>
  <c r="HH376" i="2"/>
  <c r="HH377" i="2"/>
  <c r="HH378" i="2"/>
  <c r="HH379" i="2"/>
  <c r="HH380" i="2"/>
  <c r="HH381" i="2"/>
  <c r="HH382" i="2"/>
  <c r="HH383" i="2"/>
  <c r="HH384" i="2"/>
  <c r="HH385" i="2"/>
  <c r="HH386" i="2"/>
  <c r="HH387" i="2"/>
  <c r="HH388" i="2"/>
  <c r="HH389" i="2"/>
  <c r="HH390" i="2"/>
  <c r="HH391" i="2"/>
  <c r="HH392" i="2"/>
  <c r="HH393" i="2"/>
  <c r="HH394" i="2"/>
  <c r="HH395" i="2"/>
  <c r="HH396" i="2"/>
  <c r="HH397" i="2"/>
  <c r="HH398" i="2"/>
  <c r="HH399" i="2"/>
  <c r="HH400" i="2"/>
  <c r="HH401" i="2"/>
  <c r="HH402" i="2"/>
  <c r="HH403" i="2"/>
  <c r="HH404" i="2"/>
  <c r="HH405" i="2"/>
  <c r="HH406" i="2"/>
  <c r="HH407" i="2"/>
  <c r="HH408" i="2"/>
  <c r="HH409" i="2"/>
  <c r="HH410" i="2"/>
  <c r="HH411" i="2"/>
  <c r="HH412" i="2"/>
  <c r="HH413" i="2"/>
  <c r="HH414" i="2"/>
  <c r="HH415" i="2"/>
  <c r="HH416" i="2"/>
  <c r="HH417" i="2"/>
  <c r="HH418" i="2"/>
  <c r="HH419" i="2"/>
  <c r="HH420" i="2"/>
  <c r="HH421" i="2"/>
  <c r="HH422" i="2"/>
  <c r="HH423" i="2"/>
  <c r="Z422" i="10"/>
  <c r="HH424" i="2"/>
  <c r="HH425" i="2"/>
  <c r="HH426" i="2"/>
  <c r="HH427" i="2"/>
  <c r="HH428" i="2"/>
  <c r="HH429" i="2"/>
  <c r="HH430" i="2"/>
  <c r="HH431" i="2"/>
  <c r="HH435" i="2"/>
  <c r="HH436" i="2"/>
  <c r="HH437" i="2"/>
  <c r="HH438" i="2"/>
  <c r="HH439" i="2"/>
  <c r="GU5" i="2"/>
  <c r="GU6" i="2"/>
  <c r="GU7" i="2"/>
  <c r="GU8" i="2"/>
  <c r="GU9" i="2"/>
  <c r="GU10" i="2"/>
  <c r="GU11" i="2"/>
  <c r="GU12" i="2"/>
  <c r="GU13" i="2"/>
  <c r="GU14" i="2"/>
  <c r="GU15" i="2"/>
  <c r="GU16" i="2"/>
  <c r="GU17" i="2"/>
  <c r="GU18" i="2"/>
  <c r="GU19" i="2"/>
  <c r="GU20" i="2"/>
  <c r="GU21" i="2"/>
  <c r="GU22" i="2"/>
  <c r="GU23" i="2"/>
  <c r="GU24" i="2"/>
  <c r="GU25" i="2"/>
  <c r="GU26" i="2"/>
  <c r="GU27" i="2"/>
  <c r="GU28" i="2"/>
  <c r="GU29" i="2"/>
  <c r="GU30" i="2"/>
  <c r="GU31" i="2"/>
  <c r="GU32" i="2"/>
  <c r="GU33" i="2"/>
  <c r="GU34" i="2"/>
  <c r="GU35" i="2"/>
  <c r="GU36" i="2"/>
  <c r="GU37" i="2"/>
  <c r="GU38" i="2"/>
  <c r="GU39" i="2"/>
  <c r="GU40" i="2"/>
  <c r="GU41" i="2"/>
  <c r="GU42" i="2"/>
  <c r="GU43" i="2"/>
  <c r="GU44" i="2"/>
  <c r="GU45" i="2"/>
  <c r="GU46" i="2"/>
  <c r="GU47" i="2"/>
  <c r="GU48" i="2"/>
  <c r="GU49" i="2"/>
  <c r="GU50" i="2"/>
  <c r="GU51" i="2"/>
  <c r="GU52" i="2"/>
  <c r="GU53" i="2"/>
  <c r="GU54" i="2"/>
  <c r="GU55" i="2"/>
  <c r="GU56" i="2"/>
  <c r="GU57" i="2"/>
  <c r="GU58" i="2"/>
  <c r="GU59" i="2"/>
  <c r="GU60" i="2"/>
  <c r="GU61" i="2"/>
  <c r="GU62" i="2"/>
  <c r="GU63" i="2"/>
  <c r="GU64" i="2"/>
  <c r="GU65" i="2"/>
  <c r="GU66" i="2"/>
  <c r="GU67" i="2"/>
  <c r="GU68" i="2"/>
  <c r="GU69" i="2"/>
  <c r="GU70" i="2"/>
  <c r="GU71" i="2"/>
  <c r="GU72" i="2"/>
  <c r="GU73" i="2"/>
  <c r="GU74" i="2"/>
  <c r="GU75" i="2"/>
  <c r="GU76" i="2"/>
  <c r="GU77" i="2"/>
  <c r="GU78" i="2"/>
  <c r="GU79" i="2"/>
  <c r="GU80" i="2"/>
  <c r="GU81" i="2"/>
  <c r="GU82" i="2"/>
  <c r="GU83" i="2"/>
  <c r="GU84" i="2"/>
  <c r="GU85" i="2"/>
  <c r="GU86" i="2"/>
  <c r="GU87" i="2"/>
  <c r="GU88" i="2"/>
  <c r="GU89" i="2"/>
  <c r="GU90" i="2"/>
  <c r="GU91" i="2"/>
  <c r="GU92" i="2"/>
  <c r="GU93" i="2"/>
  <c r="GU94" i="2"/>
  <c r="GU95" i="2"/>
  <c r="GU96" i="2"/>
  <c r="GU97" i="2"/>
  <c r="GU98" i="2"/>
  <c r="GU99" i="2"/>
  <c r="GU100" i="2"/>
  <c r="GU101" i="2"/>
  <c r="GU102" i="2"/>
  <c r="GU103" i="2"/>
  <c r="GU104" i="2"/>
  <c r="GU105" i="2"/>
  <c r="GU106" i="2"/>
  <c r="GU107" i="2"/>
  <c r="GU108" i="2"/>
  <c r="GU109" i="2"/>
  <c r="GU110" i="2"/>
  <c r="GU111" i="2"/>
  <c r="GU112" i="2"/>
  <c r="GU113" i="2"/>
  <c r="GU114" i="2"/>
  <c r="GU115" i="2"/>
  <c r="GU116" i="2"/>
  <c r="GU117" i="2"/>
  <c r="GU118" i="2"/>
  <c r="GU119" i="2"/>
  <c r="GU120" i="2"/>
  <c r="GU121" i="2"/>
  <c r="GU122" i="2"/>
  <c r="GU123" i="2"/>
  <c r="GU124" i="2"/>
  <c r="GU125" i="2"/>
  <c r="GU126" i="2"/>
  <c r="GU127" i="2"/>
  <c r="GU128" i="2"/>
  <c r="GU129" i="2"/>
  <c r="GU130" i="2"/>
  <c r="GU131" i="2"/>
  <c r="GU132" i="2"/>
  <c r="GU133" i="2"/>
  <c r="GU134" i="2"/>
  <c r="GU135" i="2"/>
  <c r="GU136" i="2"/>
  <c r="GU137" i="2"/>
  <c r="GU138" i="2"/>
  <c r="GU139" i="2"/>
  <c r="GU140" i="2"/>
  <c r="GU141" i="2"/>
  <c r="GU142" i="2"/>
  <c r="GU143" i="2"/>
  <c r="GU144" i="2"/>
  <c r="GU145" i="2"/>
  <c r="GU146" i="2"/>
  <c r="GU147" i="2"/>
  <c r="GU148" i="2"/>
  <c r="GU149" i="2"/>
  <c r="GU150" i="2"/>
  <c r="GU151" i="2"/>
  <c r="GU152" i="2"/>
  <c r="GU153" i="2"/>
  <c r="GU154" i="2"/>
  <c r="GU155" i="2"/>
  <c r="GU156" i="2"/>
  <c r="GU157" i="2"/>
  <c r="GU158" i="2"/>
  <c r="GU159" i="2"/>
  <c r="GU160" i="2"/>
  <c r="GU161" i="2"/>
  <c r="GU162" i="2"/>
  <c r="GU163" i="2"/>
  <c r="GU164" i="2"/>
  <c r="GU165" i="2"/>
  <c r="GU166" i="2"/>
  <c r="GU167" i="2"/>
  <c r="GU168" i="2"/>
  <c r="GU169" i="2"/>
  <c r="GU170" i="2"/>
  <c r="GU171" i="2"/>
  <c r="GU172" i="2"/>
  <c r="GU173" i="2"/>
  <c r="GU174" i="2"/>
  <c r="GU175" i="2"/>
  <c r="GU176" i="2"/>
  <c r="GU177" i="2"/>
  <c r="GU178" i="2"/>
  <c r="GU179" i="2"/>
  <c r="GU180" i="2"/>
  <c r="GU181" i="2"/>
  <c r="GU182" i="2"/>
  <c r="GU183" i="2"/>
  <c r="GU184" i="2"/>
  <c r="GU185" i="2"/>
  <c r="GU186" i="2"/>
  <c r="GU187" i="2"/>
  <c r="GU188" i="2"/>
  <c r="GU189" i="2"/>
  <c r="GU190" i="2"/>
  <c r="GU191" i="2"/>
  <c r="GU192" i="2"/>
  <c r="GU193" i="2"/>
  <c r="GU194" i="2"/>
  <c r="GU195" i="2"/>
  <c r="GU196" i="2"/>
  <c r="GU197" i="2"/>
  <c r="GU198" i="2"/>
  <c r="GU199" i="2"/>
  <c r="GU200" i="2"/>
  <c r="GU201" i="2"/>
  <c r="GU202" i="2"/>
  <c r="GU203" i="2"/>
  <c r="GU204" i="2"/>
  <c r="GU205" i="2"/>
  <c r="GU206" i="2"/>
  <c r="GU207" i="2"/>
  <c r="GU208" i="2"/>
  <c r="GU209" i="2"/>
  <c r="GU210" i="2"/>
  <c r="GU211" i="2"/>
  <c r="GU212" i="2"/>
  <c r="GU213" i="2"/>
  <c r="GU214" i="2"/>
  <c r="GU215" i="2"/>
  <c r="GU216" i="2"/>
  <c r="GU217" i="2"/>
  <c r="GU218" i="2"/>
  <c r="GU219" i="2"/>
  <c r="GU220" i="2"/>
  <c r="GU221" i="2"/>
  <c r="GU222" i="2"/>
  <c r="GU223" i="2"/>
  <c r="GU224" i="2"/>
  <c r="GU225" i="2"/>
  <c r="GU226" i="2"/>
  <c r="GU227" i="2"/>
  <c r="GU228" i="2"/>
  <c r="GU229" i="2"/>
  <c r="GU230" i="2"/>
  <c r="GU231" i="2"/>
  <c r="GU232" i="2"/>
  <c r="GU233" i="2"/>
  <c r="GU234" i="2"/>
  <c r="GU235" i="2"/>
  <c r="GU236" i="2"/>
  <c r="GU237" i="2"/>
  <c r="GU238" i="2"/>
  <c r="GU239" i="2"/>
  <c r="GU240" i="2"/>
  <c r="GU241" i="2"/>
  <c r="GU242" i="2"/>
  <c r="GU243" i="2"/>
  <c r="GU244" i="2"/>
  <c r="GU245" i="2"/>
  <c r="GU246" i="2"/>
  <c r="GU247" i="2"/>
  <c r="GU248" i="2"/>
  <c r="GU249" i="2"/>
  <c r="GU250" i="2"/>
  <c r="GU251" i="2"/>
  <c r="GU252" i="2"/>
  <c r="GU253" i="2"/>
  <c r="GU254" i="2"/>
  <c r="GU255" i="2"/>
  <c r="GU256" i="2"/>
  <c r="GU257" i="2"/>
  <c r="GU258" i="2"/>
  <c r="GU259" i="2"/>
  <c r="GU260" i="2"/>
  <c r="GU261" i="2"/>
  <c r="GU262" i="2"/>
  <c r="GU263" i="2"/>
  <c r="GU264" i="2"/>
  <c r="GU265" i="2"/>
  <c r="GU266" i="2"/>
  <c r="GU267" i="2"/>
  <c r="GU268" i="2"/>
  <c r="GU269" i="2"/>
  <c r="GU270" i="2"/>
  <c r="GU271" i="2"/>
  <c r="GU272" i="2"/>
  <c r="GU273" i="2"/>
  <c r="GU274" i="2"/>
  <c r="GU275" i="2"/>
  <c r="GU276" i="2"/>
  <c r="GU277" i="2"/>
  <c r="GU278" i="2"/>
  <c r="GU279" i="2"/>
  <c r="GU280" i="2"/>
  <c r="GU281" i="2"/>
  <c r="GU282" i="2"/>
  <c r="GU283" i="2"/>
  <c r="GU284" i="2"/>
  <c r="GU285" i="2"/>
  <c r="GU286" i="2"/>
  <c r="GU287" i="2"/>
  <c r="GU288" i="2"/>
  <c r="GU289" i="2"/>
  <c r="GU290" i="2"/>
  <c r="GU291" i="2"/>
  <c r="GU292" i="2"/>
  <c r="GU293" i="2"/>
  <c r="GU294" i="2"/>
  <c r="GU295" i="2"/>
  <c r="GU296" i="2"/>
  <c r="GU297" i="2"/>
  <c r="GU298" i="2"/>
  <c r="GU299" i="2"/>
  <c r="GU300" i="2"/>
  <c r="GU301" i="2"/>
  <c r="GU302" i="2"/>
  <c r="GU303" i="2"/>
  <c r="GU304" i="2"/>
  <c r="GU305" i="2"/>
  <c r="GU306" i="2"/>
  <c r="GU307" i="2"/>
  <c r="GU308" i="2"/>
  <c r="GU309" i="2"/>
  <c r="GU310" i="2"/>
  <c r="GU311" i="2"/>
  <c r="GU312" i="2"/>
  <c r="GU313" i="2"/>
  <c r="GU314" i="2"/>
  <c r="GU315" i="2"/>
  <c r="GU316" i="2"/>
  <c r="GU317" i="2"/>
  <c r="GU318" i="2"/>
  <c r="GU319" i="2"/>
  <c r="GU320" i="2"/>
  <c r="GU321" i="2"/>
  <c r="GU322" i="2"/>
  <c r="GU323" i="2"/>
  <c r="GU324" i="2"/>
  <c r="GU325" i="2"/>
  <c r="GU326" i="2"/>
  <c r="GU327" i="2"/>
  <c r="GU328" i="2"/>
  <c r="GU329" i="2"/>
  <c r="GU330" i="2"/>
  <c r="GU331" i="2"/>
  <c r="GU332" i="2"/>
  <c r="GU333" i="2"/>
  <c r="GU334" i="2"/>
  <c r="GU335" i="2"/>
  <c r="GU336" i="2"/>
  <c r="GU337" i="2"/>
  <c r="GU338" i="2"/>
  <c r="GU339" i="2"/>
  <c r="GU340" i="2"/>
  <c r="GU341" i="2"/>
  <c r="GU342" i="2"/>
  <c r="GU343" i="2"/>
  <c r="GU344" i="2"/>
  <c r="GU345" i="2"/>
  <c r="GU346" i="2"/>
  <c r="GU347" i="2"/>
  <c r="GU348" i="2"/>
  <c r="GU349" i="2"/>
  <c r="GU350" i="2"/>
  <c r="GU351" i="2"/>
  <c r="GU352" i="2"/>
  <c r="GU353" i="2"/>
  <c r="GU354" i="2"/>
  <c r="GU355" i="2"/>
  <c r="GU356" i="2"/>
  <c r="GU357" i="2"/>
  <c r="GU358" i="2"/>
  <c r="GU359" i="2"/>
  <c r="GU360" i="2"/>
  <c r="GU361" i="2"/>
  <c r="GU362" i="2"/>
  <c r="GU363" i="2"/>
  <c r="GU364" i="2"/>
  <c r="GU365" i="2"/>
  <c r="GU366" i="2"/>
  <c r="GU367" i="2"/>
  <c r="GU368" i="2"/>
  <c r="GU369" i="2"/>
  <c r="GU370" i="2"/>
  <c r="GU371" i="2"/>
  <c r="GU372" i="2"/>
  <c r="GU373" i="2"/>
  <c r="GU374" i="2"/>
  <c r="GU375" i="2"/>
  <c r="GU376" i="2"/>
  <c r="GU377" i="2"/>
  <c r="GU378" i="2"/>
  <c r="GU379" i="2"/>
  <c r="GU380" i="2"/>
  <c r="GU381" i="2"/>
  <c r="GU382" i="2"/>
  <c r="GU383" i="2"/>
  <c r="GU384" i="2"/>
  <c r="GU385" i="2"/>
  <c r="GU386" i="2"/>
  <c r="GU387" i="2"/>
  <c r="GU388" i="2"/>
  <c r="GU389" i="2"/>
  <c r="GU390" i="2"/>
  <c r="GU391" i="2"/>
  <c r="GU392" i="2"/>
  <c r="GU393" i="2"/>
  <c r="GU394" i="2"/>
  <c r="GU395" i="2"/>
  <c r="GU396" i="2"/>
  <c r="GU397" i="2"/>
  <c r="GU398" i="2"/>
  <c r="GU399" i="2"/>
  <c r="GU400" i="2"/>
  <c r="GU401" i="2"/>
  <c r="GU402" i="2"/>
  <c r="GU403" i="2"/>
  <c r="GU404" i="2"/>
  <c r="GU405" i="2"/>
  <c r="GU406" i="2"/>
  <c r="GU407" i="2"/>
  <c r="GU408" i="2"/>
  <c r="GU409" i="2"/>
  <c r="GU410" i="2"/>
  <c r="GU411" i="2"/>
  <c r="GU412" i="2"/>
  <c r="GU413" i="2"/>
  <c r="GU414" i="2"/>
  <c r="GU415" i="2"/>
  <c r="GU416" i="2"/>
  <c r="GU417" i="2"/>
  <c r="GU418" i="2"/>
  <c r="GU419" i="2"/>
  <c r="GU420" i="2"/>
  <c r="GU421" i="2"/>
  <c r="GU422" i="2"/>
  <c r="GU423" i="2"/>
  <c r="GU424" i="2"/>
  <c r="GU425" i="2"/>
  <c r="GU426" i="2"/>
  <c r="GU427" i="2"/>
  <c r="GU428" i="2"/>
  <c r="GU429" i="2"/>
  <c r="GU430" i="2"/>
  <c r="GU431" i="2"/>
  <c r="GU435" i="2"/>
  <c r="GU436" i="2"/>
  <c r="GU437" i="2"/>
  <c r="GU438" i="2"/>
  <c r="GU439" i="2"/>
  <c r="GY5" i="2"/>
  <c r="GY6" i="2"/>
  <c r="GY7" i="2"/>
  <c r="GY8" i="2"/>
  <c r="GY9" i="2"/>
  <c r="GY10" i="2"/>
  <c r="GY11" i="2"/>
  <c r="GY12" i="2"/>
  <c r="GY13" i="2"/>
  <c r="GY14" i="2"/>
  <c r="GY15" i="2"/>
  <c r="GY16" i="2"/>
  <c r="GY17" i="2"/>
  <c r="GY18" i="2"/>
  <c r="GY19" i="2"/>
  <c r="GY20" i="2"/>
  <c r="GY21" i="2"/>
  <c r="GY22" i="2"/>
  <c r="GY23" i="2"/>
  <c r="GY24" i="2"/>
  <c r="GY25" i="2"/>
  <c r="GY26" i="2"/>
  <c r="GY27" i="2"/>
  <c r="GY28" i="2"/>
  <c r="GY29" i="2"/>
  <c r="GY30" i="2"/>
  <c r="GY31" i="2"/>
  <c r="GY32" i="2"/>
  <c r="GY33" i="2"/>
  <c r="GY34" i="2"/>
  <c r="GY35" i="2"/>
  <c r="GY36" i="2"/>
  <c r="GY37" i="2"/>
  <c r="GY38" i="2"/>
  <c r="GY39" i="2"/>
  <c r="GY40" i="2"/>
  <c r="GY41" i="2"/>
  <c r="GY42" i="2"/>
  <c r="GY43" i="2"/>
  <c r="GY44" i="2"/>
  <c r="GY45" i="2"/>
  <c r="GY46" i="2"/>
  <c r="GY47" i="2"/>
  <c r="GY48" i="2"/>
  <c r="GY49" i="2"/>
  <c r="GY50" i="2"/>
  <c r="GY51" i="2"/>
  <c r="GY52" i="2"/>
  <c r="GY53" i="2"/>
  <c r="GY54" i="2"/>
  <c r="GY55" i="2"/>
  <c r="GY56" i="2"/>
  <c r="GY57" i="2"/>
  <c r="GY58" i="2"/>
  <c r="GY59" i="2"/>
  <c r="GY60" i="2"/>
  <c r="GY61" i="2"/>
  <c r="GY62" i="2"/>
  <c r="GY63" i="2"/>
  <c r="GY64" i="2"/>
  <c r="GY65" i="2"/>
  <c r="GY66" i="2"/>
  <c r="GY67" i="2"/>
  <c r="GY68" i="2"/>
  <c r="GY69" i="2"/>
  <c r="GY70" i="2"/>
  <c r="GY71" i="2"/>
  <c r="GY72" i="2"/>
  <c r="GY73" i="2"/>
  <c r="GY74" i="2"/>
  <c r="GY75" i="2"/>
  <c r="GY76" i="2"/>
  <c r="GY77" i="2"/>
  <c r="GY78" i="2"/>
  <c r="GY79" i="2"/>
  <c r="GY80" i="2"/>
  <c r="GY81" i="2"/>
  <c r="GY82" i="2"/>
  <c r="GY83" i="2"/>
  <c r="GY84" i="2"/>
  <c r="GY85" i="2"/>
  <c r="GY86" i="2"/>
  <c r="GY87" i="2"/>
  <c r="GY88" i="2"/>
  <c r="GY89" i="2"/>
  <c r="GY90" i="2"/>
  <c r="GY91" i="2"/>
  <c r="GY92" i="2"/>
  <c r="GY93" i="2"/>
  <c r="GY94" i="2"/>
  <c r="GY95" i="2"/>
  <c r="GY96" i="2"/>
  <c r="GY97" i="2"/>
  <c r="GY98" i="2"/>
  <c r="GY99" i="2"/>
  <c r="GY100" i="2"/>
  <c r="GY101" i="2"/>
  <c r="GY102" i="2"/>
  <c r="GY103" i="2"/>
  <c r="GY104" i="2"/>
  <c r="GY105" i="2"/>
  <c r="GY106" i="2"/>
  <c r="GY107" i="2"/>
  <c r="GY108" i="2"/>
  <c r="GY109" i="2"/>
  <c r="GY110" i="2"/>
  <c r="GY111" i="2"/>
  <c r="GY112" i="2"/>
  <c r="GY113" i="2"/>
  <c r="GY114" i="2"/>
  <c r="GY115" i="2"/>
  <c r="GY116" i="2"/>
  <c r="GY117" i="2"/>
  <c r="GY118" i="2"/>
  <c r="GY119" i="2"/>
  <c r="GY120" i="2"/>
  <c r="GY121" i="2"/>
  <c r="GY122" i="2"/>
  <c r="GY123" i="2"/>
  <c r="GY124" i="2"/>
  <c r="GY125" i="2"/>
  <c r="GY126" i="2"/>
  <c r="GY127" i="2"/>
  <c r="GY128" i="2"/>
  <c r="GY129" i="2"/>
  <c r="GY130" i="2"/>
  <c r="GY131" i="2"/>
  <c r="GY132" i="2"/>
  <c r="GY133" i="2"/>
  <c r="GY134" i="2"/>
  <c r="GY135" i="2"/>
  <c r="GY136" i="2"/>
  <c r="GY137" i="2"/>
  <c r="GY138" i="2"/>
  <c r="GY139" i="2"/>
  <c r="GY140" i="2"/>
  <c r="GY141" i="2"/>
  <c r="GY142" i="2"/>
  <c r="GY143" i="2"/>
  <c r="GY144" i="2"/>
  <c r="GY145" i="2"/>
  <c r="GY146" i="2"/>
  <c r="GY147" i="2"/>
  <c r="GY148" i="2"/>
  <c r="GY149" i="2"/>
  <c r="GY150" i="2"/>
  <c r="GY151" i="2"/>
  <c r="GY152" i="2"/>
  <c r="GY153" i="2"/>
  <c r="GY154" i="2"/>
  <c r="GY155" i="2"/>
  <c r="GY156" i="2"/>
  <c r="GY157" i="2"/>
  <c r="GY158" i="2"/>
  <c r="GY159" i="2"/>
  <c r="GY160" i="2"/>
  <c r="GY161" i="2"/>
  <c r="GY162" i="2"/>
  <c r="GY163" i="2"/>
  <c r="GY164" i="2"/>
  <c r="GY165" i="2"/>
  <c r="GY166" i="2"/>
  <c r="GY167" i="2"/>
  <c r="GY168" i="2"/>
  <c r="GY169" i="2"/>
  <c r="GY170" i="2"/>
  <c r="GY171" i="2"/>
  <c r="GY172" i="2"/>
  <c r="GY173" i="2"/>
  <c r="GY174" i="2"/>
  <c r="GY175" i="2"/>
  <c r="GY176" i="2"/>
  <c r="GY177" i="2"/>
  <c r="GY178" i="2"/>
  <c r="GY179" i="2"/>
  <c r="GY180" i="2"/>
  <c r="GY181" i="2"/>
  <c r="GY182" i="2"/>
  <c r="GY183" i="2"/>
  <c r="GY184" i="2"/>
  <c r="GY185" i="2"/>
  <c r="GY186" i="2"/>
  <c r="GY187" i="2"/>
  <c r="GY188" i="2"/>
  <c r="GY189" i="2"/>
  <c r="GY190" i="2"/>
  <c r="GY191" i="2"/>
  <c r="GY192" i="2"/>
  <c r="GY193" i="2"/>
  <c r="GY194" i="2"/>
  <c r="GY195" i="2"/>
  <c r="GY196" i="2"/>
  <c r="GY197" i="2"/>
  <c r="GY198" i="2"/>
  <c r="GY199" i="2"/>
  <c r="GY200" i="2"/>
  <c r="GY201" i="2"/>
  <c r="GY202" i="2"/>
  <c r="GY203" i="2"/>
  <c r="GY204" i="2"/>
  <c r="GY205" i="2"/>
  <c r="GY206" i="2"/>
  <c r="GY207" i="2"/>
  <c r="GY208" i="2"/>
  <c r="GY209" i="2"/>
  <c r="GY210" i="2"/>
  <c r="GY211" i="2"/>
  <c r="GY212" i="2"/>
  <c r="GY213" i="2"/>
  <c r="GY214" i="2"/>
  <c r="GY215" i="2"/>
  <c r="GY216" i="2"/>
  <c r="GY217" i="2"/>
  <c r="GY218" i="2"/>
  <c r="GY219" i="2"/>
  <c r="GY220" i="2"/>
  <c r="GY221" i="2"/>
  <c r="GY222" i="2"/>
  <c r="GY223" i="2"/>
  <c r="GY224" i="2"/>
  <c r="GY225" i="2"/>
  <c r="GY226" i="2"/>
  <c r="GY227" i="2"/>
  <c r="GY228" i="2"/>
  <c r="GY229" i="2"/>
  <c r="GY230" i="2"/>
  <c r="GY231" i="2"/>
  <c r="GY232" i="2"/>
  <c r="GY233" i="2"/>
  <c r="GY234" i="2"/>
  <c r="GY235" i="2"/>
  <c r="GY236" i="2"/>
  <c r="GY237" i="2"/>
  <c r="GY238" i="2"/>
  <c r="GY239" i="2"/>
  <c r="GY240" i="2"/>
  <c r="GY241" i="2"/>
  <c r="GY242" i="2"/>
  <c r="GY243" i="2"/>
  <c r="GY244" i="2"/>
  <c r="GY245" i="2"/>
  <c r="GY246" i="2"/>
  <c r="GY247" i="2"/>
  <c r="GY248" i="2"/>
  <c r="GY249" i="2"/>
  <c r="GY250" i="2"/>
  <c r="GY251" i="2"/>
  <c r="GY252" i="2"/>
  <c r="GY253" i="2"/>
  <c r="GY254" i="2"/>
  <c r="GY255" i="2"/>
  <c r="GY256" i="2"/>
  <c r="GY257" i="2"/>
  <c r="GY258" i="2"/>
  <c r="GY259" i="2"/>
  <c r="GY260" i="2"/>
  <c r="GY261" i="2"/>
  <c r="GY262" i="2"/>
  <c r="GY263" i="2"/>
  <c r="GY264" i="2"/>
  <c r="GY265" i="2"/>
  <c r="GY266" i="2"/>
  <c r="GY267" i="2"/>
  <c r="GY268" i="2"/>
  <c r="GY269" i="2"/>
  <c r="GY270" i="2"/>
  <c r="GY271" i="2"/>
  <c r="GY272" i="2"/>
  <c r="GY273" i="2"/>
  <c r="GY274" i="2"/>
  <c r="GY275" i="2"/>
  <c r="GY276" i="2"/>
  <c r="GY277" i="2"/>
  <c r="GY278" i="2"/>
  <c r="GY279" i="2"/>
  <c r="GY280" i="2"/>
  <c r="GY281" i="2"/>
  <c r="GY282" i="2"/>
  <c r="GY283" i="2"/>
  <c r="GY284" i="2"/>
  <c r="GY285" i="2"/>
  <c r="GY286" i="2"/>
  <c r="GY287" i="2"/>
  <c r="GY288" i="2"/>
  <c r="GY289" i="2"/>
  <c r="GY290" i="2"/>
  <c r="GY291" i="2"/>
  <c r="GY292" i="2"/>
  <c r="GY293" i="2"/>
  <c r="GY294" i="2"/>
  <c r="GY295" i="2"/>
  <c r="GY296" i="2"/>
  <c r="GY297" i="2"/>
  <c r="GY298" i="2"/>
  <c r="GY299" i="2"/>
  <c r="GY300" i="2"/>
  <c r="GY301" i="2"/>
  <c r="GY302" i="2"/>
  <c r="GY303" i="2"/>
  <c r="GY304" i="2"/>
  <c r="GY305" i="2"/>
  <c r="GY306" i="2"/>
  <c r="GY307" i="2"/>
  <c r="GY308" i="2"/>
  <c r="GY309" i="2"/>
  <c r="GY310" i="2"/>
  <c r="GY311" i="2"/>
  <c r="GY312" i="2"/>
  <c r="GY313" i="2"/>
  <c r="GY314" i="2"/>
  <c r="GY315" i="2"/>
  <c r="GY316" i="2"/>
  <c r="GY317" i="2"/>
  <c r="GY318" i="2"/>
  <c r="GY319" i="2"/>
  <c r="GY320" i="2"/>
  <c r="GY321" i="2"/>
  <c r="GY322" i="2"/>
  <c r="GY323" i="2"/>
  <c r="GY324" i="2"/>
  <c r="GY325" i="2"/>
  <c r="GY326" i="2"/>
  <c r="GY327" i="2"/>
  <c r="GY328" i="2"/>
  <c r="GY329" i="2"/>
  <c r="GY330" i="2"/>
  <c r="GY331" i="2"/>
  <c r="GY332" i="2"/>
  <c r="GY333" i="2"/>
  <c r="GY334" i="2"/>
  <c r="GY335" i="2"/>
  <c r="GY336" i="2"/>
  <c r="GY337" i="2"/>
  <c r="GY338" i="2"/>
  <c r="GY339" i="2"/>
  <c r="GY340" i="2"/>
  <c r="GY341" i="2"/>
  <c r="GY342" i="2"/>
  <c r="GY343" i="2"/>
  <c r="GY344" i="2"/>
  <c r="GY345" i="2"/>
  <c r="GY346" i="2"/>
  <c r="GY347" i="2"/>
  <c r="GY348" i="2"/>
  <c r="GY349" i="2"/>
  <c r="GY350" i="2"/>
  <c r="GY351" i="2"/>
  <c r="GY352" i="2"/>
  <c r="GY353" i="2"/>
  <c r="GY354" i="2"/>
  <c r="GY355" i="2"/>
  <c r="GY356" i="2"/>
  <c r="GY357" i="2"/>
  <c r="GY358" i="2"/>
  <c r="GY359" i="2"/>
  <c r="GY360" i="2"/>
  <c r="GY361" i="2"/>
  <c r="GY362" i="2"/>
  <c r="GY363" i="2"/>
  <c r="GY364" i="2"/>
  <c r="GY365" i="2"/>
  <c r="GY366" i="2"/>
  <c r="GY367" i="2"/>
  <c r="GY368" i="2"/>
  <c r="GY369" i="2"/>
  <c r="GY370" i="2"/>
  <c r="GY371" i="2"/>
  <c r="GY372" i="2"/>
  <c r="GY373" i="2"/>
  <c r="GY374" i="2"/>
  <c r="GY375" i="2"/>
  <c r="GY376" i="2"/>
  <c r="GY377" i="2"/>
  <c r="GY378" i="2"/>
  <c r="GY379" i="2"/>
  <c r="GY380" i="2"/>
  <c r="GY381" i="2"/>
  <c r="GY382" i="2"/>
  <c r="GY383" i="2"/>
  <c r="GY384" i="2"/>
  <c r="GY385" i="2"/>
  <c r="GY386" i="2"/>
  <c r="GY387" i="2"/>
  <c r="GY388" i="2"/>
  <c r="GY389" i="2"/>
  <c r="GY390" i="2"/>
  <c r="GY391" i="2"/>
  <c r="GY392" i="2"/>
  <c r="GY393" i="2"/>
  <c r="GY394" i="2"/>
  <c r="GY395" i="2"/>
  <c r="GY396" i="2"/>
  <c r="GY397" i="2"/>
  <c r="GY398" i="2"/>
  <c r="GY399" i="2"/>
  <c r="GY400" i="2"/>
  <c r="GY401" i="2"/>
  <c r="GY402" i="2"/>
  <c r="GY403" i="2"/>
  <c r="GY404" i="2"/>
  <c r="GY405" i="2"/>
  <c r="GY406" i="2"/>
  <c r="GY407" i="2"/>
  <c r="GY408" i="2"/>
  <c r="GY409" i="2"/>
  <c r="GY410" i="2"/>
  <c r="GY411" i="2"/>
  <c r="GY412" i="2"/>
  <c r="GY413" i="2"/>
  <c r="GY414" i="2"/>
  <c r="GY415" i="2"/>
  <c r="GY416" i="2"/>
  <c r="GY417" i="2"/>
  <c r="GY418" i="2"/>
  <c r="GY419" i="2"/>
  <c r="GY420" i="2"/>
  <c r="GY421" i="2"/>
  <c r="GY422" i="2"/>
  <c r="GY423" i="2"/>
  <c r="GY424" i="2"/>
  <c r="GY425" i="2"/>
  <c r="GY426" i="2"/>
  <c r="GY427" i="2"/>
  <c r="GY428" i="2"/>
  <c r="GY429" i="2"/>
  <c r="GY430" i="2"/>
  <c r="GY431" i="2"/>
  <c r="GY435" i="2"/>
  <c r="GY436" i="2"/>
  <c r="GY437" i="2"/>
  <c r="GY438" i="2"/>
  <c r="GY439" i="2"/>
  <c r="GQ5" i="2"/>
  <c r="GQ6" i="2"/>
  <c r="GQ7" i="2"/>
  <c r="GQ8" i="2"/>
  <c r="GQ9" i="2"/>
  <c r="GQ10" i="2"/>
  <c r="GQ11" i="2"/>
  <c r="GQ12" i="2"/>
  <c r="GQ13" i="2"/>
  <c r="GQ14" i="2"/>
  <c r="GQ15" i="2"/>
  <c r="GQ16" i="2"/>
  <c r="GQ17" i="2"/>
  <c r="GQ18" i="2"/>
  <c r="GQ19" i="2"/>
  <c r="GQ20" i="2"/>
  <c r="GQ21" i="2"/>
  <c r="GQ22" i="2"/>
  <c r="GQ23" i="2"/>
  <c r="GQ24" i="2"/>
  <c r="GQ25" i="2"/>
  <c r="GQ26" i="2"/>
  <c r="GQ27" i="2"/>
  <c r="GQ28" i="2"/>
  <c r="GQ29" i="2"/>
  <c r="GQ30" i="2"/>
  <c r="GQ31" i="2"/>
  <c r="GQ32" i="2"/>
  <c r="GQ33" i="2"/>
  <c r="GQ34" i="2"/>
  <c r="GQ35" i="2"/>
  <c r="GQ36" i="2"/>
  <c r="GQ37" i="2"/>
  <c r="GQ38" i="2"/>
  <c r="GQ39" i="2"/>
  <c r="GQ40" i="2"/>
  <c r="GQ41" i="2"/>
  <c r="GQ42" i="2"/>
  <c r="GQ43" i="2"/>
  <c r="GQ44" i="2"/>
  <c r="GQ45" i="2"/>
  <c r="GQ46" i="2"/>
  <c r="GQ47" i="2"/>
  <c r="GQ48" i="2"/>
  <c r="GQ49" i="2"/>
  <c r="GQ50" i="2"/>
  <c r="GQ51" i="2"/>
  <c r="GQ52" i="2"/>
  <c r="GQ53" i="2"/>
  <c r="GQ54" i="2"/>
  <c r="GQ55" i="2"/>
  <c r="GQ56" i="2"/>
  <c r="GQ57" i="2"/>
  <c r="GQ58" i="2"/>
  <c r="GQ59" i="2"/>
  <c r="GQ60" i="2"/>
  <c r="GQ61" i="2"/>
  <c r="GQ62" i="2"/>
  <c r="GQ63" i="2"/>
  <c r="GQ64" i="2"/>
  <c r="GQ65" i="2"/>
  <c r="GQ66" i="2"/>
  <c r="GQ67" i="2"/>
  <c r="GQ68" i="2"/>
  <c r="GQ69" i="2"/>
  <c r="GQ70" i="2"/>
  <c r="GQ71" i="2"/>
  <c r="GQ72" i="2"/>
  <c r="GQ73" i="2"/>
  <c r="GQ74" i="2"/>
  <c r="GQ75" i="2"/>
  <c r="GQ76" i="2"/>
  <c r="GQ77" i="2"/>
  <c r="GQ78" i="2"/>
  <c r="GQ79" i="2"/>
  <c r="GQ80" i="2"/>
  <c r="GQ81" i="2"/>
  <c r="GQ82" i="2"/>
  <c r="GQ83" i="2"/>
  <c r="GQ84" i="2"/>
  <c r="GQ85" i="2"/>
  <c r="GQ86" i="2"/>
  <c r="GQ87" i="2"/>
  <c r="GQ88" i="2"/>
  <c r="GQ89" i="2"/>
  <c r="GQ90" i="2"/>
  <c r="GQ91" i="2"/>
  <c r="GQ92" i="2"/>
  <c r="GQ93" i="2"/>
  <c r="GQ94" i="2"/>
  <c r="GQ95" i="2"/>
  <c r="GQ96" i="2"/>
  <c r="GQ97" i="2"/>
  <c r="GQ98" i="2"/>
  <c r="GQ99" i="2"/>
  <c r="GQ100" i="2"/>
  <c r="GQ101" i="2"/>
  <c r="GQ102" i="2"/>
  <c r="GQ103" i="2"/>
  <c r="GQ104" i="2"/>
  <c r="GQ105" i="2"/>
  <c r="GQ106" i="2"/>
  <c r="GQ107" i="2"/>
  <c r="GQ108" i="2"/>
  <c r="GQ109" i="2"/>
  <c r="GQ110" i="2"/>
  <c r="GQ111" i="2"/>
  <c r="GQ112" i="2"/>
  <c r="GQ113" i="2"/>
  <c r="GQ114" i="2"/>
  <c r="GQ115" i="2"/>
  <c r="GQ116" i="2"/>
  <c r="GQ117" i="2"/>
  <c r="GQ118" i="2"/>
  <c r="GQ119" i="2"/>
  <c r="GQ120" i="2"/>
  <c r="GQ121" i="2"/>
  <c r="GQ122" i="2"/>
  <c r="GQ123" i="2"/>
  <c r="GQ124" i="2"/>
  <c r="GQ125" i="2"/>
  <c r="GQ126" i="2"/>
  <c r="GQ127" i="2"/>
  <c r="GQ128" i="2"/>
  <c r="GQ129" i="2"/>
  <c r="GQ130" i="2"/>
  <c r="GQ131" i="2"/>
  <c r="GQ132" i="2"/>
  <c r="GQ133" i="2"/>
  <c r="GQ134" i="2"/>
  <c r="GQ135" i="2"/>
  <c r="GQ136" i="2"/>
  <c r="GQ137" i="2"/>
  <c r="GQ138" i="2"/>
  <c r="GQ139" i="2"/>
  <c r="GQ140" i="2"/>
  <c r="GQ141" i="2"/>
  <c r="GQ142" i="2"/>
  <c r="GQ143" i="2"/>
  <c r="GQ144" i="2"/>
  <c r="GQ145" i="2"/>
  <c r="GQ146" i="2"/>
  <c r="GQ147" i="2"/>
  <c r="GQ148" i="2"/>
  <c r="GQ149" i="2"/>
  <c r="GQ150" i="2"/>
  <c r="GQ151" i="2"/>
  <c r="GQ152" i="2"/>
  <c r="GQ153" i="2"/>
  <c r="GQ154" i="2"/>
  <c r="GQ155" i="2"/>
  <c r="GQ156" i="2"/>
  <c r="GQ157" i="2"/>
  <c r="GQ158" i="2"/>
  <c r="GQ159" i="2"/>
  <c r="GQ160" i="2"/>
  <c r="GQ161" i="2"/>
  <c r="GQ162" i="2"/>
  <c r="GQ163" i="2"/>
  <c r="GQ164" i="2"/>
  <c r="GQ165" i="2"/>
  <c r="GQ166" i="2"/>
  <c r="GQ167" i="2"/>
  <c r="GQ168" i="2"/>
  <c r="GQ169" i="2"/>
  <c r="GQ170" i="2"/>
  <c r="GQ171" i="2"/>
  <c r="GQ172" i="2"/>
  <c r="GQ173" i="2"/>
  <c r="GQ174" i="2"/>
  <c r="GQ175" i="2"/>
  <c r="GQ176" i="2"/>
  <c r="GQ177" i="2"/>
  <c r="GQ178" i="2"/>
  <c r="GQ179" i="2"/>
  <c r="GQ180" i="2"/>
  <c r="GQ181" i="2"/>
  <c r="GQ182" i="2"/>
  <c r="GQ183" i="2"/>
  <c r="GQ184" i="2"/>
  <c r="GQ185" i="2"/>
  <c r="GQ186" i="2"/>
  <c r="GQ187" i="2"/>
  <c r="GQ188" i="2"/>
  <c r="GQ189" i="2"/>
  <c r="GQ190" i="2"/>
  <c r="GQ191" i="2"/>
  <c r="GQ192" i="2"/>
  <c r="GQ193" i="2"/>
  <c r="GQ194" i="2"/>
  <c r="GQ195" i="2"/>
  <c r="GQ196" i="2"/>
  <c r="GQ197" i="2"/>
  <c r="GQ198" i="2"/>
  <c r="GQ199" i="2"/>
  <c r="GQ200" i="2"/>
  <c r="GQ201" i="2"/>
  <c r="GQ202" i="2"/>
  <c r="GQ203" i="2"/>
  <c r="GQ204" i="2"/>
  <c r="GQ205" i="2"/>
  <c r="GQ206" i="2"/>
  <c r="GQ207" i="2"/>
  <c r="GQ208" i="2"/>
  <c r="GQ209" i="2"/>
  <c r="GQ210" i="2"/>
  <c r="GQ211" i="2"/>
  <c r="GQ212" i="2"/>
  <c r="GQ213" i="2"/>
  <c r="GQ214" i="2"/>
  <c r="GQ215" i="2"/>
  <c r="GQ216" i="2"/>
  <c r="GQ217" i="2"/>
  <c r="GQ218" i="2"/>
  <c r="GQ219" i="2"/>
  <c r="GQ220" i="2"/>
  <c r="GQ221" i="2"/>
  <c r="GQ222" i="2"/>
  <c r="GQ223" i="2"/>
  <c r="GQ224" i="2"/>
  <c r="GQ225" i="2"/>
  <c r="GQ226" i="2"/>
  <c r="GQ227" i="2"/>
  <c r="GQ228" i="2"/>
  <c r="GQ229" i="2"/>
  <c r="GQ230" i="2"/>
  <c r="GQ231" i="2"/>
  <c r="GQ232" i="2"/>
  <c r="GQ233" i="2"/>
  <c r="GQ234" i="2"/>
  <c r="GQ235" i="2"/>
  <c r="GQ236" i="2"/>
  <c r="GQ237" i="2"/>
  <c r="GQ238" i="2"/>
  <c r="GQ239" i="2"/>
  <c r="GQ240" i="2"/>
  <c r="GQ241" i="2"/>
  <c r="GQ242" i="2"/>
  <c r="GQ243" i="2"/>
  <c r="GQ244" i="2"/>
  <c r="GQ245" i="2"/>
  <c r="GQ246" i="2"/>
  <c r="GQ247" i="2"/>
  <c r="GQ248" i="2"/>
  <c r="GQ249" i="2"/>
  <c r="GQ250" i="2"/>
  <c r="GQ251" i="2"/>
  <c r="GQ252" i="2"/>
  <c r="GQ253" i="2"/>
  <c r="GQ254" i="2"/>
  <c r="GQ255" i="2"/>
  <c r="GQ256" i="2"/>
  <c r="GQ257" i="2"/>
  <c r="GQ258" i="2"/>
  <c r="GQ259" i="2"/>
  <c r="GQ260" i="2"/>
  <c r="GQ261" i="2"/>
  <c r="GQ262" i="2"/>
  <c r="GQ263" i="2"/>
  <c r="GQ264" i="2"/>
  <c r="GQ265" i="2"/>
  <c r="GQ266" i="2"/>
  <c r="GQ267" i="2"/>
  <c r="GQ268" i="2"/>
  <c r="GQ269" i="2"/>
  <c r="GQ270" i="2"/>
  <c r="GQ271" i="2"/>
  <c r="GQ272" i="2"/>
  <c r="GQ273" i="2"/>
  <c r="GQ274" i="2"/>
  <c r="GQ275" i="2"/>
  <c r="GQ276" i="2"/>
  <c r="GQ277" i="2"/>
  <c r="GQ278" i="2"/>
  <c r="GQ279" i="2"/>
  <c r="GQ280" i="2"/>
  <c r="GQ281" i="2"/>
  <c r="GQ282" i="2"/>
  <c r="GQ283" i="2"/>
  <c r="GQ284" i="2"/>
  <c r="GQ285" i="2"/>
  <c r="GQ286" i="2"/>
  <c r="GQ287" i="2"/>
  <c r="GQ288" i="2"/>
  <c r="GQ289" i="2"/>
  <c r="GQ290" i="2"/>
  <c r="GQ291" i="2"/>
  <c r="GQ292" i="2"/>
  <c r="GQ293" i="2"/>
  <c r="GQ294" i="2"/>
  <c r="GQ295" i="2"/>
  <c r="GQ296" i="2"/>
  <c r="GQ297" i="2"/>
  <c r="GQ298" i="2"/>
  <c r="GQ299" i="2"/>
  <c r="GQ300" i="2"/>
  <c r="GQ301" i="2"/>
  <c r="GQ302" i="2"/>
  <c r="GQ303" i="2"/>
  <c r="GQ304" i="2"/>
  <c r="GQ305" i="2"/>
  <c r="GQ306" i="2"/>
  <c r="GQ307" i="2"/>
  <c r="GQ308" i="2"/>
  <c r="GQ309" i="2"/>
  <c r="GQ310" i="2"/>
  <c r="GQ311" i="2"/>
  <c r="GQ312" i="2"/>
  <c r="GQ313" i="2"/>
  <c r="GQ314" i="2"/>
  <c r="GQ315" i="2"/>
  <c r="GQ316" i="2"/>
  <c r="GQ317" i="2"/>
  <c r="GQ318" i="2"/>
  <c r="GQ319" i="2"/>
  <c r="GQ320" i="2"/>
  <c r="GQ321" i="2"/>
  <c r="GQ322" i="2"/>
  <c r="GQ323" i="2"/>
  <c r="GQ324" i="2"/>
  <c r="GQ325" i="2"/>
  <c r="GQ326" i="2"/>
  <c r="GQ327" i="2"/>
  <c r="GQ328" i="2"/>
  <c r="GQ329" i="2"/>
  <c r="GQ330" i="2"/>
  <c r="GQ331" i="2"/>
  <c r="GQ332" i="2"/>
  <c r="GQ333" i="2"/>
  <c r="GQ334" i="2"/>
  <c r="GQ335" i="2"/>
  <c r="GQ336" i="2"/>
  <c r="GQ337" i="2"/>
  <c r="GQ338" i="2"/>
  <c r="GQ339" i="2"/>
  <c r="GQ340" i="2"/>
  <c r="GQ341" i="2"/>
  <c r="GQ342" i="2"/>
  <c r="GQ343" i="2"/>
  <c r="GQ344" i="2"/>
  <c r="GQ345" i="2"/>
  <c r="GQ346" i="2"/>
  <c r="GQ347" i="2"/>
  <c r="GQ348" i="2"/>
  <c r="GQ349" i="2"/>
  <c r="GQ350" i="2"/>
  <c r="GQ351" i="2"/>
  <c r="GQ352" i="2"/>
  <c r="GQ353" i="2"/>
  <c r="GQ354" i="2"/>
  <c r="GQ355" i="2"/>
  <c r="GQ356" i="2"/>
  <c r="GQ357" i="2"/>
  <c r="GQ358" i="2"/>
  <c r="GQ359" i="2"/>
  <c r="GQ360" i="2"/>
  <c r="GQ361" i="2"/>
  <c r="GQ362" i="2"/>
  <c r="GQ363" i="2"/>
  <c r="GQ364" i="2"/>
  <c r="GQ365" i="2"/>
  <c r="GQ366" i="2"/>
  <c r="GQ367" i="2"/>
  <c r="GQ368" i="2"/>
  <c r="GQ369" i="2"/>
  <c r="GQ370" i="2"/>
  <c r="GQ371" i="2"/>
  <c r="GQ372" i="2"/>
  <c r="GQ373" i="2"/>
  <c r="GQ374" i="2"/>
  <c r="GQ375" i="2"/>
  <c r="GQ376" i="2"/>
  <c r="GQ377" i="2"/>
  <c r="GQ378" i="2"/>
  <c r="GQ379" i="2"/>
  <c r="GQ380" i="2"/>
  <c r="GQ381" i="2"/>
  <c r="GQ382" i="2"/>
  <c r="GQ383" i="2"/>
  <c r="GQ384" i="2"/>
  <c r="GQ385" i="2"/>
  <c r="GQ386" i="2"/>
  <c r="GQ387" i="2"/>
  <c r="GQ388" i="2"/>
  <c r="GQ389" i="2"/>
  <c r="GQ390" i="2"/>
  <c r="GQ391" i="2"/>
  <c r="GQ392" i="2"/>
  <c r="GQ393" i="2"/>
  <c r="GQ394" i="2"/>
  <c r="GQ395" i="2"/>
  <c r="GQ396" i="2"/>
  <c r="GQ397" i="2"/>
  <c r="GQ398" i="2"/>
  <c r="GQ399" i="2"/>
  <c r="GQ400" i="2"/>
  <c r="GQ401" i="2"/>
  <c r="GQ402" i="2"/>
  <c r="GQ403" i="2"/>
  <c r="GQ404" i="2"/>
  <c r="GQ405" i="2"/>
  <c r="GQ406" i="2"/>
  <c r="GQ407" i="2"/>
  <c r="GQ408" i="2"/>
  <c r="GQ409" i="2"/>
  <c r="GQ410" i="2"/>
  <c r="GQ411" i="2"/>
  <c r="GQ412" i="2"/>
  <c r="GQ413" i="2"/>
  <c r="GQ414" i="2"/>
  <c r="GQ415" i="2"/>
  <c r="GQ416" i="2"/>
  <c r="GQ417" i="2"/>
  <c r="GQ418" i="2"/>
  <c r="GQ419" i="2"/>
  <c r="GQ420" i="2"/>
  <c r="GQ421" i="2"/>
  <c r="GQ422" i="2"/>
  <c r="GQ423" i="2"/>
  <c r="GQ424" i="2"/>
  <c r="GQ425" i="2"/>
  <c r="GQ426" i="2"/>
  <c r="GQ427" i="2"/>
  <c r="GQ428" i="2"/>
  <c r="GQ429" i="2"/>
  <c r="GQ430" i="2"/>
  <c r="GQ431" i="2"/>
  <c r="GQ435" i="2"/>
  <c r="GQ436" i="2"/>
  <c r="GQ437" i="2"/>
  <c r="GQ438" i="2"/>
  <c r="GQ439" i="2"/>
  <c r="GK5" i="2"/>
  <c r="GK6" i="2"/>
  <c r="GK7" i="2"/>
  <c r="GK8" i="2"/>
  <c r="GK9" i="2"/>
  <c r="GK10" i="2"/>
  <c r="GK11" i="2"/>
  <c r="GK12" i="2"/>
  <c r="GK13" i="2"/>
  <c r="GK14" i="2"/>
  <c r="GK15" i="2"/>
  <c r="GK16" i="2"/>
  <c r="GK17" i="2"/>
  <c r="GK18" i="2"/>
  <c r="GK19" i="2"/>
  <c r="GK20" i="2"/>
  <c r="GK21" i="2"/>
  <c r="GK22" i="2"/>
  <c r="GK23" i="2"/>
  <c r="GK24" i="2"/>
  <c r="GK25" i="2"/>
  <c r="GK26" i="2"/>
  <c r="GK27" i="2"/>
  <c r="GK28" i="2"/>
  <c r="GK29" i="2"/>
  <c r="GK30" i="2"/>
  <c r="GK31" i="2"/>
  <c r="GK32" i="2"/>
  <c r="GK33" i="2"/>
  <c r="GK34" i="2"/>
  <c r="GK35" i="2"/>
  <c r="GK36" i="2"/>
  <c r="GK37" i="2"/>
  <c r="GK38" i="2"/>
  <c r="GK39" i="2"/>
  <c r="GK40" i="2"/>
  <c r="GK41" i="2"/>
  <c r="GK42" i="2"/>
  <c r="GK43" i="2"/>
  <c r="GK44" i="2"/>
  <c r="GK45" i="2"/>
  <c r="GK46" i="2"/>
  <c r="GK47" i="2"/>
  <c r="GK48" i="2"/>
  <c r="GK49" i="2"/>
  <c r="GK50" i="2"/>
  <c r="GK51" i="2"/>
  <c r="GK52" i="2"/>
  <c r="GK53" i="2"/>
  <c r="GK54" i="2"/>
  <c r="GK55" i="2"/>
  <c r="GK56" i="2"/>
  <c r="GK57" i="2"/>
  <c r="GK58" i="2"/>
  <c r="GK59" i="2"/>
  <c r="GK60" i="2"/>
  <c r="GK61" i="2"/>
  <c r="GK62" i="2"/>
  <c r="GK63" i="2"/>
  <c r="GK64" i="2"/>
  <c r="GK65" i="2"/>
  <c r="GK66" i="2"/>
  <c r="GK67" i="2"/>
  <c r="GK68" i="2"/>
  <c r="GK69" i="2"/>
  <c r="GK70" i="2"/>
  <c r="GK71" i="2"/>
  <c r="GK72" i="2"/>
  <c r="GK73" i="2"/>
  <c r="GK74" i="2"/>
  <c r="GK75" i="2"/>
  <c r="GK76" i="2"/>
  <c r="GK77" i="2"/>
  <c r="GK78" i="2"/>
  <c r="GK79" i="2"/>
  <c r="GK80" i="2"/>
  <c r="GK81" i="2"/>
  <c r="GK82" i="2"/>
  <c r="GK83" i="2"/>
  <c r="GK84" i="2"/>
  <c r="GK85" i="2"/>
  <c r="GK86" i="2"/>
  <c r="GK87" i="2"/>
  <c r="GK88" i="2"/>
  <c r="GK89" i="2"/>
  <c r="GK90" i="2"/>
  <c r="GK91" i="2"/>
  <c r="GK92" i="2"/>
  <c r="GK93" i="2"/>
  <c r="GK94" i="2"/>
  <c r="GK95" i="2"/>
  <c r="GK96" i="2"/>
  <c r="GK97" i="2"/>
  <c r="GK98" i="2"/>
  <c r="GK99" i="2"/>
  <c r="GK100" i="2"/>
  <c r="GK101" i="2"/>
  <c r="GK102" i="2"/>
  <c r="GK103" i="2"/>
  <c r="GK104" i="2"/>
  <c r="GK105" i="2"/>
  <c r="GK106" i="2"/>
  <c r="GK107" i="2"/>
  <c r="GK108" i="2"/>
  <c r="GK109" i="2"/>
  <c r="GK110" i="2"/>
  <c r="GK111" i="2"/>
  <c r="GK112" i="2"/>
  <c r="GK113" i="2"/>
  <c r="GK114" i="2"/>
  <c r="GK115" i="2"/>
  <c r="GK116" i="2"/>
  <c r="GK117" i="2"/>
  <c r="GK118" i="2"/>
  <c r="GK119" i="2"/>
  <c r="GK120" i="2"/>
  <c r="GK121" i="2"/>
  <c r="GK122" i="2"/>
  <c r="GK123" i="2"/>
  <c r="GK124" i="2"/>
  <c r="GK125" i="2"/>
  <c r="GK126" i="2"/>
  <c r="GK127" i="2"/>
  <c r="GK128" i="2"/>
  <c r="GK129" i="2"/>
  <c r="GK130" i="2"/>
  <c r="GK131" i="2"/>
  <c r="GK132" i="2"/>
  <c r="GK133" i="2"/>
  <c r="GK134" i="2"/>
  <c r="GK135" i="2"/>
  <c r="GK136" i="2"/>
  <c r="GK137" i="2"/>
  <c r="GK138" i="2"/>
  <c r="GK139" i="2"/>
  <c r="GK140" i="2"/>
  <c r="GK141" i="2"/>
  <c r="GK142" i="2"/>
  <c r="GK143" i="2"/>
  <c r="GK144" i="2"/>
  <c r="GK145" i="2"/>
  <c r="GK146" i="2"/>
  <c r="GK147" i="2"/>
  <c r="GK148" i="2"/>
  <c r="GK149" i="2"/>
  <c r="GK150" i="2"/>
  <c r="GK151" i="2"/>
  <c r="GK152" i="2"/>
  <c r="GK153" i="2"/>
  <c r="GK154" i="2"/>
  <c r="GK155" i="2"/>
  <c r="GK156" i="2"/>
  <c r="GK157" i="2"/>
  <c r="GK158" i="2"/>
  <c r="GK159" i="2"/>
  <c r="GK160" i="2"/>
  <c r="GK161" i="2"/>
  <c r="GK162" i="2"/>
  <c r="GK163" i="2"/>
  <c r="GK164" i="2"/>
  <c r="GK165" i="2"/>
  <c r="GK166" i="2"/>
  <c r="GK167" i="2"/>
  <c r="GK168" i="2"/>
  <c r="GK169" i="2"/>
  <c r="GK170" i="2"/>
  <c r="GK171" i="2"/>
  <c r="GK172" i="2"/>
  <c r="GK173" i="2"/>
  <c r="GK174" i="2"/>
  <c r="GK175" i="2"/>
  <c r="GK176" i="2"/>
  <c r="GK177" i="2"/>
  <c r="GK178" i="2"/>
  <c r="GK179" i="2"/>
  <c r="GK180" i="2"/>
  <c r="GK181" i="2"/>
  <c r="GK182" i="2"/>
  <c r="GK183" i="2"/>
  <c r="GK184" i="2"/>
  <c r="GK185" i="2"/>
  <c r="GK186" i="2"/>
  <c r="GK187" i="2"/>
  <c r="GK188" i="2"/>
  <c r="GK189" i="2"/>
  <c r="GK190" i="2"/>
  <c r="GK191" i="2"/>
  <c r="GK192" i="2"/>
  <c r="GK193" i="2"/>
  <c r="GK194" i="2"/>
  <c r="GK195" i="2"/>
  <c r="GK196" i="2"/>
  <c r="GK197" i="2"/>
  <c r="GK198" i="2"/>
  <c r="GK199" i="2"/>
  <c r="GK200" i="2"/>
  <c r="GK201" i="2"/>
  <c r="GK202" i="2"/>
  <c r="GK203" i="2"/>
  <c r="GK204" i="2"/>
  <c r="GK205" i="2"/>
  <c r="GK206" i="2"/>
  <c r="GK207" i="2"/>
  <c r="GK208" i="2"/>
  <c r="GK209" i="2"/>
  <c r="GK210" i="2"/>
  <c r="GK211" i="2"/>
  <c r="GK212" i="2"/>
  <c r="GK213" i="2"/>
  <c r="GK214" i="2"/>
  <c r="GK215" i="2"/>
  <c r="GK216" i="2"/>
  <c r="GK217" i="2"/>
  <c r="GK218" i="2"/>
  <c r="GK219" i="2"/>
  <c r="GK220" i="2"/>
  <c r="GK221" i="2"/>
  <c r="GK222" i="2"/>
  <c r="GK223" i="2"/>
  <c r="GK224" i="2"/>
  <c r="GK225" i="2"/>
  <c r="GK226" i="2"/>
  <c r="GK227" i="2"/>
  <c r="GK228" i="2"/>
  <c r="GK229" i="2"/>
  <c r="GK230" i="2"/>
  <c r="GK231" i="2"/>
  <c r="GK232" i="2"/>
  <c r="GK233" i="2"/>
  <c r="GK234" i="2"/>
  <c r="GK235" i="2"/>
  <c r="GK236" i="2"/>
  <c r="GK237" i="2"/>
  <c r="GK238" i="2"/>
  <c r="GK239" i="2"/>
  <c r="GK240" i="2"/>
  <c r="GK241" i="2"/>
  <c r="GK242" i="2"/>
  <c r="GK243" i="2"/>
  <c r="GK244" i="2"/>
  <c r="GK245" i="2"/>
  <c r="GK246" i="2"/>
  <c r="GK247" i="2"/>
  <c r="GK248" i="2"/>
  <c r="GK249" i="2"/>
  <c r="GK250" i="2"/>
  <c r="GK251" i="2"/>
  <c r="GK252" i="2"/>
  <c r="GK253" i="2"/>
  <c r="GK254" i="2"/>
  <c r="GK255" i="2"/>
  <c r="GK256" i="2"/>
  <c r="GK257" i="2"/>
  <c r="GK258" i="2"/>
  <c r="GK259" i="2"/>
  <c r="GK260" i="2"/>
  <c r="GK261" i="2"/>
  <c r="GK262" i="2"/>
  <c r="GK263" i="2"/>
  <c r="GK264" i="2"/>
  <c r="GK265" i="2"/>
  <c r="GK266" i="2"/>
  <c r="GK267" i="2"/>
  <c r="GK268" i="2"/>
  <c r="GK269" i="2"/>
  <c r="GK270" i="2"/>
  <c r="GK271" i="2"/>
  <c r="GK272" i="2"/>
  <c r="GK273" i="2"/>
  <c r="GK274" i="2"/>
  <c r="GK275" i="2"/>
  <c r="GK276" i="2"/>
  <c r="GK277" i="2"/>
  <c r="GK278" i="2"/>
  <c r="GK279" i="2"/>
  <c r="GK280" i="2"/>
  <c r="GK281" i="2"/>
  <c r="GK282" i="2"/>
  <c r="GK284" i="2"/>
  <c r="GK285" i="2"/>
  <c r="GK286" i="2"/>
  <c r="GK287" i="2"/>
  <c r="GK288" i="2"/>
  <c r="GK289" i="2"/>
  <c r="GK290" i="2"/>
  <c r="GK291" i="2"/>
  <c r="GK292" i="2"/>
  <c r="GK293" i="2"/>
  <c r="GK294" i="2"/>
  <c r="GK295" i="2"/>
  <c r="GK296" i="2"/>
  <c r="GK297" i="2"/>
  <c r="GK298" i="2"/>
  <c r="GK299" i="2"/>
  <c r="GK300" i="2"/>
  <c r="GK301" i="2"/>
  <c r="GK302" i="2"/>
  <c r="GK303" i="2"/>
  <c r="GK304" i="2"/>
  <c r="GK305" i="2"/>
  <c r="GK306" i="2"/>
  <c r="GK307" i="2"/>
  <c r="GK308" i="2"/>
  <c r="GK309" i="2"/>
  <c r="GK310" i="2"/>
  <c r="GK311" i="2"/>
  <c r="GK312" i="2"/>
  <c r="GK313" i="2"/>
  <c r="GK314" i="2"/>
  <c r="GK315" i="2"/>
  <c r="GK316" i="2"/>
  <c r="GK317" i="2"/>
  <c r="GK318" i="2"/>
  <c r="GK319" i="2"/>
  <c r="GK320" i="2"/>
  <c r="GK321" i="2"/>
  <c r="GK322" i="2"/>
  <c r="GK323" i="2"/>
  <c r="GK324" i="2"/>
  <c r="GK325" i="2"/>
  <c r="GK326" i="2"/>
  <c r="GK327" i="2"/>
  <c r="GK328" i="2"/>
  <c r="GK329" i="2"/>
  <c r="GK330" i="2"/>
  <c r="GK331" i="2"/>
  <c r="GK332" i="2"/>
  <c r="GK333" i="2"/>
  <c r="GK334" i="2"/>
  <c r="GK335" i="2"/>
  <c r="GK336" i="2"/>
  <c r="GK337" i="2"/>
  <c r="GK338" i="2"/>
  <c r="GK339" i="2"/>
  <c r="GK340" i="2"/>
  <c r="GK341" i="2"/>
  <c r="GK342" i="2"/>
  <c r="GK343" i="2"/>
  <c r="GK344" i="2"/>
  <c r="GK345" i="2"/>
  <c r="GK346" i="2"/>
  <c r="GK347" i="2"/>
  <c r="GK348" i="2"/>
  <c r="GK349" i="2"/>
  <c r="GK350" i="2"/>
  <c r="GK351" i="2"/>
  <c r="GK352" i="2"/>
  <c r="GK353" i="2"/>
  <c r="GK354" i="2"/>
  <c r="GK355" i="2"/>
  <c r="GK356" i="2"/>
  <c r="GK357" i="2"/>
  <c r="GK358" i="2"/>
  <c r="GK359" i="2"/>
  <c r="GK360" i="2"/>
  <c r="GK361" i="2"/>
  <c r="GK362" i="2"/>
  <c r="GK363" i="2"/>
  <c r="GK364" i="2"/>
  <c r="GK365" i="2"/>
  <c r="GK366" i="2"/>
  <c r="GK367" i="2"/>
  <c r="GK368" i="2"/>
  <c r="GK369" i="2"/>
  <c r="GK370" i="2"/>
  <c r="GK371" i="2"/>
  <c r="GK372" i="2"/>
  <c r="GK373" i="2"/>
  <c r="GK374" i="2"/>
  <c r="GK375" i="2"/>
  <c r="GK376" i="2"/>
  <c r="GK377" i="2"/>
  <c r="GK378" i="2"/>
  <c r="GK379" i="2"/>
  <c r="GK380" i="2"/>
  <c r="GK381" i="2"/>
  <c r="GK382" i="2"/>
  <c r="GK383" i="2"/>
  <c r="GK384" i="2"/>
  <c r="GK385" i="2"/>
  <c r="GK386" i="2"/>
  <c r="GK387" i="2"/>
  <c r="GK388" i="2"/>
  <c r="GK389" i="2"/>
  <c r="GK390" i="2"/>
  <c r="GK391" i="2"/>
  <c r="GK392" i="2"/>
  <c r="GK393" i="2"/>
  <c r="GK394" i="2"/>
  <c r="GK395" i="2"/>
  <c r="GK396" i="2"/>
  <c r="GK397" i="2"/>
  <c r="GK398" i="2"/>
  <c r="GK399" i="2"/>
  <c r="GK400" i="2"/>
  <c r="GK401" i="2"/>
  <c r="GK402" i="2"/>
  <c r="GK403" i="2"/>
  <c r="GK404" i="2"/>
  <c r="GK405" i="2"/>
  <c r="GK406" i="2"/>
  <c r="GK407" i="2"/>
  <c r="GK408" i="2"/>
  <c r="GK409" i="2"/>
  <c r="GK410" i="2"/>
  <c r="GK411" i="2"/>
  <c r="GK412" i="2"/>
  <c r="GK413" i="2"/>
  <c r="GK414" i="2"/>
  <c r="GK415" i="2"/>
  <c r="GK416" i="2"/>
  <c r="GK417" i="2"/>
  <c r="GK418" i="2"/>
  <c r="GK419" i="2"/>
  <c r="GK420" i="2"/>
  <c r="GK421" i="2"/>
  <c r="GK422" i="2"/>
  <c r="GK423" i="2"/>
  <c r="GK424" i="2"/>
  <c r="GK425" i="2"/>
  <c r="GK426" i="2"/>
  <c r="GK427" i="2"/>
  <c r="GK428" i="2"/>
  <c r="GK429" i="2"/>
  <c r="GK430" i="2"/>
  <c r="GK431" i="2"/>
  <c r="GK435" i="2"/>
  <c r="GK436" i="2"/>
  <c r="GK437" i="2"/>
  <c r="GK438" i="2"/>
  <c r="GK439" i="2"/>
  <c r="DR6" i="2"/>
  <c r="DR7" i="2"/>
  <c r="DR8" i="2"/>
  <c r="DR9" i="2"/>
  <c r="DR10" i="2"/>
  <c r="DR11" i="2"/>
  <c r="DR12" i="2"/>
  <c r="DR13" i="2"/>
  <c r="DR14" i="2"/>
  <c r="DR15" i="2"/>
  <c r="DR16" i="2"/>
  <c r="DR17" i="2"/>
  <c r="DR18" i="2"/>
  <c r="DR19" i="2"/>
  <c r="DR20" i="2"/>
  <c r="DR21" i="2"/>
  <c r="DR22" i="2"/>
  <c r="DR23" i="2"/>
  <c r="DR24" i="2"/>
  <c r="DR25" i="2"/>
  <c r="DR26" i="2"/>
  <c r="DR27" i="2"/>
  <c r="DR28" i="2"/>
  <c r="DR29" i="2"/>
  <c r="DR30" i="2"/>
  <c r="DR31" i="2"/>
  <c r="DR32" i="2"/>
  <c r="DR33" i="2"/>
  <c r="DR34" i="2"/>
  <c r="DR35" i="2"/>
  <c r="DR36" i="2"/>
  <c r="DR37" i="2"/>
  <c r="DR38" i="2"/>
  <c r="DR39" i="2"/>
  <c r="DR40" i="2"/>
  <c r="DR41" i="2"/>
  <c r="DR42" i="2"/>
  <c r="DR43" i="2"/>
  <c r="DR44" i="2"/>
  <c r="DR45" i="2"/>
  <c r="DR46" i="2"/>
  <c r="DR47" i="2"/>
  <c r="DR48" i="2"/>
  <c r="DR49" i="2"/>
  <c r="DR50" i="2"/>
  <c r="DR51" i="2"/>
  <c r="DR52" i="2"/>
  <c r="DR53" i="2"/>
  <c r="DR54" i="2"/>
  <c r="DR55" i="2"/>
  <c r="DR56" i="2"/>
  <c r="DR57" i="2"/>
  <c r="DR58" i="2"/>
  <c r="DR59" i="2"/>
  <c r="DR60" i="2"/>
  <c r="DR61" i="2"/>
  <c r="DR62" i="2"/>
  <c r="DR63" i="2"/>
  <c r="DR64" i="2"/>
  <c r="DR65" i="2"/>
  <c r="DR66" i="2"/>
  <c r="DR67" i="2"/>
  <c r="DR68" i="2"/>
  <c r="DR69" i="2"/>
  <c r="DR70" i="2"/>
  <c r="DR71" i="2"/>
  <c r="DR72" i="2"/>
  <c r="DR73" i="2"/>
  <c r="DR74" i="2"/>
  <c r="DR75" i="2"/>
  <c r="DR76" i="2"/>
  <c r="DR77" i="2"/>
  <c r="DR78" i="2"/>
  <c r="DR79" i="2"/>
  <c r="DR80" i="2"/>
  <c r="DR81" i="2"/>
  <c r="DR82" i="2"/>
  <c r="DR83" i="2"/>
  <c r="DR84" i="2"/>
  <c r="DR85" i="2"/>
  <c r="DR86" i="2"/>
  <c r="DR87" i="2"/>
  <c r="DR88" i="2"/>
  <c r="DR89" i="2"/>
  <c r="DR90" i="2"/>
  <c r="DR91" i="2"/>
  <c r="DR92" i="2"/>
  <c r="DR93" i="2"/>
  <c r="DR94" i="2"/>
  <c r="DR95" i="2"/>
  <c r="DR96" i="2"/>
  <c r="DR97" i="2"/>
  <c r="DR98" i="2"/>
  <c r="DR99" i="2"/>
  <c r="DR100" i="2"/>
  <c r="DR101" i="2"/>
  <c r="DR102" i="2"/>
  <c r="DR103" i="2"/>
  <c r="DR104" i="2"/>
  <c r="DR105" i="2"/>
  <c r="DR106" i="2"/>
  <c r="DR107" i="2"/>
  <c r="DR108" i="2"/>
  <c r="DR109" i="2"/>
  <c r="DR110" i="2"/>
  <c r="DR111" i="2"/>
  <c r="DR112" i="2"/>
  <c r="DR113" i="2"/>
  <c r="DR114" i="2"/>
  <c r="DR115" i="2"/>
  <c r="DR116" i="2"/>
  <c r="DR117" i="2"/>
  <c r="DR118" i="2"/>
  <c r="DR119" i="2"/>
  <c r="DR120" i="2"/>
  <c r="DR121" i="2"/>
  <c r="DR122" i="2"/>
  <c r="DR123" i="2"/>
  <c r="DR124" i="2"/>
  <c r="DR125" i="2"/>
  <c r="DR126" i="2"/>
  <c r="DR127" i="2"/>
  <c r="DR128" i="2"/>
  <c r="DR129" i="2"/>
  <c r="DR130" i="2"/>
  <c r="DR131" i="2"/>
  <c r="DR132" i="2"/>
  <c r="DR133" i="2"/>
  <c r="DR134" i="2"/>
  <c r="DR135" i="2"/>
  <c r="DR136" i="2"/>
  <c r="DR137" i="2"/>
  <c r="DR138" i="2"/>
  <c r="DR139" i="2"/>
  <c r="DR140" i="2"/>
  <c r="DR141" i="2"/>
  <c r="DR142" i="2"/>
  <c r="DR143" i="2"/>
  <c r="DR144" i="2"/>
  <c r="DR145" i="2"/>
  <c r="DR146" i="2"/>
  <c r="DR147" i="2"/>
  <c r="DR148" i="2"/>
  <c r="DR149" i="2"/>
  <c r="DR150" i="2"/>
  <c r="DR151" i="2"/>
  <c r="DR152" i="2"/>
  <c r="DR153" i="2"/>
  <c r="DR154" i="2"/>
  <c r="DR155" i="2"/>
  <c r="DR156" i="2"/>
  <c r="DR157" i="2"/>
  <c r="DR158" i="2"/>
  <c r="DR159" i="2"/>
  <c r="DR160" i="2"/>
  <c r="DR161" i="2"/>
  <c r="DR162" i="2"/>
  <c r="DR163" i="2"/>
  <c r="DR164" i="2"/>
  <c r="DR165" i="2"/>
  <c r="DR166" i="2"/>
  <c r="DR167" i="2"/>
  <c r="DR168" i="2"/>
  <c r="DR169" i="2"/>
  <c r="DR170" i="2"/>
  <c r="DR171" i="2"/>
  <c r="DR172" i="2"/>
  <c r="DR173" i="2"/>
  <c r="DR174" i="2"/>
  <c r="DR175" i="2"/>
  <c r="DR176" i="2"/>
  <c r="DR177" i="2"/>
  <c r="DR178" i="2"/>
  <c r="DR179" i="2"/>
  <c r="DR180" i="2"/>
  <c r="DR181" i="2"/>
  <c r="DR182" i="2"/>
  <c r="DR183" i="2"/>
  <c r="DR184" i="2"/>
  <c r="DR185" i="2"/>
  <c r="DR186" i="2"/>
  <c r="DR187" i="2"/>
  <c r="DR188" i="2"/>
  <c r="DR189" i="2"/>
  <c r="DR190" i="2"/>
  <c r="DR191" i="2"/>
  <c r="DR192" i="2"/>
  <c r="DR193" i="2"/>
  <c r="DR194" i="2"/>
  <c r="DR195" i="2"/>
  <c r="DR196" i="2"/>
  <c r="DR197" i="2"/>
  <c r="DR198" i="2"/>
  <c r="DR199" i="2"/>
  <c r="DR200" i="2"/>
  <c r="DR201" i="2"/>
  <c r="DR202" i="2"/>
  <c r="DR203" i="2"/>
  <c r="DR204" i="2"/>
  <c r="DR205" i="2"/>
  <c r="DR206" i="2"/>
  <c r="DR207" i="2"/>
  <c r="DR208" i="2"/>
  <c r="DR209" i="2"/>
  <c r="DR210" i="2"/>
  <c r="DR211" i="2"/>
  <c r="DR212" i="2"/>
  <c r="DR213" i="2"/>
  <c r="DR214" i="2"/>
  <c r="DR215" i="2"/>
  <c r="DR216" i="2"/>
  <c r="DR217" i="2"/>
  <c r="DR218" i="2"/>
  <c r="DR219" i="2"/>
  <c r="DR220" i="2"/>
  <c r="DR221" i="2"/>
  <c r="DR222" i="2"/>
  <c r="DR223" i="2"/>
  <c r="DR224" i="2"/>
  <c r="DR225" i="2"/>
  <c r="DR226" i="2"/>
  <c r="DR227" i="2"/>
  <c r="DR228" i="2"/>
  <c r="DR229" i="2"/>
  <c r="DR230" i="2"/>
  <c r="DR231" i="2"/>
  <c r="DR232" i="2"/>
  <c r="DR233" i="2"/>
  <c r="DR234" i="2"/>
  <c r="DR235" i="2"/>
  <c r="DR236" i="2"/>
  <c r="DR237" i="2"/>
  <c r="DR238" i="2"/>
  <c r="DR239" i="2"/>
  <c r="DR240" i="2"/>
  <c r="DR241" i="2"/>
  <c r="DR242" i="2"/>
  <c r="DR243" i="2"/>
  <c r="DR244" i="2"/>
  <c r="DR245" i="2"/>
  <c r="DR246" i="2"/>
  <c r="DR247" i="2"/>
  <c r="DR248" i="2"/>
  <c r="DR249" i="2"/>
  <c r="DR250" i="2"/>
  <c r="DR251" i="2"/>
  <c r="DR252" i="2"/>
  <c r="DR253" i="2"/>
  <c r="DR254" i="2"/>
  <c r="DR255" i="2"/>
  <c r="DR256" i="2"/>
  <c r="DR257" i="2"/>
  <c r="DR258" i="2"/>
  <c r="DR259" i="2"/>
  <c r="DR260" i="2"/>
  <c r="DR261" i="2"/>
  <c r="DR262" i="2"/>
  <c r="DR263" i="2"/>
  <c r="DR264" i="2"/>
  <c r="DR265" i="2"/>
  <c r="DR266" i="2"/>
  <c r="DR267" i="2"/>
  <c r="DR268" i="2"/>
  <c r="DR269" i="2"/>
  <c r="DR270" i="2"/>
  <c r="DR272" i="2"/>
  <c r="DR273" i="2"/>
  <c r="DR275" i="2"/>
  <c r="DR276" i="2"/>
  <c r="DR277" i="2"/>
  <c r="DR279" i="2"/>
  <c r="DR280" i="2"/>
  <c r="DR281" i="2"/>
  <c r="DR283" i="2"/>
  <c r="DR284" i="2"/>
  <c r="DR285" i="2"/>
  <c r="DR286" i="2"/>
  <c r="DR287" i="2"/>
  <c r="DR288" i="2"/>
  <c r="DR289" i="2"/>
  <c r="DR290" i="2"/>
  <c r="DR292" i="2"/>
  <c r="DR293" i="2"/>
  <c r="DR295" i="2"/>
  <c r="DR297" i="2"/>
  <c r="DR298" i="2"/>
  <c r="DR299" i="2"/>
  <c r="DR302" i="2"/>
  <c r="DR303" i="2"/>
  <c r="DR305" i="2"/>
  <c r="DR306" i="2"/>
  <c r="DR308" i="2"/>
  <c r="DR309" i="2"/>
  <c r="DR310" i="2"/>
  <c r="DR311" i="2"/>
  <c r="DR312" i="2"/>
  <c r="DR313" i="2"/>
  <c r="DR317" i="2"/>
  <c r="DR318" i="2"/>
  <c r="DR320" i="2"/>
  <c r="DR321" i="2"/>
  <c r="DR323" i="2"/>
  <c r="DR324" i="2"/>
  <c r="DR325" i="2"/>
  <c r="DR326" i="2"/>
  <c r="DR328" i="2"/>
  <c r="DR329" i="2"/>
  <c r="DR330" i="2"/>
  <c r="DR331" i="2"/>
  <c r="DR333" i="2"/>
  <c r="DR334" i="2"/>
  <c r="DR335" i="2"/>
  <c r="DR336" i="2"/>
  <c r="DR337" i="2"/>
  <c r="DR338" i="2"/>
  <c r="DR339" i="2"/>
  <c r="DR340" i="2"/>
  <c r="DR341" i="2"/>
  <c r="DR342" i="2"/>
  <c r="DR343" i="2"/>
  <c r="DR344" i="2"/>
  <c r="DR345" i="2"/>
  <c r="DR346" i="2"/>
  <c r="DR352" i="2"/>
  <c r="DR353" i="2"/>
  <c r="DR354" i="2"/>
  <c r="DR355" i="2"/>
  <c r="DR356" i="2"/>
  <c r="DR357" i="2"/>
  <c r="DR358" i="2"/>
  <c r="DR359" i="2"/>
  <c r="DR360" i="2"/>
  <c r="DR361" i="2"/>
  <c r="DR362" i="2"/>
  <c r="DR363" i="2"/>
  <c r="DR364" i="2"/>
  <c r="DR365" i="2"/>
  <c r="DR366" i="2"/>
  <c r="DR367" i="2"/>
  <c r="DR368" i="2"/>
  <c r="DR369" i="2"/>
  <c r="DR370" i="2"/>
  <c r="DR371" i="2"/>
  <c r="DR372" i="2"/>
  <c r="DR373" i="2"/>
  <c r="DR374" i="2"/>
  <c r="DR375" i="2"/>
  <c r="DR376" i="2"/>
  <c r="DR377" i="2"/>
  <c r="DR378" i="2"/>
  <c r="DR379" i="2"/>
  <c r="DR380" i="2"/>
  <c r="DR381" i="2"/>
  <c r="DR382" i="2"/>
  <c r="DR383" i="2"/>
  <c r="DR384" i="2"/>
  <c r="DR385" i="2"/>
  <c r="DR386" i="2"/>
  <c r="DR387" i="2"/>
  <c r="DR388" i="2"/>
  <c r="DR389" i="2"/>
  <c r="DR390" i="2"/>
  <c r="DR391" i="2"/>
  <c r="DR392" i="2"/>
  <c r="DR393" i="2"/>
  <c r="DR394" i="2"/>
  <c r="DR395" i="2"/>
  <c r="DR396" i="2"/>
  <c r="DR397" i="2"/>
  <c r="DR398" i="2"/>
  <c r="DR399" i="2"/>
  <c r="DR400" i="2"/>
  <c r="DR401" i="2"/>
  <c r="DR402" i="2"/>
  <c r="DR403" i="2"/>
  <c r="DR404" i="2"/>
  <c r="DR405" i="2"/>
  <c r="DR406" i="2"/>
  <c r="DR407" i="2"/>
  <c r="DR408" i="2"/>
  <c r="DR409" i="2"/>
  <c r="DR410" i="2"/>
  <c r="DR411" i="2"/>
  <c r="DR412" i="2"/>
  <c r="DR413" i="2"/>
  <c r="DR414" i="2"/>
  <c r="DR415" i="2"/>
  <c r="DR416" i="2"/>
  <c r="DR417" i="2"/>
  <c r="DR418" i="2"/>
  <c r="DR419" i="2"/>
  <c r="DR420" i="2"/>
  <c r="DR421" i="2"/>
  <c r="DR422" i="2"/>
  <c r="DR423" i="2"/>
  <c r="DR424" i="2"/>
  <c r="DR425" i="2"/>
  <c r="DR426" i="2"/>
  <c r="DR427" i="2"/>
  <c r="DR428" i="2"/>
  <c r="DR429" i="2"/>
  <c r="DR430" i="2"/>
  <c r="DR431" i="2"/>
  <c r="DR435" i="2"/>
  <c r="DR436" i="2"/>
  <c r="DR437" i="2"/>
  <c r="DR438" i="2"/>
  <c r="DR439" i="2"/>
  <c r="DR5" i="2"/>
  <c r="EA5" i="2"/>
  <c r="EA6" i="2"/>
  <c r="EA7" i="2"/>
  <c r="EA8" i="2"/>
  <c r="EA9" i="2"/>
  <c r="EA10" i="2"/>
  <c r="EA11" i="2"/>
  <c r="EA12" i="2"/>
  <c r="EA13" i="2"/>
  <c r="EA14" i="2"/>
  <c r="EA15" i="2"/>
  <c r="EA16" i="2"/>
  <c r="EA17" i="2"/>
  <c r="EA18" i="2"/>
  <c r="EA19" i="2"/>
  <c r="EA20" i="2"/>
  <c r="EA21" i="2"/>
  <c r="EA22" i="2"/>
  <c r="EA23" i="2"/>
  <c r="EA24" i="2"/>
  <c r="EA25" i="2"/>
  <c r="EA26" i="2"/>
  <c r="EA27" i="2"/>
  <c r="EA28" i="2"/>
  <c r="EA29" i="2"/>
  <c r="EA30" i="2"/>
  <c r="EA31" i="2"/>
  <c r="EA32" i="2"/>
  <c r="EA33" i="2"/>
  <c r="EA34" i="2"/>
  <c r="EA35" i="2"/>
  <c r="EA36" i="2"/>
  <c r="EA37" i="2"/>
  <c r="EA38" i="2"/>
  <c r="EA39" i="2"/>
  <c r="EA40" i="2"/>
  <c r="EA41" i="2"/>
  <c r="EA42" i="2"/>
  <c r="EA43" i="2"/>
  <c r="EA44" i="2"/>
  <c r="EA45" i="2"/>
  <c r="EA46" i="2"/>
  <c r="EA47" i="2"/>
  <c r="EA48" i="2"/>
  <c r="EA49" i="2"/>
  <c r="EA50" i="2"/>
  <c r="EA51" i="2"/>
  <c r="EA52" i="2"/>
  <c r="EA53" i="2"/>
  <c r="EA54" i="2"/>
  <c r="EA55" i="2"/>
  <c r="EA56" i="2"/>
  <c r="EA57" i="2"/>
  <c r="EA58" i="2"/>
  <c r="EA59" i="2"/>
  <c r="EA60" i="2"/>
  <c r="EA61" i="2"/>
  <c r="EA62" i="2"/>
  <c r="EA63" i="2"/>
  <c r="EA64" i="2"/>
  <c r="EA65" i="2"/>
  <c r="EA66" i="2"/>
  <c r="EA67" i="2"/>
  <c r="EA68" i="2"/>
  <c r="EA69" i="2"/>
  <c r="EA70" i="2"/>
  <c r="EA71" i="2"/>
  <c r="EA72" i="2"/>
  <c r="EA73" i="2"/>
  <c r="EA74" i="2"/>
  <c r="EA75" i="2"/>
  <c r="EA76" i="2"/>
  <c r="EA77" i="2"/>
  <c r="EA78" i="2"/>
  <c r="EA79" i="2"/>
  <c r="EA80" i="2"/>
  <c r="EA81" i="2"/>
  <c r="EA82" i="2"/>
  <c r="EA83" i="2"/>
  <c r="EA84" i="2"/>
  <c r="EA85" i="2"/>
  <c r="EA86" i="2"/>
  <c r="EA87" i="2"/>
  <c r="EA88" i="2"/>
  <c r="EA89" i="2"/>
  <c r="EA90" i="2"/>
  <c r="EA91" i="2"/>
  <c r="EA92" i="2"/>
  <c r="EA93" i="2"/>
  <c r="EA94" i="2"/>
  <c r="EA95" i="2"/>
  <c r="EA96" i="2"/>
  <c r="EA97" i="2"/>
  <c r="EA98" i="2"/>
  <c r="EA99" i="2"/>
  <c r="EA100" i="2"/>
  <c r="EA101" i="2"/>
  <c r="EA102" i="2"/>
  <c r="EA103" i="2"/>
  <c r="EA104" i="2"/>
  <c r="EA105" i="2"/>
  <c r="EA106" i="2"/>
  <c r="EA107" i="2"/>
  <c r="EA108" i="2"/>
  <c r="EA109" i="2"/>
  <c r="EA110" i="2"/>
  <c r="EA111" i="2"/>
  <c r="EA112" i="2"/>
  <c r="EA113" i="2"/>
  <c r="EA114" i="2"/>
  <c r="EA115" i="2"/>
  <c r="EA116" i="2"/>
  <c r="EA117" i="2"/>
  <c r="EA118" i="2"/>
  <c r="EA119" i="2"/>
  <c r="EA120" i="2"/>
  <c r="EA121" i="2"/>
  <c r="EA122" i="2"/>
  <c r="EA123" i="2"/>
  <c r="EA124" i="2"/>
  <c r="EA125" i="2"/>
  <c r="EA126" i="2"/>
  <c r="EA127" i="2"/>
  <c r="EA128" i="2"/>
  <c r="EA129" i="2"/>
  <c r="EA130" i="2"/>
  <c r="EA131" i="2"/>
  <c r="EA132" i="2"/>
  <c r="EA133" i="2"/>
  <c r="EA134" i="2"/>
  <c r="EA135" i="2"/>
  <c r="EA136" i="2"/>
  <c r="EA137" i="2"/>
  <c r="EA138" i="2"/>
  <c r="EA139" i="2"/>
  <c r="EA140" i="2"/>
  <c r="EA141" i="2"/>
  <c r="EA142" i="2"/>
  <c r="EA143" i="2"/>
  <c r="EA144" i="2"/>
  <c r="EA145" i="2"/>
  <c r="EA146" i="2"/>
  <c r="EA147" i="2"/>
  <c r="EA148" i="2"/>
  <c r="EA149" i="2"/>
  <c r="EA150" i="2"/>
  <c r="EA151" i="2"/>
  <c r="EA152" i="2"/>
  <c r="EA153" i="2"/>
  <c r="EA154" i="2"/>
  <c r="EA155" i="2"/>
  <c r="EA156" i="2"/>
  <c r="EA157" i="2"/>
  <c r="EA158" i="2"/>
  <c r="EA159" i="2"/>
  <c r="EA160" i="2"/>
  <c r="EA161" i="2"/>
  <c r="EA162" i="2"/>
  <c r="EA163" i="2"/>
  <c r="EA164" i="2"/>
  <c r="EA165" i="2"/>
  <c r="EA166" i="2"/>
  <c r="EA167" i="2"/>
  <c r="EA168" i="2"/>
  <c r="EA169" i="2"/>
  <c r="EA170" i="2"/>
  <c r="EA171" i="2"/>
  <c r="EA172" i="2"/>
  <c r="EA173" i="2"/>
  <c r="EA174" i="2"/>
  <c r="EA175" i="2"/>
  <c r="EA176" i="2"/>
  <c r="EA177" i="2"/>
  <c r="EA178" i="2"/>
  <c r="EA179" i="2"/>
  <c r="EA180" i="2"/>
  <c r="EA181" i="2"/>
  <c r="EA182" i="2"/>
  <c r="EA183" i="2"/>
  <c r="EA184" i="2"/>
  <c r="EA185" i="2"/>
  <c r="EA186" i="2"/>
  <c r="EA187" i="2"/>
  <c r="EA188" i="2"/>
  <c r="EA189" i="2"/>
  <c r="EA190" i="2"/>
  <c r="EA191" i="2"/>
  <c r="EA192" i="2"/>
  <c r="EA193" i="2"/>
  <c r="EA194" i="2"/>
  <c r="EA195" i="2"/>
  <c r="EA196" i="2"/>
  <c r="EA197" i="2"/>
  <c r="EA198" i="2"/>
  <c r="EA199" i="2"/>
  <c r="EA200" i="2"/>
  <c r="EA201" i="2"/>
  <c r="EA202" i="2"/>
  <c r="EA203" i="2"/>
  <c r="EA204" i="2"/>
  <c r="EA205" i="2"/>
  <c r="EA206" i="2"/>
  <c r="EA207" i="2"/>
  <c r="EA208" i="2"/>
  <c r="EA209" i="2"/>
  <c r="EA210" i="2"/>
  <c r="EA211" i="2"/>
  <c r="EA212" i="2"/>
  <c r="EA213" i="2"/>
  <c r="EA214" i="2"/>
  <c r="EA215" i="2"/>
  <c r="EA216" i="2"/>
  <c r="EA217" i="2"/>
  <c r="EA218" i="2"/>
  <c r="EA219" i="2"/>
  <c r="EA220" i="2"/>
  <c r="EA221" i="2"/>
  <c r="EA222" i="2"/>
  <c r="EA223" i="2"/>
  <c r="EA224" i="2"/>
  <c r="EA225" i="2"/>
  <c r="EA226" i="2"/>
  <c r="EA227" i="2"/>
  <c r="EA228" i="2"/>
  <c r="EA229" i="2"/>
  <c r="EA230" i="2"/>
  <c r="EA231" i="2"/>
  <c r="EA232" i="2"/>
  <c r="EA233" i="2"/>
  <c r="EA234" i="2"/>
  <c r="EA235" i="2"/>
  <c r="EA236" i="2"/>
  <c r="EA237" i="2"/>
  <c r="EA238" i="2"/>
  <c r="EA239" i="2"/>
  <c r="EA240" i="2"/>
  <c r="EA241" i="2"/>
  <c r="EA242" i="2"/>
  <c r="EA243" i="2"/>
  <c r="EA244" i="2"/>
  <c r="EA245" i="2"/>
  <c r="EA246" i="2"/>
  <c r="EA247" i="2"/>
  <c r="EA248" i="2"/>
  <c r="EA249" i="2"/>
  <c r="EA250" i="2"/>
  <c r="EA251" i="2"/>
  <c r="EA252" i="2"/>
  <c r="EA253" i="2"/>
  <c r="EA254" i="2"/>
  <c r="EA255" i="2"/>
  <c r="EA256" i="2"/>
  <c r="EA257" i="2"/>
  <c r="EA258" i="2"/>
  <c r="EA259" i="2"/>
  <c r="EA260" i="2"/>
  <c r="EA261" i="2"/>
  <c r="EA262" i="2"/>
  <c r="EA263" i="2"/>
  <c r="EA264" i="2"/>
  <c r="EA265" i="2"/>
  <c r="EA266" i="2"/>
  <c r="EA267" i="2"/>
  <c r="EA268" i="2"/>
  <c r="EA269" i="2"/>
  <c r="EA270" i="2"/>
  <c r="EA272" i="2"/>
  <c r="EA273" i="2"/>
  <c r="EA275" i="2"/>
  <c r="EA276" i="2"/>
  <c r="EA277" i="2"/>
  <c r="EA279" i="2"/>
  <c r="EA280" i="2"/>
  <c r="EA281" i="2"/>
  <c r="EA283" i="2"/>
  <c r="EA284" i="2"/>
  <c r="EA285" i="2"/>
  <c r="EA286" i="2"/>
  <c r="EA287" i="2"/>
  <c r="EA288" i="2"/>
  <c r="EA289" i="2"/>
  <c r="EA290" i="2"/>
  <c r="EA292" i="2"/>
  <c r="EA293" i="2"/>
  <c r="EA295" i="2"/>
  <c r="EA297" i="2"/>
  <c r="EA298" i="2"/>
  <c r="EA299" i="2"/>
  <c r="EA302" i="2"/>
  <c r="EA303" i="2"/>
  <c r="EA305" i="2"/>
  <c r="EA306" i="2"/>
  <c r="EA308" i="2"/>
  <c r="EA309" i="2"/>
  <c r="EA310" i="2"/>
  <c r="EA311" i="2"/>
  <c r="EA312" i="2"/>
  <c r="EA313" i="2"/>
  <c r="EA317" i="2"/>
  <c r="EA318" i="2"/>
  <c r="EA320" i="2"/>
  <c r="EA321" i="2"/>
  <c r="EA323" i="2"/>
  <c r="EA324" i="2"/>
  <c r="EA325" i="2"/>
  <c r="EA326" i="2"/>
  <c r="EA328" i="2"/>
  <c r="EA329" i="2"/>
  <c r="EA330" i="2"/>
  <c r="EA331" i="2"/>
  <c r="EA333" i="2"/>
  <c r="EA334" i="2"/>
  <c r="EA335" i="2"/>
  <c r="EA336" i="2"/>
  <c r="EA337" i="2"/>
  <c r="EA338" i="2"/>
  <c r="EA339" i="2"/>
  <c r="EA340" i="2"/>
  <c r="EA341" i="2"/>
  <c r="EA342" i="2"/>
  <c r="EA343" i="2"/>
  <c r="EA344" i="2"/>
  <c r="EA345" i="2"/>
  <c r="EA346" i="2"/>
  <c r="EA352" i="2"/>
  <c r="EA353" i="2"/>
  <c r="EA354" i="2"/>
  <c r="EA355" i="2"/>
  <c r="EA356" i="2"/>
  <c r="EA357" i="2"/>
  <c r="EA358" i="2"/>
  <c r="EA359" i="2"/>
  <c r="EA360" i="2"/>
  <c r="EA361" i="2"/>
  <c r="EA362" i="2"/>
  <c r="EA363" i="2"/>
  <c r="EA364" i="2"/>
  <c r="EA365" i="2"/>
  <c r="EA366" i="2"/>
  <c r="EA367" i="2"/>
  <c r="EA368" i="2"/>
  <c r="EA369" i="2"/>
  <c r="EA370" i="2"/>
  <c r="EA371" i="2"/>
  <c r="EA372" i="2"/>
  <c r="EA373" i="2"/>
  <c r="EA374" i="2"/>
  <c r="EA375" i="2"/>
  <c r="EA376" i="2"/>
  <c r="EA377" i="2"/>
  <c r="EA378" i="2"/>
  <c r="EA379" i="2"/>
  <c r="EA380" i="2"/>
  <c r="EA381" i="2"/>
  <c r="EA382" i="2"/>
  <c r="EA383" i="2"/>
  <c r="EA384" i="2"/>
  <c r="EA385" i="2"/>
  <c r="EA386" i="2"/>
  <c r="EA387" i="2"/>
  <c r="EA388" i="2"/>
  <c r="EA389" i="2"/>
  <c r="EA390" i="2"/>
  <c r="EA391" i="2"/>
  <c r="EA392" i="2"/>
  <c r="EA393" i="2"/>
  <c r="EA394" i="2"/>
  <c r="EA395" i="2"/>
  <c r="EA396" i="2"/>
  <c r="EA397" i="2"/>
  <c r="EA398" i="2"/>
  <c r="EA399" i="2"/>
  <c r="EA400" i="2"/>
  <c r="EA401" i="2"/>
  <c r="EA402" i="2"/>
  <c r="EA403" i="2"/>
  <c r="EA404" i="2"/>
  <c r="EA405" i="2"/>
  <c r="EA406" i="2"/>
  <c r="EA407" i="2"/>
  <c r="EA408" i="2"/>
  <c r="EA409" i="2"/>
  <c r="EA410" i="2"/>
  <c r="EA411" i="2"/>
  <c r="EA412" i="2"/>
  <c r="EA413" i="2"/>
  <c r="EA414" i="2"/>
  <c r="EA415" i="2"/>
  <c r="EA416" i="2"/>
  <c r="EA417" i="2"/>
  <c r="EA418" i="2"/>
  <c r="EA419" i="2"/>
  <c r="EA420" i="2"/>
  <c r="EA421" i="2"/>
  <c r="EA422" i="2"/>
  <c r="EA423" i="2"/>
  <c r="EA424" i="2"/>
  <c r="EA425" i="2"/>
  <c r="EA426" i="2"/>
  <c r="EA427" i="2"/>
  <c r="EA428" i="2"/>
  <c r="EA429" i="2"/>
  <c r="EA430" i="2"/>
  <c r="EA431" i="2"/>
  <c r="EA435" i="2"/>
  <c r="EA436" i="2"/>
  <c r="EA437" i="2"/>
  <c r="EA438" i="2"/>
  <c r="EA439" i="2"/>
  <c r="DI5" i="2"/>
  <c r="DI6" i="2"/>
  <c r="DI7" i="2"/>
  <c r="DI8" i="2"/>
  <c r="DI9" i="2"/>
  <c r="DI10" i="2"/>
  <c r="DI11" i="2"/>
  <c r="DI12" i="2"/>
  <c r="DI13" i="2"/>
  <c r="DI14" i="2"/>
  <c r="DI15" i="2"/>
  <c r="DI16" i="2"/>
  <c r="DI17" i="2"/>
  <c r="DI18" i="2"/>
  <c r="DI19" i="2"/>
  <c r="DI20" i="2"/>
  <c r="DI21" i="2"/>
  <c r="DI22" i="2"/>
  <c r="DI23" i="2"/>
  <c r="DI24" i="2"/>
  <c r="DI25" i="2"/>
  <c r="DI26" i="2"/>
  <c r="DI27" i="2"/>
  <c r="DI28" i="2"/>
  <c r="DI29" i="2"/>
  <c r="DI30" i="2"/>
  <c r="DI31" i="2"/>
  <c r="DI32" i="2"/>
  <c r="DI33" i="2"/>
  <c r="DI34" i="2"/>
  <c r="DI35" i="2"/>
  <c r="DI36" i="2"/>
  <c r="DI37" i="2"/>
  <c r="DI38" i="2"/>
  <c r="DI39" i="2"/>
  <c r="DI40" i="2"/>
  <c r="DI41" i="2"/>
  <c r="DI42" i="2"/>
  <c r="DI43" i="2"/>
  <c r="DI44" i="2"/>
  <c r="DI45" i="2"/>
  <c r="DI46" i="2"/>
  <c r="DI47" i="2"/>
  <c r="DI48" i="2"/>
  <c r="DI49" i="2"/>
  <c r="DI50" i="2"/>
  <c r="DI51" i="2"/>
  <c r="DI52" i="2"/>
  <c r="DI53" i="2"/>
  <c r="DI54" i="2"/>
  <c r="DI55" i="2"/>
  <c r="DI56" i="2"/>
  <c r="DI57" i="2"/>
  <c r="DI58" i="2"/>
  <c r="DI59" i="2"/>
  <c r="DI60" i="2"/>
  <c r="DI61" i="2"/>
  <c r="DI62" i="2"/>
  <c r="DI63" i="2"/>
  <c r="DI64" i="2"/>
  <c r="DI65" i="2"/>
  <c r="DI66" i="2"/>
  <c r="DI67" i="2"/>
  <c r="DI68" i="2"/>
  <c r="DI69" i="2"/>
  <c r="DI70" i="2"/>
  <c r="DI71" i="2"/>
  <c r="DI72" i="2"/>
  <c r="DI73" i="2"/>
  <c r="DI74" i="2"/>
  <c r="DI75" i="2"/>
  <c r="DI76" i="2"/>
  <c r="DI77" i="2"/>
  <c r="DI78" i="2"/>
  <c r="DI79" i="2"/>
  <c r="DI80" i="2"/>
  <c r="DI81" i="2"/>
  <c r="DI82" i="2"/>
  <c r="DI83" i="2"/>
  <c r="DI84" i="2"/>
  <c r="DI85" i="2"/>
  <c r="DI86" i="2"/>
  <c r="DI87" i="2"/>
  <c r="DI88" i="2"/>
  <c r="DI89" i="2"/>
  <c r="DI90" i="2"/>
  <c r="DI91" i="2"/>
  <c r="DI92" i="2"/>
  <c r="DI93" i="2"/>
  <c r="DI94" i="2"/>
  <c r="DI95" i="2"/>
  <c r="DI96" i="2"/>
  <c r="DI97" i="2"/>
  <c r="DI98" i="2"/>
  <c r="DI99" i="2"/>
  <c r="DI100" i="2"/>
  <c r="DI101" i="2"/>
  <c r="DI102" i="2"/>
  <c r="DI103" i="2"/>
  <c r="DI104" i="2"/>
  <c r="DI105" i="2"/>
  <c r="DI106" i="2"/>
  <c r="DI107" i="2"/>
  <c r="DI108" i="2"/>
  <c r="DI109" i="2"/>
  <c r="DI110" i="2"/>
  <c r="DI111" i="2"/>
  <c r="DI112" i="2"/>
  <c r="DI113" i="2"/>
  <c r="DI114" i="2"/>
  <c r="DI115" i="2"/>
  <c r="DI116" i="2"/>
  <c r="DI117" i="2"/>
  <c r="DI118" i="2"/>
  <c r="DI119" i="2"/>
  <c r="DI120" i="2"/>
  <c r="DI121" i="2"/>
  <c r="DI122" i="2"/>
  <c r="DI123" i="2"/>
  <c r="DI124" i="2"/>
  <c r="DI125" i="2"/>
  <c r="DI126" i="2"/>
  <c r="DI127" i="2"/>
  <c r="DI128" i="2"/>
  <c r="DI129" i="2"/>
  <c r="DI130" i="2"/>
  <c r="DI131" i="2"/>
  <c r="DI132" i="2"/>
  <c r="DI133" i="2"/>
  <c r="DI134" i="2"/>
  <c r="DI135" i="2"/>
  <c r="DI136" i="2"/>
  <c r="DI137" i="2"/>
  <c r="DI138" i="2"/>
  <c r="DI139" i="2"/>
  <c r="DI140" i="2"/>
  <c r="DI141" i="2"/>
  <c r="DI142" i="2"/>
  <c r="DI143" i="2"/>
  <c r="DI144" i="2"/>
  <c r="DI145" i="2"/>
  <c r="DI146" i="2"/>
  <c r="DI147" i="2"/>
  <c r="DI148" i="2"/>
  <c r="DI149" i="2"/>
  <c r="DI150" i="2"/>
  <c r="DI151" i="2"/>
  <c r="DI152" i="2"/>
  <c r="DI153" i="2"/>
  <c r="DI154" i="2"/>
  <c r="DI155" i="2"/>
  <c r="DI156" i="2"/>
  <c r="DI157" i="2"/>
  <c r="DI158" i="2"/>
  <c r="DI159" i="2"/>
  <c r="DI160" i="2"/>
  <c r="DI161" i="2"/>
  <c r="DI162" i="2"/>
  <c r="DI163" i="2"/>
  <c r="DI164" i="2"/>
  <c r="DI165" i="2"/>
  <c r="DI166" i="2"/>
  <c r="DI167" i="2"/>
  <c r="DI168" i="2"/>
  <c r="DI169" i="2"/>
  <c r="DI170" i="2"/>
  <c r="DI171" i="2"/>
  <c r="DI172" i="2"/>
  <c r="DI173" i="2"/>
  <c r="DI174" i="2"/>
  <c r="DI175" i="2"/>
  <c r="DI176" i="2"/>
  <c r="DI177" i="2"/>
  <c r="DI178" i="2"/>
  <c r="DI179" i="2"/>
  <c r="DI180" i="2"/>
  <c r="DI181" i="2"/>
  <c r="DI182" i="2"/>
  <c r="DI183" i="2"/>
  <c r="DI184" i="2"/>
  <c r="DI185" i="2"/>
  <c r="DI186" i="2"/>
  <c r="DI187" i="2"/>
  <c r="DI188" i="2"/>
  <c r="DI189" i="2"/>
  <c r="DI190" i="2"/>
  <c r="DI191" i="2"/>
  <c r="DI192" i="2"/>
  <c r="DI193" i="2"/>
  <c r="DI194" i="2"/>
  <c r="DI195" i="2"/>
  <c r="DI196" i="2"/>
  <c r="DI197" i="2"/>
  <c r="DI198" i="2"/>
  <c r="DI199" i="2"/>
  <c r="DI200" i="2"/>
  <c r="DI201" i="2"/>
  <c r="DI202" i="2"/>
  <c r="DI203" i="2"/>
  <c r="DI204" i="2"/>
  <c r="DI205" i="2"/>
  <c r="DI206" i="2"/>
  <c r="DI207" i="2"/>
  <c r="DI208" i="2"/>
  <c r="DI209" i="2"/>
  <c r="DI210" i="2"/>
  <c r="DI211" i="2"/>
  <c r="DI212" i="2"/>
  <c r="DI213" i="2"/>
  <c r="DI214" i="2"/>
  <c r="DI215" i="2"/>
  <c r="DI216" i="2"/>
  <c r="DI217" i="2"/>
  <c r="DI218" i="2"/>
  <c r="DI219" i="2"/>
  <c r="DI220" i="2"/>
  <c r="DI221" i="2"/>
  <c r="DI222" i="2"/>
  <c r="DI223" i="2"/>
  <c r="DI224" i="2"/>
  <c r="DI225" i="2"/>
  <c r="DI226" i="2"/>
  <c r="DI227" i="2"/>
  <c r="DI228" i="2"/>
  <c r="DI229" i="2"/>
  <c r="DI230" i="2"/>
  <c r="DI231" i="2"/>
  <c r="DI232" i="2"/>
  <c r="DI233" i="2"/>
  <c r="DI234" i="2"/>
  <c r="DI235" i="2"/>
  <c r="DI236" i="2"/>
  <c r="DI237" i="2"/>
  <c r="DI238" i="2"/>
  <c r="DI239" i="2"/>
  <c r="DI240" i="2"/>
  <c r="DI241" i="2"/>
  <c r="DI242" i="2"/>
  <c r="DI243" i="2"/>
  <c r="DI244" i="2"/>
  <c r="DI245" i="2"/>
  <c r="DI246" i="2"/>
  <c r="DI247" i="2"/>
  <c r="DI248" i="2"/>
  <c r="DI249" i="2"/>
  <c r="DI250" i="2"/>
  <c r="DI251" i="2"/>
  <c r="DI252" i="2"/>
  <c r="DI253" i="2"/>
  <c r="DI254" i="2"/>
  <c r="DI255" i="2"/>
  <c r="DI256" i="2"/>
  <c r="DI257" i="2"/>
  <c r="DI258" i="2"/>
  <c r="DI259" i="2"/>
  <c r="DI260" i="2"/>
  <c r="DI261" i="2"/>
  <c r="DI262" i="2"/>
  <c r="DI263" i="2"/>
  <c r="DI264" i="2"/>
  <c r="DI265" i="2"/>
  <c r="DI266" i="2"/>
  <c r="DI267" i="2"/>
  <c r="DI268" i="2"/>
  <c r="DI269" i="2"/>
  <c r="DI270" i="2"/>
  <c r="DI272" i="2"/>
  <c r="DI273" i="2"/>
  <c r="DI275" i="2"/>
  <c r="DI276" i="2"/>
  <c r="DI277" i="2"/>
  <c r="DI279" i="2"/>
  <c r="DI280" i="2"/>
  <c r="DI281" i="2"/>
  <c r="DI283" i="2"/>
  <c r="DI284" i="2"/>
  <c r="DI285" i="2"/>
  <c r="DI286" i="2"/>
  <c r="DI287" i="2"/>
  <c r="DI288" i="2"/>
  <c r="DI289" i="2"/>
  <c r="DI290" i="2"/>
  <c r="DI292" i="2"/>
  <c r="DI293" i="2"/>
  <c r="DI295" i="2"/>
  <c r="DI297" i="2"/>
  <c r="DI298" i="2"/>
  <c r="DI299" i="2"/>
  <c r="DI302" i="2"/>
  <c r="DI303" i="2"/>
  <c r="DI305" i="2"/>
  <c r="DI306" i="2"/>
  <c r="DI308" i="2"/>
  <c r="DI309" i="2"/>
  <c r="DI310" i="2"/>
  <c r="DI311" i="2"/>
  <c r="DI312" i="2"/>
  <c r="DI313" i="2"/>
  <c r="DI317" i="2"/>
  <c r="DI318" i="2"/>
  <c r="DI320" i="2"/>
  <c r="DI321" i="2"/>
  <c r="DI323" i="2"/>
  <c r="DI324" i="2"/>
  <c r="DI325" i="2"/>
  <c r="DI326" i="2"/>
  <c r="DI328" i="2"/>
  <c r="DI329" i="2"/>
  <c r="DI330" i="2"/>
  <c r="DI331" i="2"/>
  <c r="DI333" i="2"/>
  <c r="DI334" i="2"/>
  <c r="DI335" i="2"/>
  <c r="DI336" i="2"/>
  <c r="DI337" i="2"/>
  <c r="DI338" i="2"/>
  <c r="DI339" i="2"/>
  <c r="DI340" i="2"/>
  <c r="DI341" i="2"/>
  <c r="DI342" i="2"/>
  <c r="DI343" i="2"/>
  <c r="DI344" i="2"/>
  <c r="DI345" i="2"/>
  <c r="DI346" i="2"/>
  <c r="DI347" i="2"/>
  <c r="DI348" i="2"/>
  <c r="DI349" i="2"/>
  <c r="DI350" i="2"/>
  <c r="DI351" i="2"/>
  <c r="DI352" i="2"/>
  <c r="DI353" i="2"/>
  <c r="DI354" i="2"/>
  <c r="DI355" i="2"/>
  <c r="DI356" i="2"/>
  <c r="DI357" i="2"/>
  <c r="DI358" i="2"/>
  <c r="DI359" i="2"/>
  <c r="DI360" i="2"/>
  <c r="DI361" i="2"/>
  <c r="DI362" i="2"/>
  <c r="DI363" i="2"/>
  <c r="DI364" i="2"/>
  <c r="DI365" i="2"/>
  <c r="DI366" i="2"/>
  <c r="DI367" i="2"/>
  <c r="DI368" i="2"/>
  <c r="DI369" i="2"/>
  <c r="DI370" i="2"/>
  <c r="DI371" i="2"/>
  <c r="DI372" i="2"/>
  <c r="DI373" i="2"/>
  <c r="DI374" i="2"/>
  <c r="DI375" i="2"/>
  <c r="DI376" i="2"/>
  <c r="DI377" i="2"/>
  <c r="DI378" i="2"/>
  <c r="DI379" i="2"/>
  <c r="DI380" i="2"/>
  <c r="DI381" i="2"/>
  <c r="DI382" i="2"/>
  <c r="DI383" i="2"/>
  <c r="DI384" i="2"/>
  <c r="DI385" i="2"/>
  <c r="DI386" i="2"/>
  <c r="DI387" i="2"/>
  <c r="DI388" i="2"/>
  <c r="DI389" i="2"/>
  <c r="DI390" i="2"/>
  <c r="DI391" i="2"/>
  <c r="DI392" i="2"/>
  <c r="DI393" i="2"/>
  <c r="DI394" i="2"/>
  <c r="DI395" i="2"/>
  <c r="DI396" i="2"/>
  <c r="DI397" i="2"/>
  <c r="DI398" i="2"/>
  <c r="DI399" i="2"/>
  <c r="DI400" i="2"/>
  <c r="DI401" i="2"/>
  <c r="DI402" i="2"/>
  <c r="DI403" i="2"/>
  <c r="DI404" i="2"/>
  <c r="DI405" i="2"/>
  <c r="DI406" i="2"/>
  <c r="DI407" i="2"/>
  <c r="DI408" i="2"/>
  <c r="DI409" i="2"/>
  <c r="DI410" i="2"/>
  <c r="DI411" i="2"/>
  <c r="DI412" i="2"/>
  <c r="DI413" i="2"/>
  <c r="DI414" i="2"/>
  <c r="DI415" i="2"/>
  <c r="DI416" i="2"/>
  <c r="DI417" i="2"/>
  <c r="DI418" i="2"/>
  <c r="DI419" i="2"/>
  <c r="DI420" i="2"/>
  <c r="DI421" i="2"/>
  <c r="DI422" i="2"/>
  <c r="DI423" i="2"/>
  <c r="DI424" i="2"/>
  <c r="DI425" i="2"/>
  <c r="DI426" i="2"/>
  <c r="DI427" i="2"/>
  <c r="DI428" i="2"/>
  <c r="DI429" i="2"/>
  <c r="DI430" i="2"/>
  <c r="DI431" i="2"/>
  <c r="DI435" i="2"/>
  <c r="DI436" i="2"/>
  <c r="DI437" i="2"/>
  <c r="DI438" i="2"/>
  <c r="DI439" i="2"/>
  <c r="ES240" i="2"/>
  <c r="ES239" i="2"/>
  <c r="AT11" i="3"/>
  <c r="AU11" i="3"/>
  <c r="ES238" i="2"/>
  <c r="CF309" i="2"/>
  <c r="AD355" i="2"/>
  <c r="AB355" i="2"/>
  <c r="DP3" i="2"/>
  <c r="DM3" i="2"/>
  <c r="AF345" i="2"/>
  <c r="AF3" i="2"/>
  <c r="AB354" i="2"/>
  <c r="AA354" i="2"/>
  <c r="AB352" i="2"/>
  <c r="AJ352" i="2"/>
  <c r="AB387" i="2"/>
  <c r="AI387" i="2"/>
  <c r="AB388" i="2"/>
  <c r="DH431" i="2"/>
  <c r="DD431" i="2"/>
  <c r="DH430" i="2"/>
  <c r="DD430" i="2"/>
  <c r="DH429" i="2"/>
  <c r="DD429" i="2"/>
  <c r="DH428" i="2"/>
  <c r="DD428" i="2"/>
  <c r="DH394" i="2"/>
  <c r="DD394" i="2"/>
  <c r="DH393" i="2"/>
  <c r="DD393" i="2"/>
  <c r="DH392" i="2"/>
  <c r="DD392" i="2"/>
  <c r="P428" i="2"/>
  <c r="P429" i="2"/>
  <c r="P430" i="2"/>
  <c r="P431" i="2"/>
  <c r="AB428" i="2"/>
  <c r="AB429" i="2"/>
  <c r="AJ429" i="2"/>
  <c r="AB430" i="2"/>
  <c r="AB431" i="2"/>
  <c r="AL431" i="2"/>
  <c r="CQ428" i="2"/>
  <c r="CQ429" i="2"/>
  <c r="CQ430" i="2"/>
  <c r="CQ431" i="2"/>
  <c r="CR428" i="2"/>
  <c r="CR429" i="2"/>
  <c r="CR430" i="2"/>
  <c r="CR431" i="2"/>
  <c r="CS428" i="2"/>
  <c r="CS429" i="2"/>
  <c r="CS430" i="2"/>
  <c r="CS431" i="2"/>
  <c r="CT428" i="2"/>
  <c r="CT429" i="2"/>
  <c r="CT430" i="2"/>
  <c r="CT431" i="2"/>
  <c r="FN428" i="2"/>
  <c r="FN429" i="2"/>
  <c r="FN430" i="2"/>
  <c r="FN431" i="2"/>
  <c r="FT428" i="2"/>
  <c r="FT429" i="2"/>
  <c r="FT430" i="2"/>
  <c r="FT431" i="2"/>
  <c r="FV428" i="2"/>
  <c r="FV429" i="2"/>
  <c r="FV430" i="2"/>
  <c r="FV431" i="2"/>
  <c r="HC428" i="2"/>
  <c r="HC429" i="2"/>
  <c r="HC430" i="2"/>
  <c r="HC431" i="2"/>
  <c r="P392" i="2"/>
  <c r="P393" i="2"/>
  <c r="P394" i="2"/>
  <c r="V392" i="2"/>
  <c r="L391" i="10"/>
  <c r="V393" i="2"/>
  <c r="L392" i="10"/>
  <c r="V394" i="2"/>
  <c r="L393" i="10"/>
  <c r="AB392" i="2"/>
  <c r="AB393" i="2"/>
  <c r="AA393" i="2"/>
  <c r="AB394" i="2"/>
  <c r="CQ392" i="2"/>
  <c r="CQ393" i="2"/>
  <c r="CQ394" i="2"/>
  <c r="CR392" i="2"/>
  <c r="CR393" i="2"/>
  <c r="CR394" i="2"/>
  <c r="CS392" i="2"/>
  <c r="CS393" i="2"/>
  <c r="CS394" i="2"/>
  <c r="CT392" i="2"/>
  <c r="CT393" i="2"/>
  <c r="CT394" i="2"/>
  <c r="FN392" i="2"/>
  <c r="FN393" i="2"/>
  <c r="FN394" i="2"/>
  <c r="FT392" i="2"/>
  <c r="FT393" i="2"/>
  <c r="FT394" i="2"/>
  <c r="FV392" i="2"/>
  <c r="FV393" i="2"/>
  <c r="FV394" i="2"/>
  <c r="HC392" i="2"/>
  <c r="HC393" i="2"/>
  <c r="HC394" i="2"/>
  <c r="BJ394" i="2"/>
  <c r="BJ393" i="2"/>
  <c r="W393" i="2"/>
  <c r="BJ431" i="2"/>
  <c r="BJ430" i="2"/>
  <c r="BJ429" i="2"/>
  <c r="CJ429" i="2"/>
  <c r="BJ428" i="2"/>
  <c r="BJ392" i="2"/>
  <c r="AD427" i="2"/>
  <c r="AD417" i="2"/>
  <c r="AD3" i="2"/>
  <c r="DH379" i="2"/>
  <c r="DH421" i="2"/>
  <c r="DH422" i="2"/>
  <c r="AB379" i="2"/>
  <c r="AJ379" i="2"/>
  <c r="AO19" i="3"/>
  <c r="AO20" i="3"/>
  <c r="AO21" i="3"/>
  <c r="AO22" i="3"/>
  <c r="AO23" i="3"/>
  <c r="AO18" i="3"/>
  <c r="AN19" i="3"/>
  <c r="AN20" i="3"/>
  <c r="AN21" i="3"/>
  <c r="AN22" i="3"/>
  <c r="AN23" i="3"/>
  <c r="AN18" i="3"/>
  <c r="AJ22" i="3"/>
  <c r="AK22" i="3"/>
  <c r="AM22" i="3"/>
  <c r="E22" i="3"/>
  <c r="D19" i="3"/>
  <c r="D20" i="3"/>
  <c r="D21" i="3"/>
  <c r="D22" i="3"/>
  <c r="D23" i="3"/>
  <c r="D18" i="3"/>
  <c r="P345" i="2"/>
  <c r="DH425" i="2"/>
  <c r="DD425" i="2"/>
  <c r="DH426" i="2"/>
  <c r="DD426" i="2"/>
  <c r="DH427" i="2"/>
  <c r="DD427" i="2"/>
  <c r="DH395" i="2"/>
  <c r="DD395" i="2"/>
  <c r="DH396" i="2"/>
  <c r="DD396" i="2"/>
  <c r="DH406" i="2"/>
  <c r="DD406" i="2"/>
  <c r="DH407" i="2"/>
  <c r="DD407" i="2"/>
  <c r="DH414" i="2"/>
  <c r="DD414" i="2"/>
  <c r="DH413" i="2"/>
  <c r="DD413" i="2"/>
  <c r="DH412" i="2"/>
  <c r="DD412" i="2"/>
  <c r="DH411" i="2"/>
  <c r="DD411" i="2"/>
  <c r="DH410" i="2"/>
  <c r="DD410" i="2"/>
  <c r="DH409" i="2"/>
  <c r="DD409" i="2"/>
  <c r="DH408" i="2"/>
  <c r="DD408" i="2"/>
  <c r="DH405" i="2"/>
  <c r="DD405" i="2"/>
  <c r="DH404" i="2"/>
  <c r="DD404" i="2"/>
  <c r="DH403" i="2"/>
  <c r="DD403" i="2"/>
  <c r="DH402" i="2"/>
  <c r="DD402" i="2"/>
  <c r="DH401" i="2"/>
  <c r="DD401" i="2"/>
  <c r="DH400" i="2"/>
  <c r="DD400" i="2"/>
  <c r="DH399" i="2"/>
  <c r="DD399" i="2"/>
  <c r="DH398" i="2"/>
  <c r="DD398" i="2"/>
  <c r="DD397" i="2"/>
  <c r="P415" i="2"/>
  <c r="P417" i="2"/>
  <c r="P419" i="2"/>
  <c r="P420" i="2"/>
  <c r="P421" i="2"/>
  <c r="P422" i="2"/>
  <c r="P423" i="2"/>
  <c r="P349" i="2"/>
  <c r="P351" i="2"/>
  <c r="P352" i="2"/>
  <c r="P355" i="2"/>
  <c r="P371" i="2"/>
  <c r="P376" i="2"/>
  <c r="P377" i="2"/>
  <c r="P386" i="2"/>
  <c r="P388" i="2"/>
  <c r="P389" i="2"/>
  <c r="FT346" i="2"/>
  <c r="FT347" i="2"/>
  <c r="FT348" i="2"/>
  <c r="FT349" i="2"/>
  <c r="FT352" i="2"/>
  <c r="FT355" i="2"/>
  <c r="FT357" i="2"/>
  <c r="FT358" i="2"/>
  <c r="FT359" i="2"/>
  <c r="FT360" i="2"/>
  <c r="FT361" i="2"/>
  <c r="FT363" i="2"/>
  <c r="FT364" i="2"/>
  <c r="FT366" i="2"/>
  <c r="FT367" i="2"/>
  <c r="FT370" i="2"/>
  <c r="FT371" i="2"/>
  <c r="FT373" i="2"/>
  <c r="FT374" i="2"/>
  <c r="FT377" i="2"/>
  <c r="FT378" i="2"/>
  <c r="FT379" i="2"/>
  <c r="FT380" i="2"/>
  <c r="FT381" i="2"/>
  <c r="FT385" i="2"/>
  <c r="FT388" i="2"/>
  <c r="FT390" i="2"/>
  <c r="FT391" i="2"/>
  <c r="CS436" i="2"/>
  <c r="CR437" i="2"/>
  <c r="CR438" i="2"/>
  <c r="CR439" i="2"/>
  <c r="P435" i="2"/>
  <c r="P436" i="2"/>
  <c r="P437" i="2"/>
  <c r="P438" i="2"/>
  <c r="P439" i="2"/>
  <c r="AB435" i="2"/>
  <c r="AB436" i="2"/>
  <c r="AA436" i="2"/>
  <c r="AB437" i="2"/>
  <c r="AK437" i="2"/>
  <c r="AB438" i="2"/>
  <c r="AI438" i="2"/>
  <c r="AB439" i="2"/>
  <c r="BJ439" i="2"/>
  <c r="W439" i="2"/>
  <c r="M438" i="10"/>
  <c r="BJ435" i="2"/>
  <c r="BJ438" i="2"/>
  <c r="BJ436" i="2"/>
  <c r="BJ437" i="2"/>
  <c r="CQ435" i="2"/>
  <c r="CQ438" i="2"/>
  <c r="CR435" i="2"/>
  <c r="CR436" i="2"/>
  <c r="CS435" i="2"/>
  <c r="CS438" i="2"/>
  <c r="CS439" i="2"/>
  <c r="CT435" i="2"/>
  <c r="CT436" i="2"/>
  <c r="CT438" i="2"/>
  <c r="FN435" i="2"/>
  <c r="FN436" i="2"/>
  <c r="FN437" i="2"/>
  <c r="FN438" i="2"/>
  <c r="FN439" i="2"/>
  <c r="FT435" i="2"/>
  <c r="FT436" i="2"/>
  <c r="FT437" i="2"/>
  <c r="FT438" i="2"/>
  <c r="FT439" i="2"/>
  <c r="FV435" i="2"/>
  <c r="FV436" i="2"/>
  <c r="FV437" i="2"/>
  <c r="FV438" i="2"/>
  <c r="FV439" i="2"/>
  <c r="HC435" i="2"/>
  <c r="HC436" i="2"/>
  <c r="HC437" i="2"/>
  <c r="HC438" i="2"/>
  <c r="HC439" i="2"/>
  <c r="CT409" i="2"/>
  <c r="CT410" i="2"/>
  <c r="CT411" i="2"/>
  <c r="CS412" i="2"/>
  <c r="CR413" i="2"/>
  <c r="CR414" i="2"/>
  <c r="CR415" i="2"/>
  <c r="CT416" i="2"/>
  <c r="CT417" i="2"/>
  <c r="CS418" i="2"/>
  <c r="CT419" i="2"/>
  <c r="CQ420" i="2"/>
  <c r="CQ421" i="2"/>
  <c r="CR422" i="2"/>
  <c r="CR423" i="2"/>
  <c r="CS424" i="2"/>
  <c r="CT426" i="2"/>
  <c r="CT427" i="2"/>
  <c r="CQ408" i="2"/>
  <c r="P408" i="2"/>
  <c r="P409" i="2"/>
  <c r="P410" i="2"/>
  <c r="P411" i="2"/>
  <c r="P412" i="2"/>
  <c r="P413" i="2"/>
  <c r="P414" i="2"/>
  <c r="P418" i="2"/>
  <c r="V417" i="2"/>
  <c r="L416" i="10"/>
  <c r="AB408" i="2"/>
  <c r="AB409" i="2"/>
  <c r="AB410" i="2"/>
  <c r="AI410" i="2"/>
  <c r="AB411" i="2"/>
  <c r="AB412" i="2"/>
  <c r="AB413" i="2"/>
  <c r="AK413" i="2"/>
  <c r="AB414" i="2"/>
  <c r="AB415" i="2"/>
  <c r="AA415" i="2"/>
  <c r="AB416" i="2"/>
  <c r="AK416" i="2"/>
  <c r="AB417" i="2"/>
  <c r="AK417" i="2"/>
  <c r="AB418" i="2"/>
  <c r="AI418" i="2"/>
  <c r="AB419" i="2"/>
  <c r="AK419" i="2"/>
  <c r="AB420" i="2"/>
  <c r="AJ420" i="2"/>
  <c r="AB421" i="2"/>
  <c r="AK421" i="2"/>
  <c r="AB422" i="2"/>
  <c r="AI422" i="2"/>
  <c r="AB423" i="2"/>
  <c r="AB424" i="2"/>
  <c r="AB425" i="2"/>
  <c r="AJ425" i="2"/>
  <c r="AB426" i="2"/>
  <c r="AB427" i="2"/>
  <c r="AL427" i="2"/>
  <c r="BJ408" i="2"/>
  <c r="CJ408" i="2"/>
  <c r="BJ409" i="2"/>
  <c r="BJ416" i="2"/>
  <c r="CJ416" i="2"/>
  <c r="BJ417" i="2"/>
  <c r="BJ419" i="2"/>
  <c r="CJ419" i="2"/>
  <c r="BJ420" i="2"/>
  <c r="BJ421" i="2"/>
  <c r="BJ423" i="2"/>
  <c r="CJ423" i="2"/>
  <c r="BJ426" i="2"/>
  <c r="BJ410" i="2"/>
  <c r="BJ411" i="2"/>
  <c r="W411" i="2"/>
  <c r="M410" i="10"/>
  <c r="BJ414" i="2"/>
  <c r="W414" i="2"/>
  <c r="M413" i="10"/>
  <c r="BJ418" i="2"/>
  <c r="BJ422" i="2"/>
  <c r="BJ425" i="2"/>
  <c r="W425" i="2"/>
  <c r="M424" i="10"/>
  <c r="BJ427" i="2"/>
  <c r="W427" i="2"/>
  <c r="M426" i="10"/>
  <c r="BJ412" i="2"/>
  <c r="BJ413" i="2"/>
  <c r="BJ424" i="2"/>
  <c r="BJ415" i="2"/>
  <c r="W415" i="2"/>
  <c r="M414" i="10"/>
  <c r="FN408" i="2"/>
  <c r="FN409" i="2"/>
  <c r="FN410" i="2"/>
  <c r="FN411" i="2"/>
  <c r="FN412" i="2"/>
  <c r="FN413" i="2"/>
  <c r="FN414" i="2"/>
  <c r="FN415" i="2"/>
  <c r="FN416" i="2"/>
  <c r="FN417" i="2"/>
  <c r="FN418" i="2"/>
  <c r="FN419" i="2"/>
  <c r="FN420" i="2"/>
  <c r="FN421" i="2"/>
  <c r="FN422" i="2"/>
  <c r="FN423" i="2"/>
  <c r="FN424" i="2"/>
  <c r="FN425" i="2"/>
  <c r="FN426" i="2"/>
  <c r="FN427" i="2"/>
  <c r="FT408" i="2"/>
  <c r="FT409" i="2"/>
  <c r="FT410" i="2"/>
  <c r="FT411" i="2"/>
  <c r="FT412" i="2"/>
  <c r="FT413" i="2"/>
  <c r="FT414" i="2"/>
  <c r="FT415" i="2"/>
  <c r="FT416" i="2"/>
  <c r="FT417" i="2"/>
  <c r="FT418" i="2"/>
  <c r="FT419" i="2"/>
  <c r="FT420" i="2"/>
  <c r="FT421" i="2"/>
  <c r="FT422" i="2"/>
  <c r="FT423" i="2"/>
  <c r="FT424" i="2"/>
  <c r="FT425" i="2"/>
  <c r="FT426" i="2"/>
  <c r="FT427" i="2"/>
  <c r="FV408" i="2"/>
  <c r="FV409" i="2"/>
  <c r="FV410" i="2"/>
  <c r="FV411" i="2"/>
  <c r="FV412" i="2"/>
  <c r="FV413" i="2"/>
  <c r="FV414" i="2"/>
  <c r="FV415" i="2"/>
  <c r="FV416" i="2"/>
  <c r="FV417" i="2"/>
  <c r="FV418" i="2"/>
  <c r="FV419" i="2"/>
  <c r="FV420" i="2"/>
  <c r="FV421" i="2"/>
  <c r="FV422" i="2"/>
  <c r="FV423" i="2"/>
  <c r="FV424" i="2"/>
  <c r="FV425" i="2"/>
  <c r="FV426" i="2"/>
  <c r="FV427" i="2"/>
  <c r="HC408" i="2"/>
  <c r="HC409" i="2"/>
  <c r="HC410" i="2"/>
  <c r="HC411" i="2"/>
  <c r="HC412" i="2"/>
  <c r="HC413" i="2"/>
  <c r="HC414" i="2"/>
  <c r="HC415" i="2"/>
  <c r="HC416" i="2"/>
  <c r="HC417" i="2"/>
  <c r="HC418" i="2"/>
  <c r="HC419" i="2"/>
  <c r="HC420" i="2"/>
  <c r="HC421" i="2"/>
  <c r="HC422" i="2"/>
  <c r="HC423" i="2"/>
  <c r="HC424" i="2"/>
  <c r="HC425" i="2"/>
  <c r="HC426" i="2"/>
  <c r="HC427" i="2"/>
  <c r="CS396" i="2"/>
  <c r="CS397" i="2"/>
  <c r="CR398" i="2"/>
  <c r="CT399" i="2"/>
  <c r="CR400" i="2"/>
  <c r="CQ402" i="2"/>
  <c r="CS403" i="2"/>
  <c r="CT404" i="2"/>
  <c r="CS405" i="2"/>
  <c r="CS406" i="2"/>
  <c r="CS407" i="2"/>
  <c r="CS395" i="2"/>
  <c r="P395" i="2"/>
  <c r="P396" i="2"/>
  <c r="P397" i="2"/>
  <c r="P398" i="2"/>
  <c r="P399" i="2"/>
  <c r="P400" i="2"/>
  <c r="P401" i="2"/>
  <c r="P402" i="2"/>
  <c r="P403" i="2"/>
  <c r="P404" i="2"/>
  <c r="P405" i="2"/>
  <c r="P406" i="2"/>
  <c r="P407" i="2"/>
  <c r="AB395" i="2"/>
  <c r="AA395" i="2"/>
  <c r="AB396" i="2"/>
  <c r="AK396" i="2"/>
  <c r="AB397" i="2"/>
  <c r="AB398" i="2"/>
  <c r="AB399" i="2"/>
  <c r="AJ399" i="2"/>
  <c r="AB400" i="2"/>
  <c r="AJ400" i="2"/>
  <c r="AB401" i="2"/>
  <c r="AK401" i="2"/>
  <c r="AB402" i="2"/>
  <c r="AJ402" i="2"/>
  <c r="AB403" i="2"/>
  <c r="AL403" i="2"/>
  <c r="AB404" i="2"/>
  <c r="AI404" i="2"/>
  <c r="AB405" i="2"/>
  <c r="AI405" i="2"/>
  <c r="AB406" i="2"/>
  <c r="AA406" i="2"/>
  <c r="CP406" i="2"/>
  <c r="T406" i="2"/>
  <c r="AB407" i="2"/>
  <c r="BJ407" i="2"/>
  <c r="BJ395" i="2"/>
  <c r="BJ396" i="2"/>
  <c r="BJ397" i="2"/>
  <c r="BJ398" i="2"/>
  <c r="W398" i="2"/>
  <c r="M397" i="10"/>
  <c r="BJ399" i="2"/>
  <c r="BJ400" i="2"/>
  <c r="BJ401" i="2"/>
  <c r="BJ402" i="2"/>
  <c r="BJ403" i="2"/>
  <c r="CJ403" i="2"/>
  <c r="BJ404" i="2"/>
  <c r="CJ404" i="2"/>
  <c r="BJ405" i="2"/>
  <c r="BJ406" i="2"/>
  <c r="FN395" i="2"/>
  <c r="FN396" i="2"/>
  <c r="FN397" i="2"/>
  <c r="FN398" i="2"/>
  <c r="FN399" i="2"/>
  <c r="FN400" i="2"/>
  <c r="FN401" i="2"/>
  <c r="FN402" i="2"/>
  <c r="FN403" i="2"/>
  <c r="FN404" i="2"/>
  <c r="FN405" i="2"/>
  <c r="FN406" i="2"/>
  <c r="FN407" i="2"/>
  <c r="FT395" i="2"/>
  <c r="FT396" i="2"/>
  <c r="FT397" i="2"/>
  <c r="FT398" i="2"/>
  <c r="FT399" i="2"/>
  <c r="FT400" i="2"/>
  <c r="FT401" i="2"/>
  <c r="FT402" i="2"/>
  <c r="FT403" i="2"/>
  <c r="FT404" i="2"/>
  <c r="FT405" i="2"/>
  <c r="FT406" i="2"/>
  <c r="FT407" i="2"/>
  <c r="FV395" i="2"/>
  <c r="FV396" i="2"/>
  <c r="FV397" i="2"/>
  <c r="FV398" i="2"/>
  <c r="FV399" i="2"/>
  <c r="FV400" i="2"/>
  <c r="FV401" i="2"/>
  <c r="FV402" i="2"/>
  <c r="FV403" i="2"/>
  <c r="FV404" i="2"/>
  <c r="FV405" i="2"/>
  <c r="FV406" i="2"/>
  <c r="FV407" i="2"/>
  <c r="HC395" i="2"/>
  <c r="HC396" i="2"/>
  <c r="HC397" i="2"/>
  <c r="HC398" i="2"/>
  <c r="HC399" i="2"/>
  <c r="HC400" i="2"/>
  <c r="HC401" i="2"/>
  <c r="HC402" i="2"/>
  <c r="HC403" i="2"/>
  <c r="HC404" i="2"/>
  <c r="HC405" i="2"/>
  <c r="HC406" i="2"/>
  <c r="HC407" i="2"/>
  <c r="CS370" i="2"/>
  <c r="CQ371" i="2"/>
  <c r="CR372" i="2"/>
  <c r="CR373" i="2"/>
  <c r="CQ374" i="2"/>
  <c r="CT375" i="2"/>
  <c r="CQ376" i="2"/>
  <c r="CR377" i="2"/>
  <c r="CR378" i="2"/>
  <c r="CR379" i="2"/>
  <c r="CS380" i="2"/>
  <c r="CS381" i="2"/>
  <c r="CT382" i="2"/>
  <c r="CS383" i="2"/>
  <c r="CR384" i="2"/>
  <c r="CQ385" i="2"/>
  <c r="CT386" i="2"/>
  <c r="CS387" i="2"/>
  <c r="CR388" i="2"/>
  <c r="CQ389" i="2"/>
  <c r="CS390" i="2"/>
  <c r="CR391" i="2"/>
  <c r="CQ369" i="2"/>
  <c r="P369" i="2"/>
  <c r="P370" i="2"/>
  <c r="P378" i="2"/>
  <c r="P379" i="2"/>
  <c r="P380" i="2"/>
  <c r="P381" i="2"/>
  <c r="P382" i="2"/>
  <c r="P383" i="2"/>
  <c r="P384" i="2"/>
  <c r="P385" i="2"/>
  <c r="P387" i="2"/>
  <c r="P390" i="2"/>
  <c r="P391" i="2"/>
  <c r="V369" i="2"/>
  <c r="L368" i="10"/>
  <c r="V370" i="2"/>
  <c r="L369" i="10"/>
  <c r="V371" i="2"/>
  <c r="L370" i="10"/>
  <c r="V372" i="2"/>
  <c r="L371" i="10"/>
  <c r="V373" i="2"/>
  <c r="L372" i="10"/>
  <c r="V374" i="2"/>
  <c r="L373" i="10"/>
  <c r="V375" i="2"/>
  <c r="L374" i="10"/>
  <c r="V376" i="2"/>
  <c r="L375" i="10"/>
  <c r="V377" i="2"/>
  <c r="L376" i="10"/>
  <c r="V378" i="2"/>
  <c r="L377" i="10"/>
  <c r="V380" i="2"/>
  <c r="L379" i="10"/>
  <c r="V381" i="2"/>
  <c r="L380" i="10"/>
  <c r="V382" i="2"/>
  <c r="L381" i="10"/>
  <c r="V383" i="2"/>
  <c r="L382" i="10"/>
  <c r="V384" i="2"/>
  <c r="L383" i="10"/>
  <c r="V385" i="2"/>
  <c r="L384" i="10"/>
  <c r="V386" i="2"/>
  <c r="L385" i="10"/>
  <c r="V387" i="2"/>
  <c r="L386" i="10"/>
  <c r="V388" i="2"/>
  <c r="L387" i="10"/>
  <c r="V389" i="2"/>
  <c r="L388" i="10"/>
  <c r="V390" i="2"/>
  <c r="L389" i="10"/>
  <c r="V391" i="2"/>
  <c r="L390" i="10"/>
  <c r="AB369" i="2"/>
  <c r="AB370" i="2"/>
  <c r="AL370" i="2"/>
  <c r="AB371" i="2"/>
  <c r="AA371" i="2"/>
  <c r="AB372" i="2"/>
  <c r="AB373" i="2"/>
  <c r="AB374" i="2"/>
  <c r="AB375" i="2"/>
  <c r="AB376" i="2"/>
  <c r="AB377" i="2"/>
  <c r="AA377" i="2"/>
  <c r="AB378" i="2"/>
  <c r="AB380" i="2"/>
  <c r="AB381" i="2"/>
  <c r="AB382" i="2"/>
  <c r="AK382" i="2"/>
  <c r="AB383" i="2"/>
  <c r="AJ383" i="2"/>
  <c r="AB384" i="2"/>
  <c r="AA384" i="2"/>
  <c r="AB385" i="2"/>
  <c r="AI385" i="2"/>
  <c r="CP385" i="2"/>
  <c r="T385" i="2"/>
  <c r="AB386" i="2"/>
  <c r="AA386" i="2"/>
  <c r="AB389" i="2"/>
  <c r="AB390" i="2"/>
  <c r="AL390" i="2"/>
  <c r="CP390" i="2"/>
  <c r="T390" i="2"/>
  <c r="AB391" i="2"/>
  <c r="AI391" i="2"/>
  <c r="BJ371" i="2"/>
  <c r="W371" i="2"/>
  <c r="M370" i="10"/>
  <c r="BJ382" i="2"/>
  <c r="CJ382" i="2"/>
  <c r="BJ369" i="2"/>
  <c r="BJ370" i="2"/>
  <c r="BJ372" i="2"/>
  <c r="BJ373" i="2"/>
  <c r="CJ373" i="2"/>
  <c r="BJ375" i="2"/>
  <c r="CJ375" i="2"/>
  <c r="BJ376" i="2"/>
  <c r="BJ377" i="2"/>
  <c r="W377" i="2"/>
  <c r="M376" i="10"/>
  <c r="BJ378" i="2"/>
  <c r="BJ379" i="2"/>
  <c r="BJ380" i="2"/>
  <c r="BJ381" i="2"/>
  <c r="BJ383" i="2"/>
  <c r="CJ383" i="2"/>
  <c r="BJ384" i="2"/>
  <c r="CJ384" i="2"/>
  <c r="BJ385" i="2"/>
  <c r="CJ385" i="2"/>
  <c r="BJ386" i="2"/>
  <c r="W386" i="2"/>
  <c r="M385" i="10"/>
  <c r="BJ387" i="2"/>
  <c r="CJ387" i="2"/>
  <c r="BJ388" i="2"/>
  <c r="BJ389" i="2"/>
  <c r="W389" i="2"/>
  <c r="BJ390" i="2"/>
  <c r="CJ390" i="2"/>
  <c r="BJ391" i="2"/>
  <c r="BJ374" i="2"/>
  <c r="FN369" i="2"/>
  <c r="FN370" i="2"/>
  <c r="FN371" i="2"/>
  <c r="FN372" i="2"/>
  <c r="FN373" i="2"/>
  <c r="FN374" i="2"/>
  <c r="FN375" i="2"/>
  <c r="FN376" i="2"/>
  <c r="FN377" i="2"/>
  <c r="FN378" i="2"/>
  <c r="FN379" i="2"/>
  <c r="FN380" i="2"/>
  <c r="FN381" i="2"/>
  <c r="FN382" i="2"/>
  <c r="FN383" i="2"/>
  <c r="FN384" i="2"/>
  <c r="FN385" i="2"/>
  <c r="FN386" i="2"/>
  <c r="FN387" i="2"/>
  <c r="FN388" i="2"/>
  <c r="FN389" i="2"/>
  <c r="FN390" i="2"/>
  <c r="FN391" i="2"/>
  <c r="FT369" i="2"/>
  <c r="FT372" i="2"/>
  <c r="FT375" i="2"/>
  <c r="FV369" i="2"/>
  <c r="FV370" i="2"/>
  <c r="FV371" i="2"/>
  <c r="FV372" i="2"/>
  <c r="FV373" i="2"/>
  <c r="FV374" i="2"/>
  <c r="FV375" i="2"/>
  <c r="FV376" i="2"/>
  <c r="FV377" i="2"/>
  <c r="FV378" i="2"/>
  <c r="FV379" i="2"/>
  <c r="FV380" i="2"/>
  <c r="FV381" i="2"/>
  <c r="FV382" i="2"/>
  <c r="FV383" i="2"/>
  <c r="FV384" i="2"/>
  <c r="FV385" i="2"/>
  <c r="FV386" i="2"/>
  <c r="FV387" i="2"/>
  <c r="FV388" i="2"/>
  <c r="FV389" i="2"/>
  <c r="FV390" i="2"/>
  <c r="FV391" i="2"/>
  <c r="HC369" i="2"/>
  <c r="HC370" i="2"/>
  <c r="HC371" i="2"/>
  <c r="HC372" i="2"/>
  <c r="HC373" i="2"/>
  <c r="HC374" i="2"/>
  <c r="HC375" i="2"/>
  <c r="HC376" i="2"/>
  <c r="HC377" i="2"/>
  <c r="HC378" i="2"/>
  <c r="HC379" i="2"/>
  <c r="HC380" i="2"/>
  <c r="HC381" i="2"/>
  <c r="HC382" i="2"/>
  <c r="HC383" i="2"/>
  <c r="HC384" i="2"/>
  <c r="HC385" i="2"/>
  <c r="HC386" i="2"/>
  <c r="HC387" i="2"/>
  <c r="HC388" i="2"/>
  <c r="HC389" i="2"/>
  <c r="HC390" i="2"/>
  <c r="HC391" i="2"/>
  <c r="CQ346" i="2"/>
  <c r="CT347" i="2"/>
  <c r="CT348" i="2"/>
  <c r="CQ349" i="2"/>
  <c r="CT350" i="2"/>
  <c r="CT351" i="2"/>
  <c r="CS352" i="2"/>
  <c r="CS353" i="2"/>
  <c r="CR354" i="2"/>
  <c r="CR355" i="2"/>
  <c r="CQ356" i="2"/>
  <c r="CT357" i="2"/>
  <c r="CT358" i="2"/>
  <c r="CS359" i="2"/>
  <c r="CQ360" i="2"/>
  <c r="CR361" i="2"/>
  <c r="CS362" i="2"/>
  <c r="CR363" i="2"/>
  <c r="CS364" i="2"/>
  <c r="CS365" i="2"/>
  <c r="CQ366" i="2"/>
  <c r="CS367" i="2"/>
  <c r="CR368" i="2"/>
  <c r="CT345" i="2"/>
  <c r="P346" i="2"/>
  <c r="P347" i="2"/>
  <c r="P348" i="2"/>
  <c r="P356" i="2"/>
  <c r="P357" i="2"/>
  <c r="P358" i="2"/>
  <c r="P359" i="2"/>
  <c r="P360" i="2"/>
  <c r="P361" i="2"/>
  <c r="P362" i="2"/>
  <c r="P363" i="2"/>
  <c r="P364" i="2"/>
  <c r="P366" i="2"/>
  <c r="P367" i="2"/>
  <c r="P368" i="2"/>
  <c r="V345" i="2"/>
  <c r="V346" i="2"/>
  <c r="L345" i="10"/>
  <c r="V347" i="2"/>
  <c r="L346" i="10"/>
  <c r="V348" i="2"/>
  <c r="L347" i="10"/>
  <c r="V349" i="2"/>
  <c r="L348" i="10"/>
  <c r="V350" i="2"/>
  <c r="L349" i="10"/>
  <c r="V351" i="2"/>
  <c r="L350" i="10"/>
  <c r="V352" i="2"/>
  <c r="L351" i="10"/>
  <c r="V353" i="2"/>
  <c r="L352" i="10"/>
  <c r="V354" i="2"/>
  <c r="L353" i="10"/>
  <c r="V355" i="2"/>
  <c r="L354" i="10"/>
  <c r="V356" i="2"/>
  <c r="L355" i="10"/>
  <c r="V357" i="2"/>
  <c r="L356" i="10"/>
  <c r="V358" i="2"/>
  <c r="L357" i="10"/>
  <c r="V360" i="2"/>
  <c r="L359" i="10"/>
  <c r="V361" i="2"/>
  <c r="L360" i="10"/>
  <c r="V362" i="2"/>
  <c r="L361" i="10"/>
  <c r="V363" i="2"/>
  <c r="L362" i="10"/>
  <c r="V364" i="2"/>
  <c r="L363" i="10"/>
  <c r="V365" i="2"/>
  <c r="L364" i="10"/>
  <c r="V366" i="2"/>
  <c r="L365" i="10"/>
  <c r="V367" i="2"/>
  <c r="L366" i="10"/>
  <c r="AB345" i="2"/>
  <c r="AB346" i="2"/>
  <c r="AI346" i="2"/>
  <c r="AB347" i="2"/>
  <c r="AB348" i="2"/>
  <c r="AI348" i="2"/>
  <c r="AB349" i="2"/>
  <c r="AK349" i="2"/>
  <c r="AB350" i="2"/>
  <c r="AK350" i="2"/>
  <c r="AB351" i="2"/>
  <c r="AK351" i="2"/>
  <c r="AB353" i="2"/>
  <c r="AJ353" i="2"/>
  <c r="AB356" i="2"/>
  <c r="AB357" i="2"/>
  <c r="AI357" i="2"/>
  <c r="AB358" i="2"/>
  <c r="AJ358" i="2"/>
  <c r="AB359" i="2"/>
  <c r="AK359" i="2"/>
  <c r="AB360" i="2"/>
  <c r="AJ360" i="2"/>
  <c r="AB361" i="2"/>
  <c r="AL361" i="2"/>
  <c r="AB362" i="2"/>
  <c r="AB363" i="2"/>
  <c r="AA363" i="2"/>
  <c r="AB364" i="2"/>
  <c r="AA364" i="2"/>
  <c r="AB365" i="2"/>
  <c r="AJ365" i="2"/>
  <c r="AB366" i="2"/>
  <c r="AB367" i="2"/>
  <c r="AJ367" i="2"/>
  <c r="AB368" i="2"/>
  <c r="AA368" i="2"/>
  <c r="BJ351" i="2"/>
  <c r="CJ351" i="2"/>
  <c r="BJ352" i="2"/>
  <c r="BJ353" i="2"/>
  <c r="BJ354" i="2"/>
  <c r="CJ354" i="2"/>
  <c r="BJ345" i="2"/>
  <c r="BJ346" i="2"/>
  <c r="W346" i="2"/>
  <c r="M345" i="10"/>
  <c r="BJ347" i="2"/>
  <c r="CJ347" i="2"/>
  <c r="BJ348" i="2"/>
  <c r="CJ348" i="2"/>
  <c r="BJ349" i="2"/>
  <c r="BJ350" i="2"/>
  <c r="BJ355" i="2"/>
  <c r="W355" i="2"/>
  <c r="M354" i="10"/>
  <c r="BJ356" i="2"/>
  <c r="CJ356" i="2"/>
  <c r="BJ359" i="2"/>
  <c r="CJ359" i="2"/>
  <c r="BJ360" i="2"/>
  <c r="BJ367" i="2"/>
  <c r="BJ368" i="2"/>
  <c r="BJ357" i="2"/>
  <c r="BJ358" i="2"/>
  <c r="FN345" i="2"/>
  <c r="FN346" i="2"/>
  <c r="FN347" i="2"/>
  <c r="FN348" i="2"/>
  <c r="FN349" i="2"/>
  <c r="FN350" i="2"/>
  <c r="FN351" i="2"/>
  <c r="FN352" i="2"/>
  <c r="FN353" i="2"/>
  <c r="FN354" i="2"/>
  <c r="FN355" i="2"/>
  <c r="FN356" i="2"/>
  <c r="FN357" i="2"/>
  <c r="FN358" i="2"/>
  <c r="FN359" i="2"/>
  <c r="FN360" i="2"/>
  <c r="FN361" i="2"/>
  <c r="FN362" i="2"/>
  <c r="FN363" i="2"/>
  <c r="FN364" i="2"/>
  <c r="FN365" i="2"/>
  <c r="FN366" i="2"/>
  <c r="FN367" i="2"/>
  <c r="FN368" i="2"/>
  <c r="FT362" i="2"/>
  <c r="FT365" i="2"/>
  <c r="FT368" i="2"/>
  <c r="FV345" i="2"/>
  <c r="FV346" i="2"/>
  <c r="FV347" i="2"/>
  <c r="FV348" i="2"/>
  <c r="FV349" i="2"/>
  <c r="FV350" i="2"/>
  <c r="FV351" i="2"/>
  <c r="FV352" i="2"/>
  <c r="FV353" i="2"/>
  <c r="FV354" i="2"/>
  <c r="FV355" i="2"/>
  <c r="FV356" i="2"/>
  <c r="FV357" i="2"/>
  <c r="FV358" i="2"/>
  <c r="FV359" i="2"/>
  <c r="FV360" i="2"/>
  <c r="FV361" i="2"/>
  <c r="FV362" i="2"/>
  <c r="FV363" i="2"/>
  <c r="FV364" i="2"/>
  <c r="FV365" i="2"/>
  <c r="FV366" i="2"/>
  <c r="FV367" i="2"/>
  <c r="FV368" i="2"/>
  <c r="HC345" i="2"/>
  <c r="HC346" i="2"/>
  <c r="HC347" i="2"/>
  <c r="HC348" i="2"/>
  <c r="HC349" i="2"/>
  <c r="HC350" i="2"/>
  <c r="HC351" i="2"/>
  <c r="HC352" i="2"/>
  <c r="HC353" i="2"/>
  <c r="HC354" i="2"/>
  <c r="HC355" i="2"/>
  <c r="HC356" i="2"/>
  <c r="HC357" i="2"/>
  <c r="HC358" i="2"/>
  <c r="HC359" i="2"/>
  <c r="HC360" i="2"/>
  <c r="HC361" i="2"/>
  <c r="HC362" i="2"/>
  <c r="HC363" i="2"/>
  <c r="HC364" i="2"/>
  <c r="HC365" i="2"/>
  <c r="HC366" i="2"/>
  <c r="HC367" i="2"/>
  <c r="HC368" i="2"/>
  <c r="DD3" i="2"/>
  <c r="DH3" i="2"/>
  <c r="H370" i="10"/>
  <c r="H416" i="10"/>
  <c r="H376" i="10"/>
  <c r="H377" i="10"/>
  <c r="CS401" i="2"/>
  <c r="P424" i="2"/>
  <c r="P426" i="2"/>
  <c r="P425" i="2"/>
  <c r="P427" i="2"/>
  <c r="P416" i="2"/>
  <c r="P365" i="2"/>
  <c r="P354" i="2"/>
  <c r="P375" i="2"/>
  <c r="P353" i="2"/>
  <c r="P372" i="2"/>
  <c r="P350" i="2"/>
  <c r="P373" i="2"/>
  <c r="P374" i="2"/>
  <c r="FT384" i="2"/>
  <c r="FT351" i="2"/>
  <c r="FT389" i="2"/>
  <c r="FT387" i="2"/>
  <c r="FT376" i="2"/>
  <c r="FT354" i="2"/>
  <c r="FT383" i="2"/>
  <c r="FT382" i="2"/>
  <c r="FT356" i="2"/>
  <c r="FT386" i="2"/>
  <c r="FT353" i="2"/>
  <c r="FT350" i="2"/>
  <c r="CQ436" i="2"/>
  <c r="CR408" i="2"/>
  <c r="CS420" i="2"/>
  <c r="CQ437" i="2"/>
  <c r="CT376" i="2"/>
  <c r="CT439" i="2"/>
  <c r="CQ439" i="2"/>
  <c r="CR409" i="2"/>
  <c r="CQ412" i="2"/>
  <c r="CT400" i="2"/>
  <c r="CT408" i="2"/>
  <c r="CT437" i="2"/>
  <c r="CS437" i="2"/>
  <c r="CR411" i="2"/>
  <c r="CQ417" i="2"/>
  <c r="CT373" i="2"/>
  <c r="CQ418" i="2"/>
  <c r="CQ413" i="2"/>
  <c r="CS413" i="2"/>
  <c r="CS408" i="2"/>
  <c r="CS410" i="2"/>
  <c r="CS409" i="2"/>
  <c r="CR419" i="2"/>
  <c r="CR418" i="2"/>
  <c r="CR412" i="2"/>
  <c r="CR410" i="2"/>
  <c r="CP436" i="2"/>
  <c r="T436" i="2"/>
  <c r="U436" i="2"/>
  <c r="K435" i="10"/>
  <c r="CQ419" i="2"/>
  <c r="CQ410" i="2"/>
  <c r="CT372" i="2"/>
  <c r="CT413" i="2"/>
  <c r="CT420" i="2"/>
  <c r="CQ409" i="2"/>
  <c r="CT369" i="2"/>
  <c r="CR399" i="2"/>
  <c r="CR395" i="2"/>
  <c r="CR404" i="2"/>
  <c r="CR421" i="2"/>
  <c r="CQ404" i="2"/>
  <c r="CT423" i="2"/>
  <c r="CT418" i="2"/>
  <c r="CQ400" i="2"/>
  <c r="CT412" i="2"/>
  <c r="CS423" i="2"/>
  <c r="CS421" i="2"/>
  <c r="CQ395" i="2"/>
  <c r="CT374" i="2"/>
  <c r="CS415" i="2"/>
  <c r="CT371" i="2"/>
  <c r="CS414" i="2"/>
  <c r="CQ416" i="2"/>
  <c r="CT370" i="2"/>
  <c r="CQ415" i="2"/>
  <c r="CQ414" i="2"/>
  <c r="CS411" i="2"/>
  <c r="CS416" i="2"/>
  <c r="CR370" i="2"/>
  <c r="CT407" i="2"/>
  <c r="CR371" i="2"/>
  <c r="CR369" i="2"/>
  <c r="CT405" i="2"/>
  <c r="CT422" i="2"/>
  <c r="CQ411" i="2"/>
  <c r="CT396" i="2"/>
  <c r="CS404" i="2"/>
  <c r="CT415" i="2"/>
  <c r="CT414" i="2"/>
  <c r="CR416" i="2"/>
  <c r="CR397" i="2"/>
  <c r="CT395" i="2"/>
  <c r="CR396" i="2"/>
  <c r="CT424" i="2"/>
  <c r="CS422" i="2"/>
  <c r="CR420" i="2"/>
  <c r="CT421" i="2"/>
  <c r="CS419" i="2"/>
  <c r="CR417" i="2"/>
  <c r="CS417" i="2"/>
  <c r="CT425" i="2"/>
  <c r="CQ427" i="2"/>
  <c r="CQ426" i="2"/>
  <c r="CR427" i="2"/>
  <c r="CQ425" i="2"/>
  <c r="CR426" i="2"/>
  <c r="CS427" i="2"/>
  <c r="CR425" i="2"/>
  <c r="CQ423" i="2"/>
  <c r="CQ424" i="2"/>
  <c r="CS426" i="2"/>
  <c r="CR424" i="2"/>
  <c r="CQ422" i="2"/>
  <c r="CR401" i="2"/>
  <c r="CT397" i="2"/>
  <c r="CQ403" i="2"/>
  <c r="CR403" i="2"/>
  <c r="CS400" i="2"/>
  <c r="CQ396" i="2"/>
  <c r="CT402" i="2"/>
  <c r="CQ399" i="2"/>
  <c r="CS399" i="2"/>
  <c r="CT403" i="2"/>
  <c r="CS377" i="2"/>
  <c r="CQ401" i="2"/>
  <c r="CS402" i="2"/>
  <c r="CQ398" i="2"/>
  <c r="CQ380" i="2"/>
  <c r="CQ377" i="2"/>
  <c r="CQ373" i="2"/>
  <c r="CS398" i="2"/>
  <c r="CQ397" i="2"/>
  <c r="CT401" i="2"/>
  <c r="CR402" i="2"/>
  <c r="CS373" i="2"/>
  <c r="CQ381" i="2"/>
  <c r="CQ407" i="2"/>
  <c r="CQ406" i="2"/>
  <c r="CQ405" i="2"/>
  <c r="CT406" i="2"/>
  <c r="CR407" i="2"/>
  <c r="CR406" i="2"/>
  <c r="CT398" i="2"/>
  <c r="CR405" i="2"/>
  <c r="CQ383" i="2"/>
  <c r="CS369" i="2"/>
  <c r="CQ370" i="2"/>
  <c r="CQ382" i="2"/>
  <c r="CQ379" i="2"/>
  <c r="CS374" i="2"/>
  <c r="CS372" i="2"/>
  <c r="CS371" i="2"/>
  <c r="CR376" i="2"/>
  <c r="CR374" i="2"/>
  <c r="CS379" i="2"/>
  <c r="CS376" i="2"/>
  <c r="CS375" i="2"/>
  <c r="CQ375" i="2"/>
  <c r="CQ378" i="2"/>
  <c r="CQ372" i="2"/>
  <c r="CR375" i="2"/>
  <c r="CT377" i="2"/>
  <c r="CT381" i="2"/>
  <c r="CT380" i="2"/>
  <c r="CR382" i="2"/>
  <c r="CT379" i="2"/>
  <c r="CR380" i="2"/>
  <c r="CT378" i="2"/>
  <c r="CT391" i="2"/>
  <c r="CR381" i="2"/>
  <c r="CS391" i="2"/>
  <c r="CS382" i="2"/>
  <c r="CR383" i="2"/>
  <c r="CQ384" i="2"/>
  <c r="CS378" i="2"/>
  <c r="CT387" i="2"/>
  <c r="CS388" i="2"/>
  <c r="CR389" i="2"/>
  <c r="CQ390" i="2"/>
  <c r="CT385" i="2"/>
  <c r="CS386" i="2"/>
  <c r="CR387" i="2"/>
  <c r="CQ388" i="2"/>
  <c r="CT384" i="2"/>
  <c r="CS385" i="2"/>
  <c r="CR386" i="2"/>
  <c r="CQ387" i="2"/>
  <c r="CT388" i="2"/>
  <c r="CS389" i="2"/>
  <c r="CR390" i="2"/>
  <c r="CQ391" i="2"/>
  <c r="CT383" i="2"/>
  <c r="CS384" i="2"/>
  <c r="CR385" i="2"/>
  <c r="CQ386" i="2"/>
  <c r="CT390" i="2"/>
  <c r="CT389" i="2"/>
  <c r="CS347" i="2"/>
  <c r="CR347" i="2"/>
  <c r="CR350" i="2"/>
  <c r="CR348" i="2"/>
  <c r="CS346" i="2"/>
  <c r="CR349" i="2"/>
  <c r="CS348" i="2"/>
  <c r="CS345" i="2"/>
  <c r="CR346" i="2"/>
  <c r="CR345" i="2"/>
  <c r="CQ368" i="2"/>
  <c r="CQ345" i="2"/>
  <c r="CT368" i="2"/>
  <c r="CT349" i="2"/>
  <c r="CT346" i="2"/>
  <c r="CS368" i="2"/>
  <c r="CQ347" i="2"/>
  <c r="CS349" i="2"/>
  <c r="CQ353" i="2"/>
  <c r="CQ355" i="2"/>
  <c r="CQ352" i="2"/>
  <c r="CQ351" i="2"/>
  <c r="CQ350" i="2"/>
  <c r="CQ348" i="2"/>
  <c r="CQ354" i="2"/>
  <c r="CS351" i="2"/>
  <c r="CS350" i="2"/>
  <c r="CR352" i="2"/>
  <c r="CR353" i="2"/>
  <c r="CR351" i="2"/>
  <c r="CT366" i="2"/>
  <c r="CT364" i="2"/>
  <c r="CS366" i="2"/>
  <c r="CT361" i="2"/>
  <c r="CR365" i="2"/>
  <c r="CQ367" i="2"/>
  <c r="CT360" i="2"/>
  <c r="CR364" i="2"/>
  <c r="CT359" i="2"/>
  <c r="CS361" i="2"/>
  <c r="CQ365" i="2"/>
  <c r="CS360" i="2"/>
  <c r="CR362" i="2"/>
  <c r="CQ364" i="2"/>
  <c r="CT356" i="2"/>
  <c r="CS358" i="2"/>
  <c r="CR360" i="2"/>
  <c r="CQ362" i="2"/>
  <c r="CT355" i="2"/>
  <c r="CS357" i="2"/>
  <c r="CR359" i="2"/>
  <c r="CQ361" i="2"/>
  <c r="CT354" i="2"/>
  <c r="CS356" i="2"/>
  <c r="CR358" i="2"/>
  <c r="CT353" i="2"/>
  <c r="CS355" i="2"/>
  <c r="CR357" i="2"/>
  <c r="CQ359" i="2"/>
  <c r="CT352" i="2"/>
  <c r="CS354" i="2"/>
  <c r="CR356" i="2"/>
  <c r="CQ358" i="2"/>
  <c r="CQ357" i="2"/>
  <c r="CT363" i="2"/>
  <c r="CR367" i="2"/>
  <c r="CT362" i="2"/>
  <c r="CQ363" i="2"/>
  <c r="CT367" i="2"/>
  <c r="CT365" i="2"/>
  <c r="CR366" i="2"/>
  <c r="CS363" i="2"/>
  <c r="BJ366" i="2"/>
  <c r="CJ366" i="2"/>
  <c r="BJ365" i="2"/>
  <c r="BJ364" i="2"/>
  <c r="BJ363" i="2"/>
  <c r="BJ362" i="2"/>
  <c r="BJ361" i="2"/>
  <c r="H375" i="10"/>
  <c r="H382" i="10"/>
  <c r="CS425" i="2"/>
  <c r="V249" i="2"/>
  <c r="V250" i="2"/>
  <c r="V245" i="2"/>
  <c r="FN7" i="2"/>
  <c r="FS7" i="2"/>
  <c r="FT7" i="2"/>
  <c r="FN8" i="2"/>
  <c r="FS8" i="2"/>
  <c r="FT8" i="2"/>
  <c r="FN9" i="2"/>
  <c r="FS9" i="2"/>
  <c r="FT9" i="2"/>
  <c r="FN15" i="2"/>
  <c r="FS15" i="2"/>
  <c r="FT15" i="2"/>
  <c r="FN17" i="2"/>
  <c r="FS17" i="2"/>
  <c r="FT17" i="2"/>
  <c r="FN18" i="2"/>
  <c r="FS18" i="2"/>
  <c r="FT18" i="2"/>
  <c r="FN19" i="2"/>
  <c r="FS19" i="2"/>
  <c r="FT19" i="2"/>
  <c r="FN20" i="2"/>
  <c r="FS20" i="2"/>
  <c r="FT20" i="2"/>
  <c r="FN24" i="2"/>
  <c r="FS24" i="2"/>
  <c r="FT24" i="2"/>
  <c r="FN78" i="2"/>
  <c r="FS78" i="2"/>
  <c r="FT78" i="2"/>
  <c r="FN103" i="2"/>
  <c r="FS103" i="2"/>
  <c r="FT103" i="2"/>
  <c r="FN129" i="2"/>
  <c r="FN136" i="2"/>
  <c r="FS136" i="2"/>
  <c r="FT136" i="2"/>
  <c r="FN137" i="2"/>
  <c r="FS137" i="2"/>
  <c r="FT137" i="2"/>
  <c r="FN138" i="2"/>
  <c r="FS138" i="2"/>
  <c r="FT138" i="2"/>
  <c r="FN139" i="2"/>
  <c r="FS139" i="2"/>
  <c r="FT139" i="2"/>
  <c r="FN140" i="2"/>
  <c r="FS140" i="2"/>
  <c r="FT140" i="2"/>
  <c r="FN141" i="2"/>
  <c r="FS141" i="2"/>
  <c r="FT141" i="2"/>
  <c r="FN160" i="2"/>
  <c r="FS160" i="2"/>
  <c r="FT160" i="2"/>
  <c r="FN161" i="2"/>
  <c r="FS161" i="2"/>
  <c r="FT161" i="2"/>
  <c r="FN162" i="2"/>
  <c r="FS162" i="2"/>
  <c r="FT162" i="2"/>
  <c r="FN163" i="2"/>
  <c r="FN164" i="2"/>
  <c r="FN165" i="2"/>
  <c r="FN166" i="2"/>
  <c r="FN175" i="2"/>
  <c r="FN176" i="2"/>
  <c r="FN177" i="2"/>
  <c r="FN178" i="2"/>
  <c r="FN182" i="2"/>
  <c r="FN183" i="2"/>
  <c r="FN192" i="2"/>
  <c r="FN198" i="2"/>
  <c r="FN211" i="2"/>
  <c r="FN213" i="2"/>
  <c r="FN221" i="2"/>
  <c r="FN272" i="2"/>
  <c r="FS272" i="2"/>
  <c r="FT272" i="2"/>
  <c r="FN273" i="2"/>
  <c r="FS273" i="2"/>
  <c r="FT273" i="2"/>
  <c r="FN274" i="2"/>
  <c r="FS274" i="2"/>
  <c r="FT274" i="2"/>
  <c r="FN275" i="2"/>
  <c r="FS275" i="2"/>
  <c r="FT275" i="2"/>
  <c r="FN276" i="2"/>
  <c r="FS276" i="2"/>
  <c r="FT276" i="2"/>
  <c r="FN277" i="2"/>
  <c r="FS277" i="2"/>
  <c r="FT277" i="2"/>
  <c r="FN278" i="2"/>
  <c r="FS278" i="2"/>
  <c r="FT278" i="2"/>
  <c r="FN279" i="2"/>
  <c r="FS279" i="2"/>
  <c r="FT279" i="2"/>
  <c r="FN283" i="2"/>
  <c r="FS283" i="2"/>
  <c r="FT283" i="2"/>
  <c r="FN284" i="2"/>
  <c r="FS284" i="2"/>
  <c r="FT284" i="2"/>
  <c r="FN285" i="2"/>
  <c r="FS285" i="2"/>
  <c r="FT285" i="2"/>
  <c r="FN286" i="2"/>
  <c r="FS286" i="2"/>
  <c r="FT286" i="2"/>
  <c r="FN287" i="2"/>
  <c r="FS287" i="2"/>
  <c r="FT287" i="2"/>
  <c r="FN296" i="2"/>
  <c r="FN299" i="2"/>
  <c r="FN304" i="2"/>
  <c r="FN307" i="2"/>
  <c r="FN318" i="2"/>
  <c r="FN319" i="2"/>
  <c r="FS319" i="2"/>
  <c r="FT319" i="2"/>
  <c r="FN320" i="2"/>
  <c r="FS320" i="2"/>
  <c r="FT320" i="2"/>
  <c r="FN321" i="2"/>
  <c r="FS321" i="2"/>
  <c r="FT321" i="2"/>
  <c r="FN322" i="2"/>
  <c r="FN323" i="2"/>
  <c r="FS323" i="2"/>
  <c r="FT323" i="2"/>
  <c r="FN327" i="2"/>
  <c r="FN332" i="2"/>
  <c r="FN5" i="2"/>
  <c r="FS5" i="2"/>
  <c r="FT5" i="2"/>
  <c r="FN6" i="2"/>
  <c r="FS6" i="2"/>
  <c r="FT6" i="2"/>
  <c r="FN10" i="2"/>
  <c r="FS10" i="2"/>
  <c r="FT10" i="2"/>
  <c r="FN11" i="2"/>
  <c r="FS11" i="2"/>
  <c r="FT11" i="2"/>
  <c r="FN12" i="2"/>
  <c r="FS12" i="2"/>
  <c r="FT12" i="2"/>
  <c r="FN13" i="2"/>
  <c r="FS13" i="2"/>
  <c r="FT13" i="2"/>
  <c r="FN14" i="2"/>
  <c r="FS14" i="2"/>
  <c r="FT14" i="2"/>
  <c r="FN16" i="2"/>
  <c r="FS16" i="2"/>
  <c r="FT16" i="2"/>
  <c r="FN21" i="2"/>
  <c r="FS21" i="2"/>
  <c r="FT21" i="2"/>
  <c r="FN22" i="2"/>
  <c r="FS22" i="2"/>
  <c r="FT22" i="2"/>
  <c r="FN23" i="2"/>
  <c r="FS23" i="2"/>
  <c r="FT23" i="2"/>
  <c r="FN25" i="2"/>
  <c r="FS25" i="2"/>
  <c r="FT25" i="2"/>
  <c r="FN26" i="2"/>
  <c r="FS26" i="2"/>
  <c r="FT26" i="2"/>
  <c r="FN27" i="2"/>
  <c r="FS27" i="2"/>
  <c r="FT27" i="2"/>
  <c r="FN28" i="2"/>
  <c r="FS28" i="2"/>
  <c r="FT28" i="2"/>
  <c r="FN29" i="2"/>
  <c r="FS29" i="2"/>
  <c r="FT29" i="2"/>
  <c r="FN30" i="2"/>
  <c r="FS30" i="2"/>
  <c r="FT30" i="2"/>
  <c r="FN31" i="2"/>
  <c r="FS31" i="2"/>
  <c r="FT31" i="2"/>
  <c r="FN32" i="2"/>
  <c r="FS32" i="2"/>
  <c r="FT32" i="2"/>
  <c r="FN33" i="2"/>
  <c r="FS33" i="2"/>
  <c r="FT33" i="2"/>
  <c r="FN34" i="2"/>
  <c r="FS34" i="2"/>
  <c r="FT34" i="2"/>
  <c r="FN35" i="2"/>
  <c r="FS35" i="2"/>
  <c r="FT35" i="2"/>
  <c r="FN36" i="2"/>
  <c r="FS36" i="2"/>
  <c r="FT36" i="2"/>
  <c r="FN37" i="2"/>
  <c r="FS37" i="2"/>
  <c r="FT37" i="2"/>
  <c r="FN38" i="2"/>
  <c r="FS38" i="2"/>
  <c r="FT38" i="2"/>
  <c r="FN39" i="2"/>
  <c r="FS39" i="2"/>
  <c r="FT39" i="2"/>
  <c r="FN40" i="2"/>
  <c r="FS40" i="2"/>
  <c r="FT40" i="2"/>
  <c r="FN41" i="2"/>
  <c r="FS41" i="2"/>
  <c r="FT41" i="2"/>
  <c r="FN42" i="2"/>
  <c r="FS42" i="2"/>
  <c r="FT42" i="2"/>
  <c r="FN43" i="2"/>
  <c r="FS43" i="2"/>
  <c r="FT43" i="2"/>
  <c r="FN44" i="2"/>
  <c r="FS44" i="2"/>
  <c r="FT44" i="2"/>
  <c r="FN45" i="2"/>
  <c r="FS45" i="2"/>
  <c r="FT45" i="2"/>
  <c r="FN46" i="2"/>
  <c r="FS46" i="2"/>
  <c r="FT46" i="2"/>
  <c r="FN47" i="2"/>
  <c r="FS47" i="2"/>
  <c r="FT47" i="2"/>
  <c r="FN48" i="2"/>
  <c r="FS48" i="2"/>
  <c r="FT48" i="2"/>
  <c r="FN49" i="2"/>
  <c r="FS49" i="2"/>
  <c r="FT49" i="2"/>
  <c r="FN50" i="2"/>
  <c r="FS50" i="2"/>
  <c r="FT50" i="2"/>
  <c r="FN51" i="2"/>
  <c r="FS51" i="2"/>
  <c r="FT51" i="2"/>
  <c r="FN52" i="2"/>
  <c r="FS52" i="2"/>
  <c r="FT52" i="2"/>
  <c r="FN53" i="2"/>
  <c r="FS53" i="2"/>
  <c r="FT53" i="2"/>
  <c r="FN54" i="2"/>
  <c r="FS54" i="2"/>
  <c r="FT54" i="2"/>
  <c r="FN55" i="2"/>
  <c r="FS55" i="2"/>
  <c r="FT55" i="2"/>
  <c r="FN56" i="2"/>
  <c r="FS56" i="2"/>
  <c r="FT56" i="2"/>
  <c r="FN57" i="2"/>
  <c r="FS57" i="2"/>
  <c r="FT57" i="2"/>
  <c r="FN58" i="2"/>
  <c r="FS58" i="2"/>
  <c r="FT58" i="2"/>
  <c r="FN59" i="2"/>
  <c r="FS59" i="2"/>
  <c r="FT59" i="2"/>
  <c r="FN60" i="2"/>
  <c r="FS60" i="2"/>
  <c r="FT60" i="2"/>
  <c r="FN61" i="2"/>
  <c r="FS61" i="2"/>
  <c r="FT61" i="2"/>
  <c r="FN62" i="2"/>
  <c r="FS62" i="2"/>
  <c r="FT62" i="2"/>
  <c r="FN63" i="2"/>
  <c r="FS63" i="2"/>
  <c r="FT63" i="2"/>
  <c r="FN64" i="2"/>
  <c r="FS64" i="2"/>
  <c r="FT64" i="2"/>
  <c r="FN65" i="2"/>
  <c r="FS65" i="2"/>
  <c r="FT65" i="2"/>
  <c r="FN66" i="2"/>
  <c r="FS66" i="2"/>
  <c r="FT66" i="2"/>
  <c r="FN67" i="2"/>
  <c r="FS67" i="2"/>
  <c r="FT67" i="2"/>
  <c r="FN68" i="2"/>
  <c r="FS68" i="2"/>
  <c r="FT68" i="2"/>
  <c r="FN69" i="2"/>
  <c r="FS69" i="2"/>
  <c r="FT69" i="2"/>
  <c r="FN70" i="2"/>
  <c r="FS70" i="2"/>
  <c r="FT70" i="2"/>
  <c r="FN71" i="2"/>
  <c r="FS71" i="2"/>
  <c r="FT71" i="2"/>
  <c r="FN72" i="2"/>
  <c r="FS72" i="2"/>
  <c r="FT72" i="2"/>
  <c r="FN73" i="2"/>
  <c r="FS73" i="2"/>
  <c r="FT73" i="2"/>
  <c r="FN74" i="2"/>
  <c r="FS74" i="2"/>
  <c r="FT74" i="2"/>
  <c r="FN75" i="2"/>
  <c r="FS75" i="2"/>
  <c r="FT75" i="2"/>
  <c r="FN76" i="2"/>
  <c r="FS76" i="2"/>
  <c r="FT76" i="2"/>
  <c r="FN77" i="2"/>
  <c r="FS77" i="2"/>
  <c r="FT77" i="2"/>
  <c r="FN79" i="2"/>
  <c r="FS79" i="2"/>
  <c r="FT79" i="2"/>
  <c r="FN80" i="2"/>
  <c r="FS80" i="2"/>
  <c r="FT80" i="2"/>
  <c r="FN81" i="2"/>
  <c r="FS81" i="2"/>
  <c r="FT81" i="2"/>
  <c r="FN82" i="2"/>
  <c r="FS82" i="2"/>
  <c r="FT82" i="2"/>
  <c r="FN83" i="2"/>
  <c r="FS83" i="2"/>
  <c r="FT83" i="2"/>
  <c r="FN84" i="2"/>
  <c r="FS84" i="2"/>
  <c r="FT84" i="2"/>
  <c r="FN85" i="2"/>
  <c r="FS85" i="2"/>
  <c r="FT85" i="2"/>
  <c r="FN86" i="2"/>
  <c r="FS86" i="2"/>
  <c r="FT86" i="2"/>
  <c r="FN87" i="2"/>
  <c r="FS87" i="2"/>
  <c r="FT87" i="2"/>
  <c r="FN88" i="2"/>
  <c r="FS88" i="2"/>
  <c r="FT88" i="2"/>
  <c r="FN89" i="2"/>
  <c r="FS89" i="2"/>
  <c r="FT89" i="2"/>
  <c r="FN90" i="2"/>
  <c r="FS90" i="2"/>
  <c r="FT90" i="2"/>
  <c r="FN91" i="2"/>
  <c r="FS91" i="2"/>
  <c r="FT91" i="2"/>
  <c r="FN92" i="2"/>
  <c r="FS92" i="2"/>
  <c r="FT92" i="2"/>
  <c r="FN93" i="2"/>
  <c r="FS93" i="2"/>
  <c r="FT93" i="2"/>
  <c r="FN94" i="2"/>
  <c r="FS94" i="2"/>
  <c r="FT94" i="2"/>
  <c r="FN95" i="2"/>
  <c r="FS95" i="2"/>
  <c r="FT95" i="2"/>
  <c r="FN96" i="2"/>
  <c r="FS96" i="2"/>
  <c r="FT96" i="2"/>
  <c r="FN97" i="2"/>
  <c r="FS97" i="2"/>
  <c r="FT97" i="2"/>
  <c r="FN98" i="2"/>
  <c r="FS98" i="2"/>
  <c r="FT98" i="2"/>
  <c r="FN99" i="2"/>
  <c r="FS99" i="2"/>
  <c r="FT99" i="2"/>
  <c r="FN100" i="2"/>
  <c r="FS100" i="2"/>
  <c r="FT100" i="2"/>
  <c r="FN101" i="2"/>
  <c r="FS101" i="2"/>
  <c r="FT101" i="2"/>
  <c r="FN102" i="2"/>
  <c r="FS102" i="2"/>
  <c r="FT102" i="2"/>
  <c r="FN104" i="2"/>
  <c r="FS104" i="2"/>
  <c r="FT104" i="2"/>
  <c r="FN105" i="2"/>
  <c r="FS105" i="2"/>
  <c r="FT105" i="2"/>
  <c r="FN106" i="2"/>
  <c r="FS106" i="2"/>
  <c r="FT106" i="2"/>
  <c r="FN107" i="2"/>
  <c r="FS107" i="2"/>
  <c r="FT107" i="2"/>
  <c r="FN108" i="2"/>
  <c r="FS108" i="2"/>
  <c r="FT108" i="2"/>
  <c r="FN109" i="2"/>
  <c r="FS109" i="2"/>
  <c r="FT109" i="2"/>
  <c r="FN110" i="2"/>
  <c r="FS110" i="2"/>
  <c r="FT110" i="2"/>
  <c r="FN111" i="2"/>
  <c r="FS111" i="2"/>
  <c r="FT111" i="2"/>
  <c r="FN112" i="2"/>
  <c r="FS112" i="2"/>
  <c r="FT112" i="2"/>
  <c r="FN113" i="2"/>
  <c r="FS113" i="2"/>
  <c r="FT113" i="2"/>
  <c r="FN114" i="2"/>
  <c r="FS114" i="2"/>
  <c r="FT114" i="2"/>
  <c r="FN115" i="2"/>
  <c r="FS115" i="2"/>
  <c r="FT115" i="2"/>
  <c r="FN116" i="2"/>
  <c r="FS116" i="2"/>
  <c r="FT116" i="2"/>
  <c r="FN117" i="2"/>
  <c r="FS117" i="2"/>
  <c r="FT117" i="2"/>
  <c r="FN118" i="2"/>
  <c r="FS118" i="2"/>
  <c r="FT118" i="2"/>
  <c r="FN119" i="2"/>
  <c r="FS119" i="2"/>
  <c r="FT119" i="2"/>
  <c r="FN120" i="2"/>
  <c r="FS120" i="2"/>
  <c r="FT120" i="2"/>
  <c r="FN121" i="2"/>
  <c r="FS121" i="2"/>
  <c r="FT121" i="2"/>
  <c r="FN122" i="2"/>
  <c r="FS122" i="2"/>
  <c r="FT122" i="2"/>
  <c r="FN123" i="2"/>
  <c r="FS123" i="2"/>
  <c r="FT123" i="2"/>
  <c r="FN124" i="2"/>
  <c r="FS124" i="2"/>
  <c r="FT124" i="2"/>
  <c r="FN125" i="2"/>
  <c r="FS125" i="2"/>
  <c r="FT125" i="2"/>
  <c r="FN126" i="2"/>
  <c r="FS126" i="2"/>
  <c r="FT126" i="2"/>
  <c r="FN127" i="2"/>
  <c r="FS127" i="2"/>
  <c r="FT127" i="2"/>
  <c r="FN128" i="2"/>
  <c r="FS128" i="2"/>
  <c r="FT128" i="2"/>
  <c r="FN130" i="2"/>
  <c r="FS130" i="2"/>
  <c r="FT130" i="2"/>
  <c r="FN131" i="2"/>
  <c r="FS131" i="2"/>
  <c r="FT131" i="2"/>
  <c r="FN132" i="2"/>
  <c r="FS132" i="2"/>
  <c r="FT132" i="2"/>
  <c r="FN133" i="2"/>
  <c r="FS133" i="2"/>
  <c r="FT133" i="2"/>
  <c r="FN134" i="2"/>
  <c r="FS134" i="2"/>
  <c r="FT134" i="2"/>
  <c r="FN135" i="2"/>
  <c r="FS135" i="2"/>
  <c r="FT135" i="2"/>
  <c r="FN142" i="2"/>
  <c r="FS142" i="2"/>
  <c r="FT142" i="2"/>
  <c r="FN143" i="2"/>
  <c r="FS143" i="2"/>
  <c r="FT143" i="2"/>
  <c r="FN144" i="2"/>
  <c r="FS144" i="2"/>
  <c r="FT144" i="2"/>
  <c r="FN145" i="2"/>
  <c r="FS145" i="2"/>
  <c r="FT145" i="2"/>
  <c r="FN146" i="2"/>
  <c r="FS146" i="2"/>
  <c r="FT146" i="2"/>
  <c r="FN147" i="2"/>
  <c r="FS147" i="2"/>
  <c r="FT147" i="2"/>
  <c r="FN148" i="2"/>
  <c r="FS148" i="2"/>
  <c r="FT148" i="2"/>
  <c r="FN149" i="2"/>
  <c r="FS149" i="2"/>
  <c r="FT149" i="2"/>
  <c r="FN150" i="2"/>
  <c r="FS150" i="2"/>
  <c r="FT150" i="2"/>
  <c r="FN151" i="2"/>
  <c r="FS151" i="2"/>
  <c r="FT151" i="2"/>
  <c r="FN152" i="2"/>
  <c r="FS152" i="2"/>
  <c r="FT152" i="2"/>
  <c r="FN153" i="2"/>
  <c r="FS153" i="2"/>
  <c r="FT153" i="2"/>
  <c r="FN154" i="2"/>
  <c r="FS154" i="2"/>
  <c r="FT154" i="2"/>
  <c r="FN155" i="2"/>
  <c r="FS155" i="2"/>
  <c r="FT155" i="2"/>
  <c r="FN156" i="2"/>
  <c r="FS156" i="2"/>
  <c r="FT156" i="2"/>
  <c r="FN157" i="2"/>
  <c r="FS157" i="2"/>
  <c r="FT157" i="2"/>
  <c r="FN158" i="2"/>
  <c r="FS158" i="2"/>
  <c r="FT158" i="2"/>
  <c r="FN159" i="2"/>
  <c r="FS159" i="2"/>
  <c r="FT159" i="2"/>
  <c r="FN167" i="2"/>
  <c r="FS167" i="2"/>
  <c r="FT167" i="2"/>
  <c r="FN168" i="2"/>
  <c r="FS168" i="2"/>
  <c r="FT168" i="2"/>
  <c r="FN169" i="2"/>
  <c r="FS169" i="2"/>
  <c r="FT169" i="2"/>
  <c r="FN170" i="2"/>
  <c r="FS170" i="2"/>
  <c r="FT170" i="2"/>
  <c r="FN171" i="2"/>
  <c r="FS171" i="2"/>
  <c r="FT171" i="2"/>
  <c r="FN172" i="2"/>
  <c r="FS172" i="2"/>
  <c r="FT172" i="2"/>
  <c r="FN173" i="2"/>
  <c r="FS173" i="2"/>
  <c r="FT173" i="2"/>
  <c r="FN174" i="2"/>
  <c r="FS174" i="2"/>
  <c r="FT174" i="2"/>
  <c r="FN179" i="2"/>
  <c r="FS179" i="2"/>
  <c r="FT179" i="2"/>
  <c r="FN180" i="2"/>
  <c r="FS180" i="2"/>
  <c r="FT180" i="2"/>
  <c r="FN181" i="2"/>
  <c r="FS181" i="2"/>
  <c r="FT181" i="2"/>
  <c r="FN184" i="2"/>
  <c r="FS184" i="2"/>
  <c r="FT184" i="2"/>
  <c r="FN185" i="2"/>
  <c r="FS185" i="2"/>
  <c r="FT185" i="2"/>
  <c r="FN186" i="2"/>
  <c r="FS186" i="2"/>
  <c r="FT186" i="2"/>
  <c r="FN187" i="2"/>
  <c r="FS187" i="2"/>
  <c r="FT187" i="2"/>
  <c r="FN188" i="2"/>
  <c r="FS188" i="2"/>
  <c r="FT188" i="2"/>
  <c r="FN189" i="2"/>
  <c r="FS189" i="2"/>
  <c r="FT189" i="2"/>
  <c r="FN190" i="2"/>
  <c r="FS190" i="2"/>
  <c r="FT190" i="2"/>
  <c r="FN191" i="2"/>
  <c r="FS191" i="2"/>
  <c r="FT191" i="2"/>
  <c r="FN193" i="2"/>
  <c r="FS193" i="2"/>
  <c r="FT193" i="2"/>
  <c r="FN194" i="2"/>
  <c r="FS194" i="2"/>
  <c r="FT194" i="2"/>
  <c r="FN195" i="2"/>
  <c r="FS195" i="2"/>
  <c r="FT195" i="2"/>
  <c r="FN196" i="2"/>
  <c r="FS196" i="2"/>
  <c r="FT196" i="2"/>
  <c r="FN197" i="2"/>
  <c r="FS197" i="2"/>
  <c r="FT197" i="2"/>
  <c r="FN199" i="2"/>
  <c r="FN200" i="2"/>
  <c r="FN201" i="2"/>
  <c r="FS201" i="2"/>
  <c r="FT201" i="2"/>
  <c r="FN202" i="2"/>
  <c r="FS202" i="2"/>
  <c r="FT202" i="2"/>
  <c r="FN203" i="2"/>
  <c r="FS203" i="2"/>
  <c r="FT203" i="2"/>
  <c r="FN204" i="2"/>
  <c r="FS204" i="2"/>
  <c r="FT204" i="2"/>
  <c r="FN205" i="2"/>
  <c r="FS205" i="2"/>
  <c r="FT205" i="2"/>
  <c r="FN206" i="2"/>
  <c r="FS206" i="2"/>
  <c r="FT206" i="2"/>
  <c r="FN207" i="2"/>
  <c r="FS207" i="2"/>
  <c r="FT207" i="2"/>
  <c r="FN208" i="2"/>
  <c r="FS208" i="2"/>
  <c r="FT208" i="2"/>
  <c r="FN209" i="2"/>
  <c r="FS209" i="2"/>
  <c r="FT209" i="2"/>
  <c r="FN210" i="2"/>
  <c r="FS210" i="2"/>
  <c r="FT210" i="2"/>
  <c r="FN212" i="2"/>
  <c r="FS212" i="2"/>
  <c r="FT212" i="2"/>
  <c r="FN214" i="2"/>
  <c r="FS214" i="2"/>
  <c r="FT214" i="2"/>
  <c r="FN215" i="2"/>
  <c r="FS215" i="2"/>
  <c r="FT215" i="2"/>
  <c r="FN216" i="2"/>
  <c r="FS216" i="2"/>
  <c r="FT216" i="2"/>
  <c r="FN217" i="2"/>
  <c r="FS217" i="2"/>
  <c r="FT217" i="2"/>
  <c r="FN218" i="2"/>
  <c r="FS218" i="2"/>
  <c r="FT218" i="2"/>
  <c r="FN219" i="2"/>
  <c r="FS219" i="2"/>
  <c r="FT219" i="2"/>
  <c r="FN220" i="2"/>
  <c r="FS220" i="2"/>
  <c r="FT220" i="2"/>
  <c r="FN222" i="2"/>
  <c r="FN223" i="2"/>
  <c r="FS223" i="2"/>
  <c r="FT223" i="2"/>
  <c r="FN224" i="2"/>
  <c r="FS224" i="2"/>
  <c r="FT224" i="2"/>
  <c r="FN225" i="2"/>
  <c r="FS225" i="2"/>
  <c r="FT225" i="2"/>
  <c r="FN226" i="2"/>
  <c r="FS226" i="2"/>
  <c r="FT226" i="2"/>
  <c r="FN227" i="2"/>
  <c r="FS227" i="2"/>
  <c r="FT227" i="2"/>
  <c r="FN228" i="2"/>
  <c r="FS228" i="2"/>
  <c r="FT228" i="2"/>
  <c r="FN229" i="2"/>
  <c r="FS229" i="2"/>
  <c r="FT229" i="2"/>
  <c r="FN230" i="2"/>
  <c r="FS230" i="2"/>
  <c r="FT230" i="2"/>
  <c r="FN231" i="2"/>
  <c r="FS231" i="2"/>
  <c r="FT231" i="2"/>
  <c r="FN232" i="2"/>
  <c r="FS232" i="2"/>
  <c r="FT232" i="2"/>
  <c r="FN233" i="2"/>
  <c r="FS233" i="2"/>
  <c r="FT233" i="2"/>
  <c r="FN234" i="2"/>
  <c r="FS234" i="2"/>
  <c r="FT234" i="2"/>
  <c r="FN235" i="2"/>
  <c r="FS235" i="2"/>
  <c r="FT235" i="2"/>
  <c r="FN236" i="2"/>
  <c r="FS236" i="2"/>
  <c r="FT236" i="2"/>
  <c r="FN237" i="2"/>
  <c r="FS237" i="2"/>
  <c r="FT237" i="2"/>
  <c r="FN238" i="2"/>
  <c r="FS238" i="2"/>
  <c r="FT238" i="2"/>
  <c r="FN239" i="2"/>
  <c r="FS239" i="2"/>
  <c r="FT239" i="2"/>
  <c r="FN240" i="2"/>
  <c r="FS240" i="2"/>
  <c r="FT240" i="2"/>
  <c r="FN241" i="2"/>
  <c r="FS241" i="2"/>
  <c r="FT241" i="2"/>
  <c r="FN242" i="2"/>
  <c r="FS242" i="2"/>
  <c r="FT242" i="2"/>
  <c r="FN243" i="2"/>
  <c r="FS243" i="2"/>
  <c r="FT243" i="2"/>
  <c r="FN244" i="2"/>
  <c r="FS244" i="2"/>
  <c r="FT244" i="2"/>
  <c r="FN245" i="2"/>
  <c r="FS245" i="2"/>
  <c r="FT245" i="2"/>
  <c r="FN246" i="2"/>
  <c r="FS246" i="2"/>
  <c r="FT246" i="2"/>
  <c r="FN247" i="2"/>
  <c r="FS247" i="2"/>
  <c r="FT247" i="2"/>
  <c r="FN248" i="2"/>
  <c r="FS248" i="2"/>
  <c r="FT248" i="2"/>
  <c r="FN249" i="2"/>
  <c r="FS249" i="2"/>
  <c r="FT249" i="2"/>
  <c r="FN250" i="2"/>
  <c r="FS250" i="2"/>
  <c r="FT250" i="2"/>
  <c r="FN251" i="2"/>
  <c r="FS251" i="2"/>
  <c r="FT251" i="2"/>
  <c r="FN252" i="2"/>
  <c r="FS252" i="2"/>
  <c r="FT252" i="2"/>
  <c r="FN253" i="2"/>
  <c r="FS253" i="2"/>
  <c r="FT253" i="2"/>
  <c r="FN254" i="2"/>
  <c r="FS254" i="2"/>
  <c r="FT254" i="2"/>
  <c r="FN255" i="2"/>
  <c r="FS255" i="2"/>
  <c r="FT255" i="2"/>
  <c r="FN256" i="2"/>
  <c r="FS256" i="2"/>
  <c r="FT256" i="2"/>
  <c r="FN257" i="2"/>
  <c r="FS257" i="2"/>
  <c r="FT257" i="2"/>
  <c r="FN258" i="2"/>
  <c r="FS258" i="2"/>
  <c r="FT258" i="2"/>
  <c r="FN259" i="2"/>
  <c r="FS259" i="2"/>
  <c r="FT259" i="2"/>
  <c r="FN260" i="2"/>
  <c r="FS260" i="2"/>
  <c r="FT260" i="2"/>
  <c r="FN261" i="2"/>
  <c r="FS261" i="2"/>
  <c r="FT261" i="2"/>
  <c r="FN262" i="2"/>
  <c r="FS262" i="2"/>
  <c r="FT262" i="2"/>
  <c r="FN263" i="2"/>
  <c r="FS263" i="2"/>
  <c r="FT263" i="2"/>
  <c r="FN264" i="2"/>
  <c r="FS264" i="2"/>
  <c r="FT264" i="2"/>
  <c r="FN265" i="2"/>
  <c r="FS265" i="2"/>
  <c r="FT265" i="2"/>
  <c r="FN266" i="2"/>
  <c r="FS266" i="2"/>
  <c r="FT266" i="2"/>
  <c r="FN267" i="2"/>
  <c r="FS267" i="2"/>
  <c r="FT267" i="2"/>
  <c r="FN268" i="2"/>
  <c r="FS268" i="2"/>
  <c r="FT268" i="2"/>
  <c r="FN269" i="2"/>
  <c r="FS269" i="2"/>
  <c r="FT269" i="2"/>
  <c r="FN270" i="2"/>
  <c r="FS270" i="2"/>
  <c r="FT270" i="2"/>
  <c r="FN271" i="2"/>
  <c r="FS271" i="2"/>
  <c r="FT271" i="2"/>
  <c r="FN280" i="2"/>
  <c r="FS280" i="2"/>
  <c r="FT280" i="2"/>
  <c r="FN281" i="2"/>
  <c r="FS281" i="2"/>
  <c r="FT281" i="2"/>
  <c r="FN282" i="2"/>
  <c r="FS282" i="2"/>
  <c r="FT282" i="2"/>
  <c r="FN288" i="2"/>
  <c r="FS288" i="2"/>
  <c r="FT288" i="2"/>
  <c r="FN289" i="2"/>
  <c r="FS289" i="2"/>
  <c r="FT289" i="2"/>
  <c r="FN290" i="2"/>
  <c r="FS290" i="2"/>
  <c r="FT290" i="2"/>
  <c r="FN291" i="2"/>
  <c r="FS291" i="2"/>
  <c r="FT291" i="2"/>
  <c r="FN292" i="2"/>
  <c r="FS292" i="2"/>
  <c r="FT292" i="2"/>
  <c r="FN293" i="2"/>
  <c r="FS293" i="2"/>
  <c r="FT293" i="2"/>
  <c r="FN294" i="2"/>
  <c r="FS294" i="2"/>
  <c r="FT294" i="2"/>
  <c r="FN295" i="2"/>
  <c r="FS295" i="2"/>
  <c r="FT295" i="2"/>
  <c r="FN297" i="2"/>
  <c r="FS297" i="2"/>
  <c r="FT297" i="2"/>
  <c r="FN298" i="2"/>
  <c r="FS298" i="2"/>
  <c r="FT298" i="2"/>
  <c r="FN300" i="2"/>
  <c r="FS300" i="2"/>
  <c r="FT300" i="2"/>
  <c r="FN301" i="2"/>
  <c r="FS301" i="2"/>
  <c r="FT301" i="2"/>
  <c r="FN302" i="2"/>
  <c r="FS302" i="2"/>
  <c r="FT302" i="2"/>
  <c r="FN303" i="2"/>
  <c r="FS303" i="2"/>
  <c r="FT303" i="2"/>
  <c r="FN305" i="2"/>
  <c r="FS305" i="2"/>
  <c r="FT305" i="2"/>
  <c r="FN306" i="2"/>
  <c r="FS306" i="2"/>
  <c r="FT306" i="2"/>
  <c r="FN308" i="2"/>
  <c r="FS308" i="2"/>
  <c r="FT308" i="2"/>
  <c r="FN309" i="2"/>
  <c r="FS309" i="2"/>
  <c r="FT309" i="2"/>
  <c r="FN310" i="2"/>
  <c r="FS310" i="2"/>
  <c r="FT310" i="2"/>
  <c r="FN311" i="2"/>
  <c r="FS311" i="2"/>
  <c r="FT311" i="2"/>
  <c r="FN312" i="2"/>
  <c r="FS312" i="2"/>
  <c r="FT312" i="2"/>
  <c r="FN313" i="2"/>
  <c r="FS313" i="2"/>
  <c r="FT313" i="2"/>
  <c r="FN314" i="2"/>
  <c r="FS314" i="2"/>
  <c r="FT314" i="2"/>
  <c r="FN315" i="2"/>
  <c r="FS315" i="2"/>
  <c r="FT315" i="2"/>
  <c r="FN316" i="2"/>
  <c r="FS316" i="2"/>
  <c r="FT316" i="2"/>
  <c r="FN317" i="2"/>
  <c r="FS317" i="2"/>
  <c r="FT317" i="2"/>
  <c r="FN324" i="2"/>
  <c r="FS324" i="2"/>
  <c r="FT324" i="2"/>
  <c r="FN325" i="2"/>
  <c r="FS325" i="2"/>
  <c r="FT325" i="2"/>
  <c r="FN326" i="2"/>
  <c r="FS326" i="2"/>
  <c r="FT326" i="2"/>
  <c r="FN328" i="2"/>
  <c r="FS328" i="2"/>
  <c r="FT328" i="2"/>
  <c r="FN329" i="2"/>
  <c r="FS329" i="2"/>
  <c r="FT329" i="2"/>
  <c r="FN330" i="2"/>
  <c r="FS330" i="2"/>
  <c r="FT330" i="2"/>
  <c r="FN331" i="2"/>
  <c r="FS331" i="2"/>
  <c r="FT331" i="2"/>
  <c r="FN333" i="2"/>
  <c r="FS333" i="2"/>
  <c r="FT333" i="2"/>
  <c r="FN334" i="2"/>
  <c r="FS334" i="2"/>
  <c r="FT334" i="2"/>
  <c r="FN335" i="2"/>
  <c r="FS335" i="2"/>
  <c r="FT335" i="2"/>
  <c r="FN336" i="2"/>
  <c r="FS336" i="2"/>
  <c r="FT336" i="2"/>
  <c r="FN337" i="2"/>
  <c r="FS337" i="2"/>
  <c r="FT337" i="2"/>
  <c r="FN338" i="2"/>
  <c r="FS338" i="2"/>
  <c r="FT338" i="2"/>
  <c r="FN339" i="2"/>
  <c r="FS339" i="2"/>
  <c r="FT339" i="2"/>
  <c r="FN340" i="2"/>
  <c r="FS340" i="2"/>
  <c r="FT340" i="2"/>
  <c r="FN341" i="2"/>
  <c r="FS341" i="2"/>
  <c r="FT341" i="2"/>
  <c r="FN342" i="2"/>
  <c r="FS342" i="2"/>
  <c r="FT342" i="2"/>
  <c r="FN343" i="2"/>
  <c r="FS343" i="2"/>
  <c r="FT343" i="2"/>
  <c r="FN344" i="2"/>
  <c r="FS344" i="2"/>
  <c r="FT344" i="2"/>
  <c r="FV7" i="2"/>
  <c r="FV8" i="2"/>
  <c r="FV9" i="2"/>
  <c r="FV10" i="2"/>
  <c r="FV11" i="2"/>
  <c r="FV15" i="2"/>
  <c r="FV16" i="2"/>
  <c r="FV17" i="2"/>
  <c r="FV18" i="2"/>
  <c r="FV19" i="2"/>
  <c r="FV20" i="2"/>
  <c r="FV21" i="2"/>
  <c r="FV22" i="2"/>
  <c r="FV23" i="2"/>
  <c r="FV24" i="2"/>
  <c r="FV26" i="2"/>
  <c r="FV27" i="2"/>
  <c r="FV28" i="2"/>
  <c r="FV29" i="2"/>
  <c r="FV32" i="2"/>
  <c r="FV33" i="2"/>
  <c r="FV34" i="2"/>
  <c r="FV35" i="2"/>
  <c r="FV36" i="2"/>
  <c r="FV46" i="2"/>
  <c r="FV47" i="2"/>
  <c r="FV48" i="2"/>
  <c r="FV49" i="2"/>
  <c r="FV50" i="2"/>
  <c r="FV51" i="2"/>
  <c r="FV52" i="2"/>
  <c r="FV53" i="2"/>
  <c r="FV64" i="2"/>
  <c r="FV65" i="2"/>
  <c r="FV66" i="2"/>
  <c r="FV67" i="2"/>
  <c r="FV68" i="2"/>
  <c r="FV69" i="2"/>
  <c r="FV70" i="2"/>
  <c r="FV71" i="2"/>
  <c r="FV72" i="2"/>
  <c r="FV73" i="2"/>
  <c r="FV74" i="2"/>
  <c r="FV75" i="2"/>
  <c r="FV76" i="2"/>
  <c r="FV77" i="2"/>
  <c r="FV78" i="2"/>
  <c r="FV79" i="2"/>
  <c r="FV80" i="2"/>
  <c r="FV83" i="2"/>
  <c r="FV88" i="2"/>
  <c r="FV89" i="2"/>
  <c r="FV90" i="2"/>
  <c r="FV91" i="2"/>
  <c r="FV92" i="2"/>
  <c r="FV93" i="2"/>
  <c r="FV94" i="2"/>
  <c r="FV95" i="2"/>
  <c r="FV96" i="2"/>
  <c r="FV97" i="2"/>
  <c r="FV98" i="2"/>
  <c r="FV99" i="2"/>
  <c r="FV100" i="2"/>
  <c r="FV101" i="2"/>
  <c r="FV102" i="2"/>
  <c r="FV103" i="2"/>
  <c r="FV105" i="2"/>
  <c r="FV106" i="2"/>
  <c r="FV107" i="2"/>
  <c r="FV109" i="2"/>
  <c r="FV110" i="2"/>
  <c r="FV111" i="2"/>
  <c r="FV112" i="2"/>
  <c r="FV113" i="2"/>
  <c r="FV114" i="2"/>
  <c r="FV115" i="2"/>
  <c r="FV116" i="2"/>
  <c r="FV117" i="2"/>
  <c r="FV118" i="2"/>
  <c r="FV119" i="2"/>
  <c r="FV120" i="2"/>
  <c r="FV122" i="2"/>
  <c r="FV123" i="2"/>
  <c r="FV125" i="2"/>
  <c r="FV127" i="2"/>
  <c r="FV129" i="2"/>
  <c r="FV130" i="2"/>
  <c r="FV131" i="2"/>
  <c r="FV132" i="2"/>
  <c r="FV133" i="2"/>
  <c r="FV134" i="2"/>
  <c r="FV135" i="2"/>
  <c r="FV136" i="2"/>
  <c r="FV137" i="2"/>
  <c r="FV138" i="2"/>
  <c r="FV139" i="2"/>
  <c r="FV140" i="2"/>
  <c r="FV141" i="2"/>
  <c r="FV142" i="2"/>
  <c r="FV143" i="2"/>
  <c r="FV144" i="2"/>
  <c r="FV145" i="2"/>
  <c r="FV146" i="2"/>
  <c r="FV147" i="2"/>
  <c r="FV148" i="2"/>
  <c r="FV149" i="2"/>
  <c r="FV150" i="2"/>
  <c r="FV151" i="2"/>
  <c r="FV152" i="2"/>
  <c r="FV153" i="2"/>
  <c r="FV154" i="2"/>
  <c r="FV155" i="2"/>
  <c r="FV156" i="2"/>
  <c r="FV157" i="2"/>
  <c r="FV158" i="2"/>
  <c r="FV159" i="2"/>
  <c r="FV160" i="2"/>
  <c r="FV161" i="2"/>
  <c r="FV162" i="2"/>
  <c r="FV163" i="2"/>
  <c r="FV164" i="2"/>
  <c r="FV165" i="2"/>
  <c r="FV166" i="2"/>
  <c r="FV167" i="2"/>
  <c r="FV168" i="2"/>
  <c r="FV169" i="2"/>
  <c r="FV170" i="2"/>
  <c r="FV171" i="2"/>
  <c r="FV172" i="2"/>
  <c r="FV173" i="2"/>
  <c r="FV174" i="2"/>
  <c r="FV175" i="2"/>
  <c r="FV176" i="2"/>
  <c r="FV177" i="2"/>
  <c r="FV178" i="2"/>
  <c r="FV179" i="2"/>
  <c r="FV180" i="2"/>
  <c r="FV181" i="2"/>
  <c r="FV182" i="2"/>
  <c r="FV183" i="2"/>
  <c r="FV184" i="2"/>
  <c r="FV185" i="2"/>
  <c r="FV186" i="2"/>
  <c r="FV187" i="2"/>
  <c r="FV188" i="2"/>
  <c r="FV189" i="2"/>
  <c r="FV190" i="2"/>
  <c r="FV191" i="2"/>
  <c r="FV192" i="2"/>
  <c r="FV193" i="2"/>
  <c r="FV194" i="2"/>
  <c r="FV195" i="2"/>
  <c r="FV196" i="2"/>
  <c r="FV197" i="2"/>
  <c r="FV198" i="2"/>
  <c r="FV199" i="2"/>
  <c r="FV200" i="2"/>
  <c r="FV201" i="2"/>
  <c r="FV202" i="2"/>
  <c r="FV203" i="2"/>
  <c r="FV204" i="2"/>
  <c r="FV205" i="2"/>
  <c r="FV206" i="2"/>
  <c r="FV207" i="2"/>
  <c r="FV208" i="2"/>
  <c r="FV209" i="2"/>
  <c r="FV210" i="2"/>
  <c r="FV211" i="2"/>
  <c r="FV212" i="2"/>
  <c r="FV213" i="2"/>
  <c r="FV214" i="2"/>
  <c r="FV215" i="2"/>
  <c r="FV216" i="2"/>
  <c r="FV217" i="2"/>
  <c r="FV218" i="2"/>
  <c r="FV219" i="2"/>
  <c r="FV220" i="2"/>
  <c r="FV221" i="2"/>
  <c r="FV222" i="2"/>
  <c r="FV223" i="2"/>
  <c r="FV224" i="2"/>
  <c r="FV225" i="2"/>
  <c r="FV226" i="2"/>
  <c r="FV227" i="2"/>
  <c r="FV228" i="2"/>
  <c r="FV229" i="2"/>
  <c r="FV230" i="2"/>
  <c r="FV231" i="2"/>
  <c r="FV232" i="2"/>
  <c r="FV233" i="2"/>
  <c r="FV234" i="2"/>
  <c r="FV235" i="2"/>
  <c r="FV236" i="2"/>
  <c r="FV237" i="2"/>
  <c r="FV238" i="2"/>
  <c r="FV239" i="2"/>
  <c r="FV240" i="2"/>
  <c r="FV241" i="2"/>
  <c r="FV242" i="2"/>
  <c r="FV243" i="2"/>
  <c r="FV244" i="2"/>
  <c r="FV245" i="2"/>
  <c r="FV246" i="2"/>
  <c r="FV247" i="2"/>
  <c r="FV248" i="2"/>
  <c r="FV249" i="2"/>
  <c r="FV250" i="2"/>
  <c r="FV251" i="2"/>
  <c r="FV252" i="2"/>
  <c r="FV253" i="2"/>
  <c r="FV254" i="2"/>
  <c r="FV255" i="2"/>
  <c r="FV256" i="2"/>
  <c r="FV257" i="2"/>
  <c r="FV258" i="2"/>
  <c r="FV259" i="2"/>
  <c r="FV260" i="2"/>
  <c r="FV261" i="2"/>
  <c r="FV262" i="2"/>
  <c r="FV263" i="2"/>
  <c r="FV264" i="2"/>
  <c r="FV265" i="2"/>
  <c r="FV266" i="2"/>
  <c r="FV267" i="2"/>
  <c r="FV268" i="2"/>
  <c r="FV269" i="2"/>
  <c r="FV270" i="2"/>
  <c r="FV271" i="2"/>
  <c r="FV272" i="2"/>
  <c r="FV273" i="2"/>
  <c r="FV274" i="2"/>
  <c r="FV275" i="2"/>
  <c r="FV276" i="2"/>
  <c r="FV277" i="2"/>
  <c r="FV278" i="2"/>
  <c r="FV279" i="2"/>
  <c r="FV280" i="2"/>
  <c r="FV281" i="2"/>
  <c r="FV282" i="2"/>
  <c r="FV283" i="2"/>
  <c r="FV284" i="2"/>
  <c r="FV285" i="2"/>
  <c r="FV286" i="2"/>
  <c r="FV287" i="2"/>
  <c r="FV288" i="2"/>
  <c r="FV289" i="2"/>
  <c r="FV290" i="2"/>
  <c r="FV291" i="2"/>
  <c r="FV292" i="2"/>
  <c r="FV293" i="2"/>
  <c r="FV294" i="2"/>
  <c r="FV295" i="2"/>
  <c r="FV296" i="2"/>
  <c r="FV297" i="2"/>
  <c r="FV298" i="2"/>
  <c r="FV299" i="2"/>
  <c r="FV300" i="2"/>
  <c r="FV301" i="2"/>
  <c r="FV302" i="2"/>
  <c r="FV303" i="2"/>
  <c r="FV304" i="2"/>
  <c r="FV305" i="2"/>
  <c r="FV306" i="2"/>
  <c r="FV307" i="2"/>
  <c r="FV308" i="2"/>
  <c r="FV309" i="2"/>
  <c r="FV310" i="2"/>
  <c r="FV311" i="2"/>
  <c r="FV312" i="2"/>
  <c r="FV313" i="2"/>
  <c r="FV314" i="2"/>
  <c r="FV315" i="2"/>
  <c r="FV316" i="2"/>
  <c r="FV317" i="2"/>
  <c r="FV318" i="2"/>
  <c r="FV319" i="2"/>
  <c r="FV320" i="2"/>
  <c r="FV321" i="2"/>
  <c r="FV322" i="2"/>
  <c r="FV323" i="2"/>
  <c r="FV324" i="2"/>
  <c r="FV325" i="2"/>
  <c r="FV326" i="2"/>
  <c r="FV327" i="2"/>
  <c r="FV328" i="2"/>
  <c r="FV329" i="2"/>
  <c r="FV330" i="2"/>
  <c r="FV331" i="2"/>
  <c r="FV332" i="2"/>
  <c r="FV333" i="2"/>
  <c r="FV334" i="2"/>
  <c r="FV335" i="2"/>
  <c r="FV336" i="2"/>
  <c r="FV337" i="2"/>
  <c r="FV338" i="2"/>
  <c r="FV339" i="2"/>
  <c r="FV340" i="2"/>
  <c r="FV341" i="2"/>
  <c r="FV342" i="2"/>
  <c r="FV343" i="2"/>
  <c r="FV344" i="2"/>
  <c r="FV6" i="2"/>
  <c r="FV12" i="2"/>
  <c r="FV13" i="2"/>
  <c r="FV14" i="2"/>
  <c r="FV25" i="2"/>
  <c r="FV30" i="2"/>
  <c r="FV31" i="2"/>
  <c r="FV37" i="2"/>
  <c r="FV38" i="2"/>
  <c r="FV39" i="2"/>
  <c r="FV40" i="2"/>
  <c r="FV41" i="2"/>
  <c r="FV42" i="2"/>
  <c r="FV43" i="2"/>
  <c r="FV44" i="2"/>
  <c r="FV45" i="2"/>
  <c r="FV54" i="2"/>
  <c r="FV55" i="2"/>
  <c r="FV56" i="2"/>
  <c r="FV57" i="2"/>
  <c r="FV58" i="2"/>
  <c r="FV59" i="2"/>
  <c r="FV60" i="2"/>
  <c r="FV61" i="2"/>
  <c r="FV62" i="2"/>
  <c r="FV63" i="2"/>
  <c r="FV81" i="2"/>
  <c r="FV82" i="2"/>
  <c r="FV84" i="2"/>
  <c r="FV85" i="2"/>
  <c r="FV86" i="2"/>
  <c r="FV87" i="2"/>
  <c r="FV104" i="2"/>
  <c r="FV108" i="2"/>
  <c r="FV121" i="2"/>
  <c r="FV124" i="2"/>
  <c r="FV126" i="2"/>
  <c r="FV128" i="2"/>
  <c r="FV5" i="2"/>
  <c r="BM3" i="2"/>
  <c r="BQ3" i="2"/>
  <c r="BR3" i="2"/>
  <c r="BS3" i="2"/>
  <c r="BT3" i="2"/>
  <c r="BU3" i="2"/>
  <c r="BV3" i="2"/>
  <c r="BX3" i="2"/>
  <c r="CC3" i="2"/>
  <c r="CD3" i="2"/>
  <c r="BJ226" i="2"/>
  <c r="V262" i="2"/>
  <c r="V266" i="2"/>
  <c r="V267" i="2"/>
  <c r="V268" i="2"/>
  <c r="V269" i="2"/>
  <c r="BJ310" i="2"/>
  <c r="W310" i="2"/>
  <c r="P261" i="2"/>
  <c r="HC5" i="2"/>
  <c r="HC6" i="2"/>
  <c r="HC7" i="2"/>
  <c r="HC8" i="2"/>
  <c r="HC9" i="2"/>
  <c r="HC10" i="2"/>
  <c r="HC11" i="2"/>
  <c r="HC12" i="2"/>
  <c r="HC13" i="2"/>
  <c r="HC14" i="2"/>
  <c r="HC15" i="2"/>
  <c r="HC16" i="2"/>
  <c r="HC17" i="2"/>
  <c r="HC18" i="2"/>
  <c r="HC19" i="2"/>
  <c r="HC20" i="2"/>
  <c r="HC21" i="2"/>
  <c r="HC22" i="2"/>
  <c r="HC23" i="2"/>
  <c r="HC24" i="2"/>
  <c r="HC25" i="2"/>
  <c r="HC26" i="2"/>
  <c r="HC27" i="2"/>
  <c r="HC28" i="2"/>
  <c r="HC29" i="2"/>
  <c r="HC30" i="2"/>
  <c r="HC31" i="2"/>
  <c r="HC32" i="2"/>
  <c r="HC33" i="2"/>
  <c r="HC34" i="2"/>
  <c r="HC35" i="2"/>
  <c r="HC36" i="2"/>
  <c r="HC37" i="2"/>
  <c r="HC38" i="2"/>
  <c r="HC39" i="2"/>
  <c r="HC40" i="2"/>
  <c r="HC41" i="2"/>
  <c r="HC42" i="2"/>
  <c r="HC43" i="2"/>
  <c r="HC44" i="2"/>
  <c r="HC45" i="2"/>
  <c r="HC46" i="2"/>
  <c r="HC47" i="2"/>
  <c r="HC48" i="2"/>
  <c r="HC49" i="2"/>
  <c r="HC50" i="2"/>
  <c r="HC51" i="2"/>
  <c r="HC52" i="2"/>
  <c r="HC53" i="2"/>
  <c r="HC54" i="2"/>
  <c r="HC55" i="2"/>
  <c r="HC56" i="2"/>
  <c r="HC57" i="2"/>
  <c r="HC58" i="2"/>
  <c r="HC59" i="2"/>
  <c r="HC60" i="2"/>
  <c r="HC61" i="2"/>
  <c r="HC62" i="2"/>
  <c r="HC63" i="2"/>
  <c r="HC64" i="2"/>
  <c r="HC65" i="2"/>
  <c r="HC66" i="2"/>
  <c r="HC67" i="2"/>
  <c r="HC68" i="2"/>
  <c r="HC69" i="2"/>
  <c r="HC70" i="2"/>
  <c r="HC71" i="2"/>
  <c r="HC72" i="2"/>
  <c r="HC73" i="2"/>
  <c r="HC74" i="2"/>
  <c r="HC75" i="2"/>
  <c r="HC76" i="2"/>
  <c r="HC77" i="2"/>
  <c r="HC78" i="2"/>
  <c r="HC79" i="2"/>
  <c r="HC80" i="2"/>
  <c r="HC81" i="2"/>
  <c r="HC82" i="2"/>
  <c r="HC83" i="2"/>
  <c r="HC84" i="2"/>
  <c r="HC85" i="2"/>
  <c r="HC86" i="2"/>
  <c r="HC87" i="2"/>
  <c r="HC88" i="2"/>
  <c r="HC89" i="2"/>
  <c r="HC90" i="2"/>
  <c r="HC91" i="2"/>
  <c r="HC92" i="2"/>
  <c r="HC93" i="2"/>
  <c r="HC94" i="2"/>
  <c r="HC95" i="2"/>
  <c r="HC96" i="2"/>
  <c r="HC97" i="2"/>
  <c r="HC98" i="2"/>
  <c r="HC99" i="2"/>
  <c r="HC100" i="2"/>
  <c r="HC101" i="2"/>
  <c r="HC102" i="2"/>
  <c r="HC103" i="2"/>
  <c r="HC104" i="2"/>
  <c r="HC105" i="2"/>
  <c r="HC106" i="2"/>
  <c r="HC107" i="2"/>
  <c r="HC108" i="2"/>
  <c r="HC109" i="2"/>
  <c r="HC110" i="2"/>
  <c r="HC111" i="2"/>
  <c r="HC112" i="2"/>
  <c r="HC113" i="2"/>
  <c r="HC114" i="2"/>
  <c r="HC115" i="2"/>
  <c r="HC116" i="2"/>
  <c r="HC117" i="2"/>
  <c r="HC118" i="2"/>
  <c r="HC119" i="2"/>
  <c r="HC120" i="2"/>
  <c r="HC121" i="2"/>
  <c r="HC122" i="2"/>
  <c r="HC123" i="2"/>
  <c r="HC124" i="2"/>
  <c r="HC125" i="2"/>
  <c r="HC126" i="2"/>
  <c r="HC127" i="2"/>
  <c r="HC128" i="2"/>
  <c r="HC129" i="2"/>
  <c r="HC130" i="2"/>
  <c r="HC131" i="2"/>
  <c r="HC132" i="2"/>
  <c r="HC133" i="2"/>
  <c r="HC134" i="2"/>
  <c r="HC135" i="2"/>
  <c r="HC136" i="2"/>
  <c r="HC137" i="2"/>
  <c r="HC138" i="2"/>
  <c r="HC139" i="2"/>
  <c r="HC140" i="2"/>
  <c r="HC141" i="2"/>
  <c r="HC142" i="2"/>
  <c r="HC143" i="2"/>
  <c r="HC144" i="2"/>
  <c r="HC145" i="2"/>
  <c r="HC146" i="2"/>
  <c r="HC147" i="2"/>
  <c r="HC148" i="2"/>
  <c r="HC149" i="2"/>
  <c r="HC150" i="2"/>
  <c r="HC151" i="2"/>
  <c r="HC152" i="2"/>
  <c r="HC153" i="2"/>
  <c r="HC154" i="2"/>
  <c r="HC155" i="2"/>
  <c r="HC156" i="2"/>
  <c r="HC157" i="2"/>
  <c r="HC158" i="2"/>
  <c r="HC159" i="2"/>
  <c r="HC160" i="2"/>
  <c r="HC161" i="2"/>
  <c r="HC162" i="2"/>
  <c r="HC163" i="2"/>
  <c r="HC164" i="2"/>
  <c r="HC165" i="2"/>
  <c r="HC166" i="2"/>
  <c r="HC167" i="2"/>
  <c r="HC168" i="2"/>
  <c r="HC169" i="2"/>
  <c r="HC170" i="2"/>
  <c r="HC171" i="2"/>
  <c r="HC172" i="2"/>
  <c r="HC173" i="2"/>
  <c r="HC174" i="2"/>
  <c r="HC175" i="2"/>
  <c r="HC176" i="2"/>
  <c r="HC177" i="2"/>
  <c r="HC178" i="2"/>
  <c r="HC179" i="2"/>
  <c r="HC180" i="2"/>
  <c r="HC181" i="2"/>
  <c r="HC182" i="2"/>
  <c r="HC183" i="2"/>
  <c r="HC184" i="2"/>
  <c r="HC185" i="2"/>
  <c r="HC186" i="2"/>
  <c r="HC187" i="2"/>
  <c r="HC188" i="2"/>
  <c r="HC189" i="2"/>
  <c r="HC190" i="2"/>
  <c r="HC191" i="2"/>
  <c r="HC192" i="2"/>
  <c r="HC193" i="2"/>
  <c r="HC194" i="2"/>
  <c r="HC195" i="2"/>
  <c r="HC196" i="2"/>
  <c r="HC197" i="2"/>
  <c r="HC198" i="2"/>
  <c r="HC199" i="2"/>
  <c r="HC200" i="2"/>
  <c r="HC201" i="2"/>
  <c r="HC202" i="2"/>
  <c r="HC203" i="2"/>
  <c r="HC204" i="2"/>
  <c r="HC205" i="2"/>
  <c r="HC206" i="2"/>
  <c r="HC207" i="2"/>
  <c r="HC208" i="2"/>
  <c r="HC209" i="2"/>
  <c r="HC210" i="2"/>
  <c r="HC211" i="2"/>
  <c r="HC212" i="2"/>
  <c r="HC213" i="2"/>
  <c r="HC214" i="2"/>
  <c r="HC215" i="2"/>
  <c r="HC216" i="2"/>
  <c r="HC217" i="2"/>
  <c r="HC218" i="2"/>
  <c r="HC219" i="2"/>
  <c r="HC220" i="2"/>
  <c r="HC221" i="2"/>
  <c r="HC222" i="2"/>
  <c r="HC223" i="2"/>
  <c r="HC224" i="2"/>
  <c r="HC225" i="2"/>
  <c r="HC226" i="2"/>
  <c r="HC227" i="2"/>
  <c r="HC228" i="2"/>
  <c r="HC229" i="2"/>
  <c r="HC230" i="2"/>
  <c r="HC231" i="2"/>
  <c r="HC232" i="2"/>
  <c r="HC233" i="2"/>
  <c r="HC234" i="2"/>
  <c r="HC235" i="2"/>
  <c r="HC236" i="2"/>
  <c r="HC237" i="2"/>
  <c r="HC238" i="2"/>
  <c r="HC239" i="2"/>
  <c r="HC240" i="2"/>
  <c r="HC241" i="2"/>
  <c r="HC242" i="2"/>
  <c r="HC243" i="2"/>
  <c r="HC244" i="2"/>
  <c r="HC245" i="2"/>
  <c r="HC246" i="2"/>
  <c r="HC247" i="2"/>
  <c r="HC248" i="2"/>
  <c r="HC249" i="2"/>
  <c r="HC250" i="2"/>
  <c r="HC251" i="2"/>
  <c r="HC252" i="2"/>
  <c r="HC253" i="2"/>
  <c r="HC254" i="2"/>
  <c r="HC255" i="2"/>
  <c r="HC256" i="2"/>
  <c r="HC257" i="2"/>
  <c r="HC258" i="2"/>
  <c r="HC259" i="2"/>
  <c r="HC260" i="2"/>
  <c r="HC261" i="2"/>
  <c r="HC262" i="2"/>
  <c r="HC263" i="2"/>
  <c r="HC264" i="2"/>
  <c r="HC265" i="2"/>
  <c r="HC266" i="2"/>
  <c r="HC267" i="2"/>
  <c r="HC268" i="2"/>
  <c r="HC269" i="2"/>
  <c r="HC270" i="2"/>
  <c r="HC271" i="2"/>
  <c r="HC272" i="2"/>
  <c r="HC273" i="2"/>
  <c r="HC274" i="2"/>
  <c r="HC275" i="2"/>
  <c r="HC276" i="2"/>
  <c r="HC277" i="2"/>
  <c r="HC278" i="2"/>
  <c r="HC279" i="2"/>
  <c r="HC280" i="2"/>
  <c r="HC281" i="2"/>
  <c r="HC282" i="2"/>
  <c r="HC284" i="2"/>
  <c r="HC285" i="2"/>
  <c r="HC286" i="2"/>
  <c r="HC287" i="2"/>
  <c r="HC288" i="2"/>
  <c r="HC289" i="2"/>
  <c r="HC290" i="2"/>
  <c r="HC291" i="2"/>
  <c r="HC292" i="2"/>
  <c r="HC293" i="2"/>
  <c r="HC294" i="2"/>
  <c r="HC295" i="2"/>
  <c r="HC296" i="2"/>
  <c r="HC297" i="2"/>
  <c r="HC298" i="2"/>
  <c r="HC299" i="2"/>
  <c r="HC300" i="2"/>
  <c r="HC301" i="2"/>
  <c r="HC302" i="2"/>
  <c r="HC303" i="2"/>
  <c r="HC304" i="2"/>
  <c r="HC305" i="2"/>
  <c r="HC306" i="2"/>
  <c r="HC307" i="2"/>
  <c r="HC308" i="2"/>
  <c r="HC309" i="2"/>
  <c r="HC310" i="2"/>
  <c r="HC311" i="2"/>
  <c r="HC312" i="2"/>
  <c r="HC313" i="2"/>
  <c r="HC314" i="2"/>
  <c r="HC315" i="2"/>
  <c r="HC316" i="2"/>
  <c r="HC317" i="2"/>
  <c r="HC318" i="2"/>
  <c r="HC319" i="2"/>
  <c r="HC320" i="2"/>
  <c r="HC321" i="2"/>
  <c r="HC322" i="2"/>
  <c r="HC323" i="2"/>
  <c r="HC324" i="2"/>
  <c r="HC325" i="2"/>
  <c r="HC326" i="2"/>
  <c r="HC327" i="2"/>
  <c r="HC328" i="2"/>
  <c r="HC329" i="2"/>
  <c r="HC330" i="2"/>
  <c r="HC331" i="2"/>
  <c r="HC332" i="2"/>
  <c r="HC333" i="2"/>
  <c r="HC334" i="2"/>
  <c r="HC335" i="2"/>
  <c r="HC336" i="2"/>
  <c r="HC337" i="2"/>
  <c r="HC338" i="2"/>
  <c r="HC339" i="2"/>
  <c r="HC340" i="2"/>
  <c r="HC341" i="2"/>
  <c r="HC342" i="2"/>
  <c r="HC343" i="2"/>
  <c r="HC344" i="2"/>
  <c r="W163" i="2"/>
  <c r="M162" i="10"/>
  <c r="W164" i="2"/>
  <c r="M163" i="10"/>
  <c r="W165" i="2"/>
  <c r="M164" i="10"/>
  <c r="W166" i="2"/>
  <c r="M165" i="10"/>
  <c r="V5" i="2"/>
  <c r="L4" i="10"/>
  <c r="V6" i="2"/>
  <c r="L5" i="10"/>
  <c r="V7" i="2"/>
  <c r="L6" i="10"/>
  <c r="V8" i="2"/>
  <c r="L7" i="10"/>
  <c r="V9" i="2"/>
  <c r="L8" i="10"/>
  <c r="V10" i="2"/>
  <c r="L9" i="10"/>
  <c r="V11" i="2"/>
  <c r="L10" i="10"/>
  <c r="V12" i="2"/>
  <c r="L11" i="10"/>
  <c r="V13" i="2"/>
  <c r="L12" i="10"/>
  <c r="V14" i="2"/>
  <c r="L13" i="10"/>
  <c r="V15" i="2"/>
  <c r="L14" i="10"/>
  <c r="V16" i="2"/>
  <c r="L15" i="10"/>
  <c r="V17" i="2"/>
  <c r="L16" i="10"/>
  <c r="V18" i="2"/>
  <c r="L17" i="10"/>
  <c r="V19" i="2"/>
  <c r="L18" i="10"/>
  <c r="V20" i="2"/>
  <c r="L19" i="10"/>
  <c r="V21" i="2"/>
  <c r="L20" i="10"/>
  <c r="V22" i="2"/>
  <c r="L21" i="10"/>
  <c r="V23" i="2"/>
  <c r="L22" i="10"/>
  <c r="V24" i="2"/>
  <c r="L23" i="10"/>
  <c r="V25" i="2"/>
  <c r="L24" i="10"/>
  <c r="V26" i="2"/>
  <c r="L25" i="10"/>
  <c r="V27" i="2"/>
  <c r="L26" i="10"/>
  <c r="V28" i="2"/>
  <c r="L27" i="10"/>
  <c r="V29" i="2"/>
  <c r="L28" i="10"/>
  <c r="V30" i="2"/>
  <c r="L29" i="10"/>
  <c r="V31" i="2"/>
  <c r="L30" i="10"/>
  <c r="V32" i="2"/>
  <c r="L31" i="10"/>
  <c r="V33" i="2"/>
  <c r="L32" i="10"/>
  <c r="V34" i="2"/>
  <c r="L33" i="10"/>
  <c r="V35" i="2"/>
  <c r="L34" i="10"/>
  <c r="V36" i="2"/>
  <c r="L35" i="10"/>
  <c r="V37" i="2"/>
  <c r="L36" i="10"/>
  <c r="V38" i="2"/>
  <c r="L37" i="10"/>
  <c r="V39" i="2"/>
  <c r="L38" i="10"/>
  <c r="V40" i="2"/>
  <c r="L39" i="10"/>
  <c r="V41" i="2"/>
  <c r="L40" i="10"/>
  <c r="V42" i="2"/>
  <c r="L41" i="10"/>
  <c r="V43" i="2"/>
  <c r="L42" i="10"/>
  <c r="V44" i="2"/>
  <c r="L43" i="10"/>
  <c r="V45" i="2"/>
  <c r="L44" i="10"/>
  <c r="V46" i="2"/>
  <c r="L45" i="10"/>
  <c r="V47" i="2"/>
  <c r="L46" i="10"/>
  <c r="V48" i="2"/>
  <c r="L47" i="10"/>
  <c r="V49" i="2"/>
  <c r="L48" i="10"/>
  <c r="V50" i="2"/>
  <c r="L49" i="10"/>
  <c r="V51" i="2"/>
  <c r="L50" i="10"/>
  <c r="V52" i="2"/>
  <c r="L51" i="10"/>
  <c r="V53" i="2"/>
  <c r="L52" i="10"/>
  <c r="V54" i="2"/>
  <c r="L53" i="10"/>
  <c r="V55" i="2"/>
  <c r="L54" i="10"/>
  <c r="V56" i="2"/>
  <c r="L55" i="10"/>
  <c r="V57" i="2"/>
  <c r="L56" i="10"/>
  <c r="V58" i="2"/>
  <c r="L57" i="10"/>
  <c r="V59" i="2"/>
  <c r="L58" i="10"/>
  <c r="V60" i="2"/>
  <c r="L59" i="10"/>
  <c r="V61" i="2"/>
  <c r="L60" i="10"/>
  <c r="V62" i="2"/>
  <c r="L61" i="10"/>
  <c r="V63" i="2"/>
  <c r="L62" i="10"/>
  <c r="V64" i="2"/>
  <c r="L63" i="10"/>
  <c r="V65" i="2"/>
  <c r="L64" i="10"/>
  <c r="V66" i="2"/>
  <c r="L65" i="10"/>
  <c r="V67" i="2"/>
  <c r="L66" i="10"/>
  <c r="V68" i="2"/>
  <c r="L67" i="10"/>
  <c r="V69" i="2"/>
  <c r="L68" i="10"/>
  <c r="V70" i="2"/>
  <c r="L69" i="10"/>
  <c r="V71" i="2"/>
  <c r="L70" i="10"/>
  <c r="V72" i="2"/>
  <c r="L71" i="10"/>
  <c r="V73" i="2"/>
  <c r="L72" i="10"/>
  <c r="V74" i="2"/>
  <c r="L73" i="10"/>
  <c r="V75" i="2"/>
  <c r="L74" i="10"/>
  <c r="V76" i="2"/>
  <c r="L75" i="10"/>
  <c r="V77" i="2"/>
  <c r="L76" i="10"/>
  <c r="V78" i="2"/>
  <c r="L77" i="10"/>
  <c r="V79" i="2"/>
  <c r="L78" i="10"/>
  <c r="V80" i="2"/>
  <c r="L79" i="10"/>
  <c r="V81" i="2"/>
  <c r="L80" i="10"/>
  <c r="V82" i="2"/>
  <c r="L81" i="10"/>
  <c r="V83" i="2"/>
  <c r="L82" i="10"/>
  <c r="V84" i="2"/>
  <c r="L83" i="10"/>
  <c r="V85" i="2"/>
  <c r="L84" i="10"/>
  <c r="V86" i="2"/>
  <c r="L85" i="10"/>
  <c r="V87" i="2"/>
  <c r="L86" i="10"/>
  <c r="V88" i="2"/>
  <c r="L87" i="10"/>
  <c r="V89" i="2"/>
  <c r="L88" i="10"/>
  <c r="V90" i="2"/>
  <c r="L89" i="10"/>
  <c r="V91" i="2"/>
  <c r="L90" i="10"/>
  <c r="V92" i="2"/>
  <c r="L91" i="10"/>
  <c r="V93" i="2"/>
  <c r="L92" i="10"/>
  <c r="V94" i="2"/>
  <c r="L93" i="10"/>
  <c r="V95" i="2"/>
  <c r="L94" i="10"/>
  <c r="V96" i="2"/>
  <c r="L95" i="10"/>
  <c r="V97" i="2"/>
  <c r="L96" i="10"/>
  <c r="V98" i="2"/>
  <c r="L97" i="10"/>
  <c r="V99" i="2"/>
  <c r="L98" i="10"/>
  <c r="V100" i="2"/>
  <c r="L99" i="10"/>
  <c r="V101" i="2"/>
  <c r="L100" i="10"/>
  <c r="V102" i="2"/>
  <c r="L101" i="10"/>
  <c r="V103" i="2"/>
  <c r="L102" i="10"/>
  <c r="V104" i="2"/>
  <c r="L103" i="10"/>
  <c r="V105" i="2"/>
  <c r="L104" i="10"/>
  <c r="V106" i="2"/>
  <c r="L105" i="10"/>
  <c r="V107" i="2"/>
  <c r="L106" i="10"/>
  <c r="V108" i="2"/>
  <c r="L107" i="10"/>
  <c r="V109" i="2"/>
  <c r="L108" i="10"/>
  <c r="V110" i="2"/>
  <c r="L109" i="10"/>
  <c r="V111" i="2"/>
  <c r="L110" i="10"/>
  <c r="V112" i="2"/>
  <c r="L111" i="10"/>
  <c r="V113" i="2"/>
  <c r="L112" i="10"/>
  <c r="V114" i="2"/>
  <c r="L113" i="10"/>
  <c r="V115" i="2"/>
  <c r="L114" i="10"/>
  <c r="V116" i="2"/>
  <c r="L115" i="10"/>
  <c r="V117" i="2"/>
  <c r="L116" i="10"/>
  <c r="V118" i="2"/>
  <c r="L117" i="10"/>
  <c r="V119" i="2"/>
  <c r="L118" i="10"/>
  <c r="V120" i="2"/>
  <c r="L119" i="10"/>
  <c r="V121" i="2"/>
  <c r="L120" i="10"/>
  <c r="V122" i="2"/>
  <c r="L121" i="10"/>
  <c r="V123" i="2"/>
  <c r="L122" i="10"/>
  <c r="V124" i="2"/>
  <c r="L123" i="10"/>
  <c r="V125" i="2"/>
  <c r="L124" i="10"/>
  <c r="V126" i="2"/>
  <c r="L125" i="10"/>
  <c r="V127" i="2"/>
  <c r="L126" i="10"/>
  <c r="V128" i="2"/>
  <c r="L127" i="10"/>
  <c r="V129" i="2"/>
  <c r="L128" i="10"/>
  <c r="V130" i="2"/>
  <c r="L129" i="10"/>
  <c r="V131" i="2"/>
  <c r="L130" i="10"/>
  <c r="V132" i="2"/>
  <c r="L131" i="10"/>
  <c r="V133" i="2"/>
  <c r="L132" i="10"/>
  <c r="V134" i="2"/>
  <c r="L133" i="10"/>
  <c r="V135" i="2"/>
  <c r="L134" i="10"/>
  <c r="V136" i="2"/>
  <c r="L135" i="10"/>
  <c r="V137" i="2"/>
  <c r="L136" i="10"/>
  <c r="V138" i="2"/>
  <c r="L137" i="10"/>
  <c r="V139" i="2"/>
  <c r="L138" i="10"/>
  <c r="V140" i="2"/>
  <c r="L139" i="10"/>
  <c r="V141" i="2"/>
  <c r="L140" i="10"/>
  <c r="V142" i="2"/>
  <c r="L141" i="10"/>
  <c r="V143" i="2"/>
  <c r="L142" i="10"/>
  <c r="V144" i="2"/>
  <c r="L143" i="10"/>
  <c r="V145" i="2"/>
  <c r="L144" i="10"/>
  <c r="V146" i="2"/>
  <c r="L145" i="10"/>
  <c r="V147" i="2"/>
  <c r="L146" i="10"/>
  <c r="V148" i="2"/>
  <c r="L147" i="10"/>
  <c r="V149" i="2"/>
  <c r="L148" i="10"/>
  <c r="V150" i="2"/>
  <c r="L149" i="10"/>
  <c r="V151" i="2"/>
  <c r="L150" i="10"/>
  <c r="V152" i="2"/>
  <c r="L151" i="10"/>
  <c r="V153" i="2"/>
  <c r="L152" i="10"/>
  <c r="V154" i="2"/>
  <c r="L153" i="10"/>
  <c r="V155" i="2"/>
  <c r="L154" i="10"/>
  <c r="V156" i="2"/>
  <c r="L155" i="10"/>
  <c r="V157" i="2"/>
  <c r="L156" i="10"/>
  <c r="V158" i="2"/>
  <c r="L157" i="10"/>
  <c r="V159" i="2"/>
  <c r="L158" i="10"/>
  <c r="V160" i="2"/>
  <c r="L159" i="10"/>
  <c r="V161" i="2"/>
  <c r="L160" i="10"/>
  <c r="V162" i="2"/>
  <c r="L161" i="10"/>
  <c r="V163" i="2"/>
  <c r="L162" i="10"/>
  <c r="V164" i="2"/>
  <c r="L163" i="10"/>
  <c r="V165" i="2"/>
  <c r="L164" i="10"/>
  <c r="V166" i="2"/>
  <c r="L165" i="10"/>
  <c r="V167" i="2"/>
  <c r="L166" i="10"/>
  <c r="V168" i="2"/>
  <c r="L167" i="10"/>
  <c r="V169" i="2"/>
  <c r="L168" i="10"/>
  <c r="V170" i="2"/>
  <c r="L169" i="10"/>
  <c r="V171" i="2"/>
  <c r="L170" i="10"/>
  <c r="V172" i="2"/>
  <c r="L171" i="10"/>
  <c r="V173" i="2"/>
  <c r="L172" i="10"/>
  <c r="V174" i="2"/>
  <c r="L173" i="10"/>
  <c r="V175" i="2"/>
  <c r="L174" i="10"/>
  <c r="V176" i="2"/>
  <c r="L175" i="10"/>
  <c r="V177" i="2"/>
  <c r="L176" i="10"/>
  <c r="V178" i="2"/>
  <c r="L177" i="10"/>
  <c r="V179" i="2"/>
  <c r="L178" i="10"/>
  <c r="V180" i="2"/>
  <c r="L179" i="10"/>
  <c r="V181" i="2"/>
  <c r="L180" i="10"/>
  <c r="V182" i="2"/>
  <c r="L181" i="10"/>
  <c r="V183" i="2"/>
  <c r="L182" i="10"/>
  <c r="V184" i="2"/>
  <c r="L183" i="10"/>
  <c r="V185" i="2"/>
  <c r="L184" i="10"/>
  <c r="V186" i="2"/>
  <c r="L185" i="10"/>
  <c r="V187" i="2"/>
  <c r="L186" i="10"/>
  <c r="V188" i="2"/>
  <c r="L187" i="10"/>
  <c r="V189" i="2"/>
  <c r="L188" i="10"/>
  <c r="V190" i="2"/>
  <c r="L189" i="10"/>
  <c r="V191" i="2"/>
  <c r="L190" i="10"/>
  <c r="V192" i="2"/>
  <c r="L191" i="10"/>
  <c r="V193" i="2"/>
  <c r="L192" i="10"/>
  <c r="V194" i="2"/>
  <c r="L193" i="10"/>
  <c r="V195" i="2"/>
  <c r="L194" i="10"/>
  <c r="V196" i="2"/>
  <c r="L195" i="10"/>
  <c r="V197" i="2"/>
  <c r="L196" i="10"/>
  <c r="V198" i="2"/>
  <c r="L197" i="10"/>
  <c r="V199" i="2"/>
  <c r="L198" i="10"/>
  <c r="V200" i="2"/>
  <c r="L199" i="10"/>
  <c r="V201" i="2"/>
  <c r="L200" i="10"/>
  <c r="V202" i="2"/>
  <c r="L201" i="10"/>
  <c r="V203" i="2"/>
  <c r="L202" i="10"/>
  <c r="V204" i="2"/>
  <c r="L203" i="10"/>
  <c r="V205" i="2"/>
  <c r="L204" i="10"/>
  <c r="V206" i="2"/>
  <c r="L205" i="10"/>
  <c r="V207" i="2"/>
  <c r="L206" i="10"/>
  <c r="V208" i="2"/>
  <c r="L207" i="10"/>
  <c r="V209" i="2"/>
  <c r="L208" i="10"/>
  <c r="V210" i="2"/>
  <c r="L209" i="10"/>
  <c r="V211" i="2"/>
  <c r="L210" i="10"/>
  <c r="V212" i="2"/>
  <c r="L211" i="10"/>
  <c r="V213" i="2"/>
  <c r="L212" i="10"/>
  <c r="V214" i="2"/>
  <c r="L213" i="10"/>
  <c r="V215" i="2"/>
  <c r="L214" i="10"/>
  <c r="V216" i="2"/>
  <c r="L215" i="10"/>
  <c r="V217" i="2"/>
  <c r="L216" i="10"/>
  <c r="V218" i="2"/>
  <c r="L217" i="10"/>
  <c r="V219" i="2"/>
  <c r="L218" i="10"/>
  <c r="V220" i="2"/>
  <c r="L219" i="10"/>
  <c r="V221" i="2"/>
  <c r="L220" i="10"/>
  <c r="V222" i="2"/>
  <c r="L221" i="10"/>
  <c r="V223" i="2"/>
  <c r="L222" i="10"/>
  <c r="V224" i="2"/>
  <c r="L223" i="10"/>
  <c r="V225" i="2"/>
  <c r="L224" i="10"/>
  <c r="V226" i="2"/>
  <c r="L225" i="10"/>
  <c r="V227" i="2"/>
  <c r="L226" i="10"/>
  <c r="V228" i="2"/>
  <c r="L227" i="10"/>
  <c r="V229" i="2"/>
  <c r="L228" i="10"/>
  <c r="V230" i="2"/>
  <c r="L229" i="10"/>
  <c r="V231" i="2"/>
  <c r="L230" i="10"/>
  <c r="V232" i="2"/>
  <c r="L231" i="10"/>
  <c r="V233" i="2"/>
  <c r="L232" i="10"/>
  <c r="V234" i="2"/>
  <c r="L233" i="10"/>
  <c r="V235" i="2"/>
  <c r="L234" i="10"/>
  <c r="V236" i="2"/>
  <c r="L235" i="10"/>
  <c r="V237" i="2"/>
  <c r="V238" i="2"/>
  <c r="V239" i="2"/>
  <c r="V241" i="2"/>
  <c r="V242" i="2"/>
  <c r="V243" i="2"/>
  <c r="V244" i="2"/>
  <c r="V246" i="2"/>
  <c r="V251" i="2"/>
  <c r="V252" i="2"/>
  <c r="V253" i="2"/>
  <c r="V254" i="2"/>
  <c r="V255" i="2"/>
  <c r="V256" i="2"/>
  <c r="V257" i="2"/>
  <c r="V258" i="2"/>
  <c r="V259" i="2"/>
  <c r="V261" i="2"/>
  <c r="V271" i="2"/>
  <c r="V272" i="2"/>
  <c r="V273" i="2"/>
  <c r="V274" i="2"/>
  <c r="V276" i="2"/>
  <c r="V277" i="2"/>
  <c r="V278" i="2"/>
  <c r="V280" i="2"/>
  <c r="V281" i="2"/>
  <c r="V282" i="2"/>
  <c r="V283" i="2"/>
  <c r="V284" i="2"/>
  <c r="V285" i="2"/>
  <c r="V286" i="2"/>
  <c r="V287" i="2"/>
  <c r="V288" i="2"/>
  <c r="V289" i="2"/>
  <c r="V290" i="2"/>
  <c r="V291" i="2"/>
  <c r="V292" i="2"/>
  <c r="V293" i="2"/>
  <c r="V294" i="2"/>
  <c r="V295" i="2"/>
  <c r="V296" i="2"/>
  <c r="V297" i="2"/>
  <c r="V298" i="2"/>
  <c r="V299" i="2"/>
  <c r="V301" i="2"/>
  <c r="V302" i="2"/>
  <c r="V304" i="2"/>
  <c r="V305" i="2"/>
  <c r="V306" i="2"/>
  <c r="V307" i="2"/>
  <c r="V308"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2" i="2"/>
  <c r="V343" i="2"/>
  <c r="V344" i="2"/>
  <c r="AP5" i="10"/>
  <c r="AP6" i="10"/>
  <c r="AP7" i="10"/>
  <c r="AP8" i="10"/>
  <c r="AP9" i="10"/>
  <c r="AP10" i="10"/>
  <c r="AP11" i="10"/>
  <c r="AP12" i="10"/>
  <c r="AP13" i="10"/>
  <c r="AP14" i="10"/>
  <c r="AP15" i="10"/>
  <c r="AP16" i="10"/>
  <c r="AP17" i="10"/>
  <c r="AP18" i="10"/>
  <c r="AP19" i="10"/>
  <c r="AP20" i="10"/>
  <c r="AP21" i="10"/>
  <c r="AP22" i="10"/>
  <c r="AP23" i="10"/>
  <c r="AP24" i="10"/>
  <c r="AP25" i="10"/>
  <c r="AP26" i="10"/>
  <c r="AP27" i="10"/>
  <c r="AP28" i="10"/>
  <c r="AP30" i="10"/>
  <c r="AP31" i="10"/>
  <c r="AP32" i="10"/>
  <c r="AP34" i="10"/>
  <c r="AP35" i="10"/>
  <c r="AP36" i="10"/>
  <c r="AP37" i="10"/>
  <c r="AP38" i="10"/>
  <c r="AP39" i="10"/>
  <c r="AP40" i="10"/>
  <c r="AP41" i="10"/>
  <c r="AP42" i="10"/>
  <c r="AP43" i="10"/>
  <c r="AP44" i="10"/>
  <c r="AP45" i="10"/>
  <c r="AP46" i="10"/>
  <c r="AP47" i="10"/>
  <c r="AP48" i="10"/>
  <c r="AP49" i="10"/>
  <c r="AP50" i="10"/>
  <c r="AP51" i="10"/>
  <c r="AP52" i="10"/>
  <c r="AP53" i="10"/>
  <c r="AP54" i="10"/>
  <c r="AP55" i="10"/>
  <c r="AP57" i="10"/>
  <c r="AP58" i="10"/>
  <c r="AP59" i="10"/>
  <c r="AP60" i="10"/>
  <c r="AP61" i="10"/>
  <c r="AP62" i="10"/>
  <c r="AP63" i="10"/>
  <c r="AP64" i="10"/>
  <c r="AP65" i="10"/>
  <c r="AP66" i="10"/>
  <c r="AP67" i="10"/>
  <c r="AP68" i="10"/>
  <c r="AP69" i="10"/>
  <c r="AP70" i="10"/>
  <c r="AP71" i="10"/>
  <c r="AP72" i="10"/>
  <c r="AP78" i="10"/>
  <c r="AP79" i="10"/>
  <c r="AP80" i="10"/>
  <c r="AP81" i="10"/>
  <c r="AP82" i="10"/>
  <c r="AP83" i="10"/>
  <c r="AP84" i="10"/>
  <c r="AP85" i="10"/>
  <c r="AP86" i="10"/>
  <c r="AP87" i="10"/>
  <c r="AP88" i="10"/>
  <c r="AP89" i="10"/>
  <c r="AP90" i="10"/>
  <c r="AP91" i="10"/>
  <c r="AP92" i="10"/>
  <c r="AP93" i="10"/>
  <c r="AP94" i="10"/>
  <c r="AP95" i="10"/>
  <c r="AP96" i="10"/>
  <c r="AP97" i="10"/>
  <c r="AP98" i="10"/>
  <c r="AP99" i="10"/>
  <c r="AP100" i="10"/>
  <c r="AP101" i="10"/>
  <c r="AP102" i="10"/>
  <c r="AP103" i="10"/>
  <c r="AP104" i="10"/>
  <c r="AP105" i="10"/>
  <c r="AP106" i="10"/>
  <c r="AP107" i="10"/>
  <c r="AP108" i="10"/>
  <c r="AP109" i="10"/>
  <c r="AP110" i="10"/>
  <c r="AP111" i="10"/>
  <c r="AP112" i="10"/>
  <c r="AP113" i="10"/>
  <c r="AP114" i="10"/>
  <c r="AP115" i="10"/>
  <c r="AP116" i="10"/>
  <c r="AP117" i="10"/>
  <c r="AP118" i="10"/>
  <c r="AP119" i="10"/>
  <c r="AP120" i="10"/>
  <c r="AP121" i="10"/>
  <c r="AP122" i="10"/>
  <c r="AP123" i="10"/>
  <c r="AP124" i="10"/>
  <c r="AP135" i="10"/>
  <c r="HW150" i="2"/>
  <c r="AP150" i="10"/>
  <c r="AP4" i="10"/>
  <c r="HX6" i="2"/>
  <c r="HX7" i="2"/>
  <c r="HX8" i="2"/>
  <c r="HX9" i="2"/>
  <c r="HX10" i="2"/>
  <c r="HX11" i="2"/>
  <c r="HX12" i="2"/>
  <c r="HX13" i="2"/>
  <c r="HX14" i="2"/>
  <c r="HX15" i="2"/>
  <c r="HX16" i="2"/>
  <c r="HX17" i="2"/>
  <c r="HX18" i="2"/>
  <c r="HX19" i="2"/>
  <c r="HX20" i="2"/>
  <c r="HX21" i="2"/>
  <c r="HX22" i="2"/>
  <c r="HX23" i="2"/>
  <c r="HX24" i="2"/>
  <c r="HX25" i="2"/>
  <c r="HX26" i="2"/>
  <c r="HX27" i="2"/>
  <c r="HX28" i="2"/>
  <c r="HX29" i="2"/>
  <c r="HX31" i="2"/>
  <c r="HX32" i="2"/>
  <c r="HX33" i="2"/>
  <c r="HX35" i="2"/>
  <c r="HX36" i="2"/>
  <c r="HX37" i="2"/>
  <c r="HX38" i="2"/>
  <c r="AB37" i="10"/>
  <c r="HX39" i="2"/>
  <c r="HX40" i="2"/>
  <c r="HX41" i="2"/>
  <c r="HX42" i="2"/>
  <c r="HX43" i="2"/>
  <c r="HX44" i="2"/>
  <c r="HX45" i="2"/>
  <c r="HX46" i="2"/>
  <c r="HX47" i="2"/>
  <c r="HX48" i="2"/>
  <c r="HX49" i="2"/>
  <c r="HX50" i="2"/>
  <c r="HX51" i="2"/>
  <c r="HX52" i="2"/>
  <c r="HX53" i="2"/>
  <c r="HX54" i="2"/>
  <c r="HX55" i="2"/>
  <c r="HX56" i="2"/>
  <c r="HX58" i="2"/>
  <c r="HX59" i="2"/>
  <c r="HX60" i="2"/>
  <c r="HX61" i="2"/>
  <c r="HX62" i="2"/>
  <c r="HX63" i="2"/>
  <c r="HX64" i="2"/>
  <c r="HX65" i="2"/>
  <c r="HX66" i="2"/>
  <c r="HX67" i="2"/>
  <c r="HX68" i="2"/>
  <c r="HX69" i="2"/>
  <c r="HX70" i="2"/>
  <c r="HX71" i="2"/>
  <c r="HX72" i="2"/>
  <c r="HX73" i="2"/>
  <c r="HX79" i="2"/>
  <c r="HX80" i="2"/>
  <c r="HX81" i="2"/>
  <c r="HX82" i="2"/>
  <c r="HX83" i="2"/>
  <c r="HX84" i="2"/>
  <c r="HX85" i="2"/>
  <c r="HX86" i="2"/>
  <c r="HX87" i="2"/>
  <c r="HX88" i="2"/>
  <c r="HX89" i="2"/>
  <c r="HX90" i="2"/>
  <c r="HX91" i="2"/>
  <c r="HX92" i="2"/>
  <c r="HX93" i="2"/>
  <c r="HX94" i="2"/>
  <c r="HX95" i="2"/>
  <c r="HX96" i="2"/>
  <c r="HX97" i="2"/>
  <c r="HX98" i="2"/>
  <c r="HX99" i="2"/>
  <c r="HX100" i="2"/>
  <c r="HX101" i="2"/>
  <c r="HX102" i="2"/>
  <c r="HX103" i="2"/>
  <c r="HX104" i="2"/>
  <c r="HX105" i="2"/>
  <c r="HX106" i="2"/>
  <c r="HX107" i="2"/>
  <c r="HX108" i="2"/>
  <c r="HX109" i="2"/>
  <c r="HX110" i="2"/>
  <c r="HX111" i="2"/>
  <c r="HX112" i="2"/>
  <c r="HX113" i="2"/>
  <c r="HX114" i="2"/>
  <c r="HX115" i="2"/>
  <c r="HX116" i="2"/>
  <c r="HX117" i="2"/>
  <c r="HX118" i="2"/>
  <c r="HX119" i="2"/>
  <c r="HX120" i="2"/>
  <c r="HX121" i="2"/>
  <c r="HX122" i="2"/>
  <c r="HX123" i="2"/>
  <c r="HX124" i="2"/>
  <c r="HX125" i="2"/>
  <c r="HX5" i="2"/>
  <c r="BZ161" i="2"/>
  <c r="BJ161" i="2"/>
  <c r="W161" i="2"/>
  <c r="M160" i="10"/>
  <c r="BZ3" i="2"/>
  <c r="CA159" i="2"/>
  <c r="CA3" i="2"/>
  <c r="CB159" i="2"/>
  <c r="BW16" i="2"/>
  <c r="BJ16" i="2"/>
  <c r="W16" i="2"/>
  <c r="M15" i="10"/>
  <c r="CB16" i="2"/>
  <c r="BJ203" i="2"/>
  <c r="W203" i="2"/>
  <c r="M202" i="10"/>
  <c r="BJ209" i="2"/>
  <c r="W209" i="2"/>
  <c r="M208" i="10"/>
  <c r="BP121" i="2"/>
  <c r="BJ121" i="2"/>
  <c r="W121" i="2"/>
  <c r="M120" i="10"/>
  <c r="BP3" i="2"/>
  <c r="BK110" i="2"/>
  <c r="BN103" i="2"/>
  <c r="BJ103" i="2"/>
  <c r="W103" i="2"/>
  <c r="M102" i="10"/>
  <c r="BN3" i="2"/>
  <c r="BO103" i="2"/>
  <c r="BO3" i="2"/>
  <c r="BL103" i="2"/>
  <c r="BL3" i="2"/>
  <c r="AN279" i="2"/>
  <c r="BW159" i="2"/>
  <c r="BJ159" i="2"/>
  <c r="W159" i="2"/>
  <c r="M158" i="10"/>
  <c r="BW3" i="2"/>
  <c r="BY160" i="2"/>
  <c r="BJ160" i="2"/>
  <c r="BY6" i="2"/>
  <c r="BJ6" i="2"/>
  <c r="W6" i="2"/>
  <c r="M5" i="10"/>
  <c r="CB5" i="2"/>
  <c r="CB3" i="2"/>
  <c r="BJ216" i="2"/>
  <c r="W216" i="2"/>
  <c r="M215" i="10"/>
  <c r="BJ133" i="2"/>
  <c r="W133" i="2"/>
  <c r="M132" i="10"/>
  <c r="BJ134" i="2"/>
  <c r="W134" i="2"/>
  <c r="M133" i="10"/>
  <c r="BJ150" i="2"/>
  <c r="BJ155" i="2"/>
  <c r="W155" i="2"/>
  <c r="M154" i="10"/>
  <c r="BJ156" i="2"/>
  <c r="W156" i="2"/>
  <c r="M155" i="10"/>
  <c r="BJ157" i="2"/>
  <c r="W157" i="2"/>
  <c r="M156" i="10"/>
  <c r="BJ319" i="2"/>
  <c r="W319" i="2"/>
  <c r="BJ204" i="2"/>
  <c r="BJ205" i="2"/>
  <c r="W205" i="2"/>
  <c r="M204" i="10"/>
  <c r="BJ206" i="2"/>
  <c r="BJ207" i="2"/>
  <c r="BJ208" i="2"/>
  <c r="BJ210" i="2"/>
  <c r="BJ211" i="2"/>
  <c r="W211" i="2"/>
  <c r="M210" i="10"/>
  <c r="BJ212" i="2"/>
  <c r="W212" i="2"/>
  <c r="M211" i="10"/>
  <c r="BJ213" i="2"/>
  <c r="W213" i="2"/>
  <c r="M212" i="10"/>
  <c r="BJ214" i="2"/>
  <c r="W214" i="2"/>
  <c r="M213" i="10"/>
  <c r="BJ215" i="2"/>
  <c r="W215" i="2"/>
  <c r="M214" i="10"/>
  <c r="BJ217" i="2"/>
  <c r="W217" i="2"/>
  <c r="M216" i="10"/>
  <c r="BJ218" i="2"/>
  <c r="BJ219" i="2"/>
  <c r="W219" i="2"/>
  <c r="M218" i="10"/>
  <c r="BJ220" i="2"/>
  <c r="BJ221" i="2"/>
  <c r="W221" i="2"/>
  <c r="M220" i="10"/>
  <c r="BJ222" i="2"/>
  <c r="W222" i="2"/>
  <c r="M221" i="10"/>
  <c r="BJ223" i="2"/>
  <c r="W223" i="2"/>
  <c r="M222" i="10"/>
  <c r="BJ224" i="2"/>
  <c r="BJ225" i="2"/>
  <c r="W225" i="2"/>
  <c r="M224" i="10"/>
  <c r="BJ227" i="2"/>
  <c r="W227" i="2"/>
  <c r="M226" i="10"/>
  <c r="BJ229" i="2"/>
  <c r="BJ230" i="2"/>
  <c r="W230" i="2"/>
  <c r="M229" i="10"/>
  <c r="BJ231" i="2"/>
  <c r="BJ232" i="2"/>
  <c r="W232" i="2"/>
  <c r="M231" i="10"/>
  <c r="BJ233" i="2"/>
  <c r="BJ234" i="2"/>
  <c r="W234" i="2"/>
  <c r="M233" i="10"/>
  <c r="BJ235" i="2"/>
  <c r="BJ236" i="2"/>
  <c r="W236" i="2"/>
  <c r="M235" i="10"/>
  <c r="AN275" i="2"/>
  <c r="V275" i="2"/>
  <c r="V279" i="2"/>
  <c r="BY3" i="2"/>
  <c r="BK197" i="2"/>
  <c r="BK3" i="2"/>
  <c r="BJ79" i="2"/>
  <c r="BJ5" i="2"/>
  <c r="W5" i="2"/>
  <c r="M4" i="10"/>
  <c r="BJ7" i="2"/>
  <c r="W7" i="2"/>
  <c r="M6" i="10"/>
  <c r="BJ8" i="2"/>
  <c r="W8" i="2"/>
  <c r="M7" i="10"/>
  <c r="BJ9" i="2"/>
  <c r="BJ10" i="2"/>
  <c r="BJ11" i="2"/>
  <c r="BJ12" i="2"/>
  <c r="BJ13" i="2"/>
  <c r="W13" i="2"/>
  <c r="M12" i="10"/>
  <c r="BJ14" i="2"/>
  <c r="W14" i="2"/>
  <c r="M13" i="10"/>
  <c r="BJ15" i="2"/>
  <c r="W15" i="2"/>
  <c r="M14" i="10"/>
  <c r="BJ17" i="2"/>
  <c r="W17" i="2"/>
  <c r="M16" i="10"/>
  <c r="BJ18" i="2"/>
  <c r="W18" i="2"/>
  <c r="M17" i="10"/>
  <c r="BJ19" i="2"/>
  <c r="W19" i="2"/>
  <c r="M18" i="10"/>
  <c r="BJ20" i="2"/>
  <c r="W20" i="2"/>
  <c r="M19" i="10"/>
  <c r="BJ21" i="2"/>
  <c r="BJ22" i="2"/>
  <c r="BJ23" i="2"/>
  <c r="BJ24" i="2"/>
  <c r="W24" i="2"/>
  <c r="M23" i="10"/>
  <c r="BJ25" i="2"/>
  <c r="W25" i="2"/>
  <c r="M24" i="10"/>
  <c r="BJ26" i="2"/>
  <c r="W26" i="2"/>
  <c r="M25" i="10"/>
  <c r="BJ27" i="2"/>
  <c r="W27" i="2"/>
  <c r="M26" i="10"/>
  <c r="BJ28" i="2"/>
  <c r="BJ29" i="2"/>
  <c r="W29" i="2"/>
  <c r="M28" i="10"/>
  <c r="BJ30" i="2"/>
  <c r="W30" i="2"/>
  <c r="M29" i="10"/>
  <c r="BJ31" i="2"/>
  <c r="W31" i="2"/>
  <c r="M30" i="10"/>
  <c r="BJ32" i="2"/>
  <c r="BJ33" i="2"/>
  <c r="BJ34" i="2"/>
  <c r="BJ35" i="2"/>
  <c r="W35" i="2"/>
  <c r="M34" i="10"/>
  <c r="BJ36" i="2"/>
  <c r="W36" i="2"/>
  <c r="M35" i="10"/>
  <c r="BJ37" i="2"/>
  <c r="W37" i="2"/>
  <c r="M36" i="10"/>
  <c r="BJ38" i="2"/>
  <c r="W38" i="2"/>
  <c r="M37" i="10"/>
  <c r="BJ39" i="2"/>
  <c r="W39" i="2"/>
  <c r="M38" i="10"/>
  <c r="BJ40" i="2"/>
  <c r="W40" i="2"/>
  <c r="M39" i="10"/>
  <c r="BJ41" i="2"/>
  <c r="W41" i="2"/>
  <c r="M40" i="10"/>
  <c r="BJ42" i="2"/>
  <c r="W42" i="2"/>
  <c r="M41" i="10"/>
  <c r="BJ43" i="2"/>
  <c r="BJ44" i="2"/>
  <c r="W44" i="2"/>
  <c r="M43" i="10"/>
  <c r="BJ45" i="2"/>
  <c r="BJ46" i="2"/>
  <c r="W46" i="2"/>
  <c r="M45" i="10"/>
  <c r="BJ47" i="2"/>
  <c r="W47" i="2"/>
  <c r="M46" i="10"/>
  <c r="BJ48" i="2"/>
  <c r="W48" i="2"/>
  <c r="M47" i="10"/>
  <c r="BJ49" i="2"/>
  <c r="W49" i="2"/>
  <c r="M48" i="10"/>
  <c r="BJ50" i="2"/>
  <c r="W50" i="2"/>
  <c r="M49" i="10"/>
  <c r="BJ51" i="2"/>
  <c r="W51" i="2"/>
  <c r="M50" i="10"/>
  <c r="BJ52" i="2"/>
  <c r="W52" i="2"/>
  <c r="M51" i="10"/>
  <c r="BJ53" i="2"/>
  <c r="W53" i="2"/>
  <c r="M52" i="10"/>
  <c r="BJ54" i="2"/>
  <c r="BJ55" i="2"/>
  <c r="BJ56" i="2"/>
  <c r="BJ57" i="2"/>
  <c r="W57" i="2"/>
  <c r="M56" i="10"/>
  <c r="BJ58" i="2"/>
  <c r="W58" i="2"/>
  <c r="M57" i="10"/>
  <c r="BJ59" i="2"/>
  <c r="W59" i="2"/>
  <c r="M58" i="10"/>
  <c r="BJ60" i="2"/>
  <c r="W60" i="2"/>
  <c r="M59" i="10"/>
  <c r="BJ61" i="2"/>
  <c r="W61" i="2"/>
  <c r="M60" i="10"/>
  <c r="BJ62" i="2"/>
  <c r="W62" i="2"/>
  <c r="M61" i="10"/>
  <c r="BJ63" i="2"/>
  <c r="W63" i="2"/>
  <c r="M62" i="10"/>
  <c r="BJ64" i="2"/>
  <c r="W64" i="2"/>
  <c r="M63" i="10"/>
  <c r="BJ65" i="2"/>
  <c r="W65" i="2"/>
  <c r="M64" i="10"/>
  <c r="BJ66" i="2"/>
  <c r="W66" i="2"/>
  <c r="M65" i="10"/>
  <c r="BJ67" i="2"/>
  <c r="BJ68" i="2"/>
  <c r="W68" i="2"/>
  <c r="M67" i="10"/>
  <c r="BJ69" i="2"/>
  <c r="W69" i="2"/>
  <c r="M68" i="10"/>
  <c r="BJ70" i="2"/>
  <c r="W70" i="2"/>
  <c r="M69" i="10"/>
  <c r="BJ71" i="2"/>
  <c r="W71" i="2"/>
  <c r="M70" i="10"/>
  <c r="BJ72" i="2"/>
  <c r="W72" i="2"/>
  <c r="M71" i="10"/>
  <c r="BJ73" i="2"/>
  <c r="W73" i="2"/>
  <c r="M72" i="10"/>
  <c r="BJ74" i="2"/>
  <c r="W74" i="2"/>
  <c r="M73" i="10"/>
  <c r="BJ75" i="2"/>
  <c r="W75" i="2"/>
  <c r="M74" i="10"/>
  <c r="BJ76" i="2"/>
  <c r="BJ77" i="2"/>
  <c r="BJ78" i="2"/>
  <c r="BJ81" i="2"/>
  <c r="W81" i="2"/>
  <c r="M80" i="10"/>
  <c r="BJ82" i="2"/>
  <c r="W82" i="2"/>
  <c r="M81" i="10"/>
  <c r="BJ84" i="2"/>
  <c r="W84" i="2"/>
  <c r="M83" i="10"/>
  <c r="BJ85" i="2"/>
  <c r="W85" i="2"/>
  <c r="M84" i="10"/>
  <c r="BJ87" i="2"/>
  <c r="W87" i="2"/>
  <c r="M86" i="10"/>
  <c r="BJ153" i="2"/>
  <c r="W153" i="2"/>
  <c r="M152" i="10"/>
  <c r="BJ154" i="2"/>
  <c r="W154" i="2"/>
  <c r="M153" i="10"/>
  <c r="BJ162" i="2"/>
  <c r="BJ167" i="2"/>
  <c r="W167" i="2"/>
  <c r="M166" i="10"/>
  <c r="BJ168" i="2"/>
  <c r="W168" i="2"/>
  <c r="M167" i="10"/>
  <c r="BJ169" i="2"/>
  <c r="W169" i="2"/>
  <c r="M168" i="10"/>
  <c r="BJ170" i="2"/>
  <c r="W170" i="2"/>
  <c r="M169" i="10"/>
  <c r="BJ171" i="2"/>
  <c r="W171" i="2"/>
  <c r="M170" i="10"/>
  <c r="BJ172" i="2"/>
  <c r="W172" i="2"/>
  <c r="M171" i="10"/>
  <c r="BJ173" i="2"/>
  <c r="BJ174" i="2"/>
  <c r="W174" i="2"/>
  <c r="M173" i="10"/>
  <c r="BJ175" i="2"/>
  <c r="BJ176" i="2"/>
  <c r="W176" i="2"/>
  <c r="M175" i="10"/>
  <c r="BJ177" i="2"/>
  <c r="BJ178" i="2"/>
  <c r="W178" i="2"/>
  <c r="M177" i="10"/>
  <c r="BJ179" i="2"/>
  <c r="W179" i="2"/>
  <c r="M178" i="10"/>
  <c r="BJ180" i="2"/>
  <c r="W180" i="2"/>
  <c r="M179" i="10"/>
  <c r="BJ181" i="2"/>
  <c r="W181" i="2"/>
  <c r="M180" i="10"/>
  <c r="BJ182" i="2"/>
  <c r="W182" i="2"/>
  <c r="M181" i="10"/>
  <c r="BJ183" i="2"/>
  <c r="W183" i="2"/>
  <c r="M182" i="10"/>
  <c r="BJ184" i="2"/>
  <c r="W184" i="2"/>
  <c r="M183" i="10"/>
  <c r="BJ185" i="2"/>
  <c r="W185" i="2"/>
  <c r="M184" i="10"/>
  <c r="BJ186" i="2"/>
  <c r="W186" i="2"/>
  <c r="M185" i="10"/>
  <c r="BJ187" i="2"/>
  <c r="W187" i="2"/>
  <c r="M186" i="10"/>
  <c r="BJ188" i="2"/>
  <c r="BJ189" i="2"/>
  <c r="W189" i="2"/>
  <c r="M188" i="10"/>
  <c r="BJ190" i="2"/>
  <c r="W190" i="2"/>
  <c r="M189" i="10"/>
  <c r="BJ191" i="2"/>
  <c r="W191" i="2"/>
  <c r="M190" i="10"/>
  <c r="BJ192" i="2"/>
  <c r="W192" i="2"/>
  <c r="M191" i="10"/>
  <c r="BJ193" i="2"/>
  <c r="W193" i="2"/>
  <c r="M192" i="10"/>
  <c r="BJ194" i="2"/>
  <c r="W194" i="2"/>
  <c r="M193" i="10"/>
  <c r="BJ195" i="2"/>
  <c r="BJ196" i="2"/>
  <c r="W196" i="2"/>
  <c r="M195" i="10"/>
  <c r="BJ197" i="2"/>
  <c r="BJ198" i="2"/>
  <c r="BJ199" i="2"/>
  <c r="BJ200" i="2"/>
  <c r="W200" i="2"/>
  <c r="M199" i="10"/>
  <c r="BJ201" i="2"/>
  <c r="W201" i="2"/>
  <c r="M200" i="10"/>
  <c r="BJ202" i="2"/>
  <c r="W202" i="2"/>
  <c r="M201" i="10"/>
  <c r="BJ261" i="2"/>
  <c r="W261" i="2"/>
  <c r="BJ262" i="2"/>
  <c r="BJ263" i="2"/>
  <c r="W263" i="2"/>
  <c r="BJ264" i="2"/>
  <c r="W264" i="2"/>
  <c r="BJ265" i="2"/>
  <c r="W265" i="2"/>
  <c r="BJ266" i="2"/>
  <c r="W266" i="2"/>
  <c r="BJ267" i="2"/>
  <c r="BJ268" i="2"/>
  <c r="W268" i="2"/>
  <c r="BJ269" i="2"/>
  <c r="W269" i="2"/>
  <c r="BJ270" i="2"/>
  <c r="W270" i="2"/>
  <c r="BJ271" i="2"/>
  <c r="W271" i="2"/>
  <c r="BJ272" i="2"/>
  <c r="BJ273" i="2"/>
  <c r="W273" i="2"/>
  <c r="BJ274" i="2"/>
  <c r="BJ275" i="2"/>
  <c r="BJ276" i="2"/>
  <c r="W276" i="2"/>
  <c r="BJ277" i="2"/>
  <c r="W277" i="2"/>
  <c r="BJ278" i="2"/>
  <c r="BJ279" i="2"/>
  <c r="W279" i="2"/>
  <c r="BJ280" i="2"/>
  <c r="W280" i="2"/>
  <c r="BJ281" i="2"/>
  <c r="W281" i="2"/>
  <c r="BJ282" i="2"/>
  <c r="W282" i="2"/>
  <c r="BJ284" i="2"/>
  <c r="W284" i="2"/>
  <c r="BJ285" i="2"/>
  <c r="W285" i="2"/>
  <c r="BJ286" i="2"/>
  <c r="W286" i="2"/>
  <c r="BJ287" i="2"/>
  <c r="W287" i="2"/>
  <c r="BJ288" i="2"/>
  <c r="W288" i="2"/>
  <c r="BJ289" i="2"/>
  <c r="W289" i="2"/>
  <c r="BJ290" i="2"/>
  <c r="W290" i="2"/>
  <c r="BJ291" i="2"/>
  <c r="W291" i="2"/>
  <c r="BJ292" i="2"/>
  <c r="BJ293" i="2"/>
  <c r="W293" i="2"/>
  <c r="BJ294" i="2"/>
  <c r="BJ295" i="2"/>
  <c r="BJ296" i="2"/>
  <c r="BJ297" i="2"/>
  <c r="BJ298" i="2"/>
  <c r="BJ299" i="2"/>
  <c r="W299" i="2"/>
  <c r="BJ300" i="2"/>
  <c r="W300" i="2"/>
  <c r="BJ301" i="2"/>
  <c r="W301" i="2"/>
  <c r="BJ302" i="2"/>
  <c r="W302" i="2"/>
  <c r="BJ303" i="2"/>
  <c r="BJ304" i="2"/>
  <c r="W304" i="2"/>
  <c r="BJ305" i="2"/>
  <c r="W305" i="2"/>
  <c r="BJ306" i="2"/>
  <c r="W306" i="2"/>
  <c r="BJ307" i="2"/>
  <c r="W307" i="2"/>
  <c r="BJ308" i="2"/>
  <c r="W308" i="2"/>
  <c r="BJ309" i="2"/>
  <c r="BJ311" i="2"/>
  <c r="W311" i="2"/>
  <c r="BJ312" i="2"/>
  <c r="W312" i="2"/>
  <c r="BJ313" i="2"/>
  <c r="CJ313" i="2"/>
  <c r="BJ314" i="2"/>
  <c r="CJ314" i="2"/>
  <c r="BJ315" i="2"/>
  <c r="BJ316" i="2"/>
  <c r="CJ316" i="2"/>
  <c r="BJ317" i="2"/>
  <c r="W317" i="2"/>
  <c r="BJ318" i="2"/>
  <c r="CJ318" i="2"/>
  <c r="CR319" i="2"/>
  <c r="BJ80" i="2"/>
  <c r="BJ83" i="2"/>
  <c r="W83" i="2"/>
  <c r="M82" i="10"/>
  <c r="BJ86" i="2"/>
  <c r="BJ88" i="2"/>
  <c r="BJ89" i="2"/>
  <c r="W89" i="2"/>
  <c r="M88" i="10"/>
  <c r="BJ90" i="2"/>
  <c r="BJ91" i="2"/>
  <c r="BJ92" i="2"/>
  <c r="W92" i="2"/>
  <c r="M91" i="10"/>
  <c r="BJ93" i="2"/>
  <c r="W93" i="2"/>
  <c r="M92" i="10"/>
  <c r="BJ94" i="2"/>
  <c r="W94" i="2"/>
  <c r="M93" i="10"/>
  <c r="BJ95" i="2"/>
  <c r="W95" i="2"/>
  <c r="M94" i="10"/>
  <c r="BJ96" i="2"/>
  <c r="W96" i="2"/>
  <c r="M95" i="10"/>
  <c r="BJ97" i="2"/>
  <c r="BJ98" i="2"/>
  <c r="W98" i="2"/>
  <c r="M97" i="10"/>
  <c r="BJ99" i="2"/>
  <c r="W99" i="2"/>
  <c r="M98" i="10"/>
  <c r="BJ100" i="2"/>
  <c r="BJ101" i="2"/>
  <c r="W101" i="2"/>
  <c r="M100" i="10"/>
  <c r="BJ102" i="2"/>
  <c r="W102" i="2"/>
  <c r="M101" i="10"/>
  <c r="BJ104" i="2"/>
  <c r="W104" i="2"/>
  <c r="M103" i="10"/>
  <c r="BJ105" i="2"/>
  <c r="W105" i="2"/>
  <c r="M104" i="10"/>
  <c r="BJ106" i="2"/>
  <c r="BJ107" i="2"/>
  <c r="W107" i="2"/>
  <c r="M106" i="10"/>
  <c r="BJ108" i="2"/>
  <c r="BJ109" i="2"/>
  <c r="BJ110" i="2"/>
  <c r="W110" i="2"/>
  <c r="M109" i="10"/>
  <c r="BJ111" i="2"/>
  <c r="W111" i="2"/>
  <c r="M110" i="10"/>
  <c r="BJ112" i="2"/>
  <c r="W112" i="2"/>
  <c r="M111" i="10"/>
  <c r="BJ113" i="2"/>
  <c r="BJ114" i="2"/>
  <c r="W114" i="2"/>
  <c r="M113" i="10"/>
  <c r="BJ115" i="2"/>
  <c r="W115" i="2"/>
  <c r="M114" i="10"/>
  <c r="BJ116" i="2"/>
  <c r="W116" i="2"/>
  <c r="M115" i="10"/>
  <c r="BJ117" i="2"/>
  <c r="W117" i="2"/>
  <c r="M116" i="10"/>
  <c r="BJ118" i="2"/>
  <c r="BJ119" i="2"/>
  <c r="BJ120" i="2"/>
  <c r="W120" i="2"/>
  <c r="M119" i="10"/>
  <c r="BJ122" i="2"/>
  <c r="W122" i="2"/>
  <c r="M121" i="10"/>
  <c r="BJ123" i="2"/>
  <c r="W123" i="2"/>
  <c r="M122" i="10"/>
  <c r="BJ124" i="2"/>
  <c r="W124" i="2"/>
  <c r="M123" i="10"/>
  <c r="BJ125" i="2"/>
  <c r="BJ126" i="2"/>
  <c r="W126" i="2"/>
  <c r="BJ127" i="2"/>
  <c r="W127" i="2"/>
  <c r="M126" i="10"/>
  <c r="BJ128" i="2"/>
  <c r="W128" i="2"/>
  <c r="M127" i="10"/>
  <c r="BJ129" i="2"/>
  <c r="BJ130" i="2"/>
  <c r="BJ131" i="2"/>
  <c r="W131" i="2"/>
  <c r="M130" i="10"/>
  <c r="BJ132" i="2"/>
  <c r="W132" i="2"/>
  <c r="M131" i="10"/>
  <c r="BJ135" i="2"/>
  <c r="W135" i="2"/>
  <c r="M134" i="10"/>
  <c r="BJ136" i="2"/>
  <c r="BJ137" i="2"/>
  <c r="BJ138" i="2"/>
  <c r="W138" i="2"/>
  <c r="M137" i="10"/>
  <c r="BJ139" i="2"/>
  <c r="W139" i="2"/>
  <c r="M138" i="10"/>
  <c r="BJ140" i="2"/>
  <c r="W140" i="2"/>
  <c r="M139" i="10"/>
  <c r="BJ141" i="2"/>
  <c r="W141" i="2"/>
  <c r="M140" i="10"/>
  <c r="BJ142" i="2"/>
  <c r="W142" i="2"/>
  <c r="M141" i="10"/>
  <c r="BJ143" i="2"/>
  <c r="W143" i="2"/>
  <c r="M142" i="10"/>
  <c r="BJ144" i="2"/>
  <c r="W144" i="2"/>
  <c r="M143" i="10"/>
  <c r="BJ145" i="2"/>
  <c r="W145" i="2"/>
  <c r="M144" i="10"/>
  <c r="BJ146" i="2"/>
  <c r="BJ147" i="2"/>
  <c r="W147" i="2"/>
  <c r="M146" i="10"/>
  <c r="BJ148" i="2"/>
  <c r="W148" i="2"/>
  <c r="M147" i="10"/>
  <c r="BJ149" i="2"/>
  <c r="W149" i="2"/>
  <c r="M148" i="10"/>
  <c r="BJ152" i="2"/>
  <c r="W152" i="2"/>
  <c r="M151" i="10"/>
  <c r="BJ158" i="2"/>
  <c r="W158" i="2"/>
  <c r="M157" i="10"/>
  <c r="BJ237" i="2"/>
  <c r="W237" i="2"/>
  <c r="BJ238" i="2"/>
  <c r="W238" i="2"/>
  <c r="BJ239" i="2"/>
  <c r="BJ240" i="2"/>
  <c r="W240" i="2"/>
  <c r="BJ241" i="2"/>
  <c r="BJ242" i="2"/>
  <c r="BJ243" i="2"/>
  <c r="W243" i="2"/>
  <c r="BJ244" i="2"/>
  <c r="W244" i="2"/>
  <c r="BJ245" i="2"/>
  <c r="BJ246" i="2"/>
  <c r="W246" i="2"/>
  <c r="BJ247" i="2"/>
  <c r="W247" i="2"/>
  <c r="BJ248" i="2"/>
  <c r="W248" i="2"/>
  <c r="BJ249" i="2"/>
  <c r="W249" i="2"/>
  <c r="BJ250" i="2"/>
  <c r="BJ251" i="2"/>
  <c r="W251" i="2"/>
  <c r="BJ252" i="2"/>
  <c r="BJ253" i="2"/>
  <c r="W253" i="2"/>
  <c r="BJ254" i="2"/>
  <c r="CJ254" i="2"/>
  <c r="BJ255" i="2"/>
  <c r="W255" i="2"/>
  <c r="BJ256" i="2"/>
  <c r="W256" i="2"/>
  <c r="BJ257" i="2"/>
  <c r="BJ258" i="2"/>
  <c r="W258" i="2"/>
  <c r="BJ259" i="2"/>
  <c r="W259" i="2"/>
  <c r="BJ260"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H243" i="10"/>
  <c r="CQ268" i="2"/>
  <c r="CQ269" i="2"/>
  <c r="CQ270" i="2"/>
  <c r="CQ271" i="2"/>
  <c r="CQ272" i="2"/>
  <c r="CQ273" i="2"/>
  <c r="CQ274" i="2"/>
  <c r="CQ275" i="2"/>
  <c r="AB322" i="2"/>
  <c r="AA322" i="2"/>
  <c r="AB323" i="2"/>
  <c r="AJ323" i="2"/>
  <c r="AB324" i="2"/>
  <c r="AL324" i="2"/>
  <c r="AB325" i="2"/>
  <c r="AJ325" i="2"/>
  <c r="AB326" i="2"/>
  <c r="AA326" i="2"/>
  <c r="CP326" i="2"/>
  <c r="T326" i="2"/>
  <c r="AB327" i="2"/>
  <c r="AA327" i="2"/>
  <c r="AB328" i="2"/>
  <c r="AA328" i="2"/>
  <c r="CP328" i="2"/>
  <c r="T328" i="2"/>
  <c r="AB329" i="2"/>
  <c r="AJ329" i="2"/>
  <c r="AB330" i="2"/>
  <c r="AK330" i="2"/>
  <c r="AB331" i="2"/>
  <c r="AI331" i="2"/>
  <c r="AB332" i="2"/>
  <c r="AI332" i="2"/>
  <c r="AH332" i="2"/>
  <c r="AB333" i="2"/>
  <c r="AJ333" i="2"/>
  <c r="AB334" i="2"/>
  <c r="AB335" i="2"/>
  <c r="AI335" i="2"/>
  <c r="CP335" i="2"/>
  <c r="T335" i="2"/>
  <c r="U335" i="2"/>
  <c r="K334" i="10"/>
  <c r="AB336" i="2"/>
  <c r="AK336" i="2"/>
  <c r="AB337" i="2"/>
  <c r="AK337" i="2"/>
  <c r="AB338" i="2"/>
  <c r="AK338" i="2"/>
  <c r="CP338" i="2"/>
  <c r="T338" i="2"/>
  <c r="U338" i="2"/>
  <c r="K337" i="10"/>
  <c r="AB339" i="2"/>
  <c r="AK339" i="2"/>
  <c r="CP339" i="2"/>
  <c r="T339" i="2"/>
  <c r="AB340" i="2"/>
  <c r="AI340" i="2"/>
  <c r="AB341" i="2"/>
  <c r="AA341" i="2"/>
  <c r="CP341" i="2"/>
  <c r="T341" i="2"/>
  <c r="J340" i="10"/>
  <c r="AB342" i="2"/>
  <c r="AA342" i="2"/>
  <c r="AB343" i="2"/>
  <c r="AK343" i="2"/>
  <c r="AB344" i="2"/>
  <c r="AK344" i="2"/>
  <c r="AB243" i="2"/>
  <c r="AL243" i="2"/>
  <c r="AB244" i="2"/>
  <c r="AL244" i="2"/>
  <c r="AB245" i="2"/>
  <c r="AB246" i="2"/>
  <c r="AK246" i="2"/>
  <c r="AB247" i="2"/>
  <c r="AL247" i="2"/>
  <c r="AB248" i="2"/>
  <c r="AA248" i="2"/>
  <c r="CP248" i="2"/>
  <c r="T248" i="2"/>
  <c r="AB249" i="2"/>
  <c r="AB250" i="2"/>
  <c r="AI250" i="2"/>
  <c r="AB251" i="2"/>
  <c r="AB252" i="2"/>
  <c r="AJ252" i="2"/>
  <c r="AB253" i="2"/>
  <c r="AK253" i="2"/>
  <c r="AB254" i="2"/>
  <c r="AA254" i="2"/>
  <c r="AB255" i="2"/>
  <c r="AA255" i="2"/>
  <c r="AB256" i="2"/>
  <c r="AL256" i="2"/>
  <c r="AB257" i="2"/>
  <c r="AJ257" i="2"/>
  <c r="AB258" i="2"/>
  <c r="AK258" i="2"/>
  <c r="AB259" i="2"/>
  <c r="AA259" i="2"/>
  <c r="AB260" i="2"/>
  <c r="AA260" i="2"/>
  <c r="AB261" i="2"/>
  <c r="AA261" i="2"/>
  <c r="CP261" i="2"/>
  <c r="T261" i="2"/>
  <c r="AB262" i="2"/>
  <c r="AL262" i="2"/>
  <c r="AB263" i="2"/>
  <c r="AL263" i="2"/>
  <c r="AB264" i="2"/>
  <c r="AA264" i="2"/>
  <c r="CP264" i="2"/>
  <c r="T264" i="2"/>
  <c r="U264" i="2"/>
  <c r="K263" i="10"/>
  <c r="AB265" i="2"/>
  <c r="AB266" i="2"/>
  <c r="AL266" i="2"/>
  <c r="AB267" i="2"/>
  <c r="AI267" i="2"/>
  <c r="AB268" i="2"/>
  <c r="AB269" i="2"/>
  <c r="AB270" i="2"/>
  <c r="AL270" i="2"/>
  <c r="AB271" i="2"/>
  <c r="AB272" i="2"/>
  <c r="AB274" i="2"/>
  <c r="AL274" i="2"/>
  <c r="AB275" i="2"/>
  <c r="AA275" i="2"/>
  <c r="CP275" i="2"/>
  <c r="T275" i="2"/>
  <c r="AB276" i="2"/>
  <c r="AA276" i="2"/>
  <c r="CP276" i="2"/>
  <c r="T276" i="2"/>
  <c r="AB277" i="2"/>
  <c r="AB279" i="2"/>
  <c r="AA279" i="2"/>
  <c r="CP279" i="2"/>
  <c r="T279" i="2"/>
  <c r="U279" i="2"/>
  <c r="K278" i="10"/>
  <c r="AB280" i="2"/>
  <c r="AJ280" i="2"/>
  <c r="AB281" i="2"/>
  <c r="AK281" i="2"/>
  <c r="CP281" i="2"/>
  <c r="T281" i="2"/>
  <c r="AB282" i="2"/>
  <c r="AK282" i="2"/>
  <c r="CP282" i="2"/>
  <c r="T282" i="2"/>
  <c r="J281" i="10"/>
  <c r="AB283" i="2"/>
  <c r="AK283" i="2"/>
  <c r="AB284" i="2"/>
  <c r="AK284" i="2"/>
  <c r="AB285" i="2"/>
  <c r="AI285" i="2"/>
  <c r="AB286" i="2"/>
  <c r="AL286" i="2"/>
  <c r="CP286" i="2"/>
  <c r="T286" i="2"/>
  <c r="AB287" i="2"/>
  <c r="AI287" i="2"/>
  <c r="AB288" i="2"/>
  <c r="AL288" i="2"/>
  <c r="CP288" i="2"/>
  <c r="T288" i="2"/>
  <c r="J287" i="10"/>
  <c r="AB289" i="2"/>
  <c r="AA289" i="2"/>
  <c r="CP289" i="2"/>
  <c r="T289" i="2"/>
  <c r="J288" i="10"/>
  <c r="AB290" i="2"/>
  <c r="AB291" i="2"/>
  <c r="AJ291" i="2"/>
  <c r="AB292" i="2"/>
  <c r="AI292" i="2"/>
  <c r="AB293" i="2"/>
  <c r="AA293" i="2"/>
  <c r="CP293" i="2"/>
  <c r="T293" i="2"/>
  <c r="U293" i="2"/>
  <c r="K292" i="10"/>
  <c r="AB294" i="2"/>
  <c r="AK294" i="2"/>
  <c r="CP294" i="2"/>
  <c r="T294" i="2"/>
  <c r="AB295" i="2"/>
  <c r="AA295" i="2"/>
  <c r="CP295" i="2"/>
  <c r="T295" i="2"/>
  <c r="J294" i="10"/>
  <c r="AB296" i="2"/>
  <c r="AK296" i="2"/>
  <c r="CP296" i="2"/>
  <c r="T296" i="2"/>
  <c r="AB297" i="2"/>
  <c r="CP297" i="2"/>
  <c r="T297" i="2"/>
  <c r="AB298" i="2"/>
  <c r="AA298" i="2"/>
  <c r="CP298" i="2"/>
  <c r="T298" i="2"/>
  <c r="J297" i="10"/>
  <c r="AB299" i="2"/>
  <c r="CP299" i="2"/>
  <c r="T299" i="2"/>
  <c r="J298" i="10"/>
  <c r="AB300" i="2"/>
  <c r="AA300" i="2"/>
  <c r="AB301" i="2"/>
  <c r="AA301" i="2"/>
  <c r="AB302" i="2"/>
  <c r="AL302" i="2"/>
  <c r="AB303" i="2"/>
  <c r="AA303" i="2"/>
  <c r="AB304" i="2"/>
  <c r="AB305" i="2"/>
  <c r="AL305" i="2"/>
  <c r="CP305" i="2"/>
  <c r="T305" i="2"/>
  <c r="J304" i="10"/>
  <c r="AB306" i="2"/>
  <c r="AA306" i="2"/>
  <c r="CP306" i="2"/>
  <c r="T306" i="2"/>
  <c r="AB307" i="2"/>
  <c r="AL307" i="2"/>
  <c r="AB308" i="2"/>
  <c r="AL308" i="2"/>
  <c r="AB309" i="2"/>
  <c r="AI309" i="2"/>
  <c r="CP309" i="2"/>
  <c r="T309" i="2"/>
  <c r="J308" i="10"/>
  <c r="AB310" i="2"/>
  <c r="AK310" i="2"/>
  <c r="CP310" i="2"/>
  <c r="T310" i="2"/>
  <c r="AB311" i="2"/>
  <c r="AJ311" i="2"/>
  <c r="CP311" i="2"/>
  <c r="T311" i="2"/>
  <c r="AB312" i="2"/>
  <c r="AL312" i="2"/>
  <c r="AB313" i="2"/>
  <c r="AK313" i="2"/>
  <c r="AB314" i="2"/>
  <c r="AL314" i="2"/>
  <c r="AB315" i="2"/>
  <c r="AB316" i="2"/>
  <c r="AA316" i="2"/>
  <c r="AB317" i="2"/>
  <c r="AJ317" i="2"/>
  <c r="AB318" i="2"/>
  <c r="AA318" i="2"/>
  <c r="CP318" i="2"/>
  <c r="T318" i="2"/>
  <c r="AB319" i="2"/>
  <c r="AL319" i="2"/>
  <c r="AB320" i="2"/>
  <c r="AL320" i="2"/>
  <c r="AB321" i="2"/>
  <c r="AA321" i="2"/>
  <c r="CP321" i="2"/>
  <c r="T321" i="2"/>
  <c r="AB237" i="2"/>
  <c r="AK237" i="2"/>
  <c r="B5" i="2"/>
  <c r="AB5" i="2"/>
  <c r="AI5" i="2"/>
  <c r="AH5" i="2"/>
  <c r="AB6" i="2"/>
  <c r="AI6" i="2"/>
  <c r="AH6" i="2"/>
  <c r="AB7" i="2"/>
  <c r="AK7" i="2"/>
  <c r="AB8" i="2"/>
  <c r="AL8" i="2"/>
  <c r="AB9" i="2"/>
  <c r="AA9" i="2"/>
  <c r="AB10" i="2"/>
  <c r="AI10" i="2"/>
  <c r="AH10" i="2"/>
  <c r="AB11" i="2"/>
  <c r="AJ11" i="2"/>
  <c r="AB12" i="2"/>
  <c r="AI12" i="2"/>
  <c r="AH12" i="2"/>
  <c r="AB13" i="2"/>
  <c r="AB14" i="2"/>
  <c r="AI14" i="2"/>
  <c r="AH14" i="2"/>
  <c r="AB15" i="2"/>
  <c r="AA15" i="2"/>
  <c r="AB16" i="2"/>
  <c r="AI16" i="2"/>
  <c r="AH16" i="2"/>
  <c r="AB17" i="2"/>
  <c r="AA17" i="2"/>
  <c r="AB18" i="2"/>
  <c r="AJ18" i="2"/>
  <c r="AB19" i="2"/>
  <c r="AI19" i="2"/>
  <c r="AH19" i="2"/>
  <c r="AB20" i="2"/>
  <c r="AJ20" i="2"/>
  <c r="AB21" i="2"/>
  <c r="AA21" i="2"/>
  <c r="AB22" i="2"/>
  <c r="AA22" i="2"/>
  <c r="AB23" i="2"/>
  <c r="AL23" i="2"/>
  <c r="AB24" i="2"/>
  <c r="AJ24" i="2"/>
  <c r="AB25" i="2"/>
  <c r="AI25" i="2"/>
  <c r="AH25" i="2"/>
  <c r="AB26" i="2"/>
  <c r="AJ26" i="2"/>
  <c r="AB27" i="2"/>
  <c r="AB28" i="2"/>
  <c r="AL28" i="2"/>
  <c r="AB29" i="2"/>
  <c r="AJ29" i="2"/>
  <c r="AB30" i="2"/>
  <c r="AK30" i="2"/>
  <c r="AB31" i="2"/>
  <c r="AI31" i="2"/>
  <c r="AH31" i="2"/>
  <c r="AB32" i="2"/>
  <c r="AK32" i="2"/>
  <c r="AB33" i="2"/>
  <c r="AA33" i="2"/>
  <c r="AB34" i="2"/>
  <c r="AA34" i="2"/>
  <c r="AB35" i="2"/>
  <c r="AL35" i="2"/>
  <c r="AB36" i="2"/>
  <c r="AJ36" i="2"/>
  <c r="AB37" i="2"/>
  <c r="AB38" i="2"/>
  <c r="AI38" i="2"/>
  <c r="AH38" i="2"/>
  <c r="AB39" i="2"/>
  <c r="AB40" i="2"/>
  <c r="AI40" i="2"/>
  <c r="AH40" i="2"/>
  <c r="AB41" i="2"/>
  <c r="AJ41" i="2"/>
  <c r="AB42" i="2"/>
  <c r="AB43" i="2"/>
  <c r="AA43" i="2"/>
  <c r="AB44" i="2"/>
  <c r="AA44" i="2"/>
  <c r="AB45" i="2"/>
  <c r="AL45" i="2"/>
  <c r="AB46" i="2"/>
  <c r="AB47" i="2"/>
  <c r="AL47" i="2"/>
  <c r="AB48" i="2"/>
  <c r="AL48" i="2"/>
  <c r="AB49" i="2"/>
  <c r="AK49" i="2"/>
  <c r="AB50" i="2"/>
  <c r="AA50" i="2"/>
  <c r="AB51" i="2"/>
  <c r="AJ51" i="2"/>
  <c r="AB52" i="2"/>
  <c r="AA52" i="2"/>
  <c r="AB53" i="2"/>
  <c r="AB54" i="2"/>
  <c r="AI54" i="2"/>
  <c r="AH54" i="2"/>
  <c r="AB55" i="2"/>
  <c r="AB56" i="2"/>
  <c r="AA56" i="2"/>
  <c r="AB57" i="2"/>
  <c r="AJ57" i="2"/>
  <c r="AB58" i="2"/>
  <c r="AL58" i="2"/>
  <c r="AB59" i="2"/>
  <c r="AB60" i="2"/>
  <c r="AI60" i="2"/>
  <c r="AH60" i="2"/>
  <c r="AB61" i="2"/>
  <c r="AI61" i="2"/>
  <c r="AH61" i="2"/>
  <c r="AB62" i="2"/>
  <c r="AK62" i="2"/>
  <c r="AB63" i="2"/>
  <c r="AJ63" i="2"/>
  <c r="AB64" i="2"/>
  <c r="AA64" i="2"/>
  <c r="AB65" i="2"/>
  <c r="AA65" i="2"/>
  <c r="AB66" i="2"/>
  <c r="AI66" i="2"/>
  <c r="AH66" i="2"/>
  <c r="AB67" i="2"/>
  <c r="AJ67" i="2"/>
  <c r="AB68" i="2"/>
  <c r="AL68" i="2"/>
  <c r="AB69" i="2"/>
  <c r="AJ69" i="2"/>
  <c r="AB70" i="2"/>
  <c r="AB71" i="2"/>
  <c r="AI71" i="2"/>
  <c r="AH71" i="2"/>
  <c r="AB72" i="2"/>
  <c r="AA72" i="2"/>
  <c r="AB73" i="2"/>
  <c r="AI73" i="2"/>
  <c r="AH73" i="2"/>
  <c r="AB74" i="2"/>
  <c r="AI74" i="2"/>
  <c r="AH74" i="2"/>
  <c r="AB75" i="2"/>
  <c r="AJ75" i="2"/>
  <c r="AB76" i="2"/>
  <c r="AA76" i="2"/>
  <c r="AB77" i="2"/>
  <c r="AA77" i="2"/>
  <c r="AB78" i="2"/>
  <c r="AI78" i="2"/>
  <c r="AH78" i="2"/>
  <c r="AB79" i="2"/>
  <c r="AI79" i="2"/>
  <c r="AH79" i="2"/>
  <c r="AB80" i="2"/>
  <c r="AB81" i="2"/>
  <c r="AK81" i="2"/>
  <c r="AB82" i="2"/>
  <c r="AK82" i="2"/>
  <c r="AB83" i="2"/>
  <c r="AJ83" i="2"/>
  <c r="AB84" i="2"/>
  <c r="AL84" i="2"/>
  <c r="AB85" i="2"/>
  <c r="AK85" i="2"/>
  <c r="AB86" i="2"/>
  <c r="AK86" i="2"/>
  <c r="AB87" i="2"/>
  <c r="AA87" i="2"/>
  <c r="AB88" i="2"/>
  <c r="AL88" i="2"/>
  <c r="AB89" i="2"/>
  <c r="AL89" i="2"/>
  <c r="AB90" i="2"/>
  <c r="AL90" i="2"/>
  <c r="AB91" i="2"/>
  <c r="AI91" i="2"/>
  <c r="AH91" i="2"/>
  <c r="AB92" i="2"/>
  <c r="AA92" i="2"/>
  <c r="AB93" i="2"/>
  <c r="AA93" i="2"/>
  <c r="AB94" i="2"/>
  <c r="AL94" i="2"/>
  <c r="AB95" i="2"/>
  <c r="AB96" i="2"/>
  <c r="AK96" i="2"/>
  <c r="AB97" i="2"/>
  <c r="AJ97" i="2"/>
  <c r="AB98" i="2"/>
  <c r="AK98" i="2"/>
  <c r="AB99" i="2"/>
  <c r="AL99" i="2"/>
  <c r="AB100" i="2"/>
  <c r="AL100" i="2"/>
  <c r="AB101" i="2"/>
  <c r="AB102" i="2"/>
  <c r="AJ102" i="2"/>
  <c r="AB103" i="2"/>
  <c r="AA103" i="2"/>
  <c r="AB104" i="2"/>
  <c r="AK104" i="2"/>
  <c r="AB105" i="2"/>
  <c r="AA105" i="2"/>
  <c r="AB106" i="2"/>
  <c r="AL106" i="2"/>
  <c r="AB107" i="2"/>
  <c r="AJ107" i="2"/>
  <c r="AB108" i="2"/>
  <c r="AA108" i="2"/>
  <c r="AB109" i="2"/>
  <c r="AI109" i="2"/>
  <c r="AH109" i="2"/>
  <c r="AB110" i="2"/>
  <c r="AA110" i="2"/>
  <c r="AB111" i="2"/>
  <c r="AJ111" i="2"/>
  <c r="AB112" i="2"/>
  <c r="AI112" i="2"/>
  <c r="AH112" i="2"/>
  <c r="AB113" i="2"/>
  <c r="AA113" i="2"/>
  <c r="AB114" i="2"/>
  <c r="AK114" i="2"/>
  <c r="AB115" i="2"/>
  <c r="AB116" i="2"/>
  <c r="AJ116" i="2"/>
  <c r="AB117" i="2"/>
  <c r="AJ117" i="2"/>
  <c r="AB118" i="2"/>
  <c r="AI118" i="2"/>
  <c r="AH118" i="2"/>
  <c r="AB119" i="2"/>
  <c r="AJ119" i="2"/>
  <c r="AB120" i="2"/>
  <c r="AA120" i="2"/>
  <c r="AB121" i="2"/>
  <c r="AA121" i="2"/>
  <c r="AB122" i="2"/>
  <c r="AA122" i="2"/>
  <c r="AB123" i="2"/>
  <c r="AA123" i="2"/>
  <c r="AB124" i="2"/>
  <c r="AB125" i="2"/>
  <c r="AJ125" i="2"/>
  <c r="AB126" i="2"/>
  <c r="AB127" i="2"/>
  <c r="AJ127" i="2"/>
  <c r="AB128" i="2"/>
  <c r="AK128" i="2"/>
  <c r="AB129" i="2"/>
  <c r="AJ129" i="2"/>
  <c r="AB130" i="2"/>
  <c r="AI130" i="2"/>
  <c r="AH130" i="2"/>
  <c r="AB131" i="2"/>
  <c r="AJ131" i="2"/>
  <c r="AB132" i="2"/>
  <c r="AK132" i="2"/>
  <c r="AB133" i="2"/>
  <c r="AK133" i="2"/>
  <c r="AB134" i="2"/>
  <c r="AI134" i="2"/>
  <c r="AH134" i="2"/>
  <c r="AB135" i="2"/>
  <c r="AJ135" i="2"/>
  <c r="AB136" i="2"/>
  <c r="AI136" i="2"/>
  <c r="AH136" i="2"/>
  <c r="AB137" i="2"/>
  <c r="AJ137" i="2"/>
  <c r="AB138" i="2"/>
  <c r="AL138" i="2"/>
  <c r="AB139" i="2"/>
  <c r="AJ139" i="2"/>
  <c r="AB140" i="2"/>
  <c r="AK140" i="2"/>
  <c r="AB141" i="2"/>
  <c r="AB142" i="2"/>
  <c r="AB143" i="2"/>
  <c r="AB144" i="2"/>
  <c r="AK144" i="2"/>
  <c r="AB145" i="2"/>
  <c r="AI145" i="2"/>
  <c r="AH145" i="2"/>
  <c r="AB146" i="2"/>
  <c r="AK146" i="2"/>
  <c r="AB147" i="2"/>
  <c r="AK147" i="2"/>
  <c r="AB148" i="2"/>
  <c r="AK148" i="2"/>
  <c r="AB149" i="2"/>
  <c r="AI149" i="2"/>
  <c r="AH149" i="2"/>
  <c r="AB150" i="2"/>
  <c r="AL150" i="2"/>
  <c r="CP150" i="2"/>
  <c r="T150" i="2"/>
  <c r="AB151" i="2"/>
  <c r="AL151" i="2"/>
  <c r="AB152" i="2"/>
  <c r="AB153" i="2"/>
  <c r="AL153" i="2"/>
  <c r="AB154" i="2"/>
  <c r="AI154" i="2"/>
  <c r="AH154" i="2"/>
  <c r="AB155" i="2"/>
  <c r="AJ155" i="2"/>
  <c r="AB156" i="2"/>
  <c r="AI156" i="2"/>
  <c r="AH156" i="2"/>
  <c r="AB157" i="2"/>
  <c r="AL157" i="2"/>
  <c r="AB158" i="2"/>
  <c r="AI158" i="2"/>
  <c r="AH158" i="2"/>
  <c r="AB159" i="2"/>
  <c r="AL159" i="2"/>
  <c r="AB160" i="2"/>
  <c r="AK160" i="2"/>
  <c r="AB161" i="2"/>
  <c r="AB162" i="2"/>
  <c r="AB163" i="2"/>
  <c r="AB164" i="2"/>
  <c r="AJ164" i="2"/>
  <c r="AB165" i="2"/>
  <c r="AI165" i="2"/>
  <c r="AH165" i="2"/>
  <c r="AB166" i="2"/>
  <c r="AL166" i="2"/>
  <c r="AB167" i="2"/>
  <c r="AJ167" i="2"/>
  <c r="AB168" i="2"/>
  <c r="AK168" i="2"/>
  <c r="AB169" i="2"/>
  <c r="AL169" i="2"/>
  <c r="AB170" i="2"/>
  <c r="AI170" i="2"/>
  <c r="AH170" i="2"/>
  <c r="AB171" i="2"/>
  <c r="AL171" i="2"/>
  <c r="AB172" i="2"/>
  <c r="AJ172" i="2"/>
  <c r="AB173" i="2"/>
  <c r="AL173" i="2"/>
  <c r="AB174" i="2"/>
  <c r="AL174" i="2"/>
  <c r="AB175" i="2"/>
  <c r="AK175" i="2"/>
  <c r="AB176" i="2"/>
  <c r="AB177" i="2"/>
  <c r="AB178" i="2"/>
  <c r="AB179" i="2"/>
  <c r="AL179" i="2"/>
  <c r="AB180" i="2"/>
  <c r="AJ180" i="2"/>
  <c r="AB181" i="2"/>
  <c r="AJ181" i="2"/>
  <c r="AB182" i="2"/>
  <c r="AJ182" i="2"/>
  <c r="AB183" i="2"/>
  <c r="AJ183" i="2"/>
  <c r="AB184" i="2"/>
  <c r="AL184" i="2"/>
  <c r="AB185" i="2"/>
  <c r="AJ185" i="2"/>
  <c r="AB186" i="2"/>
  <c r="AJ186" i="2"/>
  <c r="AB187" i="2"/>
  <c r="AI187" i="2"/>
  <c r="AH187" i="2"/>
  <c r="AB188" i="2"/>
  <c r="AI188" i="2"/>
  <c r="AH188" i="2"/>
  <c r="AB189" i="2"/>
  <c r="AB190" i="2"/>
  <c r="AJ190" i="2"/>
  <c r="AB191" i="2"/>
  <c r="AI191" i="2"/>
  <c r="AH191" i="2"/>
  <c r="AB192" i="2"/>
  <c r="AJ192" i="2"/>
  <c r="AB193" i="2"/>
  <c r="AL193" i="2"/>
  <c r="AB194" i="2"/>
  <c r="AI194" i="2"/>
  <c r="AH194" i="2"/>
  <c r="AB195" i="2"/>
  <c r="AB196" i="2"/>
  <c r="AB197" i="2"/>
  <c r="AL197" i="2"/>
  <c r="AB198" i="2"/>
  <c r="AK198" i="2"/>
  <c r="AB199" i="2"/>
  <c r="AB200" i="2"/>
  <c r="AB201" i="2"/>
  <c r="AI201" i="2"/>
  <c r="AH201" i="2"/>
  <c r="AB202" i="2"/>
  <c r="AL202" i="2"/>
  <c r="AB203" i="2"/>
  <c r="AK203" i="2"/>
  <c r="CP203" i="2"/>
  <c r="T203" i="2"/>
  <c r="AB204" i="2"/>
  <c r="AI204" i="2"/>
  <c r="AH204" i="2"/>
  <c r="AB205" i="2"/>
  <c r="AJ205" i="2"/>
  <c r="AB206" i="2"/>
  <c r="AJ206" i="2"/>
  <c r="AB207" i="2"/>
  <c r="AL207" i="2"/>
  <c r="CP207" i="2"/>
  <c r="T207" i="2"/>
  <c r="U207" i="2"/>
  <c r="K206" i="10"/>
  <c r="AB208" i="2"/>
  <c r="AL208" i="2"/>
  <c r="AB209" i="2"/>
  <c r="AJ209" i="2"/>
  <c r="AB210" i="2"/>
  <c r="AB211" i="2"/>
  <c r="AI211" i="2"/>
  <c r="AH211" i="2"/>
  <c r="AB212" i="2"/>
  <c r="AB213" i="2"/>
  <c r="AB214" i="2"/>
  <c r="AJ214" i="2"/>
  <c r="AB215" i="2"/>
  <c r="AJ215" i="2"/>
  <c r="AB216" i="2"/>
  <c r="AI216" i="2"/>
  <c r="AH216" i="2"/>
  <c r="AB217" i="2"/>
  <c r="AI217" i="2"/>
  <c r="AH217" i="2"/>
  <c r="AB218" i="2"/>
  <c r="AL218" i="2"/>
  <c r="AB219" i="2"/>
  <c r="AI219" i="2"/>
  <c r="AH219" i="2"/>
  <c r="AB220" i="2"/>
  <c r="AI220" i="2"/>
  <c r="AH220" i="2"/>
  <c r="AB221" i="2"/>
  <c r="AI221" i="2"/>
  <c r="AH221" i="2"/>
  <c r="AB222" i="2"/>
  <c r="AL222" i="2"/>
  <c r="AB223" i="2"/>
  <c r="AJ223" i="2"/>
  <c r="AB224" i="2"/>
  <c r="AL224" i="2"/>
  <c r="AB225" i="2"/>
  <c r="AB226" i="2"/>
  <c r="AA226" i="2"/>
  <c r="CP226" i="2"/>
  <c r="T226" i="2"/>
  <c r="U226" i="2"/>
  <c r="K225" i="10"/>
  <c r="AB227" i="2"/>
  <c r="AA227" i="2"/>
  <c r="CP227" i="2"/>
  <c r="T227" i="2"/>
  <c r="AB228" i="2"/>
  <c r="AA228" i="2"/>
  <c r="CP228" i="2"/>
  <c r="T228" i="2"/>
  <c r="U228" i="2"/>
  <c r="K227" i="10"/>
  <c r="AB229" i="2"/>
  <c r="AL229" i="2"/>
  <c r="AB230" i="2"/>
  <c r="AK230" i="2"/>
  <c r="AB231" i="2"/>
  <c r="AL231" i="2"/>
  <c r="AB232" i="2"/>
  <c r="AK232" i="2"/>
  <c r="AB233" i="2"/>
  <c r="AI233" i="2"/>
  <c r="AH233" i="2"/>
  <c r="AB234" i="2"/>
  <c r="AJ234" i="2"/>
  <c r="AB235" i="2"/>
  <c r="AL235" i="2"/>
  <c r="AB236" i="2"/>
  <c r="AL236" i="2"/>
  <c r="AB238" i="2"/>
  <c r="AL238" i="2"/>
  <c r="CP238" i="2"/>
  <c r="T238" i="2"/>
  <c r="AB239" i="2"/>
  <c r="AI239" i="2"/>
  <c r="CP239" i="2"/>
  <c r="T239" i="2"/>
  <c r="U239" i="2"/>
  <c r="K238" i="10"/>
  <c r="AB240" i="2"/>
  <c r="AL240" i="2"/>
  <c r="AB241" i="2"/>
  <c r="AB242" i="2"/>
  <c r="V247" i="2"/>
  <c r="V248" i="2"/>
  <c r="CT5" i="2"/>
  <c r="CT6" i="2"/>
  <c r="CT7" i="2"/>
  <c r="CT8" i="2"/>
  <c r="CT9" i="2"/>
  <c r="CT10" i="2"/>
  <c r="CT11" i="2"/>
  <c r="CT12" i="2"/>
  <c r="CT13" i="2"/>
  <c r="CT14" i="2"/>
  <c r="CT15" i="2"/>
  <c r="CT16" i="2"/>
  <c r="CT17" i="2"/>
  <c r="CT18" i="2"/>
  <c r="CT19" i="2"/>
  <c r="CT20" i="2"/>
  <c r="CT21" i="2"/>
  <c r="CT22" i="2"/>
  <c r="CT23" i="2"/>
  <c r="CT24" i="2"/>
  <c r="CT25" i="2"/>
  <c r="CT26" i="2"/>
  <c r="CT27" i="2"/>
  <c r="CT28" i="2"/>
  <c r="CT29" i="2"/>
  <c r="CT30" i="2"/>
  <c r="CT31" i="2"/>
  <c r="CT32" i="2"/>
  <c r="CT33" i="2"/>
  <c r="CT34" i="2"/>
  <c r="CT35" i="2"/>
  <c r="CT36" i="2"/>
  <c r="CT37" i="2"/>
  <c r="CT38" i="2"/>
  <c r="CT39" i="2"/>
  <c r="CT40" i="2"/>
  <c r="CT41" i="2"/>
  <c r="CT42" i="2"/>
  <c r="CT43" i="2"/>
  <c r="CT44" i="2"/>
  <c r="CT45" i="2"/>
  <c r="CT46" i="2"/>
  <c r="CT47" i="2"/>
  <c r="CT48" i="2"/>
  <c r="CT49" i="2"/>
  <c r="CT50" i="2"/>
  <c r="CT51" i="2"/>
  <c r="CT52" i="2"/>
  <c r="CT53" i="2"/>
  <c r="CT54" i="2"/>
  <c r="CT55" i="2"/>
  <c r="CT56" i="2"/>
  <c r="CT57" i="2"/>
  <c r="CT58" i="2"/>
  <c r="CT59" i="2"/>
  <c r="CT60" i="2"/>
  <c r="CT61" i="2"/>
  <c r="CT62" i="2"/>
  <c r="CT63" i="2"/>
  <c r="CT64" i="2"/>
  <c r="CT65" i="2"/>
  <c r="CT66" i="2"/>
  <c r="CT67" i="2"/>
  <c r="CT68" i="2"/>
  <c r="CT69" i="2"/>
  <c r="CT70" i="2"/>
  <c r="CT71" i="2"/>
  <c r="CT72" i="2"/>
  <c r="CT73" i="2"/>
  <c r="CT74" i="2"/>
  <c r="CT75" i="2"/>
  <c r="CT76" i="2"/>
  <c r="CT77" i="2"/>
  <c r="CT78" i="2"/>
  <c r="CT79" i="2"/>
  <c r="CT80" i="2"/>
  <c r="CT81" i="2"/>
  <c r="CT82" i="2"/>
  <c r="CT83" i="2"/>
  <c r="CT84" i="2"/>
  <c r="CT85" i="2"/>
  <c r="CT86" i="2"/>
  <c r="CT87" i="2"/>
  <c r="CT88" i="2"/>
  <c r="CT89" i="2"/>
  <c r="CT90" i="2"/>
  <c r="CT91" i="2"/>
  <c r="CT92" i="2"/>
  <c r="CT93" i="2"/>
  <c r="CT94" i="2"/>
  <c r="CT95" i="2"/>
  <c r="CT96" i="2"/>
  <c r="CT97" i="2"/>
  <c r="CT98" i="2"/>
  <c r="CT99" i="2"/>
  <c r="CT100" i="2"/>
  <c r="CT101" i="2"/>
  <c r="CT102" i="2"/>
  <c r="CT103" i="2"/>
  <c r="CT104" i="2"/>
  <c r="CT105" i="2"/>
  <c r="CT106" i="2"/>
  <c r="CT107" i="2"/>
  <c r="CT108" i="2"/>
  <c r="CT109" i="2"/>
  <c r="CT110" i="2"/>
  <c r="CT111" i="2"/>
  <c r="CT112" i="2"/>
  <c r="CT113" i="2"/>
  <c r="CT114" i="2"/>
  <c r="CT115" i="2"/>
  <c r="CT116" i="2"/>
  <c r="CT117" i="2"/>
  <c r="CT118" i="2"/>
  <c r="CT119" i="2"/>
  <c r="CT120" i="2"/>
  <c r="CT121" i="2"/>
  <c r="CT122" i="2"/>
  <c r="CT123" i="2"/>
  <c r="CT124" i="2"/>
  <c r="CT125" i="2"/>
  <c r="CT126" i="2"/>
  <c r="CT127" i="2"/>
  <c r="CT128" i="2"/>
  <c r="CT129" i="2"/>
  <c r="CT130" i="2"/>
  <c r="CT131" i="2"/>
  <c r="CT132" i="2"/>
  <c r="CT133" i="2"/>
  <c r="CT134" i="2"/>
  <c r="CT135" i="2"/>
  <c r="CT136" i="2"/>
  <c r="CT137" i="2"/>
  <c r="CT138" i="2"/>
  <c r="CT139" i="2"/>
  <c r="CT140" i="2"/>
  <c r="CT141" i="2"/>
  <c r="CT142" i="2"/>
  <c r="CT143" i="2"/>
  <c r="CT144" i="2"/>
  <c r="CT145" i="2"/>
  <c r="CT146" i="2"/>
  <c r="CT147" i="2"/>
  <c r="CT148" i="2"/>
  <c r="CT149" i="2"/>
  <c r="CT150" i="2"/>
  <c r="CT151" i="2"/>
  <c r="CT152" i="2"/>
  <c r="CT153" i="2"/>
  <c r="CT154" i="2"/>
  <c r="CT155" i="2"/>
  <c r="CT156" i="2"/>
  <c r="CT157" i="2"/>
  <c r="CT158" i="2"/>
  <c r="CT159" i="2"/>
  <c r="CT160" i="2"/>
  <c r="CT161" i="2"/>
  <c r="CT162" i="2"/>
  <c r="CT163" i="2"/>
  <c r="CT164" i="2"/>
  <c r="CT165" i="2"/>
  <c r="CT166" i="2"/>
  <c r="CT167" i="2"/>
  <c r="CT168" i="2"/>
  <c r="CT169" i="2"/>
  <c r="CT170" i="2"/>
  <c r="CT171" i="2"/>
  <c r="CT172" i="2"/>
  <c r="CT173" i="2"/>
  <c r="CT174" i="2"/>
  <c r="CT175" i="2"/>
  <c r="CT176" i="2"/>
  <c r="CT177" i="2"/>
  <c r="CT178" i="2"/>
  <c r="CT179" i="2"/>
  <c r="CT180" i="2"/>
  <c r="CT181" i="2"/>
  <c r="CT182" i="2"/>
  <c r="CT183" i="2"/>
  <c r="CT184" i="2"/>
  <c r="CT185" i="2"/>
  <c r="CT186" i="2"/>
  <c r="CT187" i="2"/>
  <c r="CT188" i="2"/>
  <c r="CT189" i="2"/>
  <c r="CT190" i="2"/>
  <c r="CT191" i="2"/>
  <c r="CT192" i="2"/>
  <c r="CT193" i="2"/>
  <c r="CT194" i="2"/>
  <c r="CT195" i="2"/>
  <c r="CT196" i="2"/>
  <c r="CT197" i="2"/>
  <c r="CT198" i="2"/>
  <c r="CT199" i="2"/>
  <c r="CT200" i="2"/>
  <c r="CT201" i="2"/>
  <c r="CT202" i="2"/>
  <c r="CT203" i="2"/>
  <c r="CT204" i="2"/>
  <c r="CT205" i="2"/>
  <c r="CT206" i="2"/>
  <c r="CT207" i="2"/>
  <c r="CT208" i="2"/>
  <c r="CT209" i="2"/>
  <c r="CT210" i="2"/>
  <c r="CT211" i="2"/>
  <c r="CT212" i="2"/>
  <c r="CT213" i="2"/>
  <c r="CT214" i="2"/>
  <c r="CT215" i="2"/>
  <c r="CT216" i="2"/>
  <c r="CT217" i="2"/>
  <c r="CT218" i="2"/>
  <c r="CT219" i="2"/>
  <c r="CT220" i="2"/>
  <c r="CT221" i="2"/>
  <c r="CT222" i="2"/>
  <c r="CT229" i="2"/>
  <c r="CT230" i="2"/>
  <c r="CT231" i="2"/>
  <c r="CT232" i="2"/>
  <c r="CT233" i="2"/>
  <c r="CT234" i="2"/>
  <c r="CT235" i="2"/>
  <c r="CT236" i="2"/>
  <c r="CT237" i="2"/>
  <c r="CT238" i="2"/>
  <c r="CT239" i="2"/>
  <c r="CT240" i="2"/>
  <c r="CT241" i="2"/>
  <c r="CT242" i="2"/>
  <c r="CT243" i="2"/>
  <c r="CT244" i="2"/>
  <c r="CT245" i="2"/>
  <c r="CT246" i="2"/>
  <c r="CT247" i="2"/>
  <c r="CT248" i="2"/>
  <c r="CT249" i="2"/>
  <c r="CT250" i="2"/>
  <c r="CT251" i="2"/>
  <c r="CT252" i="2"/>
  <c r="CT253" i="2"/>
  <c r="CT254" i="2"/>
  <c r="CT255" i="2"/>
  <c r="CT256" i="2"/>
  <c r="CT257" i="2"/>
  <c r="CT258" i="2"/>
  <c r="CT259" i="2"/>
  <c r="CT260" i="2"/>
  <c r="CT261" i="2"/>
  <c r="CT262" i="2"/>
  <c r="CT263" i="2"/>
  <c r="CT264" i="2"/>
  <c r="CT265" i="2"/>
  <c r="CT266" i="2"/>
  <c r="CT267" i="2"/>
  <c r="CT268" i="2"/>
  <c r="CT269" i="2"/>
  <c r="CT270" i="2"/>
  <c r="CT271" i="2"/>
  <c r="CT272" i="2"/>
  <c r="CT273" i="2"/>
  <c r="CT274" i="2"/>
  <c r="CT275" i="2"/>
  <c r="CT276" i="2"/>
  <c r="CT277" i="2"/>
  <c r="CT278" i="2"/>
  <c r="CT279" i="2"/>
  <c r="CT280" i="2"/>
  <c r="CT281" i="2"/>
  <c r="CT282" i="2"/>
  <c r="CT283" i="2"/>
  <c r="CT284" i="2"/>
  <c r="CT285" i="2"/>
  <c r="CT286" i="2"/>
  <c r="CT287" i="2"/>
  <c r="CT288" i="2"/>
  <c r="CT289" i="2"/>
  <c r="CT290" i="2"/>
  <c r="CT291" i="2"/>
  <c r="CT292" i="2"/>
  <c r="CT293" i="2"/>
  <c r="CT294" i="2"/>
  <c r="CT295" i="2"/>
  <c r="CT296" i="2"/>
  <c r="CT297" i="2"/>
  <c r="CT298" i="2"/>
  <c r="CT299" i="2"/>
  <c r="CT300" i="2"/>
  <c r="CT301" i="2"/>
  <c r="CT302" i="2"/>
  <c r="CT303" i="2"/>
  <c r="CT304" i="2"/>
  <c r="CT305" i="2"/>
  <c r="CT306" i="2"/>
  <c r="CT307" i="2"/>
  <c r="CT308" i="2"/>
  <c r="CT309" i="2"/>
  <c r="CT310" i="2"/>
  <c r="CT311" i="2"/>
  <c r="CT312" i="2"/>
  <c r="CT313" i="2"/>
  <c r="CT314" i="2"/>
  <c r="CT315" i="2"/>
  <c r="CT316" i="2"/>
  <c r="CT317" i="2"/>
  <c r="CT318" i="2"/>
  <c r="CT319" i="2"/>
  <c r="CT320" i="2"/>
  <c r="CT321" i="2"/>
  <c r="CT322" i="2"/>
  <c r="CT323" i="2"/>
  <c r="CT324" i="2"/>
  <c r="CT325" i="2"/>
  <c r="CT326" i="2"/>
  <c r="CT327" i="2"/>
  <c r="CT328" i="2"/>
  <c r="CT329" i="2"/>
  <c r="CT330" i="2"/>
  <c r="CT331" i="2"/>
  <c r="CT332" i="2"/>
  <c r="CT333" i="2"/>
  <c r="CT334" i="2"/>
  <c r="CT335" i="2"/>
  <c r="CT336" i="2"/>
  <c r="CT337" i="2"/>
  <c r="CT338" i="2"/>
  <c r="CT339" i="2"/>
  <c r="CT340" i="2"/>
  <c r="CT341" i="2"/>
  <c r="CT342" i="2"/>
  <c r="CT343" i="2"/>
  <c r="CT344" i="2"/>
  <c r="CS5" i="2"/>
  <c r="CS6" i="2"/>
  <c r="CS7" i="2"/>
  <c r="CS8" i="2"/>
  <c r="CS9" i="2"/>
  <c r="CS10" i="2"/>
  <c r="CS11" i="2"/>
  <c r="CS12" i="2"/>
  <c r="CS13" i="2"/>
  <c r="CS14" i="2"/>
  <c r="CS15" i="2"/>
  <c r="CS16" i="2"/>
  <c r="CS17" i="2"/>
  <c r="CS18" i="2"/>
  <c r="CS19" i="2"/>
  <c r="CS20" i="2"/>
  <c r="CS21" i="2"/>
  <c r="CS22" i="2"/>
  <c r="CS23" i="2"/>
  <c r="CS24" i="2"/>
  <c r="CS25" i="2"/>
  <c r="CS26" i="2"/>
  <c r="CS27" i="2"/>
  <c r="CS28" i="2"/>
  <c r="CS29" i="2"/>
  <c r="CS30" i="2"/>
  <c r="CS31" i="2"/>
  <c r="CS32" i="2"/>
  <c r="CS33" i="2"/>
  <c r="CS34" i="2"/>
  <c r="CS35" i="2"/>
  <c r="CS36" i="2"/>
  <c r="CS37" i="2"/>
  <c r="CS38" i="2"/>
  <c r="CS39" i="2"/>
  <c r="CS40" i="2"/>
  <c r="CS41" i="2"/>
  <c r="CS42" i="2"/>
  <c r="CS43" i="2"/>
  <c r="CS44" i="2"/>
  <c r="CS45" i="2"/>
  <c r="CS46" i="2"/>
  <c r="CS47" i="2"/>
  <c r="CS48" i="2"/>
  <c r="CS49" i="2"/>
  <c r="CS50" i="2"/>
  <c r="CS51" i="2"/>
  <c r="CS52" i="2"/>
  <c r="CS53" i="2"/>
  <c r="CS54" i="2"/>
  <c r="CS55" i="2"/>
  <c r="CS56" i="2"/>
  <c r="CS57" i="2"/>
  <c r="CS58" i="2"/>
  <c r="CS59" i="2"/>
  <c r="CS60" i="2"/>
  <c r="CS61" i="2"/>
  <c r="CS62" i="2"/>
  <c r="CS63" i="2"/>
  <c r="CS64" i="2"/>
  <c r="CS65" i="2"/>
  <c r="CS66" i="2"/>
  <c r="CS67" i="2"/>
  <c r="CS68" i="2"/>
  <c r="CS69" i="2"/>
  <c r="CS70" i="2"/>
  <c r="CS71" i="2"/>
  <c r="CS72" i="2"/>
  <c r="CS73" i="2"/>
  <c r="CS74" i="2"/>
  <c r="CS75" i="2"/>
  <c r="CS76" i="2"/>
  <c r="CS77" i="2"/>
  <c r="CS78" i="2"/>
  <c r="CS79" i="2"/>
  <c r="CS80" i="2"/>
  <c r="CS81" i="2"/>
  <c r="CS82" i="2"/>
  <c r="CS83" i="2"/>
  <c r="CS84" i="2"/>
  <c r="CS85" i="2"/>
  <c r="CS86" i="2"/>
  <c r="CS87" i="2"/>
  <c r="CS88" i="2"/>
  <c r="CS89" i="2"/>
  <c r="CS90" i="2"/>
  <c r="CS91" i="2"/>
  <c r="CS92" i="2"/>
  <c r="CS93" i="2"/>
  <c r="CS94" i="2"/>
  <c r="CS95" i="2"/>
  <c r="CS96" i="2"/>
  <c r="CS97" i="2"/>
  <c r="CS98" i="2"/>
  <c r="CS99" i="2"/>
  <c r="CS100" i="2"/>
  <c r="CS101" i="2"/>
  <c r="CS102" i="2"/>
  <c r="CS103" i="2"/>
  <c r="CS104" i="2"/>
  <c r="CS105" i="2"/>
  <c r="CS106" i="2"/>
  <c r="CS107" i="2"/>
  <c r="CS108" i="2"/>
  <c r="CS109" i="2"/>
  <c r="CS110" i="2"/>
  <c r="CS111" i="2"/>
  <c r="CS112" i="2"/>
  <c r="CS113" i="2"/>
  <c r="CS114" i="2"/>
  <c r="CS115" i="2"/>
  <c r="CS116" i="2"/>
  <c r="CS117" i="2"/>
  <c r="CS118" i="2"/>
  <c r="CS119" i="2"/>
  <c r="CS120" i="2"/>
  <c r="CS121" i="2"/>
  <c r="CS122" i="2"/>
  <c r="CS123" i="2"/>
  <c r="CS124" i="2"/>
  <c r="CS125" i="2"/>
  <c r="CS126" i="2"/>
  <c r="CS127" i="2"/>
  <c r="CS128" i="2"/>
  <c r="CS129" i="2"/>
  <c r="CS130" i="2"/>
  <c r="CS131" i="2"/>
  <c r="CS132" i="2"/>
  <c r="CS133" i="2"/>
  <c r="CS134" i="2"/>
  <c r="CS135" i="2"/>
  <c r="CS136" i="2"/>
  <c r="CS137" i="2"/>
  <c r="CS138" i="2"/>
  <c r="CS139" i="2"/>
  <c r="CS140" i="2"/>
  <c r="CS141" i="2"/>
  <c r="CS142" i="2"/>
  <c r="CS143" i="2"/>
  <c r="CS144" i="2"/>
  <c r="CS145" i="2"/>
  <c r="CS146" i="2"/>
  <c r="CS147" i="2"/>
  <c r="CS148" i="2"/>
  <c r="CS149" i="2"/>
  <c r="CS150" i="2"/>
  <c r="CS151" i="2"/>
  <c r="CS152" i="2"/>
  <c r="CS153" i="2"/>
  <c r="CS154" i="2"/>
  <c r="CS155" i="2"/>
  <c r="CS156" i="2"/>
  <c r="CS157" i="2"/>
  <c r="CS158" i="2"/>
  <c r="CS159" i="2"/>
  <c r="CS160" i="2"/>
  <c r="CS161" i="2"/>
  <c r="CS162" i="2"/>
  <c r="CS163" i="2"/>
  <c r="CS164" i="2"/>
  <c r="CS165" i="2"/>
  <c r="CS166" i="2"/>
  <c r="CS167" i="2"/>
  <c r="CS168" i="2"/>
  <c r="CS169" i="2"/>
  <c r="CS170" i="2"/>
  <c r="CS171" i="2"/>
  <c r="CS172" i="2"/>
  <c r="CS173" i="2"/>
  <c r="CS174" i="2"/>
  <c r="CS175" i="2"/>
  <c r="CS176" i="2"/>
  <c r="CS177" i="2"/>
  <c r="CS178" i="2"/>
  <c r="CS179" i="2"/>
  <c r="CS180" i="2"/>
  <c r="CS181" i="2"/>
  <c r="CS182" i="2"/>
  <c r="CS183" i="2"/>
  <c r="CS184" i="2"/>
  <c r="CS185" i="2"/>
  <c r="CS186" i="2"/>
  <c r="CS187" i="2"/>
  <c r="CS188" i="2"/>
  <c r="CS189" i="2"/>
  <c r="CS190" i="2"/>
  <c r="CS191" i="2"/>
  <c r="CS192" i="2"/>
  <c r="CS193" i="2"/>
  <c r="CS194" i="2"/>
  <c r="CS195" i="2"/>
  <c r="CS196" i="2"/>
  <c r="CS197" i="2"/>
  <c r="CS198" i="2"/>
  <c r="CS199" i="2"/>
  <c r="CS200" i="2"/>
  <c r="CS201" i="2"/>
  <c r="CS202" i="2"/>
  <c r="CS203" i="2"/>
  <c r="CS204" i="2"/>
  <c r="CS205" i="2"/>
  <c r="CS206" i="2"/>
  <c r="CS207" i="2"/>
  <c r="CS208" i="2"/>
  <c r="CS209" i="2"/>
  <c r="CS210" i="2"/>
  <c r="CS211" i="2"/>
  <c r="CS212" i="2"/>
  <c r="CS213" i="2"/>
  <c r="CS214" i="2"/>
  <c r="CS215" i="2"/>
  <c r="CS216" i="2"/>
  <c r="CS217" i="2"/>
  <c r="CS218" i="2"/>
  <c r="CS219" i="2"/>
  <c r="CS220" i="2"/>
  <c r="CS221" i="2"/>
  <c r="CS222" i="2"/>
  <c r="CS229" i="2"/>
  <c r="CS230" i="2"/>
  <c r="CS231" i="2"/>
  <c r="CS232" i="2"/>
  <c r="CS233" i="2"/>
  <c r="CS234" i="2"/>
  <c r="CS235" i="2"/>
  <c r="CS236" i="2"/>
  <c r="CS237" i="2"/>
  <c r="CS238" i="2"/>
  <c r="CS239" i="2"/>
  <c r="CS240" i="2"/>
  <c r="CS241" i="2"/>
  <c r="CS242" i="2"/>
  <c r="CS243" i="2"/>
  <c r="CS244" i="2"/>
  <c r="CS245" i="2"/>
  <c r="CS246" i="2"/>
  <c r="CS247" i="2"/>
  <c r="CS248" i="2"/>
  <c r="CS249" i="2"/>
  <c r="CS250" i="2"/>
  <c r="CS251" i="2"/>
  <c r="CS252" i="2"/>
  <c r="CS253" i="2"/>
  <c r="CS254" i="2"/>
  <c r="CS255" i="2"/>
  <c r="CS256" i="2"/>
  <c r="CS257" i="2"/>
  <c r="CS258" i="2"/>
  <c r="CS259" i="2"/>
  <c r="CS260" i="2"/>
  <c r="CS261" i="2"/>
  <c r="CS262" i="2"/>
  <c r="CS263" i="2"/>
  <c r="CS264" i="2"/>
  <c r="CS265" i="2"/>
  <c r="CS266" i="2"/>
  <c r="CS267" i="2"/>
  <c r="CS268" i="2"/>
  <c r="CS269" i="2"/>
  <c r="CS270" i="2"/>
  <c r="CS271" i="2"/>
  <c r="CS272" i="2"/>
  <c r="CS273" i="2"/>
  <c r="CS274" i="2"/>
  <c r="CS275" i="2"/>
  <c r="CS276" i="2"/>
  <c r="CS277" i="2"/>
  <c r="CS278" i="2"/>
  <c r="CS279" i="2"/>
  <c r="CS280" i="2"/>
  <c r="CS281" i="2"/>
  <c r="CS282" i="2"/>
  <c r="CS283" i="2"/>
  <c r="CS284" i="2"/>
  <c r="CS285" i="2"/>
  <c r="CS286" i="2"/>
  <c r="CS287" i="2"/>
  <c r="CS288" i="2"/>
  <c r="CS289" i="2"/>
  <c r="CS290" i="2"/>
  <c r="CS291" i="2"/>
  <c r="CS292" i="2"/>
  <c r="CS293" i="2"/>
  <c r="CS294" i="2"/>
  <c r="CS295" i="2"/>
  <c r="CS296" i="2"/>
  <c r="CS297" i="2"/>
  <c r="CS298" i="2"/>
  <c r="CS299" i="2"/>
  <c r="CS300" i="2"/>
  <c r="CS301" i="2"/>
  <c r="CS302" i="2"/>
  <c r="CS303" i="2"/>
  <c r="CS304" i="2"/>
  <c r="CS305" i="2"/>
  <c r="CS306" i="2"/>
  <c r="CS307" i="2"/>
  <c r="CS308" i="2"/>
  <c r="CS309" i="2"/>
  <c r="CS310" i="2"/>
  <c r="CS311" i="2"/>
  <c r="CS312" i="2"/>
  <c r="CS313" i="2"/>
  <c r="CS314" i="2"/>
  <c r="CS315" i="2"/>
  <c r="CS316" i="2"/>
  <c r="CS317" i="2"/>
  <c r="CS318" i="2"/>
  <c r="CS319" i="2"/>
  <c r="CS320" i="2"/>
  <c r="CS321" i="2"/>
  <c r="CS322" i="2"/>
  <c r="CS323" i="2"/>
  <c r="CS324" i="2"/>
  <c r="CS325" i="2"/>
  <c r="CS326" i="2"/>
  <c r="CS327" i="2"/>
  <c r="CS328" i="2"/>
  <c r="CS329" i="2"/>
  <c r="CS330" i="2"/>
  <c r="CS331" i="2"/>
  <c r="CS332" i="2"/>
  <c r="CS333" i="2"/>
  <c r="CS334" i="2"/>
  <c r="CS335" i="2"/>
  <c r="CS336" i="2"/>
  <c r="CS337" i="2"/>
  <c r="CS338" i="2"/>
  <c r="CS339" i="2"/>
  <c r="CS340" i="2"/>
  <c r="CS341" i="2"/>
  <c r="CS342" i="2"/>
  <c r="CS343" i="2"/>
  <c r="CS344" i="2"/>
  <c r="CR5" i="2"/>
  <c r="CR6" i="2"/>
  <c r="CR7" i="2"/>
  <c r="CR8" i="2"/>
  <c r="CR9" i="2"/>
  <c r="CR10" i="2"/>
  <c r="CR11" i="2"/>
  <c r="CR12" i="2"/>
  <c r="CR13" i="2"/>
  <c r="CR14" i="2"/>
  <c r="CR15" i="2"/>
  <c r="CR16" i="2"/>
  <c r="CR17" i="2"/>
  <c r="CR18" i="2"/>
  <c r="CR19" i="2"/>
  <c r="CR20" i="2"/>
  <c r="CR21" i="2"/>
  <c r="CR22" i="2"/>
  <c r="CR23" i="2"/>
  <c r="CR24" i="2"/>
  <c r="CR25" i="2"/>
  <c r="CR26" i="2"/>
  <c r="CR27" i="2"/>
  <c r="CR28" i="2"/>
  <c r="CR29" i="2"/>
  <c r="CR30" i="2"/>
  <c r="CR31" i="2"/>
  <c r="CR32" i="2"/>
  <c r="CR33" i="2"/>
  <c r="CR34" i="2"/>
  <c r="CR35" i="2"/>
  <c r="CR36" i="2"/>
  <c r="CR37" i="2"/>
  <c r="CR38" i="2"/>
  <c r="CR39" i="2"/>
  <c r="CR40" i="2"/>
  <c r="CR41" i="2"/>
  <c r="CR42" i="2"/>
  <c r="CR43" i="2"/>
  <c r="CR44" i="2"/>
  <c r="CR45" i="2"/>
  <c r="CR46" i="2"/>
  <c r="CR47" i="2"/>
  <c r="CR48" i="2"/>
  <c r="CR49" i="2"/>
  <c r="CR50" i="2"/>
  <c r="CR51" i="2"/>
  <c r="CR52" i="2"/>
  <c r="CR53" i="2"/>
  <c r="CR54" i="2"/>
  <c r="CR55" i="2"/>
  <c r="CR56" i="2"/>
  <c r="CR57" i="2"/>
  <c r="CR58" i="2"/>
  <c r="CR59" i="2"/>
  <c r="CR60" i="2"/>
  <c r="CR61" i="2"/>
  <c r="CR62" i="2"/>
  <c r="CR63" i="2"/>
  <c r="CR64" i="2"/>
  <c r="CR65" i="2"/>
  <c r="CR66" i="2"/>
  <c r="CR67" i="2"/>
  <c r="CR68" i="2"/>
  <c r="CR69" i="2"/>
  <c r="CR70" i="2"/>
  <c r="CR71" i="2"/>
  <c r="CR72" i="2"/>
  <c r="CR73" i="2"/>
  <c r="CR74" i="2"/>
  <c r="CR75" i="2"/>
  <c r="CR76" i="2"/>
  <c r="CR77" i="2"/>
  <c r="CR78" i="2"/>
  <c r="CR79" i="2"/>
  <c r="CR80" i="2"/>
  <c r="CR81" i="2"/>
  <c r="CR82" i="2"/>
  <c r="CR83" i="2"/>
  <c r="CR84" i="2"/>
  <c r="CR85" i="2"/>
  <c r="CR86" i="2"/>
  <c r="CR87" i="2"/>
  <c r="CR88" i="2"/>
  <c r="CR89" i="2"/>
  <c r="CR90" i="2"/>
  <c r="CR91" i="2"/>
  <c r="CR92" i="2"/>
  <c r="CR93" i="2"/>
  <c r="CR94" i="2"/>
  <c r="CR95" i="2"/>
  <c r="CR96" i="2"/>
  <c r="CR97" i="2"/>
  <c r="CR98" i="2"/>
  <c r="CR99" i="2"/>
  <c r="CR100" i="2"/>
  <c r="CR101" i="2"/>
  <c r="CR102" i="2"/>
  <c r="CR103" i="2"/>
  <c r="CR104" i="2"/>
  <c r="CR105" i="2"/>
  <c r="CR106" i="2"/>
  <c r="CR107" i="2"/>
  <c r="CR108" i="2"/>
  <c r="CR109" i="2"/>
  <c r="CR110" i="2"/>
  <c r="CR111" i="2"/>
  <c r="CR112" i="2"/>
  <c r="CR113" i="2"/>
  <c r="CR114" i="2"/>
  <c r="CR115" i="2"/>
  <c r="CR116" i="2"/>
  <c r="CR117" i="2"/>
  <c r="CR118" i="2"/>
  <c r="CR119" i="2"/>
  <c r="CR120" i="2"/>
  <c r="CR121" i="2"/>
  <c r="CR122" i="2"/>
  <c r="CR123" i="2"/>
  <c r="CR124" i="2"/>
  <c r="CR125" i="2"/>
  <c r="CR126" i="2"/>
  <c r="CR127" i="2"/>
  <c r="CR128" i="2"/>
  <c r="CR129" i="2"/>
  <c r="CR130" i="2"/>
  <c r="CR131" i="2"/>
  <c r="CR132" i="2"/>
  <c r="CR133" i="2"/>
  <c r="CR134" i="2"/>
  <c r="CR135" i="2"/>
  <c r="CR136" i="2"/>
  <c r="CR137" i="2"/>
  <c r="CR138" i="2"/>
  <c r="CR139" i="2"/>
  <c r="CR140" i="2"/>
  <c r="CR141" i="2"/>
  <c r="CR142" i="2"/>
  <c r="CR143" i="2"/>
  <c r="CR144" i="2"/>
  <c r="CR145" i="2"/>
  <c r="CR146" i="2"/>
  <c r="CR147" i="2"/>
  <c r="CR148" i="2"/>
  <c r="CR149" i="2"/>
  <c r="CR150" i="2"/>
  <c r="CR151" i="2"/>
  <c r="CR152" i="2"/>
  <c r="CR153" i="2"/>
  <c r="CR154" i="2"/>
  <c r="CR155" i="2"/>
  <c r="CR156" i="2"/>
  <c r="CR157" i="2"/>
  <c r="CR158" i="2"/>
  <c r="CR159" i="2"/>
  <c r="CR160" i="2"/>
  <c r="CR161" i="2"/>
  <c r="CR162" i="2"/>
  <c r="CR163" i="2"/>
  <c r="CR164" i="2"/>
  <c r="CR165" i="2"/>
  <c r="CR166" i="2"/>
  <c r="CR167" i="2"/>
  <c r="CR168" i="2"/>
  <c r="CR169" i="2"/>
  <c r="CR170" i="2"/>
  <c r="CR171" i="2"/>
  <c r="CR172" i="2"/>
  <c r="CR173" i="2"/>
  <c r="CR174" i="2"/>
  <c r="CR175" i="2"/>
  <c r="CR176" i="2"/>
  <c r="CR177" i="2"/>
  <c r="CR178" i="2"/>
  <c r="CR179" i="2"/>
  <c r="CR180" i="2"/>
  <c r="CR181" i="2"/>
  <c r="CR182" i="2"/>
  <c r="CR183" i="2"/>
  <c r="CR184" i="2"/>
  <c r="CR185" i="2"/>
  <c r="CR186" i="2"/>
  <c r="CR187" i="2"/>
  <c r="CR188" i="2"/>
  <c r="CR189" i="2"/>
  <c r="CR190" i="2"/>
  <c r="CR191" i="2"/>
  <c r="CR192" i="2"/>
  <c r="CR193" i="2"/>
  <c r="CR194" i="2"/>
  <c r="CR195" i="2"/>
  <c r="CR196" i="2"/>
  <c r="CR197" i="2"/>
  <c r="CR198" i="2"/>
  <c r="CR199" i="2"/>
  <c r="CR200" i="2"/>
  <c r="CR201" i="2"/>
  <c r="CR202" i="2"/>
  <c r="CR203" i="2"/>
  <c r="CR204" i="2"/>
  <c r="CR205" i="2"/>
  <c r="CR206" i="2"/>
  <c r="CR207" i="2"/>
  <c r="CR208" i="2"/>
  <c r="CR209" i="2"/>
  <c r="CR210" i="2"/>
  <c r="CR211" i="2"/>
  <c r="CR212" i="2"/>
  <c r="CR213" i="2"/>
  <c r="CR214" i="2"/>
  <c r="CR215" i="2"/>
  <c r="CR216" i="2"/>
  <c r="CR217" i="2"/>
  <c r="CR218" i="2"/>
  <c r="CR219" i="2"/>
  <c r="CR220" i="2"/>
  <c r="CR221" i="2"/>
  <c r="CR222" i="2"/>
  <c r="CR229" i="2"/>
  <c r="CR230" i="2"/>
  <c r="CR231" i="2"/>
  <c r="CR232" i="2"/>
  <c r="CR233" i="2"/>
  <c r="CR234" i="2"/>
  <c r="CR235" i="2"/>
  <c r="CR236" i="2"/>
  <c r="CR237" i="2"/>
  <c r="CR238" i="2"/>
  <c r="CR239" i="2"/>
  <c r="CR240" i="2"/>
  <c r="CR241" i="2"/>
  <c r="CR242" i="2"/>
  <c r="CR243" i="2"/>
  <c r="CR244" i="2"/>
  <c r="CR245" i="2"/>
  <c r="CR246" i="2"/>
  <c r="CR247" i="2"/>
  <c r="CR248" i="2"/>
  <c r="CR249" i="2"/>
  <c r="CR250" i="2"/>
  <c r="CR251" i="2"/>
  <c r="CR252" i="2"/>
  <c r="CR253" i="2"/>
  <c r="CR254" i="2"/>
  <c r="CR255" i="2"/>
  <c r="CR256" i="2"/>
  <c r="CR257" i="2"/>
  <c r="CR258" i="2"/>
  <c r="CR259" i="2"/>
  <c r="CR260" i="2"/>
  <c r="CR261" i="2"/>
  <c r="CR262" i="2"/>
  <c r="CR263" i="2"/>
  <c r="CR264" i="2"/>
  <c r="CR265" i="2"/>
  <c r="CR266" i="2"/>
  <c r="CR267" i="2"/>
  <c r="CR268" i="2"/>
  <c r="CR269" i="2"/>
  <c r="CR270" i="2"/>
  <c r="CR271" i="2"/>
  <c r="CR272" i="2"/>
  <c r="CR273" i="2"/>
  <c r="CR274" i="2"/>
  <c r="CR275" i="2"/>
  <c r="CR276" i="2"/>
  <c r="CR277" i="2"/>
  <c r="CR278" i="2"/>
  <c r="CR279" i="2"/>
  <c r="CR280" i="2"/>
  <c r="CR281" i="2"/>
  <c r="CR282" i="2"/>
  <c r="CR283" i="2"/>
  <c r="CR284" i="2"/>
  <c r="CR285" i="2"/>
  <c r="CR286" i="2"/>
  <c r="CR287" i="2"/>
  <c r="CR288" i="2"/>
  <c r="CR289" i="2"/>
  <c r="CR290" i="2"/>
  <c r="CR291" i="2"/>
  <c r="CR292" i="2"/>
  <c r="CR294" i="2"/>
  <c r="CR295" i="2"/>
  <c r="CR296" i="2"/>
  <c r="CR297" i="2"/>
  <c r="CR298" i="2"/>
  <c r="CR299" i="2"/>
  <c r="CR300" i="2"/>
  <c r="CR301" i="2"/>
  <c r="CR302" i="2"/>
  <c r="CR303" i="2"/>
  <c r="CR304" i="2"/>
  <c r="CR305" i="2"/>
  <c r="CR306" i="2"/>
  <c r="CR307" i="2"/>
  <c r="CR308" i="2"/>
  <c r="CR309" i="2"/>
  <c r="CR310" i="2"/>
  <c r="CR311" i="2"/>
  <c r="CR312" i="2"/>
  <c r="CR313" i="2"/>
  <c r="CR314" i="2"/>
  <c r="CR315" i="2"/>
  <c r="CR316" i="2"/>
  <c r="CR317" i="2"/>
  <c r="CR318" i="2"/>
  <c r="CR322" i="2"/>
  <c r="CR327" i="2"/>
  <c r="CR328" i="2"/>
  <c r="CR329" i="2"/>
  <c r="CR330" i="2"/>
  <c r="CR331" i="2"/>
  <c r="CR332" i="2"/>
  <c r="CR333" i="2"/>
  <c r="CR334" i="2"/>
  <c r="CR335" i="2"/>
  <c r="CR336" i="2"/>
  <c r="CR337" i="2"/>
  <c r="CR338" i="2"/>
  <c r="CR339" i="2"/>
  <c r="CR340" i="2"/>
  <c r="CR341" i="2"/>
  <c r="CR342" i="2"/>
  <c r="CR343" i="2"/>
  <c r="CR344" i="2"/>
  <c r="CQ5" i="2"/>
  <c r="CQ6" i="2"/>
  <c r="CQ7" i="2"/>
  <c r="CQ8" i="2"/>
  <c r="CQ9" i="2"/>
  <c r="CQ10" i="2"/>
  <c r="CQ11" i="2"/>
  <c r="CQ12" i="2"/>
  <c r="CQ13" i="2"/>
  <c r="CQ14" i="2"/>
  <c r="CQ15" i="2"/>
  <c r="CQ16" i="2"/>
  <c r="CQ17" i="2"/>
  <c r="CQ18" i="2"/>
  <c r="CQ19" i="2"/>
  <c r="CQ20" i="2"/>
  <c r="CQ21" i="2"/>
  <c r="CQ22" i="2"/>
  <c r="CQ23" i="2"/>
  <c r="CQ24" i="2"/>
  <c r="CQ25" i="2"/>
  <c r="CQ26" i="2"/>
  <c r="CQ27" i="2"/>
  <c r="CQ28" i="2"/>
  <c r="CQ29" i="2"/>
  <c r="CQ30" i="2"/>
  <c r="CQ31" i="2"/>
  <c r="CQ32" i="2"/>
  <c r="CQ33" i="2"/>
  <c r="CQ34" i="2"/>
  <c r="CQ35" i="2"/>
  <c r="CQ36" i="2"/>
  <c r="CQ37" i="2"/>
  <c r="CQ38" i="2"/>
  <c r="CQ39" i="2"/>
  <c r="CQ40" i="2"/>
  <c r="CQ41" i="2"/>
  <c r="CQ42" i="2"/>
  <c r="CQ43" i="2"/>
  <c r="CQ44" i="2"/>
  <c r="CQ45" i="2"/>
  <c r="CQ46" i="2"/>
  <c r="CQ47" i="2"/>
  <c r="CQ48" i="2"/>
  <c r="CQ49" i="2"/>
  <c r="CQ50" i="2"/>
  <c r="CQ51" i="2"/>
  <c r="CQ52" i="2"/>
  <c r="CQ53" i="2"/>
  <c r="CQ54" i="2"/>
  <c r="CQ55" i="2"/>
  <c r="CQ56" i="2"/>
  <c r="CQ57" i="2"/>
  <c r="CQ58" i="2"/>
  <c r="CQ59" i="2"/>
  <c r="CQ60" i="2"/>
  <c r="CQ61" i="2"/>
  <c r="CQ62" i="2"/>
  <c r="CQ63" i="2"/>
  <c r="CQ64" i="2"/>
  <c r="CQ65" i="2"/>
  <c r="CQ66" i="2"/>
  <c r="CQ67" i="2"/>
  <c r="CQ68" i="2"/>
  <c r="CQ69" i="2"/>
  <c r="CQ70" i="2"/>
  <c r="CQ71" i="2"/>
  <c r="CQ72" i="2"/>
  <c r="CQ73" i="2"/>
  <c r="CQ74" i="2"/>
  <c r="CQ75" i="2"/>
  <c r="CQ76" i="2"/>
  <c r="CQ77" i="2"/>
  <c r="CQ78" i="2"/>
  <c r="CQ79" i="2"/>
  <c r="CQ80" i="2"/>
  <c r="CQ81" i="2"/>
  <c r="CQ82" i="2"/>
  <c r="CQ83" i="2"/>
  <c r="CQ84" i="2"/>
  <c r="CQ85" i="2"/>
  <c r="CQ86" i="2"/>
  <c r="CQ87" i="2"/>
  <c r="CQ88" i="2"/>
  <c r="CQ89" i="2"/>
  <c r="CQ90" i="2"/>
  <c r="CQ91" i="2"/>
  <c r="CQ92" i="2"/>
  <c r="CQ93" i="2"/>
  <c r="CQ94" i="2"/>
  <c r="CQ95" i="2"/>
  <c r="CQ96" i="2"/>
  <c r="CQ97" i="2"/>
  <c r="CQ98" i="2"/>
  <c r="CQ99" i="2"/>
  <c r="CQ100" i="2"/>
  <c r="CQ101" i="2"/>
  <c r="CQ102" i="2"/>
  <c r="CQ103" i="2"/>
  <c r="CQ104" i="2"/>
  <c r="CQ105" i="2"/>
  <c r="CQ106" i="2"/>
  <c r="CQ107" i="2"/>
  <c r="CQ108" i="2"/>
  <c r="CQ109" i="2"/>
  <c r="CQ110" i="2"/>
  <c r="CQ111" i="2"/>
  <c r="CQ112" i="2"/>
  <c r="CQ113" i="2"/>
  <c r="CQ114" i="2"/>
  <c r="CQ115" i="2"/>
  <c r="CQ116" i="2"/>
  <c r="CQ117" i="2"/>
  <c r="CQ118" i="2"/>
  <c r="CQ119" i="2"/>
  <c r="CQ120" i="2"/>
  <c r="CQ121" i="2"/>
  <c r="CQ122" i="2"/>
  <c r="CQ123" i="2"/>
  <c r="CQ124" i="2"/>
  <c r="CQ125" i="2"/>
  <c r="CQ126" i="2"/>
  <c r="CQ127" i="2"/>
  <c r="CQ128" i="2"/>
  <c r="CQ129" i="2"/>
  <c r="CQ130" i="2"/>
  <c r="CQ131" i="2"/>
  <c r="CQ132" i="2"/>
  <c r="CQ133" i="2"/>
  <c r="CQ134" i="2"/>
  <c r="CQ135" i="2"/>
  <c r="CQ136" i="2"/>
  <c r="CQ137" i="2"/>
  <c r="CQ138" i="2"/>
  <c r="CQ139" i="2"/>
  <c r="CQ140" i="2"/>
  <c r="CQ141" i="2"/>
  <c r="CQ142" i="2"/>
  <c r="CQ143" i="2"/>
  <c r="CQ144" i="2"/>
  <c r="CQ145" i="2"/>
  <c r="CQ146" i="2"/>
  <c r="CQ147" i="2"/>
  <c r="CQ148" i="2"/>
  <c r="CQ149" i="2"/>
  <c r="CQ150" i="2"/>
  <c r="CQ151" i="2"/>
  <c r="CQ152" i="2"/>
  <c r="CQ153" i="2"/>
  <c r="CQ154" i="2"/>
  <c r="CQ155" i="2"/>
  <c r="CQ156" i="2"/>
  <c r="CQ157" i="2"/>
  <c r="CQ158" i="2"/>
  <c r="CQ159" i="2"/>
  <c r="CQ160" i="2"/>
  <c r="CQ161" i="2"/>
  <c r="CQ162" i="2"/>
  <c r="CQ163" i="2"/>
  <c r="CQ164" i="2"/>
  <c r="CQ165" i="2"/>
  <c r="CQ166" i="2"/>
  <c r="CQ167" i="2"/>
  <c r="CQ168" i="2"/>
  <c r="CQ169" i="2"/>
  <c r="CQ170" i="2"/>
  <c r="CQ171" i="2"/>
  <c r="CQ172" i="2"/>
  <c r="CQ173" i="2"/>
  <c r="CQ174" i="2"/>
  <c r="CQ175" i="2"/>
  <c r="CQ176" i="2"/>
  <c r="CQ177" i="2"/>
  <c r="CQ178" i="2"/>
  <c r="CQ179" i="2"/>
  <c r="CQ180" i="2"/>
  <c r="CQ181" i="2"/>
  <c r="CQ182" i="2"/>
  <c r="CQ183" i="2"/>
  <c r="CQ184" i="2"/>
  <c r="CQ185" i="2"/>
  <c r="CQ186" i="2"/>
  <c r="CQ187" i="2"/>
  <c r="CQ188" i="2"/>
  <c r="CQ189" i="2"/>
  <c r="CQ190" i="2"/>
  <c r="CQ191" i="2"/>
  <c r="CQ192" i="2"/>
  <c r="CQ193" i="2"/>
  <c r="CQ194" i="2"/>
  <c r="CQ195" i="2"/>
  <c r="CQ196" i="2"/>
  <c r="CQ197" i="2"/>
  <c r="CQ198" i="2"/>
  <c r="CQ199" i="2"/>
  <c r="CQ200" i="2"/>
  <c r="CQ201" i="2"/>
  <c r="CQ202" i="2"/>
  <c r="CQ203" i="2"/>
  <c r="CQ204" i="2"/>
  <c r="CQ205" i="2"/>
  <c r="CQ206" i="2"/>
  <c r="CQ207" i="2"/>
  <c r="CQ208" i="2"/>
  <c r="CQ209" i="2"/>
  <c r="CQ210" i="2"/>
  <c r="CQ211" i="2"/>
  <c r="CQ212" i="2"/>
  <c r="CQ213" i="2"/>
  <c r="CQ214" i="2"/>
  <c r="CQ215" i="2"/>
  <c r="CQ216" i="2"/>
  <c r="CQ217" i="2"/>
  <c r="CQ218" i="2"/>
  <c r="CQ219" i="2"/>
  <c r="CQ220" i="2"/>
  <c r="CQ221" i="2"/>
  <c r="CQ222" i="2"/>
  <c r="CQ229" i="2"/>
  <c r="CQ230" i="2"/>
  <c r="CQ231" i="2"/>
  <c r="CQ232" i="2"/>
  <c r="CQ233" i="2"/>
  <c r="CQ234" i="2"/>
  <c r="CQ235" i="2"/>
  <c r="CQ236" i="2"/>
  <c r="CQ237" i="2"/>
  <c r="CQ238" i="2"/>
  <c r="CQ239" i="2"/>
  <c r="CQ240" i="2"/>
  <c r="CQ241" i="2"/>
  <c r="CQ242" i="2"/>
  <c r="CQ243" i="2"/>
  <c r="CQ244" i="2"/>
  <c r="CQ245" i="2"/>
  <c r="CQ246" i="2"/>
  <c r="CQ247" i="2"/>
  <c r="CQ248" i="2"/>
  <c r="CQ249" i="2"/>
  <c r="CQ250" i="2"/>
  <c r="CQ251" i="2"/>
  <c r="CQ252" i="2"/>
  <c r="CQ253" i="2"/>
  <c r="CQ254" i="2"/>
  <c r="CQ255" i="2"/>
  <c r="CQ256" i="2"/>
  <c r="CQ257" i="2"/>
  <c r="CQ258" i="2"/>
  <c r="CQ259" i="2"/>
  <c r="CQ260" i="2"/>
  <c r="CQ261" i="2"/>
  <c r="CQ262" i="2"/>
  <c r="CQ263" i="2"/>
  <c r="CQ264" i="2"/>
  <c r="CQ265" i="2"/>
  <c r="CQ266" i="2"/>
  <c r="CQ267" i="2"/>
  <c r="CQ276" i="2"/>
  <c r="CQ277" i="2"/>
  <c r="CQ278" i="2"/>
  <c r="CQ279" i="2"/>
  <c r="CQ280" i="2"/>
  <c r="CQ281" i="2"/>
  <c r="CQ282" i="2"/>
  <c r="CQ283" i="2"/>
  <c r="CQ284" i="2"/>
  <c r="CQ285" i="2"/>
  <c r="CQ286" i="2"/>
  <c r="CQ287" i="2"/>
  <c r="CQ288" i="2"/>
  <c r="CQ289" i="2"/>
  <c r="CQ290" i="2"/>
  <c r="CQ291" i="2"/>
  <c r="CQ292" i="2"/>
  <c r="CQ293" i="2"/>
  <c r="CQ294" i="2"/>
  <c r="CQ295" i="2"/>
  <c r="CQ296" i="2"/>
  <c r="CQ297" i="2"/>
  <c r="CQ298" i="2"/>
  <c r="CQ299" i="2"/>
  <c r="CQ300" i="2"/>
  <c r="CQ301" i="2"/>
  <c r="CQ302" i="2"/>
  <c r="CQ303" i="2"/>
  <c r="CQ304" i="2"/>
  <c r="CQ305" i="2"/>
  <c r="CQ306" i="2"/>
  <c r="CQ307" i="2"/>
  <c r="CQ308" i="2"/>
  <c r="CQ309" i="2"/>
  <c r="CQ310" i="2"/>
  <c r="CQ311" i="2"/>
  <c r="CQ312" i="2"/>
  <c r="CQ313" i="2"/>
  <c r="CQ314" i="2"/>
  <c r="CQ315" i="2"/>
  <c r="CQ316" i="2"/>
  <c r="CQ317" i="2"/>
  <c r="CQ318" i="2"/>
  <c r="CQ319" i="2"/>
  <c r="CQ320" i="2"/>
  <c r="CQ321" i="2"/>
  <c r="CQ322" i="2"/>
  <c r="CQ323" i="2"/>
  <c r="CQ324" i="2"/>
  <c r="CQ325" i="2"/>
  <c r="CQ326" i="2"/>
  <c r="CQ327" i="2"/>
  <c r="CQ328" i="2"/>
  <c r="CQ329" i="2"/>
  <c r="CQ330" i="2"/>
  <c r="CQ331" i="2"/>
  <c r="CQ332" i="2"/>
  <c r="CQ333" i="2"/>
  <c r="CQ334" i="2"/>
  <c r="CQ335" i="2"/>
  <c r="CQ336" i="2"/>
  <c r="CQ337" i="2"/>
  <c r="CQ338" i="2"/>
  <c r="CQ339" i="2"/>
  <c r="CQ340" i="2"/>
  <c r="CQ341" i="2"/>
  <c r="CQ342" i="2"/>
  <c r="CQ343" i="2"/>
  <c r="CQ344" i="2"/>
  <c r="CH3" i="2"/>
  <c r="CE3" i="2"/>
  <c r="CF3" i="2"/>
  <c r="CG3" i="2"/>
  <c r="AN341" i="2"/>
  <c r="V341" i="2"/>
  <c r="L340" i="10"/>
  <c r="AN300" i="2"/>
  <c r="AN303" i="2"/>
  <c r="V303" i="2"/>
  <c r="AN309" i="2"/>
  <c r="V309" i="2"/>
  <c r="V300" i="2"/>
  <c r="L299" i="10"/>
  <c r="CP259" i="2"/>
  <c r="T259" i="2"/>
  <c r="CP302" i="2"/>
  <c r="T302" i="2"/>
  <c r="CP272" i="2"/>
  <c r="T272" i="2"/>
  <c r="CR320" i="2"/>
  <c r="CR325" i="2"/>
  <c r="CR324" i="2"/>
  <c r="CR293" i="2"/>
  <c r="AB273" i="2"/>
  <c r="AA273" i="2"/>
  <c r="CP273" i="2"/>
  <c r="T273" i="2"/>
  <c r="U273" i="2"/>
  <c r="K272" i="10"/>
  <c r="AB278" i="2"/>
  <c r="CI336" i="2"/>
  <c r="CI335" i="2"/>
  <c r="CI334" i="2"/>
  <c r="CI333" i="2"/>
  <c r="CI332" i="2"/>
  <c r="CI331" i="2"/>
  <c r="CI330" i="2"/>
  <c r="CI329" i="2"/>
  <c r="CI328" i="2"/>
  <c r="CI327" i="2"/>
  <c r="CI326" i="2"/>
  <c r="CI325" i="2"/>
  <c r="CI324" i="2"/>
  <c r="CI323" i="2"/>
  <c r="CI322" i="2"/>
  <c r="CI321" i="2"/>
  <c r="CI320" i="2"/>
  <c r="CI319" i="2"/>
  <c r="CI312" i="2"/>
  <c r="CI311" i="2"/>
  <c r="CI310" i="2"/>
  <c r="CI309" i="2"/>
  <c r="CI308" i="2"/>
  <c r="CI307" i="2"/>
  <c r="CI306" i="2"/>
  <c r="CI305" i="2"/>
  <c r="CI304" i="2"/>
  <c r="CI303" i="2"/>
  <c r="CI302" i="2"/>
  <c r="CI301" i="2"/>
  <c r="CI300" i="2"/>
  <c r="CI299" i="2"/>
  <c r="CI298" i="2"/>
  <c r="CI297" i="2"/>
  <c r="CI296" i="2"/>
  <c r="CI295" i="2"/>
  <c r="CI294" i="2"/>
  <c r="CI293" i="2"/>
  <c r="CI292" i="2"/>
  <c r="CI291" i="2"/>
  <c r="CI290" i="2"/>
  <c r="CI289" i="2"/>
  <c r="CI288" i="2"/>
  <c r="CI287" i="2"/>
  <c r="CI286" i="2"/>
  <c r="CI285" i="2"/>
  <c r="CI284" i="2"/>
  <c r="CI283" i="2"/>
  <c r="CI282" i="2"/>
  <c r="CI281" i="2"/>
  <c r="CI280" i="2"/>
  <c r="CI279" i="2"/>
  <c r="CI278" i="2"/>
  <c r="CI277" i="2"/>
  <c r="CI276" i="2"/>
  <c r="CI275" i="2"/>
  <c r="CI274" i="2"/>
  <c r="CI273" i="2"/>
  <c r="CI272" i="2"/>
  <c r="CI271" i="2"/>
  <c r="CI270" i="2"/>
  <c r="CI269" i="2"/>
  <c r="CI268" i="2"/>
  <c r="CI267" i="2"/>
  <c r="CI266" i="2"/>
  <c r="CI265" i="2"/>
  <c r="CI264" i="2"/>
  <c r="CI263" i="2"/>
  <c r="CI262" i="2"/>
  <c r="CI261" i="2"/>
  <c r="CI260" i="2"/>
  <c r="CI259" i="2"/>
  <c r="CI258" i="2"/>
  <c r="CI257" i="2"/>
  <c r="CI256" i="2"/>
  <c r="CI255" i="2"/>
  <c r="CI253" i="2"/>
  <c r="CI252" i="2"/>
  <c r="CI251" i="2"/>
  <c r="CI250" i="2"/>
  <c r="CI249" i="2"/>
  <c r="CI248" i="2"/>
  <c r="CI247" i="2"/>
  <c r="CI246" i="2"/>
  <c r="CI245" i="2"/>
  <c r="CI244" i="2"/>
  <c r="CI243" i="2"/>
  <c r="CI242" i="2"/>
  <c r="CI241" i="2"/>
  <c r="CI240" i="2"/>
  <c r="CI239" i="2"/>
  <c r="CI238" i="2"/>
  <c r="CI237" i="2"/>
  <c r="CI236" i="2"/>
  <c r="CI235" i="2"/>
  <c r="CI234" i="2"/>
  <c r="CI233" i="2"/>
  <c r="CI232" i="2"/>
  <c r="CI231" i="2"/>
  <c r="CI230" i="2"/>
  <c r="CI229" i="2"/>
  <c r="CI228" i="2"/>
  <c r="CI227" i="2"/>
  <c r="CI226" i="2"/>
  <c r="CI225" i="2"/>
  <c r="CI224" i="2"/>
  <c r="CI223" i="2"/>
  <c r="CI222" i="2"/>
  <c r="CI221" i="2"/>
  <c r="CI220" i="2"/>
  <c r="CI219" i="2"/>
  <c r="CI218" i="2"/>
  <c r="CI217" i="2"/>
  <c r="CI216" i="2"/>
  <c r="CI215" i="2"/>
  <c r="CI214" i="2"/>
  <c r="CI213" i="2"/>
  <c r="CI212" i="2"/>
  <c r="CI211" i="2"/>
  <c r="CI210" i="2"/>
  <c r="CI209" i="2"/>
  <c r="CI208" i="2"/>
  <c r="CI207" i="2"/>
  <c r="CI206" i="2"/>
  <c r="CI205" i="2"/>
  <c r="CI204" i="2"/>
  <c r="CI203" i="2"/>
  <c r="CI202" i="2"/>
  <c r="CI201" i="2"/>
  <c r="CI200" i="2"/>
  <c r="CI199" i="2"/>
  <c r="CI198" i="2"/>
  <c r="CI197" i="2"/>
  <c r="CI196" i="2"/>
  <c r="CI195" i="2"/>
  <c r="CI194" i="2"/>
  <c r="CI193" i="2"/>
  <c r="CI192" i="2"/>
  <c r="CI191" i="2"/>
  <c r="CI190" i="2"/>
  <c r="CI189" i="2"/>
  <c r="CI188" i="2"/>
  <c r="CI187" i="2"/>
  <c r="CI186" i="2"/>
  <c r="CI185" i="2"/>
  <c r="CI184" i="2"/>
  <c r="CI183" i="2"/>
  <c r="CI182" i="2"/>
  <c r="CI181" i="2"/>
  <c r="CI180" i="2"/>
  <c r="CI179" i="2"/>
  <c r="CI178" i="2"/>
  <c r="CI177" i="2"/>
  <c r="CI176" i="2"/>
  <c r="CI175" i="2"/>
  <c r="CI174" i="2"/>
  <c r="CI173" i="2"/>
  <c r="CI172" i="2"/>
  <c r="CI171" i="2"/>
  <c r="CI170" i="2"/>
  <c r="CI169" i="2"/>
  <c r="CI168" i="2"/>
  <c r="CI167" i="2"/>
  <c r="CI166" i="2"/>
  <c r="CJ166" i="2"/>
  <c r="CI165" i="2"/>
  <c r="CJ165" i="2"/>
  <c r="CI164" i="2"/>
  <c r="CJ164" i="2"/>
  <c r="CI163" i="2"/>
  <c r="CJ163" i="2"/>
  <c r="CI162" i="2"/>
  <c r="CI161" i="2"/>
  <c r="CI160" i="2"/>
  <c r="CI159" i="2"/>
  <c r="CI158" i="2"/>
  <c r="CI157" i="2"/>
  <c r="CI156" i="2"/>
  <c r="CI155" i="2"/>
  <c r="CI154" i="2"/>
  <c r="CI153" i="2"/>
  <c r="CI152" i="2"/>
  <c r="CI151" i="2"/>
  <c r="CI150" i="2"/>
  <c r="CI149" i="2"/>
  <c r="CI148" i="2"/>
  <c r="CI147" i="2"/>
  <c r="CI146" i="2"/>
  <c r="CI145" i="2"/>
  <c r="CI144" i="2"/>
  <c r="CI143" i="2"/>
  <c r="CI142" i="2"/>
  <c r="CI141" i="2"/>
  <c r="CI140" i="2"/>
  <c r="CI139" i="2"/>
  <c r="CI138" i="2"/>
  <c r="CI137" i="2"/>
  <c r="CI136" i="2"/>
  <c r="CI135" i="2"/>
  <c r="CI134" i="2"/>
  <c r="CI133" i="2"/>
  <c r="CI132" i="2"/>
  <c r="CI131" i="2"/>
  <c r="CI130" i="2"/>
  <c r="CI129" i="2"/>
  <c r="CI128" i="2"/>
  <c r="CI127" i="2"/>
  <c r="CI126" i="2"/>
  <c r="CI125" i="2"/>
  <c r="CI124" i="2"/>
  <c r="CI123" i="2"/>
  <c r="CI122" i="2"/>
  <c r="CI121" i="2"/>
  <c r="CI120" i="2"/>
  <c r="CI119" i="2"/>
  <c r="CI118" i="2"/>
  <c r="CI117" i="2"/>
  <c r="CI116" i="2"/>
  <c r="CI115" i="2"/>
  <c r="CI114" i="2"/>
  <c r="CI113" i="2"/>
  <c r="CI112" i="2"/>
  <c r="CI111" i="2"/>
  <c r="CI110" i="2"/>
  <c r="CI109" i="2"/>
  <c r="CI108" i="2"/>
  <c r="CI107" i="2"/>
  <c r="CI106" i="2"/>
  <c r="CI105" i="2"/>
  <c r="CI104" i="2"/>
  <c r="CI103" i="2"/>
  <c r="CI102" i="2"/>
  <c r="CI101" i="2"/>
  <c r="CI100" i="2"/>
  <c r="CI99" i="2"/>
  <c r="CI98" i="2"/>
  <c r="CI97" i="2"/>
  <c r="CI96" i="2"/>
  <c r="CI95" i="2"/>
  <c r="CI94" i="2"/>
  <c r="CI93" i="2"/>
  <c r="CI92" i="2"/>
  <c r="CI91" i="2"/>
  <c r="CI90" i="2"/>
  <c r="CI89" i="2"/>
  <c r="CI88" i="2"/>
  <c r="CI87" i="2"/>
  <c r="CI86" i="2"/>
  <c r="CI85" i="2"/>
  <c r="CI84" i="2"/>
  <c r="CI83" i="2"/>
  <c r="CI82" i="2"/>
  <c r="CI81" i="2"/>
  <c r="CI80" i="2"/>
  <c r="CI79" i="2"/>
  <c r="CI78" i="2"/>
  <c r="CI77" i="2"/>
  <c r="CI76" i="2"/>
  <c r="CI75" i="2"/>
  <c r="CI74" i="2"/>
  <c r="CI73" i="2"/>
  <c r="CI72" i="2"/>
  <c r="CI71" i="2"/>
  <c r="CI70" i="2"/>
  <c r="CI69" i="2"/>
  <c r="CI68" i="2"/>
  <c r="CI67" i="2"/>
  <c r="CI66" i="2"/>
  <c r="CI65" i="2"/>
  <c r="CI64" i="2"/>
  <c r="CI63" i="2"/>
  <c r="CI62" i="2"/>
  <c r="CI61" i="2"/>
  <c r="CI60" i="2"/>
  <c r="CI59" i="2"/>
  <c r="CI58" i="2"/>
  <c r="CI57" i="2"/>
  <c r="CI56" i="2"/>
  <c r="CI55" i="2"/>
  <c r="CI54" i="2"/>
  <c r="CI53" i="2"/>
  <c r="CI52" i="2"/>
  <c r="CI51" i="2"/>
  <c r="CI50" i="2"/>
  <c r="CI49" i="2"/>
  <c r="CI48" i="2"/>
  <c r="CI47" i="2"/>
  <c r="CI46" i="2"/>
  <c r="CI45" i="2"/>
  <c r="CI44" i="2"/>
  <c r="CI43" i="2"/>
  <c r="CI42" i="2"/>
  <c r="CI41" i="2"/>
  <c r="CI40" i="2"/>
  <c r="CI39" i="2"/>
  <c r="CI38" i="2"/>
  <c r="CI37" i="2"/>
  <c r="CI36" i="2"/>
  <c r="CI35" i="2"/>
  <c r="CI34" i="2"/>
  <c r="CI33" i="2"/>
  <c r="CI32" i="2"/>
  <c r="CI31" i="2"/>
  <c r="CI30" i="2"/>
  <c r="CI29" i="2"/>
  <c r="CI28" i="2"/>
  <c r="CI27" i="2"/>
  <c r="CI26" i="2"/>
  <c r="CI25" i="2"/>
  <c r="CI24" i="2"/>
  <c r="CI23" i="2"/>
  <c r="CI22" i="2"/>
  <c r="CI21" i="2"/>
  <c r="CI20" i="2"/>
  <c r="CI19" i="2"/>
  <c r="CI18" i="2"/>
  <c r="CI17" i="2"/>
  <c r="CI16" i="2"/>
  <c r="CI15" i="2"/>
  <c r="CI14" i="2"/>
  <c r="CI13" i="2"/>
  <c r="CI12" i="2"/>
  <c r="CI11" i="2"/>
  <c r="CI10" i="2"/>
  <c r="CI9" i="2"/>
  <c r="CI8" i="2"/>
  <c r="CI7" i="2"/>
  <c r="CI6" i="2"/>
  <c r="CI5" i="2"/>
  <c r="FL163" i="2"/>
  <c r="FL165" i="2"/>
  <c r="FL178" i="2"/>
  <c r="FL322" i="2"/>
  <c r="FL192" i="2"/>
  <c r="FL296" i="2"/>
  <c r="FL182" i="2"/>
  <c r="FL183" i="2"/>
  <c r="FL318" i="2"/>
  <c r="FL221" i="2"/>
  <c r="FL166" i="2"/>
  <c r="FL177" i="2"/>
  <c r="FL200" i="2"/>
  <c r="FL175" i="2"/>
  <c r="FL213" i="2"/>
  <c r="FL327" i="2"/>
  <c r="FL198" i="2"/>
  <c r="FL164" i="2"/>
  <c r="FL199" i="2"/>
  <c r="FL299" i="2"/>
  <c r="FL211" i="2"/>
  <c r="FL307" i="2"/>
  <c r="FL304" i="2"/>
  <c r="FL332" i="2"/>
  <c r="FL176" i="2"/>
  <c r="FL345" i="2"/>
  <c r="FL222" i="2"/>
  <c r="M125" i="10"/>
  <c r="AN3" i="2"/>
  <c r="M272" i="10"/>
  <c r="L302" i="10"/>
  <c r="M252" i="10"/>
  <c r="M268" i="10"/>
  <c r="M250" i="10"/>
  <c r="M289" i="10"/>
  <c r="L262" i="10"/>
  <c r="M236" i="10"/>
  <c r="M239" i="10"/>
  <c r="M300" i="10"/>
  <c r="L264" i="10"/>
  <c r="M299" i="10"/>
  <c r="N299" i="10"/>
  <c r="M276" i="10"/>
  <c r="L263" i="10"/>
  <c r="M292" i="10"/>
  <c r="M269" i="10"/>
  <c r="L308" i="10"/>
  <c r="M257" i="10"/>
  <c r="M258" i="10"/>
  <c r="M255" i="10"/>
  <c r="M290" i="10"/>
  <c r="M305" i="10"/>
  <c r="M283" i="10"/>
  <c r="M260" i="10"/>
  <c r="M254" i="10"/>
  <c r="M316" i="10"/>
  <c r="M270" i="10"/>
  <c r="M267" i="10"/>
  <c r="L274" i="10"/>
  <c r="L278" i="10"/>
  <c r="M287" i="10"/>
  <c r="L247" i="10"/>
  <c r="M247" i="10"/>
  <c r="M286" i="10"/>
  <c r="M263" i="10"/>
  <c r="M243" i="10"/>
  <c r="M304" i="10"/>
  <c r="M281" i="10"/>
  <c r="M237" i="10"/>
  <c r="M298" i="10"/>
  <c r="M275" i="10"/>
  <c r="M311" i="10"/>
  <c r="M288" i="10"/>
  <c r="M265" i="10"/>
  <c r="L246" i="10"/>
  <c r="M246" i="10"/>
  <c r="M307" i="10"/>
  <c r="M262" i="10"/>
  <c r="M285" i="10"/>
  <c r="M248" i="10"/>
  <c r="M310" i="10"/>
  <c r="M264" i="10"/>
  <c r="M245" i="10"/>
  <c r="M306" i="10"/>
  <c r="M284" i="10"/>
  <c r="M242" i="10"/>
  <c r="M303" i="10"/>
  <c r="M280" i="10"/>
  <c r="M279" i="10"/>
  <c r="M301" i="10"/>
  <c r="M278" i="10"/>
  <c r="L269" i="10"/>
  <c r="AK106" i="2"/>
  <c r="AK206" i="2"/>
  <c r="AJ106" i="2"/>
  <c r="AL289" i="2"/>
  <c r="AK286" i="2"/>
  <c r="AJ147" i="2"/>
  <c r="AJ246" i="2"/>
  <c r="AL330" i="2"/>
  <c r="AK305" i="2"/>
  <c r="AA26" i="2"/>
  <c r="AL62" i="2"/>
  <c r="CJ148" i="2"/>
  <c r="AL51" i="2"/>
  <c r="AI289" i="2"/>
  <c r="AI47" i="2"/>
  <c r="AH47" i="2"/>
  <c r="AJ149" i="2"/>
  <c r="AJ28" i="2"/>
  <c r="AI327" i="2"/>
  <c r="AH327" i="2"/>
  <c r="AL108" i="2"/>
  <c r="AK183" i="2"/>
  <c r="AK217" i="2"/>
  <c r="AK289" i="2"/>
  <c r="AI185" i="2"/>
  <c r="AH185" i="2"/>
  <c r="CJ231" i="2"/>
  <c r="J453" i="10"/>
  <c r="AK321" i="2"/>
  <c r="AK43" i="2"/>
  <c r="AA223" i="2"/>
  <c r="CP223" i="2"/>
  <c r="T223" i="2"/>
  <c r="J222" i="10"/>
  <c r="CJ190" i="2"/>
  <c r="AK204" i="2"/>
  <c r="AL183" i="2"/>
  <c r="AL43" i="2"/>
  <c r="AA28" i="2"/>
  <c r="AA8" i="2"/>
  <c r="AI69" i="2"/>
  <c r="AH69" i="2"/>
  <c r="AJ85" i="2"/>
  <c r="CJ25" i="2"/>
  <c r="AI205" i="2"/>
  <c r="AH205" i="2"/>
  <c r="EO3" i="2"/>
  <c r="AK79" i="2"/>
  <c r="AI218" i="2"/>
  <c r="AH218" i="2"/>
  <c r="CJ49" i="2"/>
  <c r="CJ270" i="2"/>
  <c r="AI324" i="2"/>
  <c r="AJ159" i="2"/>
  <c r="AK270" i="2"/>
  <c r="AI203" i="2"/>
  <c r="AH203" i="2"/>
  <c r="AL257" i="2"/>
  <c r="AI182" i="2"/>
  <c r="AH182" i="2"/>
  <c r="CJ13" i="2"/>
  <c r="CJ299" i="2"/>
  <c r="AL119" i="2"/>
  <c r="CJ279" i="2"/>
  <c r="CJ104" i="2"/>
  <c r="AI235" i="2"/>
  <c r="AH235" i="2"/>
  <c r="AK121" i="2"/>
  <c r="AA302" i="2"/>
  <c r="AJ324" i="2"/>
  <c r="AI98" i="2"/>
  <c r="AH98" i="2"/>
  <c r="AL110" i="2"/>
  <c r="U298" i="2"/>
  <c r="K297" i="10"/>
  <c r="AJ321" i="2"/>
  <c r="AL25" i="2"/>
  <c r="AJ322" i="2"/>
  <c r="AI330" i="2"/>
  <c r="AL147" i="2"/>
  <c r="CJ64" i="2"/>
  <c r="CJ152" i="2"/>
  <c r="AJ332" i="2"/>
  <c r="AK291" i="2"/>
  <c r="CP291" i="2"/>
  <c r="T291" i="2"/>
  <c r="J290" i="10"/>
  <c r="CJ106" i="2"/>
  <c r="CJ153" i="2"/>
  <c r="CJ263" i="2"/>
  <c r="AI183" i="2"/>
  <c r="AH183" i="2"/>
  <c r="AJ198" i="2"/>
  <c r="AL69" i="2"/>
  <c r="AA332" i="2"/>
  <c r="CJ158" i="2"/>
  <c r="J464" i="10"/>
  <c r="CJ89" i="2"/>
  <c r="CJ111" i="2"/>
  <c r="CJ265" i="2"/>
  <c r="AK184" i="2"/>
  <c r="AJ293" i="2"/>
  <c r="CJ311" i="2"/>
  <c r="AJ303" i="2"/>
  <c r="AK331" i="2"/>
  <c r="AI279" i="2"/>
  <c r="CJ252" i="2"/>
  <c r="U452" i="2"/>
  <c r="K451" i="10"/>
  <c r="AK111" i="2"/>
  <c r="AA283" i="2"/>
  <c r="CP283" i="2"/>
  <c r="T283" i="2"/>
  <c r="U283" i="2"/>
  <c r="K282" i="10"/>
  <c r="AJ202" i="2"/>
  <c r="AK61" i="2"/>
  <c r="CJ30" i="2"/>
  <c r="AI43" i="2"/>
  <c r="AH43" i="2"/>
  <c r="AI257" i="2"/>
  <c r="AJ61" i="2"/>
  <c r="CJ110" i="2"/>
  <c r="AI229" i="2"/>
  <c r="AH229" i="2"/>
  <c r="AJ184" i="2"/>
  <c r="CJ228" i="2"/>
  <c r="AK71" i="2"/>
  <c r="AJ236" i="2"/>
  <c r="AA75" i="2"/>
  <c r="AA324" i="2"/>
  <c r="CP324" i="2"/>
  <c r="T324" i="2"/>
  <c r="U324" i="2"/>
  <c r="K323" i="10"/>
  <c r="AJ71" i="2"/>
  <c r="AJ282" i="2"/>
  <c r="AJ292" i="2"/>
  <c r="AI67" i="2"/>
  <c r="AH67" i="2"/>
  <c r="AI151" i="2"/>
  <c r="AH151" i="2"/>
  <c r="AA94" i="2"/>
  <c r="AI68" i="2"/>
  <c r="AH68" i="2"/>
  <c r="CJ167" i="2"/>
  <c r="J317" i="10"/>
  <c r="U318" i="2"/>
  <c r="K317" i="10"/>
  <c r="W252" i="2"/>
  <c r="J463" i="10"/>
  <c r="U462" i="2"/>
  <c r="K461" i="10"/>
  <c r="AJ312" i="2"/>
  <c r="AI137" i="2"/>
  <c r="AH137" i="2"/>
  <c r="AI166" i="2"/>
  <c r="AH166" i="2"/>
  <c r="AK110" i="2"/>
  <c r="AK75" i="2"/>
  <c r="AK194" i="2"/>
  <c r="AL63" i="2"/>
  <c r="CJ312" i="2"/>
  <c r="AI337" i="2"/>
  <c r="AH337" i="2"/>
  <c r="AJ110" i="2"/>
  <c r="AK28" i="2"/>
  <c r="AK229" i="2"/>
  <c r="AK257" i="2"/>
  <c r="AL75" i="2"/>
  <c r="AA257" i="2"/>
  <c r="CJ306" i="2"/>
  <c r="AJ229" i="2"/>
  <c r="CJ320" i="2"/>
  <c r="AI303" i="2"/>
  <c r="AK72" i="2"/>
  <c r="AL282" i="2"/>
  <c r="CJ183" i="2"/>
  <c r="AI50" i="2"/>
  <c r="AH50" i="2"/>
  <c r="AI167" i="2"/>
  <c r="AH167" i="2"/>
  <c r="AJ72" i="2"/>
  <c r="AJ230" i="2"/>
  <c r="AL322" i="2"/>
  <c r="AL16" i="2"/>
  <c r="CJ9" i="2"/>
  <c r="U305" i="2"/>
  <c r="K304" i="10"/>
  <c r="AI72" i="2"/>
  <c r="AH72" i="2"/>
  <c r="AJ123" i="2"/>
  <c r="AJ279" i="2"/>
  <c r="AL342" i="2"/>
  <c r="W106" i="2"/>
  <c r="M105" i="10"/>
  <c r="CJ195" i="2"/>
  <c r="CJ264" i="2"/>
  <c r="CJ262" i="2"/>
  <c r="CJ99" i="2"/>
  <c r="CJ143" i="2"/>
  <c r="CJ251" i="2"/>
  <c r="AI138" i="2"/>
  <c r="AH138" i="2"/>
  <c r="AK33" i="2"/>
  <c r="AI344" i="2"/>
  <c r="AL29" i="2"/>
  <c r="CJ57" i="2"/>
  <c r="CJ101" i="2"/>
  <c r="AI288" i="2"/>
  <c r="AI147" i="2"/>
  <c r="AH147" i="2"/>
  <c r="AJ327" i="2"/>
  <c r="AK209" i="2"/>
  <c r="CJ341" i="2"/>
  <c r="AL149" i="2"/>
  <c r="AA270" i="2"/>
  <c r="CP270" i="2"/>
  <c r="T270" i="2"/>
  <c r="U270" i="2"/>
  <c r="K269" i="10"/>
  <c r="CJ124" i="2"/>
  <c r="AI174" i="2"/>
  <c r="AH174" i="2"/>
  <c r="AI51" i="2"/>
  <c r="AH51" i="2"/>
  <c r="AK51" i="2"/>
  <c r="AK300" i="2"/>
  <c r="CP300" i="2"/>
  <c r="T300" i="2"/>
  <c r="J299" i="10"/>
  <c r="CJ154" i="2"/>
  <c r="CJ189" i="2"/>
  <c r="AL327" i="2"/>
  <c r="AL211" i="2"/>
  <c r="AA20" i="2"/>
  <c r="CJ238" i="2"/>
  <c r="CJ60" i="2"/>
  <c r="CJ18" i="2"/>
  <c r="CJ149" i="2"/>
  <c r="AI298" i="2"/>
  <c r="AI322" i="2"/>
  <c r="AH322" i="2"/>
  <c r="AK12" i="2"/>
  <c r="AL341" i="2"/>
  <c r="AL105" i="2"/>
  <c r="CJ267" i="2"/>
  <c r="CJ19" i="2"/>
  <c r="CJ40" i="2"/>
  <c r="CJ128" i="2"/>
  <c r="CJ236" i="2"/>
  <c r="AI184" i="2"/>
  <c r="AH184" i="2"/>
  <c r="AJ320" i="2"/>
  <c r="AK16" i="2"/>
  <c r="AJ166" i="2"/>
  <c r="AL267" i="2"/>
  <c r="AL154" i="2"/>
  <c r="AA57" i="2"/>
  <c r="CJ309" i="2"/>
  <c r="HX151" i="2"/>
  <c r="CJ20" i="2"/>
  <c r="CJ41" i="2"/>
  <c r="CJ63" i="2"/>
  <c r="CJ85" i="2"/>
  <c r="AI75" i="2"/>
  <c r="AH75" i="2"/>
  <c r="AK20" i="2"/>
  <c r="AJ16" i="2"/>
  <c r="AJ30" i="2"/>
  <c r="AK211" i="2"/>
  <c r="AA119" i="2"/>
  <c r="CJ282" i="2"/>
  <c r="AI312" i="2"/>
  <c r="AJ211" i="2"/>
  <c r="AA16" i="2"/>
  <c r="AA244" i="2"/>
  <c r="CP244" i="2"/>
  <c r="T244" i="2"/>
  <c r="J243" i="10"/>
  <c r="CJ42" i="2"/>
  <c r="J301" i="10"/>
  <c r="U302" i="2"/>
  <c r="K301" i="10"/>
  <c r="U450" i="2"/>
  <c r="K449" i="10"/>
  <c r="CJ135" i="2"/>
  <c r="AI301" i="2"/>
  <c r="AK215" i="2"/>
  <c r="AJ94" i="2"/>
  <c r="AJ276" i="2"/>
  <c r="AK107" i="2"/>
  <c r="AL291" i="2"/>
  <c r="AK303" i="2"/>
  <c r="AL83" i="2"/>
  <c r="AL172" i="2"/>
  <c r="AA262" i="2"/>
  <c r="CP262" i="2"/>
  <c r="T262" i="2"/>
  <c r="J261" i="10"/>
  <c r="AA331" i="2"/>
  <c r="W262" i="2"/>
  <c r="CJ245" i="2"/>
  <c r="CJ73" i="2"/>
  <c r="AI155" i="2"/>
  <c r="AH155" i="2"/>
  <c r="AI226" i="2"/>
  <c r="AJ267" i="2"/>
  <c r="AJ316" i="2"/>
  <c r="AK122" i="2"/>
  <c r="AL313" i="2"/>
  <c r="AL131" i="2"/>
  <c r="AL113" i="2"/>
  <c r="AJ128" i="2"/>
  <c r="AA128" i="2"/>
  <c r="CP128" i="2"/>
  <c r="T128" i="2"/>
  <c r="U128" i="2"/>
  <c r="K127" i="10"/>
  <c r="AA69" i="2"/>
  <c r="AK69" i="2"/>
  <c r="W231" i="2"/>
  <c r="M230" i="10"/>
  <c r="CJ74" i="2"/>
  <c r="CJ301" i="2"/>
  <c r="AI122" i="2"/>
  <c r="AH122" i="2"/>
  <c r="AI260" i="2"/>
  <c r="AJ122" i="2"/>
  <c r="AL275" i="2"/>
  <c r="AL155" i="2"/>
  <c r="AL137" i="2"/>
  <c r="Z225" i="2"/>
  <c r="CR225" i="2"/>
  <c r="AK225" i="2"/>
  <c r="AI173" i="2"/>
  <c r="AH173" i="2"/>
  <c r="AJ248" i="2"/>
  <c r="AJ56" i="2"/>
  <c r="AL303" i="2"/>
  <c r="AL70" i="2"/>
  <c r="AA70" i="2"/>
  <c r="CJ75" i="2"/>
  <c r="CJ280" i="2"/>
  <c r="CJ328" i="2"/>
  <c r="AI90" i="2"/>
  <c r="AH90" i="2"/>
  <c r="AI306" i="2"/>
  <c r="AK136" i="2"/>
  <c r="AK226" i="2"/>
  <c r="AL293" i="2"/>
  <c r="AL24" i="2"/>
  <c r="AL219" i="2"/>
  <c r="AJ219" i="2"/>
  <c r="AA126" i="2"/>
  <c r="CP126" i="2"/>
  <c r="T126" i="2"/>
  <c r="J125" i="10"/>
  <c r="AL126" i="2"/>
  <c r="AL279" i="2"/>
  <c r="AK279" i="2"/>
  <c r="AI94" i="2"/>
  <c r="AH94" i="2"/>
  <c r="AK94" i="2"/>
  <c r="AA13" i="2"/>
  <c r="AK13" i="2"/>
  <c r="CJ17" i="2"/>
  <c r="CJ37" i="2"/>
  <c r="CJ302" i="2"/>
  <c r="CJ329" i="2"/>
  <c r="AK15" i="2"/>
  <c r="AK342" i="2"/>
  <c r="AK306" i="2"/>
  <c r="AL36" i="2"/>
  <c r="AL54" i="2"/>
  <c r="AA106" i="2"/>
  <c r="AA309" i="2"/>
  <c r="CJ88" i="2"/>
  <c r="CJ38" i="2"/>
  <c r="CJ58" i="2"/>
  <c r="CJ180" i="2"/>
  <c r="AI117" i="2"/>
  <c r="AH117" i="2"/>
  <c r="AI128" i="2"/>
  <c r="AH128" i="2"/>
  <c r="AK221" i="2"/>
  <c r="AJ15" i="2"/>
  <c r="AK292" i="2"/>
  <c r="AL114" i="2"/>
  <c r="CJ142" i="2"/>
  <c r="CJ202" i="2"/>
  <c r="AK224" i="2"/>
  <c r="AK117" i="2"/>
  <c r="AJ233" i="2"/>
  <c r="AK314" i="2"/>
  <c r="CP314" i="2"/>
  <c r="T314" i="2"/>
  <c r="U314" i="2"/>
  <c r="K313" i="10"/>
  <c r="AK264" i="2"/>
  <c r="AI85" i="2"/>
  <c r="AH85" i="2"/>
  <c r="AL85" i="2"/>
  <c r="CJ59" i="2"/>
  <c r="CJ182" i="2"/>
  <c r="AJ326" i="2"/>
  <c r="AJ32" i="2"/>
  <c r="AK214" i="2"/>
  <c r="AL50" i="2"/>
  <c r="AA63" i="2"/>
  <c r="AI113" i="2"/>
  <c r="AH113" i="2"/>
  <c r="AJ54" i="2"/>
  <c r="Z224" i="2"/>
  <c r="CR224" i="2"/>
  <c r="CJ123" i="2"/>
  <c r="AI63" i="2"/>
  <c r="AH63" i="2"/>
  <c r="AK24" i="2"/>
  <c r="AK248" i="2"/>
  <c r="CJ61" i="2"/>
  <c r="AK186" i="2"/>
  <c r="W267" i="2"/>
  <c r="CJ184" i="2"/>
  <c r="CJ225" i="2"/>
  <c r="J334" i="10"/>
  <c r="AI248" i="2"/>
  <c r="AI206" i="2"/>
  <c r="AH206" i="2"/>
  <c r="AK108" i="2"/>
  <c r="AK68" i="2"/>
  <c r="AJ14" i="2"/>
  <c r="AK324" i="2"/>
  <c r="AL248" i="2"/>
  <c r="AL122" i="2"/>
  <c r="AL32" i="2"/>
  <c r="AJ339" i="2"/>
  <c r="AI339" i="2"/>
  <c r="CJ178" i="2"/>
  <c r="CJ62" i="2"/>
  <c r="CJ185" i="2"/>
  <c r="CJ247" i="2"/>
  <c r="AI316" i="2"/>
  <c r="AI276" i="2"/>
  <c r="AI234" i="2"/>
  <c r="AH234" i="2"/>
  <c r="AK112" i="2"/>
  <c r="AL146" i="2"/>
  <c r="AL128" i="2"/>
  <c r="CJ34" i="2"/>
  <c r="CJ105" i="2"/>
  <c r="CJ126" i="2"/>
  <c r="CJ147" i="2"/>
  <c r="CJ289" i="2"/>
  <c r="U309" i="2"/>
  <c r="K308" i="10"/>
  <c r="AI321" i="2"/>
  <c r="AI17" i="2"/>
  <c r="AH17" i="2"/>
  <c r="AJ289" i="2"/>
  <c r="AJ112" i="2"/>
  <c r="AK181" i="2"/>
  <c r="AJ298" i="2"/>
  <c r="AJ335" i="2"/>
  <c r="AJ62" i="2"/>
  <c r="AK327" i="2"/>
  <c r="CP327" i="2"/>
  <c r="T327" i="2"/>
  <c r="U327" i="2"/>
  <c r="K326" i="10"/>
  <c r="AK316" i="2"/>
  <c r="CP316" i="2"/>
  <c r="T316" i="2"/>
  <c r="J315" i="10"/>
  <c r="AL15" i="2"/>
  <c r="AK254" i="2"/>
  <c r="CJ84" i="2"/>
  <c r="AL316" i="2"/>
  <c r="CJ107" i="2"/>
  <c r="AJ43" i="2"/>
  <c r="AL301" i="2"/>
  <c r="AL117" i="2"/>
  <c r="AA116" i="2"/>
  <c r="AA96" i="2"/>
  <c r="AA267" i="2"/>
  <c r="CP267" i="2"/>
  <c r="T267" i="2"/>
  <c r="J266" i="10"/>
  <c r="CJ170" i="2"/>
  <c r="AI32" i="2"/>
  <c r="AH32" i="2"/>
  <c r="W314" i="2"/>
  <c r="CJ191" i="2"/>
  <c r="U299" i="2"/>
  <c r="K298" i="10"/>
  <c r="AI28" i="2"/>
  <c r="AH28" i="2"/>
  <c r="AI15" i="2"/>
  <c r="AH15" i="2"/>
  <c r="AJ157" i="2"/>
  <c r="AJ50" i="2"/>
  <c r="AJ150" i="2"/>
  <c r="AK267" i="2"/>
  <c r="AA225" i="2"/>
  <c r="CP225" i="2"/>
  <c r="T225" i="2"/>
  <c r="J224" i="10"/>
  <c r="CJ72" i="2"/>
  <c r="CJ28" i="2"/>
  <c r="U261" i="2"/>
  <c r="K260" i="10"/>
  <c r="J260" i="10"/>
  <c r="J271" i="10"/>
  <c r="U272" i="2"/>
  <c r="K271" i="10"/>
  <c r="AJ241" i="2"/>
  <c r="AA241" i="2"/>
  <c r="CP241" i="2"/>
  <c r="T241" i="2"/>
  <c r="U241" i="2"/>
  <c r="K240" i="10"/>
  <c r="AL241" i="2"/>
  <c r="AK241" i="2"/>
  <c r="CJ22" i="2"/>
  <c r="AI241" i="2"/>
  <c r="AI139" i="2"/>
  <c r="AH139" i="2"/>
  <c r="AK120" i="2"/>
  <c r="AL250" i="2"/>
  <c r="AL96" i="2"/>
  <c r="AA95" i="2"/>
  <c r="AL95" i="2"/>
  <c r="AA40" i="2"/>
  <c r="AJ40" i="2"/>
  <c r="AL280" i="2"/>
  <c r="AI280" i="2"/>
  <c r="AI175" i="2"/>
  <c r="AH175" i="2"/>
  <c r="AI338" i="2"/>
  <c r="AJ250" i="2"/>
  <c r="AJ308" i="2"/>
  <c r="AK280" i="2"/>
  <c r="Z227" i="2"/>
  <c r="CT227" i="2"/>
  <c r="AK272" i="2"/>
  <c r="AA272" i="2"/>
  <c r="CJ145" i="2"/>
  <c r="CJ181" i="2"/>
  <c r="CJ200" i="2"/>
  <c r="CJ253" i="2"/>
  <c r="AI157" i="2"/>
  <c r="AH157" i="2"/>
  <c r="AI282" i="2"/>
  <c r="AI171" i="2"/>
  <c r="AH171" i="2"/>
  <c r="AK149" i="2"/>
  <c r="AJ45" i="2"/>
  <c r="AJ113" i="2"/>
  <c r="AK205" i="2"/>
  <c r="AK97" i="2"/>
  <c r="AJ255" i="2"/>
  <c r="AK166" i="2"/>
  <c r="AL254" i="2"/>
  <c r="AK301" i="2"/>
  <c r="CP301" i="2"/>
  <c r="T301" i="2"/>
  <c r="U301" i="2"/>
  <c r="K300" i="10"/>
  <c r="AL181" i="2"/>
  <c r="AL232" i="2"/>
  <c r="AA49" i="2"/>
  <c r="AA314" i="2"/>
  <c r="CJ71" i="2"/>
  <c r="J225" i="10"/>
  <c r="CM326" i="2"/>
  <c r="CR326" i="2"/>
  <c r="AJ295" i="2"/>
  <c r="AK227" i="2"/>
  <c r="AK207" i="2"/>
  <c r="AL26" i="2"/>
  <c r="AL44" i="2"/>
  <c r="AA29" i="2"/>
  <c r="AK29" i="2"/>
  <c r="AI29" i="2"/>
  <c r="AH29" i="2"/>
  <c r="AA251" i="2"/>
  <c r="CP251" i="2"/>
  <c r="T251" i="2"/>
  <c r="J250" i="10"/>
  <c r="AI251" i="2"/>
  <c r="W28" i="2"/>
  <c r="M27" i="10"/>
  <c r="W125" i="2"/>
  <c r="M124" i="10"/>
  <c r="CJ125" i="2"/>
  <c r="CJ35" i="2"/>
  <c r="CJ293" i="2"/>
  <c r="AI44" i="2"/>
  <c r="AH44" i="2"/>
  <c r="AI223" i="2"/>
  <c r="AI116" i="2"/>
  <c r="AH116" i="2"/>
  <c r="AI333" i="2"/>
  <c r="AI146" i="2"/>
  <c r="AH146" i="2"/>
  <c r="AK157" i="2"/>
  <c r="AJ341" i="2"/>
  <c r="AJ207" i="2"/>
  <c r="AJ301" i="2"/>
  <c r="AK293" i="2"/>
  <c r="AK341" i="2"/>
  <c r="AL281" i="2"/>
  <c r="AL71" i="2"/>
  <c r="AL77" i="2"/>
  <c r="AL116" i="2"/>
  <c r="AA250" i="2"/>
  <c r="CP250" i="2"/>
  <c r="T250" i="2"/>
  <c r="U250" i="2"/>
  <c r="K249" i="10"/>
  <c r="AA338" i="2"/>
  <c r="CJ92" i="2"/>
  <c r="AI341" i="2"/>
  <c r="AK223" i="2"/>
  <c r="AK77" i="2"/>
  <c r="AL333" i="2"/>
  <c r="AL125" i="2"/>
  <c r="AL188" i="2"/>
  <c r="AK195" i="2"/>
  <c r="AJ195" i="2"/>
  <c r="AA101" i="2"/>
  <c r="AJ101" i="2"/>
  <c r="AK46" i="2"/>
  <c r="AI46" i="2"/>
  <c r="AH46" i="2"/>
  <c r="AK249" i="2"/>
  <c r="AI249" i="2"/>
  <c r="W309" i="2"/>
  <c r="W250" i="2"/>
  <c r="U295" i="2"/>
  <c r="K294" i="10"/>
  <c r="AI132" i="2"/>
  <c r="AH132" i="2"/>
  <c r="AJ77" i="2"/>
  <c r="AK255" i="2"/>
  <c r="AL338" i="2"/>
  <c r="AI100" i="2"/>
  <c r="AH100" i="2"/>
  <c r="AA100" i="2"/>
  <c r="CJ94" i="2"/>
  <c r="CJ186" i="2"/>
  <c r="AK131" i="2"/>
  <c r="AJ221" i="2"/>
  <c r="AK137" i="2"/>
  <c r="AK116" i="2"/>
  <c r="AJ194" i="2"/>
  <c r="AL255" i="2"/>
  <c r="AL283" i="2"/>
  <c r="AJ283" i="2"/>
  <c r="AJ265" i="2"/>
  <c r="AI265" i="2"/>
  <c r="W34" i="2"/>
  <c r="M33" i="10"/>
  <c r="W245" i="2"/>
  <c r="AJ210" i="2"/>
  <c r="AK210" i="2"/>
  <c r="AI196" i="2"/>
  <c r="AH196" i="2"/>
  <c r="AK196" i="2"/>
  <c r="CJ114" i="2"/>
  <c r="CJ168" i="2"/>
  <c r="CJ261" i="2"/>
  <c r="AI20" i="2"/>
  <c r="AH20" i="2"/>
  <c r="AI23" i="2"/>
  <c r="AH23" i="2"/>
  <c r="AI83" i="2"/>
  <c r="AH83" i="2"/>
  <c r="AI236" i="2"/>
  <c r="AH236" i="2"/>
  <c r="AJ175" i="2"/>
  <c r="AJ79" i="2"/>
  <c r="AK63" i="2"/>
  <c r="AL249" i="2"/>
  <c r="AL194" i="2"/>
  <c r="AL81" i="2"/>
  <c r="AI224" i="2"/>
  <c r="AA224" i="2"/>
  <c r="CP224" i="2"/>
  <c r="T224" i="2"/>
  <c r="J223" i="10"/>
  <c r="AL192" i="2"/>
  <c r="AK192" i="2"/>
  <c r="AA117" i="2"/>
  <c r="AA79" i="2"/>
  <c r="AA7" i="2"/>
  <c r="AA282" i="2"/>
  <c r="CJ39" i="2"/>
  <c r="CJ169" i="2"/>
  <c r="AI45" i="2"/>
  <c r="AH45" i="2"/>
  <c r="AI180" i="2"/>
  <c r="AH180" i="2"/>
  <c r="AI300" i="2"/>
  <c r="AI210" i="2"/>
  <c r="AH210" i="2"/>
  <c r="AI238" i="2"/>
  <c r="AK219" i="2"/>
  <c r="AK170" i="2"/>
  <c r="AK159" i="2"/>
  <c r="AJ96" i="2"/>
  <c r="AK171" i="2"/>
  <c r="AK236" i="2"/>
  <c r="AK295" i="2"/>
  <c r="AK319" i="2"/>
  <c r="CP319" i="2"/>
  <c r="T319" i="2"/>
  <c r="AL206" i="2"/>
  <c r="AL190" i="2"/>
  <c r="AA61" i="2"/>
  <c r="AL61" i="2"/>
  <c r="CJ118" i="2"/>
  <c r="HX136" i="2"/>
  <c r="CJ26" i="2"/>
  <c r="CJ81" i="2"/>
  <c r="CJ138" i="2"/>
  <c r="CJ192" i="2"/>
  <c r="CJ285" i="2"/>
  <c r="AI21" i="2"/>
  <c r="AH21" i="2"/>
  <c r="AI164" i="2"/>
  <c r="AH164" i="2"/>
  <c r="AI283" i="2"/>
  <c r="AI318" i="2"/>
  <c r="AJ225" i="2"/>
  <c r="AJ12" i="2"/>
  <c r="AK36" i="2"/>
  <c r="AK276" i="2"/>
  <c r="AL120" i="2"/>
  <c r="J206" i="10"/>
  <c r="CJ91" i="2"/>
  <c r="CJ44" i="2"/>
  <c r="CJ102" i="2"/>
  <c r="CJ266" i="2"/>
  <c r="CM321" i="2"/>
  <c r="CR321" i="2"/>
  <c r="AI293" i="2"/>
  <c r="AI295" i="2"/>
  <c r="AI227" i="2"/>
  <c r="AI305" i="2"/>
  <c r="AJ319" i="2"/>
  <c r="AK44" i="2"/>
  <c r="AK95" i="2"/>
  <c r="AK151" i="2"/>
  <c r="AL276" i="2"/>
  <c r="AK240" i="2"/>
  <c r="AL132" i="2"/>
  <c r="CJ304" i="2"/>
  <c r="CJ27" i="2"/>
  <c r="CJ140" i="2"/>
  <c r="CJ193" i="2"/>
  <c r="AJ254" i="2"/>
  <c r="AJ44" i="2"/>
  <c r="AK222" i="2"/>
  <c r="AJ305" i="2"/>
  <c r="AK78" i="2"/>
  <c r="AJ151" i="2"/>
  <c r="AL144" i="2"/>
  <c r="AL46" i="2"/>
  <c r="AJ73" i="2"/>
  <c r="AL73" i="2"/>
  <c r="AJ55" i="2"/>
  <c r="AK55" i="2"/>
  <c r="AA36" i="2"/>
  <c r="AI36" i="2"/>
  <c r="AH36" i="2"/>
  <c r="AL306" i="2"/>
  <c r="AJ306" i="2"/>
  <c r="CJ171" i="2"/>
  <c r="CJ246" i="2"/>
  <c r="AJ120" i="2"/>
  <c r="AK188" i="2"/>
  <c r="AJ188" i="2"/>
  <c r="CJ230" i="2"/>
  <c r="AI272" i="2"/>
  <c r="AI129" i="2"/>
  <c r="AH129" i="2"/>
  <c r="AI101" i="2"/>
  <c r="AH101" i="2"/>
  <c r="AI81" i="2"/>
  <c r="AH81" i="2"/>
  <c r="AI254" i="2"/>
  <c r="AJ222" i="2"/>
  <c r="AJ158" i="2"/>
  <c r="AK169" i="2"/>
  <c r="AJ284" i="2"/>
  <c r="AJ78" i="2"/>
  <c r="AJ146" i="2"/>
  <c r="AK332" i="2"/>
  <c r="CP332" i="2"/>
  <c r="T332" i="2"/>
  <c r="J331" i="10"/>
  <c r="AL225" i="2"/>
  <c r="AK320" i="2"/>
  <c r="AL79" i="2"/>
  <c r="CJ47" i="2"/>
  <c r="CJ141" i="2"/>
  <c r="AI131" i="2"/>
  <c r="AH131" i="2"/>
  <c r="AI296" i="2"/>
  <c r="AI255" i="2"/>
  <c r="AJ237" i="2"/>
  <c r="AJ169" i="2"/>
  <c r="AJ208" i="2"/>
  <c r="AK100" i="2"/>
  <c r="AL246" i="2"/>
  <c r="AL332" i="2"/>
  <c r="Z226" i="2"/>
  <c r="CR226" i="2"/>
  <c r="AL13" i="2"/>
  <c r="AL40" i="2"/>
  <c r="AL139" i="2"/>
  <c r="AK234" i="2"/>
  <c r="AL234" i="2"/>
  <c r="AA71" i="2"/>
  <c r="AA53" i="2"/>
  <c r="AI53" i="2"/>
  <c r="AH53" i="2"/>
  <c r="AA305" i="2"/>
  <c r="W254" i="2"/>
  <c r="W118" i="2"/>
  <c r="M117" i="10"/>
  <c r="AK369" i="10"/>
  <c r="GD370" i="2"/>
  <c r="CJ48" i="2"/>
  <c r="CJ250" i="2"/>
  <c r="CJ269" i="2"/>
  <c r="CJ307" i="2"/>
  <c r="AK202" i="2"/>
  <c r="AK139" i="2"/>
  <c r="AJ100" i="2"/>
  <c r="AK266" i="2"/>
  <c r="AL226" i="2"/>
  <c r="AJ318" i="2"/>
  <c r="AL318" i="2"/>
  <c r="AK318" i="2"/>
  <c r="AK256" i="2"/>
  <c r="AA256" i="2"/>
  <c r="W313" i="2"/>
  <c r="AI159" i="2"/>
  <c r="AH159" i="2"/>
  <c r="AJ338" i="2"/>
  <c r="AK250" i="2"/>
  <c r="AL78" i="2"/>
  <c r="CJ50" i="2"/>
  <c r="CJ234" i="2"/>
  <c r="CJ271" i="2"/>
  <c r="CJ290" i="2"/>
  <c r="CJ308" i="2"/>
  <c r="AI96" i="2"/>
  <c r="AH96" i="2"/>
  <c r="AJ196" i="2"/>
  <c r="AJ296" i="2"/>
  <c r="AK40" i="2"/>
  <c r="AL326" i="2"/>
  <c r="AL170" i="2"/>
  <c r="AA340" i="2"/>
  <c r="CP340" i="2"/>
  <c r="T340" i="2"/>
  <c r="AL340" i="2"/>
  <c r="CJ291" i="2"/>
  <c r="AI77" i="2"/>
  <c r="AH77" i="2"/>
  <c r="AI258" i="2"/>
  <c r="AJ104" i="2"/>
  <c r="AK23" i="2"/>
  <c r="AK113" i="2"/>
  <c r="AL321" i="2"/>
  <c r="AK322" i="2"/>
  <c r="CP322" i="2"/>
  <c r="T322" i="2"/>
  <c r="J321" i="10"/>
  <c r="AL196" i="2"/>
  <c r="AL20" i="2"/>
  <c r="CJ76" i="2"/>
  <c r="J460" i="10"/>
  <c r="U463" i="2"/>
  <c r="K462" i="10"/>
  <c r="J462" i="10"/>
  <c r="J456" i="10"/>
  <c r="CJ69" i="2"/>
  <c r="CJ87" i="2"/>
  <c r="CJ248" i="2"/>
  <c r="CJ287" i="2"/>
  <c r="AK173" i="2"/>
  <c r="AA51" i="2"/>
  <c r="CJ15" i="2"/>
  <c r="CJ70" i="2"/>
  <c r="CJ268" i="2"/>
  <c r="U451" i="2"/>
  <c r="K450" i="10"/>
  <c r="U455" i="2"/>
  <c r="K454" i="10"/>
  <c r="J431" i="10"/>
  <c r="J320" i="10"/>
  <c r="U321" i="2"/>
  <c r="K320" i="10"/>
  <c r="AL109" i="2"/>
  <c r="AK109" i="2"/>
  <c r="AA109" i="2"/>
  <c r="AJ109" i="2"/>
  <c r="AA245" i="2"/>
  <c r="CP245" i="2"/>
  <c r="T245" i="2"/>
  <c r="AJ245" i="2"/>
  <c r="AL245" i="2"/>
  <c r="AK245" i="2"/>
  <c r="AI245" i="2"/>
  <c r="AA277" i="2"/>
  <c r="CP277" i="2"/>
  <c r="T277" i="2"/>
  <c r="AI277" i="2"/>
  <c r="AJ277" i="2"/>
  <c r="AL277" i="2"/>
  <c r="AK277" i="2"/>
  <c r="AJ261" i="2"/>
  <c r="AI261" i="2"/>
  <c r="AL261" i="2"/>
  <c r="AK261" i="2"/>
  <c r="AJ124" i="2"/>
  <c r="AK124" i="2"/>
  <c r="AL213" i="2"/>
  <c r="AI213" i="2"/>
  <c r="AH213" i="2"/>
  <c r="AJ213" i="2"/>
  <c r="AK213" i="2"/>
  <c r="AL143" i="2"/>
  <c r="AJ143" i="2"/>
  <c r="AK143" i="2"/>
  <c r="AI143" i="2"/>
  <c r="AH143" i="2"/>
  <c r="AI212" i="2"/>
  <c r="AH212" i="2"/>
  <c r="AJ212" i="2"/>
  <c r="AK212" i="2"/>
  <c r="AL212" i="2"/>
  <c r="AI178" i="2"/>
  <c r="AH178" i="2"/>
  <c r="AL178" i="2"/>
  <c r="AJ178" i="2"/>
  <c r="AK178" i="2"/>
  <c r="AI142" i="2"/>
  <c r="AH142" i="2"/>
  <c r="AL142" i="2"/>
  <c r="AJ142" i="2"/>
  <c r="AK142" i="2"/>
  <c r="AA290" i="2"/>
  <c r="CP290" i="2"/>
  <c r="T290" i="2"/>
  <c r="J289" i="10"/>
  <c r="AJ290" i="2"/>
  <c r="AI290" i="2"/>
  <c r="AK304" i="2"/>
  <c r="CP304" i="2"/>
  <c r="T304" i="2"/>
  <c r="AI304" i="2"/>
  <c r="AL228" i="2"/>
  <c r="AJ228" i="2"/>
  <c r="AK228" i="2"/>
  <c r="AL199" i="2"/>
  <c r="AJ199" i="2"/>
  <c r="AK199" i="2"/>
  <c r="AI199" i="2"/>
  <c r="AH199" i="2"/>
  <c r="AK162" i="2"/>
  <c r="AL162" i="2"/>
  <c r="AJ162" i="2"/>
  <c r="AI162" i="2"/>
  <c r="AH162" i="2"/>
  <c r="J325" i="10"/>
  <c r="U326" i="2"/>
  <c r="K325" i="10"/>
  <c r="J274" i="10"/>
  <c r="U275" i="2"/>
  <c r="K274" i="10"/>
  <c r="AA315" i="2"/>
  <c r="AL315" i="2"/>
  <c r="AI315" i="2"/>
  <c r="AJ315" i="2"/>
  <c r="AK315" i="2"/>
  <c r="CP315" i="2"/>
  <c r="T315" i="2"/>
  <c r="J314" i="10"/>
  <c r="J285" i="10"/>
  <c r="U286" i="2"/>
  <c r="K285" i="10"/>
  <c r="J263" i="10"/>
  <c r="U310" i="2"/>
  <c r="K309" i="10"/>
  <c r="J309" i="10"/>
  <c r="AL163" i="2"/>
  <c r="AI163" i="2"/>
  <c r="AH163" i="2"/>
  <c r="AJ163" i="2"/>
  <c r="AK163" i="2"/>
  <c r="AI200" i="2"/>
  <c r="AH200" i="2"/>
  <c r="AL200" i="2"/>
  <c r="AJ200" i="2"/>
  <c r="AK200" i="2"/>
  <c r="CJ146" i="2"/>
  <c r="W146" i="2"/>
  <c r="M145" i="10"/>
  <c r="W100" i="2"/>
  <c r="M99" i="10"/>
  <c r="CJ100" i="2"/>
  <c r="AK59" i="2"/>
  <c r="AL59" i="2"/>
  <c r="AL76" i="2"/>
  <c r="AK76" i="2"/>
  <c r="AJ76" i="2"/>
  <c r="AI76" i="2"/>
  <c r="AH76" i="2"/>
  <c r="J258" i="10"/>
  <c r="U259" i="2"/>
  <c r="K258" i="10"/>
  <c r="AK135" i="2"/>
  <c r="AA107" i="2"/>
  <c r="AL107" i="2"/>
  <c r="AI93" i="2"/>
  <c r="AH93" i="2"/>
  <c r="AK93" i="2"/>
  <c r="AL93" i="2"/>
  <c r="AA42" i="2"/>
  <c r="AL42" i="2"/>
  <c r="CJ29" i="2"/>
  <c r="CJ122" i="2"/>
  <c r="CJ201" i="2"/>
  <c r="AA243" i="2"/>
  <c r="CP243" i="2"/>
  <c r="T243" i="2"/>
  <c r="AJ243" i="2"/>
  <c r="W9" i="2"/>
  <c r="M8" i="10"/>
  <c r="CJ14" i="2"/>
  <c r="CJ93" i="2"/>
  <c r="CJ139" i="2"/>
  <c r="U282" i="2"/>
  <c r="K281" i="10"/>
  <c r="AI310" i="2"/>
  <c r="AI89" i="2"/>
  <c r="AH89" i="2"/>
  <c r="AI95" i="2"/>
  <c r="AH95" i="2"/>
  <c r="AI99" i="2"/>
  <c r="AH99" i="2"/>
  <c r="AI172" i="2"/>
  <c r="AH172" i="2"/>
  <c r="AI308" i="2"/>
  <c r="AK218" i="2"/>
  <c r="AK89" i="2"/>
  <c r="AK158" i="2"/>
  <c r="AK244" i="2"/>
  <c r="AL56" i="2"/>
  <c r="AA288" i="2"/>
  <c r="AJ258" i="2"/>
  <c r="AA258" i="2"/>
  <c r="CP258" i="2"/>
  <c r="T258" i="2"/>
  <c r="U258" i="2"/>
  <c r="K257" i="10"/>
  <c r="AA344" i="2"/>
  <c r="AL344" i="2"/>
  <c r="AA330" i="2"/>
  <c r="CP330" i="2"/>
  <c r="T330" i="2"/>
  <c r="U330" i="2"/>
  <c r="K329" i="10"/>
  <c r="AJ330" i="2"/>
  <c r="ER326" i="2"/>
  <c r="ER3" i="2"/>
  <c r="CJ232" i="2"/>
  <c r="AI84" i="2"/>
  <c r="AH84" i="2"/>
  <c r="AJ218" i="2"/>
  <c r="AJ89" i="2"/>
  <c r="AK156" i="2"/>
  <c r="AL156" i="2"/>
  <c r="AJ23" i="2"/>
  <c r="AA23" i="2"/>
  <c r="W318" i="2"/>
  <c r="W88" i="2"/>
  <c r="M87" i="10"/>
  <c r="CJ31" i="2"/>
  <c r="CJ249" i="2"/>
  <c r="AI244" i="2"/>
  <c r="AI135" i="2"/>
  <c r="AH135" i="2"/>
  <c r="AI121" i="2"/>
  <c r="AH121" i="2"/>
  <c r="AJ244" i="2"/>
  <c r="AJ156" i="2"/>
  <c r="AJ121" i="2"/>
  <c r="AK260" i="2"/>
  <c r="AK275" i="2"/>
  <c r="AL252" i="2"/>
  <c r="AL204" i="2"/>
  <c r="AL158" i="2"/>
  <c r="AL104" i="2"/>
  <c r="AA104" i="2"/>
  <c r="AA89" i="2"/>
  <c r="AA55" i="2"/>
  <c r="AI55" i="2"/>
  <c r="AH55" i="2"/>
  <c r="AA311" i="2"/>
  <c r="AK311" i="2"/>
  <c r="AA329" i="2"/>
  <c r="CP329" i="2"/>
  <c r="T329" i="2"/>
  <c r="J328" i="10"/>
  <c r="AK329" i="2"/>
  <c r="CJ175" i="2"/>
  <c r="W175" i="2"/>
  <c r="M174" i="10"/>
  <c r="CJ10" i="2"/>
  <c r="AI42" i="2"/>
  <c r="AH42" i="2"/>
  <c r="AL260" i="2"/>
  <c r="AA271" i="2"/>
  <c r="AL271" i="2"/>
  <c r="AJ271" i="2"/>
  <c r="CJ95" i="2"/>
  <c r="J272" i="10"/>
  <c r="AA278" i="2"/>
  <c r="AL278" i="2"/>
  <c r="AJ278" i="2"/>
  <c r="AI314" i="2"/>
  <c r="AI193" i="2"/>
  <c r="AH193" i="2"/>
  <c r="AK208" i="2"/>
  <c r="AJ173" i="2"/>
  <c r="AL331" i="2"/>
  <c r="AL136" i="2"/>
  <c r="AJ136" i="2"/>
  <c r="AK88" i="2"/>
  <c r="AJ88" i="2"/>
  <c r="AA310" i="2"/>
  <c r="AA286" i="2"/>
  <c r="AI286" i="2"/>
  <c r="CJ294" i="2"/>
  <c r="AA102" i="2"/>
  <c r="AL102" i="2"/>
  <c r="AK102" i="2"/>
  <c r="AK285" i="2"/>
  <c r="AA285" i="2"/>
  <c r="CJ96" i="2"/>
  <c r="CJ127" i="2"/>
  <c r="CJ172" i="2"/>
  <c r="CJ300" i="2"/>
  <c r="AI278" i="2"/>
  <c r="AI181" i="2"/>
  <c r="AH181" i="2"/>
  <c r="AI41" i="2"/>
  <c r="AH41" i="2"/>
  <c r="AI209" i="2"/>
  <c r="AH209" i="2"/>
  <c r="AI259" i="2"/>
  <c r="AI284" i="2"/>
  <c r="AK155" i="2"/>
  <c r="AJ224" i="2"/>
  <c r="AJ204" i="2"/>
  <c r="AJ38" i="2"/>
  <c r="AJ285" i="2"/>
  <c r="AK191" i="2"/>
  <c r="AK172" i="2"/>
  <c r="AK243" i="2"/>
  <c r="AL210" i="2"/>
  <c r="AA237" i="2"/>
  <c r="CP237" i="2"/>
  <c r="T237" i="2"/>
  <c r="AA284" i="2"/>
  <c r="CP284" i="2"/>
  <c r="T284" i="2"/>
  <c r="W315" i="2"/>
  <c r="CJ315" i="2"/>
  <c r="CJ82" i="2"/>
  <c r="CJ144" i="2"/>
  <c r="AJ191" i="2"/>
  <c r="AA19" i="2"/>
  <c r="AL19" i="2"/>
  <c r="AI269" i="2"/>
  <c r="AA269" i="2"/>
  <c r="CP269" i="2"/>
  <c r="T269" i="2"/>
  <c r="U269" i="2"/>
  <c r="K268" i="10"/>
  <c r="AJ253" i="2"/>
  <c r="AI253" i="2"/>
  <c r="CJ98" i="2"/>
  <c r="AI208" i="2"/>
  <c r="AH208" i="2"/>
  <c r="AI237" i="2"/>
  <c r="AK193" i="2"/>
  <c r="AJ297" i="2"/>
  <c r="AK297" i="2"/>
  <c r="AI268" i="2"/>
  <c r="AJ268" i="2"/>
  <c r="AA339" i="2"/>
  <c r="AL339" i="2"/>
  <c r="AI325" i="2"/>
  <c r="AA325" i="2"/>
  <c r="CP325" i="2"/>
  <c r="T325" i="2"/>
  <c r="J324" i="10"/>
  <c r="CJ5" i="2"/>
  <c r="CJ36" i="2"/>
  <c r="CJ51" i="2"/>
  <c r="CJ66" i="2"/>
  <c r="CJ174" i="2"/>
  <c r="CJ286" i="2"/>
  <c r="AK278" i="2"/>
  <c r="CP278" i="2"/>
  <c r="T278" i="2"/>
  <c r="J277" i="10"/>
  <c r="AI243" i="2"/>
  <c r="AI270" i="2"/>
  <c r="AI225" i="2"/>
  <c r="AI195" i="2"/>
  <c r="AH195" i="2"/>
  <c r="AI107" i="2"/>
  <c r="AH107" i="2"/>
  <c r="AI102" i="2"/>
  <c r="AH102" i="2"/>
  <c r="AJ264" i="2"/>
  <c r="AJ132" i="2"/>
  <c r="AK101" i="2"/>
  <c r="AJ249" i="2"/>
  <c r="AJ331" i="2"/>
  <c r="AJ193" i="2"/>
  <c r="AJ171" i="2"/>
  <c r="AJ287" i="2"/>
  <c r="AL329" i="2"/>
  <c r="AK259" i="2"/>
  <c r="AL97" i="2"/>
  <c r="AL101" i="2"/>
  <c r="AL7" i="2"/>
  <c r="AL33" i="2"/>
  <c r="AJ238" i="2"/>
  <c r="AA238" i="2"/>
  <c r="AA99" i="2"/>
  <c r="AA83" i="2"/>
  <c r="AK83" i="2"/>
  <c r="AA308" i="2"/>
  <c r="CP308" i="2"/>
  <c r="T308" i="2"/>
  <c r="U308" i="2"/>
  <c r="K307" i="10"/>
  <c r="AA296" i="2"/>
  <c r="AL296" i="2"/>
  <c r="CJ239" i="2"/>
  <c r="W239" i="2"/>
  <c r="CJ52" i="2"/>
  <c r="CJ115" i="2"/>
  <c r="CJ255" i="2"/>
  <c r="AI88" i="2"/>
  <c r="AH88" i="2"/>
  <c r="AI97" i="2"/>
  <c r="AH97" i="2"/>
  <c r="AI342" i="2"/>
  <c r="AJ288" i="2"/>
  <c r="AK154" i="2"/>
  <c r="AJ7" i="2"/>
  <c r="AJ309" i="2"/>
  <c r="AL259" i="2"/>
  <c r="AL191" i="2"/>
  <c r="AL121" i="2"/>
  <c r="AL87" i="2"/>
  <c r="AJ115" i="2"/>
  <c r="AA115" i="2"/>
  <c r="AA82" i="2"/>
  <c r="AL82" i="2"/>
  <c r="AJ82" i="2"/>
  <c r="AI33" i="2"/>
  <c r="AH33" i="2"/>
  <c r="AJ33" i="2"/>
  <c r="CJ116" i="2"/>
  <c r="CJ223" i="2"/>
  <c r="CJ240" i="2"/>
  <c r="AI110" i="2"/>
  <c r="AH110" i="2"/>
  <c r="AI329" i="2"/>
  <c r="AI119" i="2"/>
  <c r="AH119" i="2"/>
  <c r="AI336" i="2"/>
  <c r="AI103" i="2"/>
  <c r="AH103" i="2"/>
  <c r="AJ310" i="2"/>
  <c r="AK87" i="2"/>
  <c r="AJ154" i="2"/>
  <c r="AJ270" i="2"/>
  <c r="AK126" i="2"/>
  <c r="AJ300" i="2"/>
  <c r="AJ336" i="2"/>
  <c r="AK19" i="2"/>
  <c r="AL311" i="2"/>
  <c r="AL284" i="2"/>
  <c r="AL285" i="2"/>
  <c r="AL57" i="2"/>
  <c r="AL186" i="2"/>
  <c r="AI186" i="2"/>
  <c r="AH186" i="2"/>
  <c r="AA98" i="2"/>
  <c r="AL98" i="2"/>
  <c r="AL49" i="2"/>
  <c r="AJ49" i="2"/>
  <c r="AI49" i="2"/>
  <c r="AH49" i="2"/>
  <c r="AA32" i="2"/>
  <c r="AK307" i="2"/>
  <c r="CP307" i="2"/>
  <c r="T307" i="2"/>
  <c r="J306" i="10"/>
  <c r="AA307" i="2"/>
  <c r="AA294" i="2"/>
  <c r="AA266" i="2"/>
  <c r="CP266" i="2"/>
  <c r="T266" i="2"/>
  <c r="J265" i="10"/>
  <c r="AI266" i="2"/>
  <c r="AJ266" i="2"/>
  <c r="CJ45" i="2"/>
  <c r="W45" i="2"/>
  <c r="M44" i="10"/>
  <c r="CJ53" i="2"/>
  <c r="CJ117" i="2"/>
  <c r="CJ132" i="2"/>
  <c r="CJ224" i="2"/>
  <c r="CJ273" i="2"/>
  <c r="CJ288" i="2"/>
  <c r="AI311" i="2"/>
  <c r="AI26" i="2"/>
  <c r="AH26" i="2"/>
  <c r="AI271" i="2"/>
  <c r="AI275" i="2"/>
  <c r="AI256" i="2"/>
  <c r="AI82" i="2"/>
  <c r="AH82" i="2"/>
  <c r="AJ87" i="2"/>
  <c r="AK5" i="2"/>
  <c r="AJ275" i="2"/>
  <c r="AJ256" i="2"/>
  <c r="AJ19" i="2"/>
  <c r="AK271" i="2"/>
  <c r="CP271" i="2"/>
  <c r="T271" i="2"/>
  <c r="AL135" i="2"/>
  <c r="AL115" i="2"/>
  <c r="AL168" i="2"/>
  <c r="AJ168" i="2"/>
  <c r="AA97" i="2"/>
  <c r="AA48" i="2"/>
  <c r="AA319" i="2"/>
  <c r="AI319" i="2"/>
  <c r="AA265" i="2"/>
  <c r="AK265" i="2"/>
  <c r="AA337" i="2"/>
  <c r="AL337" i="2"/>
  <c r="W91" i="2"/>
  <c r="M90" i="10"/>
  <c r="CJ256" i="2"/>
  <c r="CJ7" i="2"/>
  <c r="AK42" i="2"/>
  <c r="AK26" i="2"/>
  <c r="AJ259" i="2"/>
  <c r="AL237" i="2"/>
  <c r="AK233" i="2"/>
  <c r="AL233" i="2"/>
  <c r="AA112" i="2"/>
  <c r="AL112" i="2"/>
  <c r="AA336" i="2"/>
  <c r="CP336" i="2"/>
  <c r="T336" i="2"/>
  <c r="AL336" i="2"/>
  <c r="CJ337" i="2"/>
  <c r="CJ8" i="2"/>
  <c r="CJ194" i="2"/>
  <c r="CJ243" i="2"/>
  <c r="CJ258" i="2"/>
  <c r="U341" i="2"/>
  <c r="K340" i="10"/>
  <c r="AI222" i="2"/>
  <c r="AH222" i="2"/>
  <c r="AI48" i="2"/>
  <c r="AH48" i="2"/>
  <c r="AI302" i="2"/>
  <c r="AI104" i="2"/>
  <c r="AH104" i="2"/>
  <c r="AJ42" i="2"/>
  <c r="AK57" i="2"/>
  <c r="AJ170" i="2"/>
  <c r="AK48" i="2"/>
  <c r="AK119" i="2"/>
  <c r="AJ302" i="2"/>
  <c r="AJ342" i="2"/>
  <c r="AL264" i="2"/>
  <c r="AK308" i="2"/>
  <c r="AK268" i="2"/>
  <c r="AL295" i="2"/>
  <c r="AL185" i="2"/>
  <c r="AL175" i="2"/>
  <c r="AJ232" i="2"/>
  <c r="AI232" i="2"/>
  <c r="AH232" i="2"/>
  <c r="J202" i="10"/>
  <c r="U203" i="2"/>
  <c r="K202" i="10"/>
  <c r="AL167" i="2"/>
  <c r="AK167" i="2"/>
  <c r="AA14" i="2"/>
  <c r="AL14" i="2"/>
  <c r="AK14" i="2"/>
  <c r="CJ179" i="2"/>
  <c r="CJ276" i="2"/>
  <c r="AI70" i="2"/>
  <c r="AH70" i="2"/>
  <c r="AI207" i="2"/>
  <c r="AH207" i="2"/>
  <c r="AI57" i="2"/>
  <c r="AH57" i="2"/>
  <c r="AJ48" i="2"/>
  <c r="AJ340" i="2"/>
  <c r="AJ286" i="2"/>
  <c r="AL265" i="2"/>
  <c r="AL268" i="2"/>
  <c r="AK238" i="2"/>
  <c r="AL205" i="2"/>
  <c r="AL195" i="2"/>
  <c r="AL203" i="2"/>
  <c r="AJ203" i="2"/>
  <c r="AL182" i="2"/>
  <c r="AK182" i="2"/>
  <c r="AA78" i="2"/>
  <c r="AK335" i="2"/>
  <c r="AL335" i="2"/>
  <c r="CJ196" i="2"/>
  <c r="CJ227" i="2"/>
  <c r="CJ244" i="2"/>
  <c r="AI87" i="2"/>
  <c r="AH87" i="2"/>
  <c r="AI92" i="2"/>
  <c r="AH92" i="2"/>
  <c r="AI297" i="2"/>
  <c r="AI56" i="2"/>
  <c r="AH56" i="2"/>
  <c r="AK174" i="2"/>
  <c r="AJ260" i="2"/>
  <c r="AK92" i="2"/>
  <c r="AJ93" i="2"/>
  <c r="AK302" i="2"/>
  <c r="AL92" i="2"/>
  <c r="AL72" i="2"/>
  <c r="AL209" i="2"/>
  <c r="AL230" i="2"/>
  <c r="AI230" i="2"/>
  <c r="AH230" i="2"/>
  <c r="AL215" i="2"/>
  <c r="AI215" i="2"/>
  <c r="AH215" i="2"/>
  <c r="AL145" i="2"/>
  <c r="AJ145" i="2"/>
  <c r="AJ126" i="2"/>
  <c r="AI126" i="2"/>
  <c r="AH126" i="2"/>
  <c r="AK45" i="2"/>
  <c r="AA45" i="2"/>
  <c r="AJ13" i="2"/>
  <c r="AI13" i="2"/>
  <c r="AH13" i="2"/>
  <c r="AA317" i="2"/>
  <c r="CP317" i="2"/>
  <c r="T317" i="2"/>
  <c r="U317" i="2"/>
  <c r="K316" i="10"/>
  <c r="AL317" i="2"/>
  <c r="AA292" i="2"/>
  <c r="CP292" i="2"/>
  <c r="T292" i="2"/>
  <c r="AL292" i="2"/>
  <c r="AJ334" i="2"/>
  <c r="AK334" i="2"/>
  <c r="W316" i="2"/>
  <c r="CJ120" i="2"/>
  <c r="CJ277" i="2"/>
  <c r="AI264" i="2"/>
  <c r="AI115" i="2"/>
  <c r="AH115" i="2"/>
  <c r="AI7" i="2"/>
  <c r="AH7" i="2"/>
  <c r="AI192" i="2"/>
  <c r="AH192" i="2"/>
  <c r="AJ174" i="2"/>
  <c r="AJ314" i="2"/>
  <c r="AJ92" i="2"/>
  <c r="AK115" i="2"/>
  <c r="AK50" i="2"/>
  <c r="AJ95" i="2"/>
  <c r="AK185" i="2"/>
  <c r="AJ98" i="2"/>
  <c r="AK56" i="2"/>
  <c r="AK18" i="2"/>
  <c r="AL310" i="2"/>
  <c r="AK340" i="2"/>
  <c r="AK325" i="2"/>
  <c r="AL221" i="2"/>
  <c r="AL214" i="2"/>
  <c r="AI214" i="2"/>
  <c r="AH214" i="2"/>
  <c r="AJ201" i="2"/>
  <c r="AL201" i="2"/>
  <c r="AK201" i="2"/>
  <c r="AL164" i="2"/>
  <c r="AK164" i="2"/>
  <c r="AI144" i="2"/>
  <c r="AH144" i="2"/>
  <c r="AJ144" i="2"/>
  <c r="AA333" i="2"/>
  <c r="AK333" i="2"/>
  <c r="AA12" i="2"/>
  <c r="AL12" i="2"/>
  <c r="AL6" i="2"/>
  <c r="AA6" i="2"/>
  <c r="CJ112" i="2"/>
  <c r="J466" i="10"/>
  <c r="U467" i="2"/>
  <c r="K466" i="10"/>
  <c r="AJ5" i="3"/>
  <c r="AA446" i="2"/>
  <c r="AJ446" i="2"/>
  <c r="AK358" i="10"/>
  <c r="AQ11" i="3"/>
  <c r="GC3" i="2"/>
  <c r="GD355" i="2"/>
  <c r="AS10" i="3"/>
  <c r="AK444" i="2"/>
  <c r="AL444" i="2"/>
  <c r="AA444" i="2"/>
  <c r="U449" i="2"/>
  <c r="K448" i="10"/>
  <c r="J448" i="10"/>
  <c r="AJ444" i="2"/>
  <c r="U466" i="2"/>
  <c r="K465" i="10"/>
  <c r="J433" i="10"/>
  <c r="CJ451" i="2"/>
  <c r="W446" i="2"/>
  <c r="M445" i="10"/>
  <c r="N445" i="10"/>
  <c r="CJ446" i="2"/>
  <c r="U444" i="2"/>
  <c r="K443" i="10"/>
  <c r="J443" i="10"/>
  <c r="N451" i="10"/>
  <c r="AJ450" i="2"/>
  <c r="AK450" i="2"/>
  <c r="AI452" i="2"/>
  <c r="AH452" i="2"/>
  <c r="AJ452" i="2"/>
  <c r="AL452" i="2"/>
  <c r="AK452" i="2"/>
  <c r="AK440" i="2"/>
  <c r="CP440" i="2"/>
  <c r="T440" i="2"/>
  <c r="AI440" i="2"/>
  <c r="AH440" i="2"/>
  <c r="CJ434" i="2"/>
  <c r="AL464" i="2"/>
  <c r="AI464" i="2"/>
  <c r="AH464" i="2"/>
  <c r="U433" i="2"/>
  <c r="K432" i="10"/>
  <c r="J432" i="10"/>
  <c r="AI449" i="2"/>
  <c r="AH449" i="2"/>
  <c r="AA449" i="2"/>
  <c r="J446" i="10"/>
  <c r="U459" i="2"/>
  <c r="K458" i="10"/>
  <c r="CJ441" i="2"/>
  <c r="W441" i="2"/>
  <c r="M440" i="10"/>
  <c r="N440" i="10"/>
  <c r="AL462" i="2"/>
  <c r="AA462" i="2"/>
  <c r="GD361" i="2"/>
  <c r="N433" i="10"/>
  <c r="AM7" i="3"/>
  <c r="AA460" i="2"/>
  <c r="AK460" i="2"/>
  <c r="GD379" i="2"/>
  <c r="AJ462" i="2"/>
  <c r="AJ459" i="2"/>
  <c r="AA459" i="2"/>
  <c r="AL459" i="2"/>
  <c r="AI433" i="2"/>
  <c r="AH433" i="2"/>
  <c r="AL432" i="2"/>
  <c r="AK432" i="2"/>
  <c r="AA432" i="2"/>
  <c r="AQ18" i="3"/>
  <c r="AR7" i="3"/>
  <c r="GD387" i="2"/>
  <c r="AJ449" i="2"/>
  <c r="AJ464" i="2"/>
  <c r="AA433" i="2"/>
  <c r="AK355" i="10"/>
  <c r="AM5" i="3"/>
  <c r="AI445" i="2"/>
  <c r="AH445" i="2"/>
  <c r="AK445" i="2"/>
  <c r="W443" i="2"/>
  <c r="M442" i="10"/>
  <c r="N442" i="10"/>
  <c r="AJ451" i="2"/>
  <c r="AJ465" i="2"/>
  <c r="AI465" i="2"/>
  <c r="AH465" i="2"/>
  <c r="AA441" i="2"/>
  <c r="AJ441" i="2"/>
  <c r="BB22" i="3"/>
  <c r="BB19" i="3"/>
  <c r="J237" i="10"/>
  <c r="U238" i="2"/>
  <c r="K237" i="10"/>
  <c r="U306" i="2"/>
  <c r="K305" i="10"/>
  <c r="J305" i="10"/>
  <c r="U219" i="2"/>
  <c r="K218" i="10"/>
  <c r="J218" i="10"/>
  <c r="J327" i="10"/>
  <c r="U328" i="2"/>
  <c r="K327" i="10"/>
  <c r="CJ83" i="2"/>
  <c r="CJ237" i="2"/>
  <c r="J227" i="10"/>
  <c r="AA125" i="2"/>
  <c r="AI125" i="2"/>
  <c r="AH125" i="2"/>
  <c r="AA80" i="2"/>
  <c r="AJ80" i="2"/>
  <c r="AK80" i="2"/>
  <c r="AL80" i="2"/>
  <c r="AI80" i="2"/>
  <c r="AH80" i="2"/>
  <c r="AJ35" i="2"/>
  <c r="AK35" i="2"/>
  <c r="AI35" i="2"/>
  <c r="AH35" i="2"/>
  <c r="W242" i="2"/>
  <c r="CJ242" i="2"/>
  <c r="W137" i="2"/>
  <c r="M136" i="10"/>
  <c r="N136" i="10"/>
  <c r="CJ137" i="2"/>
  <c r="W113" i="2"/>
  <c r="M112" i="10"/>
  <c r="N112" i="10"/>
  <c r="CJ113" i="2"/>
  <c r="U11" i="2"/>
  <c r="K10" i="10"/>
  <c r="U113" i="2"/>
  <c r="K112" i="10"/>
  <c r="J112" i="10"/>
  <c r="J310" i="10"/>
  <c r="U311" i="2"/>
  <c r="K310" i="10"/>
  <c r="U288" i="2"/>
  <c r="K287" i="10"/>
  <c r="J293" i="10"/>
  <c r="U294" i="2"/>
  <c r="K293" i="10"/>
  <c r="AA124" i="2"/>
  <c r="AI124" i="2"/>
  <c r="AH124" i="2"/>
  <c r="AK65" i="2"/>
  <c r="AL65" i="2"/>
  <c r="AI65" i="2"/>
  <c r="AH65" i="2"/>
  <c r="AJ65" i="2"/>
  <c r="AK21" i="2"/>
  <c r="AJ21" i="2"/>
  <c r="AJ343" i="2"/>
  <c r="AA343" i="2"/>
  <c r="AI343" i="2"/>
  <c r="AL343" i="2"/>
  <c r="W136" i="2"/>
  <c r="M135" i="10"/>
  <c r="N135" i="10"/>
  <c r="CJ136" i="2"/>
  <c r="W90" i="2"/>
  <c r="M89" i="10"/>
  <c r="N89" i="10"/>
  <c r="CJ90" i="2"/>
  <c r="CI3" i="2"/>
  <c r="U289" i="2"/>
  <c r="K288" i="10"/>
  <c r="AI334" i="2"/>
  <c r="J203" i="10"/>
  <c r="AJ242" i="2"/>
  <c r="AL242" i="2"/>
  <c r="AI242" i="2"/>
  <c r="AA242" i="2"/>
  <c r="CP242" i="2"/>
  <c r="T242" i="2"/>
  <c r="AJ34" i="2"/>
  <c r="AK34" i="2"/>
  <c r="CP34" i="2"/>
  <c r="T34" i="2"/>
  <c r="AL34" i="2"/>
  <c r="AI34" i="2"/>
  <c r="AH34" i="2"/>
  <c r="W241" i="2"/>
  <c r="CJ241" i="2"/>
  <c r="N210" i="10"/>
  <c r="CJ155" i="2"/>
  <c r="U138" i="2"/>
  <c r="K137" i="10"/>
  <c r="J341" i="10"/>
  <c r="AI231" i="2"/>
  <c r="AH231" i="2"/>
  <c r="J132" i="10"/>
  <c r="AL198" i="2"/>
  <c r="AI198" i="2"/>
  <c r="AH198" i="2"/>
  <c r="AL177" i="2"/>
  <c r="AK177" i="2"/>
  <c r="CP177" i="2"/>
  <c r="T177" i="2"/>
  <c r="AI177" i="2"/>
  <c r="AH177" i="2"/>
  <c r="AJ177" i="2"/>
  <c r="AI161" i="2"/>
  <c r="AH161" i="2"/>
  <c r="AJ161" i="2"/>
  <c r="AK161" i="2"/>
  <c r="AL161" i="2"/>
  <c r="AL141" i="2"/>
  <c r="AI141" i="2"/>
  <c r="AH141" i="2"/>
  <c r="AJ141" i="2"/>
  <c r="AK141" i="2"/>
  <c r="AI123" i="2"/>
  <c r="AH123" i="2"/>
  <c r="AK123" i="2"/>
  <c r="AL123" i="2"/>
  <c r="AL64" i="2"/>
  <c r="AI64" i="2"/>
  <c r="AH64" i="2"/>
  <c r="W10" i="2"/>
  <c r="M9" i="10"/>
  <c r="N9" i="10"/>
  <c r="N185" i="10"/>
  <c r="W260" i="2"/>
  <c r="CJ260" i="2"/>
  <c r="W229" i="2"/>
  <c r="M228" i="10"/>
  <c r="N228" i="10"/>
  <c r="CJ229" i="2"/>
  <c r="W210" i="2"/>
  <c r="M209" i="10"/>
  <c r="N209" i="10"/>
  <c r="CJ210" i="2"/>
  <c r="J80" i="10"/>
  <c r="U81" i="2"/>
  <c r="K80" i="10"/>
  <c r="U235" i="2"/>
  <c r="K234" i="10"/>
  <c r="J234" i="10"/>
  <c r="AK197" i="2"/>
  <c r="AJ197" i="2"/>
  <c r="AI197" i="2"/>
  <c r="AH197" i="2"/>
  <c r="AK176" i="2"/>
  <c r="CP176" i="2"/>
  <c r="T176" i="2"/>
  <c r="AL176" i="2"/>
  <c r="AI176" i="2"/>
  <c r="AH176" i="2"/>
  <c r="AI160" i="2"/>
  <c r="AH160" i="2"/>
  <c r="AL160" i="2"/>
  <c r="AJ160" i="2"/>
  <c r="AL140" i="2"/>
  <c r="AJ140" i="2"/>
  <c r="W109" i="2"/>
  <c r="M108" i="10"/>
  <c r="N108" i="10"/>
  <c r="CJ109" i="2"/>
  <c r="W86" i="2"/>
  <c r="M85" i="10"/>
  <c r="N85" i="10"/>
  <c r="CJ86" i="2"/>
  <c r="J128" i="10"/>
  <c r="U129" i="2"/>
  <c r="K128" i="10"/>
  <c r="AI252" i="2"/>
  <c r="AA252" i="2"/>
  <c r="CP252" i="2"/>
  <c r="T252" i="2"/>
  <c r="AK252" i="2"/>
  <c r="N125" i="10"/>
  <c r="CJ130" i="2"/>
  <c r="W130" i="2"/>
  <c r="M129" i="10"/>
  <c r="N129" i="10"/>
  <c r="CJ108" i="2"/>
  <c r="W108" i="2"/>
  <c r="M107" i="10"/>
  <c r="N107" i="10"/>
  <c r="U20" i="2"/>
  <c r="K19" i="10"/>
  <c r="J19" i="10"/>
  <c r="J278" i="10"/>
  <c r="J183" i="10"/>
  <c r="AI62" i="2"/>
  <c r="AH62" i="2"/>
  <c r="AA62" i="2"/>
  <c r="AA47" i="2"/>
  <c r="AK47" i="2"/>
  <c r="AJ47" i="2"/>
  <c r="W257" i="2"/>
  <c r="CJ257" i="2"/>
  <c r="CJ129" i="2"/>
  <c r="W129" i="2"/>
  <c r="M128" i="10"/>
  <c r="N128" i="10"/>
  <c r="CJ80" i="2"/>
  <c r="W80" i="2"/>
  <c r="M79" i="10"/>
  <c r="N79" i="10"/>
  <c r="U61" i="2"/>
  <c r="K60" i="10"/>
  <c r="J154" i="10"/>
  <c r="J343" i="10"/>
  <c r="J337" i="10"/>
  <c r="J135" i="10"/>
  <c r="AK239" i="2"/>
  <c r="AA239" i="2"/>
  <c r="AJ239" i="2"/>
  <c r="AL239" i="2"/>
  <c r="J338" i="10"/>
  <c r="U339" i="2"/>
  <c r="K338" i="10"/>
  <c r="AI328" i="2"/>
  <c r="AJ328" i="2"/>
  <c r="N111" i="10"/>
  <c r="W294" i="2"/>
  <c r="CJ131" i="2"/>
  <c r="AJ176" i="2"/>
  <c r="AK274" i="2"/>
  <c r="CP274" i="2"/>
  <c r="T274" i="2"/>
  <c r="AL251" i="2"/>
  <c r="AK251" i="2"/>
  <c r="AJ251" i="2"/>
  <c r="J41" i="10"/>
  <c r="U42" i="2"/>
  <c r="K41" i="10"/>
  <c r="J84" i="10"/>
  <c r="U85" i="2"/>
  <c r="K84" i="10"/>
  <c r="J275" i="10"/>
  <c r="U276" i="2"/>
  <c r="K275" i="10"/>
  <c r="J238" i="10"/>
  <c r="AI274" i="2"/>
  <c r="AK90" i="2"/>
  <c r="AA90" i="2"/>
  <c r="AJ90" i="2"/>
  <c r="AA263" i="2"/>
  <c r="CP263" i="2"/>
  <c r="T263" i="2"/>
  <c r="AK263" i="2"/>
  <c r="AI263" i="2"/>
  <c r="AJ263" i="2"/>
  <c r="N26" i="10"/>
  <c r="N183" i="10"/>
  <c r="CJ298" i="2"/>
  <c r="W298" i="2"/>
  <c r="W278" i="2"/>
  <c r="CJ278" i="2"/>
  <c r="W199" i="2"/>
  <c r="M198" i="10"/>
  <c r="N198" i="10"/>
  <c r="CJ199" i="2"/>
  <c r="W177" i="2"/>
  <c r="M176" i="10"/>
  <c r="N176" i="10"/>
  <c r="CJ177" i="2"/>
  <c r="W78" i="2"/>
  <c r="M77" i="10"/>
  <c r="N77" i="10"/>
  <c r="CJ78" i="2"/>
  <c r="W56" i="2"/>
  <c r="M55" i="10"/>
  <c r="N55" i="10"/>
  <c r="CJ56" i="2"/>
  <c r="W12" i="2"/>
  <c r="M11" i="10"/>
  <c r="N11" i="10"/>
  <c r="CJ12" i="2"/>
  <c r="U36" i="2"/>
  <c r="K35" i="10"/>
  <c r="J35" i="10"/>
  <c r="J121" i="10"/>
  <c r="AI273" i="2"/>
  <c r="AJ273" i="2"/>
  <c r="AL273" i="2"/>
  <c r="AK299" i="2"/>
  <c r="AJ299" i="2"/>
  <c r="AA299" i="2"/>
  <c r="AI299" i="2"/>
  <c r="AL299" i="2"/>
  <c r="CJ297" i="2"/>
  <c r="W297" i="2"/>
  <c r="W198" i="2"/>
  <c r="M197" i="10"/>
  <c r="N197" i="10"/>
  <c r="CJ198" i="2"/>
  <c r="W77" i="2"/>
  <c r="M76" i="10"/>
  <c r="N76" i="10"/>
  <c r="CJ77" i="2"/>
  <c r="W55" i="2"/>
  <c r="M54" i="10"/>
  <c r="N54" i="10"/>
  <c r="CJ55" i="2"/>
  <c r="W33" i="2"/>
  <c r="M32" i="10"/>
  <c r="N32" i="10"/>
  <c r="CJ33" i="2"/>
  <c r="CJ11" i="2"/>
  <c r="W11" i="2"/>
  <c r="M10" i="10"/>
  <c r="N10" i="10"/>
  <c r="J47" i="10"/>
  <c r="U48" i="2"/>
  <c r="K47" i="10"/>
  <c r="AL297" i="2"/>
  <c r="CJ317" i="2"/>
  <c r="W296" i="2"/>
  <c r="CJ296" i="2"/>
  <c r="W197" i="2"/>
  <c r="M196" i="10"/>
  <c r="N196" i="10"/>
  <c r="CJ197" i="2"/>
  <c r="W54" i="2"/>
  <c r="M53" i="10"/>
  <c r="N53" i="10"/>
  <c r="CJ54" i="2"/>
  <c r="CJ32" i="2"/>
  <c r="W32" i="2"/>
  <c r="M31" i="10"/>
  <c r="N31" i="10"/>
  <c r="J72" i="10"/>
  <c r="U73" i="2"/>
  <c r="K72" i="10"/>
  <c r="J292" i="10"/>
  <c r="U281" i="2"/>
  <c r="K280" i="10"/>
  <c r="J280" i="10"/>
  <c r="AJ189" i="2"/>
  <c r="AK189" i="2"/>
  <c r="AI189" i="2"/>
  <c r="AH189" i="2"/>
  <c r="AL189" i="2"/>
  <c r="AL152" i="2"/>
  <c r="AI152" i="2"/>
  <c r="AH152" i="2"/>
  <c r="AJ152" i="2"/>
  <c r="AK152" i="2"/>
  <c r="AL133" i="2"/>
  <c r="AI133" i="2"/>
  <c r="AH133" i="2"/>
  <c r="AJ133" i="2"/>
  <c r="AI262" i="2"/>
  <c r="AK262" i="2"/>
  <c r="AJ262" i="2"/>
  <c r="J247" i="10"/>
  <c r="U248" i="2"/>
  <c r="K247" i="10"/>
  <c r="W295" i="2"/>
  <c r="CJ295" i="2"/>
  <c r="CJ275" i="2"/>
  <c r="W275" i="2"/>
  <c r="J43" i="10"/>
  <c r="J89" i="10"/>
  <c r="U90" i="2"/>
  <c r="K89" i="10"/>
  <c r="U120" i="2"/>
  <c r="K119" i="10"/>
  <c r="J119" i="10"/>
  <c r="J37" i="10"/>
  <c r="U206" i="2"/>
  <c r="K205" i="10"/>
  <c r="J205" i="10"/>
  <c r="AA27" i="2"/>
  <c r="AL27" i="2"/>
  <c r="AJ27" i="2"/>
  <c r="AK27" i="2"/>
  <c r="AI27" i="2"/>
  <c r="AH27" i="2"/>
  <c r="AA274" i="2"/>
  <c r="AJ274" i="2"/>
  <c r="CJ274" i="2"/>
  <c r="W274" i="2"/>
  <c r="CJ173" i="2"/>
  <c r="W173" i="2"/>
  <c r="M172" i="10"/>
  <c r="N172" i="10"/>
  <c r="J101" i="10"/>
  <c r="U102" i="2"/>
  <c r="K101" i="10"/>
  <c r="U297" i="2"/>
  <c r="K296" i="10"/>
  <c r="J296" i="10"/>
  <c r="W220" i="2"/>
  <c r="M219" i="10"/>
  <c r="N219" i="10"/>
  <c r="CJ220" i="2"/>
  <c r="U114" i="2"/>
  <c r="K113" i="10"/>
  <c r="J113" i="10"/>
  <c r="AB70" i="10"/>
  <c r="Q71" i="2"/>
  <c r="CJ176" i="2"/>
  <c r="J145" i="10"/>
  <c r="AA86" i="2"/>
  <c r="AJ86" i="2"/>
  <c r="AL86" i="2"/>
  <c r="AI86" i="2"/>
  <c r="AH86" i="2"/>
  <c r="AI11" i="2"/>
  <c r="AH11" i="2"/>
  <c r="AA11" i="2"/>
  <c r="AK11" i="2"/>
  <c r="AA297" i="2"/>
  <c r="AJ272" i="2"/>
  <c r="AL272" i="2"/>
  <c r="AA247" i="2"/>
  <c r="CP247" i="2"/>
  <c r="T247" i="2"/>
  <c r="AK247" i="2"/>
  <c r="AI247" i="2"/>
  <c r="AJ247" i="2"/>
  <c r="W292" i="2"/>
  <c r="CJ292" i="2"/>
  <c r="CJ272" i="2"/>
  <c r="W272" i="2"/>
  <c r="W150" i="2"/>
  <c r="M149" i="10"/>
  <c r="N149" i="10"/>
  <c r="CJ150" i="2"/>
  <c r="J68" i="10"/>
  <c r="AJ231" i="2"/>
  <c r="AK231" i="2"/>
  <c r="AL10" i="2"/>
  <c r="AJ10" i="2"/>
  <c r="AA10" i="2"/>
  <c r="AK10" i="2"/>
  <c r="CM323" i="2"/>
  <c r="CR323" i="2"/>
  <c r="AA323" i="2"/>
  <c r="CP323" i="2"/>
  <c r="T323" i="2"/>
  <c r="AK323" i="2"/>
  <c r="AL323" i="2"/>
  <c r="AI323" i="2"/>
  <c r="U193" i="2"/>
  <c r="K192" i="10"/>
  <c r="J192" i="10"/>
  <c r="AB95" i="10"/>
  <c r="Q96" i="2"/>
  <c r="Q69" i="2"/>
  <c r="AB68" i="10"/>
  <c r="AB45" i="10"/>
  <c r="Q46" i="2"/>
  <c r="H45" i="10"/>
  <c r="Q22" i="2"/>
  <c r="H21" i="10"/>
  <c r="AB21" i="10"/>
  <c r="AK125" i="2"/>
  <c r="U150" i="2"/>
  <c r="K149" i="10"/>
  <c r="J149" i="10"/>
  <c r="AK328" i="2"/>
  <c r="AJ114" i="2"/>
  <c r="AA114" i="2"/>
  <c r="AI114" i="2"/>
  <c r="AH114" i="2"/>
  <c r="AA39" i="2"/>
  <c r="AI39" i="2"/>
  <c r="AH39" i="2"/>
  <c r="AJ39" i="2"/>
  <c r="AK39" i="2"/>
  <c r="AL39" i="2"/>
  <c r="AA24" i="2"/>
  <c r="AI24" i="2"/>
  <c r="AH24" i="2"/>
  <c r="AJ307" i="2"/>
  <c r="AI307" i="2"/>
  <c r="N158" i="10"/>
  <c r="N218" i="10"/>
  <c r="AB47" i="10"/>
  <c r="J295" i="10"/>
  <c r="U296" i="2"/>
  <c r="K295" i="10"/>
  <c r="AK273" i="2"/>
  <c r="AL328" i="2"/>
  <c r="AL53" i="2"/>
  <c r="AK53" i="2"/>
  <c r="AK38" i="2"/>
  <c r="AA38" i="2"/>
  <c r="AL38" i="2"/>
  <c r="AK9" i="2"/>
  <c r="AI9" i="2"/>
  <c r="AH9" i="2"/>
  <c r="AJ9" i="2"/>
  <c r="AK317" i="2"/>
  <c r="AI317" i="2"/>
  <c r="AL334" i="2"/>
  <c r="AA334" i="2"/>
  <c r="CP334" i="2"/>
  <c r="T334" i="2"/>
  <c r="CJ218" i="2"/>
  <c r="W218" i="2"/>
  <c r="M217" i="10"/>
  <c r="N217" i="10"/>
  <c r="J86" i="10"/>
  <c r="U87" i="2"/>
  <c r="K86" i="10"/>
  <c r="AA127" i="2"/>
  <c r="AL127" i="2"/>
  <c r="AI127" i="2"/>
  <c r="AH127" i="2"/>
  <c r="AK127" i="2"/>
  <c r="CP127" i="2"/>
  <c r="T127" i="2"/>
  <c r="AA37" i="2"/>
  <c r="AK37" i="2"/>
  <c r="AL37" i="2"/>
  <c r="AJ37" i="2"/>
  <c r="AI37" i="2"/>
  <c r="AH37" i="2"/>
  <c r="W195" i="2"/>
  <c r="M194" i="10"/>
  <c r="N194" i="10"/>
  <c r="N181" i="10"/>
  <c r="CJ24" i="2"/>
  <c r="W79" i="2"/>
  <c r="M78" i="10"/>
  <c r="N78" i="10"/>
  <c r="CJ79" i="2"/>
  <c r="N231" i="10"/>
  <c r="W235" i="2"/>
  <c r="M234" i="10"/>
  <c r="N234" i="10"/>
  <c r="CJ235" i="2"/>
  <c r="J26" i="10"/>
  <c r="U27" i="2"/>
  <c r="K26" i="10"/>
  <c r="J97" i="10"/>
  <c r="U98" i="2"/>
  <c r="K97" i="10"/>
  <c r="AK64" i="2"/>
  <c r="AJ53" i="2"/>
  <c r="J170" i="10"/>
  <c r="AL9" i="2"/>
  <c r="AL111" i="2"/>
  <c r="AA111" i="2"/>
  <c r="AI111" i="2"/>
  <c r="AH111" i="2"/>
  <c r="AA67" i="2"/>
  <c r="AK67" i="2"/>
  <c r="AL67" i="2"/>
  <c r="AL52" i="2"/>
  <c r="AJ52" i="2"/>
  <c r="AI52" i="2"/>
  <c r="AH52" i="2"/>
  <c r="AK52" i="2"/>
  <c r="AI8" i="2"/>
  <c r="AH8" i="2"/>
  <c r="AJ8" i="2"/>
  <c r="AK8" i="2"/>
  <c r="W188" i="2"/>
  <c r="M187" i="10"/>
  <c r="N187" i="10"/>
  <c r="CJ188" i="2"/>
  <c r="W162" i="2"/>
  <c r="M161" i="10"/>
  <c r="N161" i="10"/>
  <c r="CJ162" i="2"/>
  <c r="W67" i="2"/>
  <c r="M66" i="10"/>
  <c r="N66" i="10"/>
  <c r="CJ67" i="2"/>
  <c r="W23" i="2"/>
  <c r="M22" i="10"/>
  <c r="N22" i="10"/>
  <c r="CJ23" i="2"/>
  <c r="AI140" i="2"/>
  <c r="AH140" i="2"/>
  <c r="AJ64" i="2"/>
  <c r="J207" i="10"/>
  <c r="AK242" i="2"/>
  <c r="AL11" i="2"/>
  <c r="AL124" i="2"/>
  <c r="AL21" i="2"/>
  <c r="U227" i="2"/>
  <c r="K226" i="10"/>
  <c r="J226" i="10"/>
  <c r="AA66" i="2"/>
  <c r="AL66" i="2"/>
  <c r="AJ66" i="2"/>
  <c r="AK66" i="2"/>
  <c r="AA35" i="2"/>
  <c r="AI22" i="2"/>
  <c r="AH22" i="2"/>
  <c r="AL22" i="2"/>
  <c r="AJ22" i="2"/>
  <c r="AK22" i="2"/>
  <c r="AI294" i="2"/>
  <c r="AJ294" i="2"/>
  <c r="AL294" i="2"/>
  <c r="W76" i="2"/>
  <c r="M75" i="10"/>
  <c r="N75" i="10"/>
  <c r="W233" i="2"/>
  <c r="M232" i="10"/>
  <c r="N232" i="10"/>
  <c r="CJ233" i="2"/>
  <c r="AL21" i="3"/>
  <c r="AK21" i="3"/>
  <c r="AJ21" i="3"/>
  <c r="AM21" i="3"/>
  <c r="AK19" i="3"/>
  <c r="AJ19" i="3"/>
  <c r="AM19" i="3"/>
  <c r="AM18" i="3"/>
  <c r="AK18" i="3"/>
  <c r="AJ18" i="3"/>
  <c r="AK8" i="3"/>
  <c r="AM8" i="3"/>
  <c r="AJ398" i="2"/>
  <c r="AA398" i="2"/>
  <c r="AI398" i="2"/>
  <c r="AK398" i="2"/>
  <c r="AL398" i="2"/>
  <c r="AK220" i="2"/>
  <c r="AL258" i="2"/>
  <c r="AJ220" i="2"/>
  <c r="AJ269" i="2"/>
  <c r="AA313" i="2"/>
  <c r="AI313" i="2"/>
  <c r="AA304" i="2"/>
  <c r="AL304" i="2"/>
  <c r="J52" i="10"/>
  <c r="J110" i="10"/>
  <c r="AL134" i="2"/>
  <c r="AK134" i="2"/>
  <c r="AA118" i="2"/>
  <c r="AJ118" i="2"/>
  <c r="AK118" i="2"/>
  <c r="AA91" i="2"/>
  <c r="AL91" i="2"/>
  <c r="AA18" i="2"/>
  <c r="AL18" i="2"/>
  <c r="AA5" i="2"/>
  <c r="AJ5" i="2"/>
  <c r="AA312" i="2"/>
  <c r="AK312" i="2"/>
  <c r="BJ3" i="2"/>
  <c r="J164" i="10"/>
  <c r="U165" i="2"/>
  <c r="K164" i="10"/>
  <c r="Q89" i="2"/>
  <c r="H88" i="10"/>
  <c r="AB88" i="10"/>
  <c r="AB38" i="10"/>
  <c r="Q39" i="2"/>
  <c r="H38" i="10"/>
  <c r="W363" i="2"/>
  <c r="M362" i="10"/>
  <c r="N362" i="10"/>
  <c r="CJ363" i="2"/>
  <c r="AI153" i="2"/>
  <c r="AH153" i="2"/>
  <c r="AA46" i="2"/>
  <c r="AJ46" i="2"/>
  <c r="AA31" i="2"/>
  <c r="AK31" i="2"/>
  <c r="AJ17" i="2"/>
  <c r="AK17" i="2"/>
  <c r="AA281" i="2"/>
  <c r="AJ281" i="2"/>
  <c r="AI281" i="2"/>
  <c r="AA246" i="2"/>
  <c r="CP246" i="2"/>
  <c r="T246" i="2"/>
  <c r="AI246" i="2"/>
  <c r="J48" i="10"/>
  <c r="U49" i="2"/>
  <c r="K48" i="10"/>
  <c r="J190" i="10"/>
  <c r="U191" i="2"/>
  <c r="K190" i="10"/>
  <c r="AB59" i="10"/>
  <c r="Q60" i="2"/>
  <c r="H59" i="10"/>
  <c r="W395" i="2"/>
  <c r="M394" i="10"/>
  <c r="N394" i="10"/>
  <c r="CJ395" i="2"/>
  <c r="AA427" i="2"/>
  <c r="AI427" i="2"/>
  <c r="AK427" i="2"/>
  <c r="CP427" i="2"/>
  <c r="T427" i="2"/>
  <c r="AJ427" i="2"/>
  <c r="AK103" i="2"/>
  <c r="AK190" i="2"/>
  <c r="CP190" i="2"/>
  <c r="T190" i="2"/>
  <c r="AK269" i="2"/>
  <c r="AA30" i="2"/>
  <c r="AI30" i="2"/>
  <c r="AH30" i="2"/>
  <c r="AL30" i="2"/>
  <c r="CJ65" i="2"/>
  <c r="CJ43" i="2"/>
  <c r="W21" i="2"/>
  <c r="M20" i="10"/>
  <c r="N20" i="10"/>
  <c r="CJ21" i="2"/>
  <c r="W207" i="2"/>
  <c r="M206" i="10"/>
  <c r="N206" i="10"/>
  <c r="CJ207" i="2"/>
  <c r="J4" i="10"/>
  <c r="U5" i="2"/>
  <c r="K4" i="10"/>
  <c r="J162" i="10"/>
  <c r="U163" i="2"/>
  <c r="K162" i="10"/>
  <c r="AB61" i="10"/>
  <c r="Q59" i="2"/>
  <c r="H58" i="10"/>
  <c r="AB58" i="10"/>
  <c r="CJ161" i="2"/>
  <c r="CJ305" i="2"/>
  <c r="AI105" i="2"/>
  <c r="AH105" i="2"/>
  <c r="AJ103" i="2"/>
  <c r="AJ226" i="2"/>
  <c r="AL253" i="2"/>
  <c r="AL269" i="2"/>
  <c r="AL31" i="2"/>
  <c r="AJ217" i="2"/>
  <c r="AL217" i="2"/>
  <c r="AL187" i="2"/>
  <c r="AJ187" i="2"/>
  <c r="AK187" i="2"/>
  <c r="AI169" i="2"/>
  <c r="AH169" i="2"/>
  <c r="AB3" i="2"/>
  <c r="AK130" i="2"/>
  <c r="AL130" i="2"/>
  <c r="AJ130" i="2"/>
  <c r="AA88" i="2"/>
  <c r="AJ60" i="2"/>
  <c r="AK60" i="2"/>
  <c r="AA60" i="2"/>
  <c r="AL60" i="2"/>
  <c r="AK290" i="2"/>
  <c r="AL290" i="2"/>
  <c r="AA280" i="2"/>
  <c r="CP280" i="2"/>
  <c r="T280" i="2"/>
  <c r="AA268" i="2"/>
  <c r="CP268" i="2"/>
  <c r="T268" i="2"/>
  <c r="W22" i="2"/>
  <c r="M21" i="10"/>
  <c r="N21" i="10"/>
  <c r="N146" i="10"/>
  <c r="J312" i="10"/>
  <c r="U313" i="2"/>
  <c r="K312" i="10"/>
  <c r="J161" i="10"/>
  <c r="U162" i="2"/>
  <c r="K161" i="10"/>
  <c r="J143" i="10"/>
  <c r="U144" i="2"/>
  <c r="K143" i="10"/>
  <c r="CJ364" i="2"/>
  <c r="W364" i="2"/>
  <c r="M363" i="10"/>
  <c r="N363" i="10"/>
  <c r="AL355" i="2"/>
  <c r="AK355" i="2"/>
  <c r="CP355" i="2"/>
  <c r="T355" i="2"/>
  <c r="AI355" i="2"/>
  <c r="AJ355" i="2"/>
  <c r="AA355" i="2"/>
  <c r="AK372" i="2"/>
  <c r="CP372" i="2"/>
  <c r="T372" i="2"/>
  <c r="AJ372" i="2"/>
  <c r="AA372" i="2"/>
  <c r="AL372" i="2"/>
  <c r="AI372" i="2"/>
  <c r="AK407" i="2"/>
  <c r="CP407" i="2"/>
  <c r="T407" i="2"/>
  <c r="AI407" i="2"/>
  <c r="AA407" i="2"/>
  <c r="AJ407" i="2"/>
  <c r="AL407" i="2"/>
  <c r="CJ438" i="2"/>
  <c r="W438" i="2"/>
  <c r="M437" i="10"/>
  <c r="N437" i="10"/>
  <c r="CJ68" i="2"/>
  <c r="AJ134" i="2"/>
  <c r="AK91" i="2"/>
  <c r="AJ216" i="2"/>
  <c r="AK216" i="2"/>
  <c r="AL216" i="2"/>
  <c r="AI150" i="2"/>
  <c r="AH150" i="2"/>
  <c r="AK150" i="2"/>
  <c r="AL129" i="2"/>
  <c r="AK129" i="2"/>
  <c r="AA74" i="2"/>
  <c r="AL74" i="2"/>
  <c r="AA59" i="2"/>
  <c r="AI59" i="2"/>
  <c r="AH59" i="2"/>
  <c r="N6" i="10"/>
  <c r="J160" i="10"/>
  <c r="U161" i="2"/>
  <c r="K160" i="10"/>
  <c r="Q106" i="2"/>
  <c r="AB105" i="10"/>
  <c r="AB83" i="10"/>
  <c r="Q84" i="2"/>
  <c r="H83" i="10"/>
  <c r="Q56" i="2"/>
  <c r="AB55" i="10"/>
  <c r="AI202" i="2"/>
  <c r="AH202" i="2"/>
  <c r="AI18" i="2"/>
  <c r="AH18" i="2"/>
  <c r="AK153" i="2"/>
  <c r="AJ91" i="2"/>
  <c r="AK145" i="2"/>
  <c r="AK6" i="2"/>
  <c r="AJ59" i="2"/>
  <c r="AK74" i="2"/>
  <c r="CP74" i="2"/>
  <c r="T74" i="2"/>
  <c r="AL300" i="2"/>
  <c r="AK73" i="2"/>
  <c r="AA73" i="2"/>
  <c r="AA58" i="2"/>
  <c r="AI58" i="2"/>
  <c r="AH58" i="2"/>
  <c r="AJ58" i="2"/>
  <c r="AK58" i="2"/>
  <c r="AA335" i="2"/>
  <c r="W43" i="2"/>
  <c r="M42" i="10"/>
  <c r="N42" i="10"/>
  <c r="CJ119" i="2"/>
  <c r="W119" i="2"/>
  <c r="M118" i="10"/>
  <c r="N118" i="10"/>
  <c r="W97" i="2"/>
  <c r="M96" i="10"/>
  <c r="N96" i="10"/>
  <c r="CJ97" i="2"/>
  <c r="U8" i="2"/>
  <c r="K7" i="10"/>
  <c r="J7" i="10"/>
  <c r="N162" i="10"/>
  <c r="CJ46" i="2"/>
  <c r="CJ187" i="2"/>
  <c r="AJ153" i="2"/>
  <c r="AJ6" i="2"/>
  <c r="AJ74" i="2"/>
  <c r="AL220" i="2"/>
  <c r="AL118" i="2"/>
  <c r="AL103" i="2"/>
  <c r="AI148" i="2"/>
  <c r="AH148" i="2"/>
  <c r="AL148" i="2"/>
  <c r="AI320" i="2"/>
  <c r="AA320" i="2"/>
  <c r="U236" i="2"/>
  <c r="K235" i="10"/>
  <c r="J235" i="10"/>
  <c r="U215" i="2"/>
  <c r="K214" i="10"/>
  <c r="J214" i="10"/>
  <c r="AB100" i="10"/>
  <c r="AJ344" i="2"/>
  <c r="AJ313" i="2"/>
  <c r="AJ148" i="2"/>
  <c r="AJ304" i="2"/>
  <c r="AL227" i="2"/>
  <c r="AJ227" i="2"/>
  <c r="AJ99" i="2"/>
  <c r="AK99" i="2"/>
  <c r="AA85" i="2"/>
  <c r="AK41" i="2"/>
  <c r="AA41" i="2"/>
  <c r="AL41" i="2"/>
  <c r="AL309" i="2"/>
  <c r="AK309" i="2"/>
  <c r="AA253" i="2"/>
  <c r="CP253" i="2"/>
  <c r="T253" i="2"/>
  <c r="N173" i="10"/>
  <c r="N83" i="10"/>
  <c r="N58" i="10"/>
  <c r="U18" i="2"/>
  <c r="K17" i="10"/>
  <c r="J17" i="10"/>
  <c r="J124" i="10"/>
  <c r="U125" i="2"/>
  <c r="K124" i="10"/>
  <c r="U80" i="2"/>
  <c r="K79" i="10"/>
  <c r="J79" i="10"/>
  <c r="J233" i="10"/>
  <c r="CJ284" i="2"/>
  <c r="AK105" i="2"/>
  <c r="AJ31" i="2"/>
  <c r="AL5" i="2"/>
  <c r="AL165" i="2"/>
  <c r="AJ165" i="2"/>
  <c r="AK165" i="2"/>
  <c r="N56" i="10"/>
  <c r="N86" i="10"/>
  <c r="N102" i="10"/>
  <c r="N193" i="10"/>
  <c r="N134" i="10"/>
  <c r="N178" i="10"/>
  <c r="N221" i="10"/>
  <c r="N156" i="10"/>
  <c r="J78" i="10"/>
  <c r="U79" i="2"/>
  <c r="K78" i="10"/>
  <c r="Q27" i="2"/>
  <c r="AB26" i="10"/>
  <c r="AI190" i="2"/>
  <c r="AH190" i="2"/>
  <c r="AI106" i="2"/>
  <c r="AH106" i="2"/>
  <c r="AJ105" i="2"/>
  <c r="AL325" i="2"/>
  <c r="AL17" i="2"/>
  <c r="AL180" i="2"/>
  <c r="AK180" i="2"/>
  <c r="AA25" i="2"/>
  <c r="AJ25" i="2"/>
  <c r="AK25" i="2"/>
  <c r="AA287" i="2"/>
  <c r="CP287" i="2"/>
  <c r="T287" i="2"/>
  <c r="AL287" i="2"/>
  <c r="AK287" i="2"/>
  <c r="N68" i="10"/>
  <c r="J61" i="10"/>
  <c r="U62" i="2"/>
  <c r="K61" i="10"/>
  <c r="U233" i="2"/>
  <c r="K232" i="10"/>
  <c r="J232" i="10"/>
  <c r="Q15" i="2"/>
  <c r="H14" i="10"/>
  <c r="Q73" i="2"/>
  <c r="AB72" i="10"/>
  <c r="AB49" i="10"/>
  <c r="Q50" i="2"/>
  <c r="Q26" i="2"/>
  <c r="H25" i="10"/>
  <c r="AB25" i="10"/>
  <c r="AL298" i="2"/>
  <c r="AK298" i="2"/>
  <c r="W400" i="2"/>
  <c r="M399" i="10"/>
  <c r="N399" i="10"/>
  <c r="CJ400" i="2"/>
  <c r="AA240" i="2"/>
  <c r="CP240" i="2"/>
  <c r="T240" i="2"/>
  <c r="AJ240" i="2"/>
  <c r="AI240" i="2"/>
  <c r="AJ179" i="2"/>
  <c r="AI179" i="2"/>
  <c r="AH179" i="2"/>
  <c r="AK179" i="2"/>
  <c r="CJ259" i="2"/>
  <c r="U110" i="2"/>
  <c r="K109" i="10"/>
  <c r="J109" i="10"/>
  <c r="AK288" i="2"/>
  <c r="AJ138" i="2"/>
  <c r="AK138" i="2"/>
  <c r="AA84" i="2"/>
  <c r="AJ84" i="2"/>
  <c r="AK84" i="2"/>
  <c r="N60" i="10"/>
  <c r="U60" i="2"/>
  <c r="K59" i="10"/>
  <c r="U22" i="2"/>
  <c r="K21" i="10"/>
  <c r="N184" i="10"/>
  <c r="J94" i="10"/>
  <c r="U95" i="2"/>
  <c r="K94" i="10"/>
  <c r="Q94" i="2"/>
  <c r="AB93" i="10"/>
  <c r="Q67" i="2"/>
  <c r="H66" i="10"/>
  <c r="AB66" i="10"/>
  <c r="AJ337" i="2"/>
  <c r="Z228" i="2"/>
  <c r="AL55" i="2"/>
  <c r="AJ70" i="2"/>
  <c r="AK70" i="2"/>
  <c r="W303" i="2"/>
  <c r="CJ303" i="2"/>
  <c r="CJ281" i="2"/>
  <c r="J106" i="10"/>
  <c r="U107" i="2"/>
  <c r="K106" i="10"/>
  <c r="J105" i="10"/>
  <c r="U106" i="2"/>
  <c r="K105" i="10"/>
  <c r="AI228" i="2"/>
  <c r="AI120" i="2"/>
  <c r="AH120" i="2"/>
  <c r="AI168" i="2"/>
  <c r="AH168" i="2"/>
  <c r="AI326" i="2"/>
  <c r="AK326" i="2"/>
  <c r="AJ235" i="2"/>
  <c r="AK235" i="2"/>
  <c r="AL223" i="2"/>
  <c r="Z223" i="2"/>
  <c r="N72" i="10"/>
  <c r="J108" i="10"/>
  <c r="U109" i="2"/>
  <c r="K108" i="10"/>
  <c r="J91" i="10"/>
  <c r="J141" i="10"/>
  <c r="J34" i="10"/>
  <c r="U35" i="2"/>
  <c r="K34" i="10"/>
  <c r="AB115" i="10"/>
  <c r="AA68" i="2"/>
  <c r="AJ68" i="2"/>
  <c r="AA249" i="2"/>
  <c r="CP249" i="2"/>
  <c r="T249" i="2"/>
  <c r="N25" i="10"/>
  <c r="N47" i="10"/>
  <c r="Q91" i="2"/>
  <c r="AB90" i="10"/>
  <c r="Q64" i="2"/>
  <c r="H63" i="10"/>
  <c r="AB63" i="10"/>
  <c r="Q41" i="2"/>
  <c r="H40" i="10"/>
  <c r="AB40" i="10"/>
  <c r="AJ108" i="2"/>
  <c r="AI108" i="2"/>
  <c r="AH108" i="2"/>
  <c r="AA81" i="2"/>
  <c r="AJ81" i="2"/>
  <c r="AA54" i="2"/>
  <c r="AK54" i="2"/>
  <c r="AI291" i="2"/>
  <c r="AA291" i="2"/>
  <c r="N126" i="10"/>
  <c r="N150" i="10"/>
  <c r="W204" i="2"/>
  <c r="M203" i="10"/>
  <c r="N203" i="10"/>
  <c r="U7" i="2"/>
  <c r="K6" i="10"/>
  <c r="J6" i="10"/>
  <c r="U194" i="2"/>
  <c r="J193" i="10"/>
  <c r="W224" i="2"/>
  <c r="M223" i="10"/>
  <c r="N223" i="10"/>
  <c r="AL414" i="2"/>
  <c r="AJ414" i="2"/>
  <c r="AA414" i="2"/>
  <c r="AI414" i="2"/>
  <c r="AK414" i="2"/>
  <c r="CP414" i="2"/>
  <c r="T414" i="2"/>
  <c r="AK6" i="3"/>
  <c r="AL353" i="2"/>
  <c r="AI353" i="2"/>
  <c r="AA353" i="2"/>
  <c r="AK353" i="2"/>
  <c r="CP353" i="2"/>
  <c r="T353" i="2"/>
  <c r="W381" i="2"/>
  <c r="M380" i="10"/>
  <c r="N380" i="10"/>
  <c r="CJ381" i="2"/>
  <c r="AI386" i="2"/>
  <c r="AJ386" i="2"/>
  <c r="AK386" i="2"/>
  <c r="CP386" i="2"/>
  <c r="T386" i="2"/>
  <c r="AL371" i="2"/>
  <c r="AK371" i="2"/>
  <c r="CP371" i="2"/>
  <c r="T371" i="2"/>
  <c r="AJ371" i="2"/>
  <c r="AI371" i="2"/>
  <c r="W351" i="2"/>
  <c r="M350" i="10"/>
  <c r="N350" i="10"/>
  <c r="CJ389" i="2"/>
  <c r="AI408" i="2"/>
  <c r="AL408" i="2"/>
  <c r="AJ408" i="2"/>
  <c r="AK408" i="2"/>
  <c r="AA408" i="2"/>
  <c r="AA439" i="2"/>
  <c r="AL439" i="2"/>
  <c r="AJ439" i="2"/>
  <c r="AI439" i="2"/>
  <c r="AK439" i="2"/>
  <c r="CP439" i="2"/>
  <c r="T439" i="2"/>
  <c r="AK369" i="2"/>
  <c r="CP369" i="2"/>
  <c r="T369" i="2"/>
  <c r="AI369" i="2"/>
  <c r="AJ369" i="2"/>
  <c r="AL369" i="2"/>
  <c r="AA369" i="2"/>
  <c r="AJ423" i="2"/>
  <c r="AI423" i="2"/>
  <c r="AL423" i="2"/>
  <c r="AK423" i="2"/>
  <c r="AA423" i="2"/>
  <c r="CP423" i="2"/>
  <c r="T423" i="2"/>
  <c r="U16" i="2"/>
  <c r="K15" i="10"/>
  <c r="J171" i="10"/>
  <c r="N95" i="10"/>
  <c r="N180" i="10"/>
  <c r="N191" i="10"/>
  <c r="N212" i="10"/>
  <c r="Q6" i="2"/>
  <c r="AB5" i="10"/>
  <c r="AI366" i="2"/>
  <c r="AL366" i="2"/>
  <c r="AK366" i="2"/>
  <c r="CP366" i="2"/>
  <c r="T366" i="2"/>
  <c r="AJ366" i="2"/>
  <c r="AA366" i="2"/>
  <c r="AL348" i="2"/>
  <c r="AJ348" i="2"/>
  <c r="AK348" i="2"/>
  <c r="CP348" i="2"/>
  <c r="T348" i="2"/>
  <c r="AA348" i="2"/>
  <c r="W376" i="2"/>
  <c r="M375" i="10"/>
  <c r="N375" i="10"/>
  <c r="CJ376" i="2"/>
  <c r="CJ392" i="2"/>
  <c r="W392" i="2"/>
  <c r="M391" i="10"/>
  <c r="N391" i="10"/>
  <c r="CJ380" i="2"/>
  <c r="W380" i="2"/>
  <c r="M379" i="10"/>
  <c r="N379" i="10"/>
  <c r="U385" i="2"/>
  <c r="K384" i="10"/>
  <c r="J384" i="10"/>
  <c r="J405" i="10"/>
  <c r="AI425" i="2"/>
  <c r="AL425" i="2"/>
  <c r="AK425" i="2"/>
  <c r="W435" i="2"/>
  <c r="M434" i="10"/>
  <c r="N434" i="10"/>
  <c r="CJ435" i="2"/>
  <c r="N188" i="10"/>
  <c r="AL368" i="2"/>
  <c r="AJ368" i="2"/>
  <c r="AK368" i="2"/>
  <c r="CP368" i="2"/>
  <c r="T368" i="2"/>
  <c r="AI368" i="2"/>
  <c r="W413" i="2"/>
  <c r="M412" i="10"/>
  <c r="N412" i="10"/>
  <c r="CJ413" i="2"/>
  <c r="W357" i="2"/>
  <c r="M356" i="10"/>
  <c r="N356" i="10"/>
  <c r="CJ357" i="2"/>
  <c r="W358" i="2"/>
  <c r="M357" i="10"/>
  <c r="N357" i="10"/>
  <c r="CJ358" i="2"/>
  <c r="AA365" i="2"/>
  <c r="AL365" i="2"/>
  <c r="AK365" i="2"/>
  <c r="AJ347" i="2"/>
  <c r="AI347" i="2"/>
  <c r="AA347" i="2"/>
  <c r="AK347" i="2"/>
  <c r="CP347" i="2"/>
  <c r="T347" i="2"/>
  <c r="AL347" i="2"/>
  <c r="AI384" i="2"/>
  <c r="AK384" i="2"/>
  <c r="CP384" i="2"/>
  <c r="T384" i="2"/>
  <c r="AL384" i="2"/>
  <c r="W422" i="2"/>
  <c r="M421" i="10"/>
  <c r="N421" i="10"/>
  <c r="CJ422" i="2"/>
  <c r="AK438" i="2"/>
  <c r="CP438" i="2"/>
  <c r="T438" i="2"/>
  <c r="AA438" i="2"/>
  <c r="AL438" i="2"/>
  <c r="AJ438" i="2"/>
  <c r="AL346" i="2"/>
  <c r="AA346" i="2"/>
  <c r="AK346" i="2"/>
  <c r="CP346" i="2"/>
  <c r="T346" i="2"/>
  <c r="AJ346" i="2"/>
  <c r="CJ418" i="2"/>
  <c r="W418" i="2"/>
  <c r="M417" i="10"/>
  <c r="N417" i="10"/>
  <c r="AI437" i="2"/>
  <c r="AJ437" i="2"/>
  <c r="AA437" i="2"/>
  <c r="AL437" i="2"/>
  <c r="CJ360" i="2"/>
  <c r="W360" i="2"/>
  <c r="M359" i="10"/>
  <c r="N359" i="10"/>
  <c r="AA382" i="2"/>
  <c r="AL382" i="2"/>
  <c r="AI382" i="2"/>
  <c r="J32" i="10"/>
  <c r="U33" i="2"/>
  <c r="K32" i="10"/>
  <c r="AI401" i="2"/>
  <c r="AA401" i="2"/>
  <c r="CP401" i="2"/>
  <c r="T401" i="2"/>
  <c r="AJ401" i="2"/>
  <c r="AL401" i="2"/>
  <c r="AI380" i="2"/>
  <c r="AA380" i="2"/>
  <c r="AK380" i="2"/>
  <c r="CP380" i="2"/>
  <c r="T380" i="2"/>
  <c r="AL380" i="2"/>
  <c r="AJ380" i="2"/>
  <c r="U130" i="2"/>
  <c r="K129" i="10"/>
  <c r="J129" i="10"/>
  <c r="CJ371" i="2"/>
  <c r="AJ361" i="2"/>
  <c r="AK361" i="2"/>
  <c r="CP361" i="2"/>
  <c r="T361" i="2"/>
  <c r="AA361" i="2"/>
  <c r="AI361" i="2"/>
  <c r="AA420" i="2"/>
  <c r="CP420" i="2"/>
  <c r="T420" i="2"/>
  <c r="AL420" i="2"/>
  <c r="AJ436" i="2"/>
  <c r="AI436" i="2"/>
  <c r="AL436" i="2"/>
  <c r="AK436" i="2"/>
  <c r="AI420" i="2"/>
  <c r="AL399" i="2"/>
  <c r="AK399" i="2"/>
  <c r="AI399" i="2"/>
  <c r="AK358" i="2"/>
  <c r="CP358" i="2"/>
  <c r="T358" i="2"/>
  <c r="AL358" i="2"/>
  <c r="AA358" i="2"/>
  <c r="AI358" i="2"/>
  <c r="N438" i="10"/>
  <c r="CJ345" i="2"/>
  <c r="W345" i="2"/>
  <c r="CJ421" i="2"/>
  <c r="W421" i="2"/>
  <c r="M420" i="10"/>
  <c r="N420" i="10"/>
  <c r="AL375" i="2"/>
  <c r="AI375" i="2"/>
  <c r="AL397" i="2"/>
  <c r="AI397" i="2"/>
  <c r="AA417" i="2"/>
  <c r="AL417" i="2"/>
  <c r="AI417" i="2"/>
  <c r="AJ417" i="2"/>
  <c r="AK374" i="2"/>
  <c r="CP374" i="2"/>
  <c r="T374" i="2"/>
  <c r="AI374" i="2"/>
  <c r="AA374" i="2"/>
  <c r="W397" i="2"/>
  <c r="M396" i="10"/>
  <c r="N396" i="10"/>
  <c r="CJ397" i="2"/>
  <c r="AI396" i="2"/>
  <c r="AA396" i="2"/>
  <c r="AL396" i="2"/>
  <c r="AL416" i="2"/>
  <c r="AA416" i="2"/>
  <c r="AI416" i="2"/>
  <c r="AJ416" i="2"/>
  <c r="AJ373" i="2"/>
  <c r="AA373" i="2"/>
  <c r="AK373" i="2"/>
  <c r="CP373" i="2"/>
  <c r="T373" i="2"/>
  <c r="W396" i="2"/>
  <c r="M395" i="10"/>
  <c r="N395" i="10"/>
  <c r="CJ396" i="2"/>
  <c r="CJ417" i="2"/>
  <c r="W417" i="2"/>
  <c r="M416" i="10"/>
  <c r="N416" i="10"/>
  <c r="W378" i="2"/>
  <c r="M377" i="10"/>
  <c r="N377" i="10"/>
  <c r="CJ378" i="2"/>
  <c r="AA370" i="2"/>
  <c r="AK370" i="2"/>
  <c r="CP370" i="2"/>
  <c r="T370" i="2"/>
  <c r="AJ370" i="2"/>
  <c r="AI435" i="2"/>
  <c r="AK435" i="2"/>
  <c r="CP435" i="2"/>
  <c r="T435" i="2"/>
  <c r="AK345" i="2"/>
  <c r="AL345" i="2"/>
  <c r="AA345" i="2"/>
  <c r="CP345" i="2"/>
  <c r="T345" i="2"/>
  <c r="AJ345" i="2"/>
  <c r="AA383" i="2"/>
  <c r="AL415" i="2"/>
  <c r="AI415" i="2"/>
  <c r="AA388" i="2"/>
  <c r="AL388" i="2"/>
  <c r="AI388" i="2"/>
  <c r="AL381" i="2"/>
  <c r="AJ404" i="2"/>
  <c r="AA404" i="2"/>
  <c r="CP404" i="2"/>
  <c r="T404" i="2"/>
  <c r="AK360" i="2"/>
  <c r="CP360" i="2"/>
  <c r="T360" i="2"/>
  <c r="AI360" i="2"/>
  <c r="AA360" i="2"/>
  <c r="CJ369" i="2"/>
  <c r="W369" i="2"/>
  <c r="M368" i="10"/>
  <c r="N368" i="10"/>
  <c r="AA381" i="2"/>
  <c r="AA413" i="2"/>
  <c r="AI359" i="2"/>
  <c r="AJ359" i="2"/>
  <c r="AA359" i="2"/>
  <c r="AL426" i="2"/>
  <c r="AK426" i="2"/>
  <c r="AI426" i="2"/>
  <c r="AL413" i="2"/>
  <c r="AL357" i="2"/>
  <c r="AK357" i="2"/>
  <c r="CP357" i="2"/>
  <c r="T357" i="2"/>
  <c r="AJ357" i="2"/>
  <c r="AL23" i="3"/>
  <c r="AM23" i="3"/>
  <c r="AM6" i="3"/>
  <c r="AR8" i="3"/>
  <c r="AS8" i="3"/>
  <c r="AQ8" i="3"/>
  <c r="AR11" i="3"/>
  <c r="AS11" i="3"/>
  <c r="AK385" i="2"/>
  <c r="AJ23" i="3"/>
  <c r="AQ10" i="3"/>
  <c r="AP10" i="3"/>
  <c r="AR10" i="3"/>
  <c r="AZ24" i="3"/>
  <c r="BD20" i="3"/>
  <c r="AI424" i="2"/>
  <c r="AA457" i="2"/>
  <c r="AI457" i="2"/>
  <c r="AH457" i="2"/>
  <c r="AJ457" i="2"/>
  <c r="AL457" i="2"/>
  <c r="AK457" i="2"/>
  <c r="W433" i="2"/>
  <c r="M432" i="10"/>
  <c r="N432" i="10"/>
  <c r="CJ433" i="2"/>
  <c r="CJ445" i="2"/>
  <c r="W445" i="2"/>
  <c r="M444" i="10"/>
  <c r="N444" i="10"/>
  <c r="AL6" i="3"/>
  <c r="AJ406" i="2"/>
  <c r="AA394" i="2"/>
  <c r="AL394" i="2"/>
  <c r="AK431" i="2"/>
  <c r="CP431" i="2"/>
  <c r="T431" i="2"/>
  <c r="AA431" i="2"/>
  <c r="AJ431" i="2"/>
  <c r="AI431" i="2"/>
  <c r="AA422" i="2"/>
  <c r="CP422" i="2"/>
  <c r="T422" i="2"/>
  <c r="AA429" i="2"/>
  <c r="CP429" i="2"/>
  <c r="T429" i="2"/>
  <c r="AL429" i="2"/>
  <c r="AI429" i="2"/>
  <c r="AL376" i="2"/>
  <c r="AI409" i="2"/>
  <c r="AJ419" i="2"/>
  <c r="AJ424" i="2"/>
  <c r="AI411" i="2"/>
  <c r="W356" i="2"/>
  <c r="M355" i="10"/>
  <c r="N355" i="10"/>
  <c r="AJ411" i="2"/>
  <c r="AL354" i="2"/>
  <c r="AK422" i="2"/>
  <c r="AR6" i="3"/>
  <c r="CJ442" i="2"/>
  <c r="W442" i="2"/>
  <c r="M441" i="10"/>
  <c r="N441" i="10"/>
  <c r="W459" i="2"/>
  <c r="M458" i="10"/>
  <c r="N458" i="10"/>
  <c r="CJ459" i="2"/>
  <c r="AJ7" i="3"/>
  <c r="AO3" i="2"/>
  <c r="AK10" i="3"/>
  <c r="AM10" i="3"/>
  <c r="AJ10" i="3"/>
  <c r="AI430" i="2"/>
  <c r="AQ20" i="3"/>
  <c r="AS19" i="3"/>
  <c r="AR9" i="3"/>
  <c r="AS5" i="3"/>
  <c r="AQ5" i="3"/>
  <c r="AR5" i="3"/>
  <c r="W456" i="2"/>
  <c r="M455" i="10"/>
  <c r="N455" i="10"/>
  <c r="CJ456" i="2"/>
  <c r="W465" i="2"/>
  <c r="M464" i="10"/>
  <c r="N464" i="10"/>
  <c r="CJ465" i="2"/>
  <c r="AQ9" i="3"/>
  <c r="AS6" i="3"/>
  <c r="U443" i="2"/>
  <c r="K442" i="10"/>
  <c r="AI434" i="2"/>
  <c r="AH434" i="2"/>
  <c r="AJ434" i="2"/>
  <c r="AK434" i="2"/>
  <c r="AL434" i="2"/>
  <c r="AA434" i="2"/>
  <c r="AR18" i="3"/>
  <c r="AP18" i="3"/>
  <c r="AS18" i="3"/>
  <c r="AJ6" i="3"/>
  <c r="AL20" i="3"/>
  <c r="AL11" i="3"/>
  <c r="AM11" i="3"/>
  <c r="AR23" i="3"/>
  <c r="AQ23" i="3"/>
  <c r="AP23" i="3"/>
  <c r="AS23" i="3"/>
  <c r="AL5" i="3"/>
  <c r="AI458" i="2"/>
  <c r="AH458" i="2"/>
  <c r="AL458" i="2"/>
  <c r="AJ458" i="2"/>
  <c r="AA458" i="2"/>
  <c r="BA24" i="3"/>
  <c r="BB20" i="3"/>
  <c r="CJ468" i="2"/>
  <c r="W468" i="2"/>
  <c r="M467" i="10"/>
  <c r="N467" i="10"/>
  <c r="N439" i="10"/>
  <c r="AK455" i="2"/>
  <c r="AI455" i="2"/>
  <c r="AH455" i="2"/>
  <c r="AA455" i="2"/>
  <c r="AJ455" i="2"/>
  <c r="AL19" i="3"/>
  <c r="AJ9" i="3"/>
  <c r="AK9" i="3"/>
  <c r="AL9" i="3"/>
  <c r="AM9" i="3"/>
  <c r="AK5" i="3"/>
  <c r="AK11" i="3"/>
  <c r="AP21" i="3"/>
  <c r="AQ21" i="3"/>
  <c r="AR21" i="3"/>
  <c r="AS21" i="3"/>
  <c r="AP7" i="3"/>
  <c r="AS7" i="3"/>
  <c r="AQ7" i="3"/>
  <c r="EG3" i="2"/>
  <c r="CJ444" i="2"/>
  <c r="W444" i="2"/>
  <c r="M443" i="10"/>
  <c r="N443" i="10"/>
  <c r="U446" i="2"/>
  <c r="K445" i="10"/>
  <c r="J445" i="10"/>
  <c r="AP5" i="3"/>
  <c r="U442" i="2"/>
  <c r="K441" i="10"/>
  <c r="J441" i="10"/>
  <c r="AP20" i="3"/>
  <c r="AR20" i="3"/>
  <c r="AS9" i="3"/>
  <c r="AP6" i="3"/>
  <c r="AQ6" i="3"/>
  <c r="AL441" i="2"/>
  <c r="AK441" i="2"/>
  <c r="AI441" i="2"/>
  <c r="AH441" i="2"/>
  <c r="AS20" i="3"/>
  <c r="U441" i="2"/>
  <c r="K440" i="10"/>
  <c r="J440" i="10"/>
  <c r="U445" i="2"/>
  <c r="K444" i="10"/>
  <c r="J444" i="10"/>
  <c r="J457" i="10"/>
  <c r="U458" i="2"/>
  <c r="K457" i="10"/>
  <c r="U448" i="2"/>
  <c r="K447" i="10"/>
  <c r="J447" i="10"/>
  <c r="AA454" i="2"/>
  <c r="AL454" i="2"/>
  <c r="U456" i="2"/>
  <c r="K455" i="10"/>
  <c r="J455" i="10"/>
  <c r="AI468" i="2"/>
  <c r="AH468" i="2"/>
  <c r="AL468" i="2"/>
  <c r="AA468" i="2"/>
  <c r="AJ8" i="3"/>
  <c r="AL8" i="3"/>
  <c r="AP19" i="3"/>
  <c r="AR19" i="3"/>
  <c r="AK467" i="2"/>
  <c r="AI467" i="2"/>
  <c r="AH467" i="2"/>
  <c r="AA467" i="2"/>
  <c r="AL467" i="2"/>
  <c r="AI453" i="2"/>
  <c r="AH453" i="2"/>
  <c r="AK453" i="2"/>
  <c r="AL453" i="2"/>
  <c r="AA453" i="2"/>
  <c r="U453" i="2"/>
  <c r="K452" i="10"/>
  <c r="J452" i="10"/>
  <c r="AL18" i="3"/>
  <c r="N453" i="10"/>
  <c r="AJ443" i="2"/>
  <c r="AL443" i="2"/>
  <c r="AK443" i="2"/>
  <c r="AI443" i="2"/>
  <c r="AH443" i="2"/>
  <c r="AI446" i="2"/>
  <c r="AH446" i="2"/>
  <c r="AL446" i="2"/>
  <c r="AQ19" i="3"/>
  <c r="AJ11" i="3"/>
  <c r="AK390" i="10"/>
  <c r="GD391" i="2"/>
  <c r="AK446" i="2"/>
  <c r="AK354" i="10"/>
  <c r="W449" i="2"/>
  <c r="M448" i="10"/>
  <c r="N448" i="10"/>
  <c r="AJ447" i="2"/>
  <c r="J467" i="10"/>
  <c r="J459" i="10"/>
  <c r="AA447" i="2"/>
  <c r="AI461" i="2"/>
  <c r="AH461" i="2"/>
  <c r="AJ461" i="2"/>
  <c r="AA461" i="2"/>
  <c r="W466" i="2"/>
  <c r="M465" i="10"/>
  <c r="N465" i="10"/>
  <c r="T5" i="3"/>
  <c r="V5" i="3"/>
  <c r="W5" i="3"/>
  <c r="G5" i="3"/>
  <c r="J5" i="3"/>
  <c r="J21" i="3"/>
  <c r="H21" i="3"/>
  <c r="Q349" i="2"/>
  <c r="G11" i="3"/>
  <c r="AB19" i="3"/>
  <c r="AC19" i="3"/>
  <c r="AA404" i="10"/>
  <c r="Q405" i="2"/>
  <c r="H404" i="10"/>
  <c r="Q86" i="2"/>
  <c r="H85" i="10"/>
  <c r="AB85" i="10"/>
  <c r="AA242" i="10"/>
  <c r="AB383" i="10"/>
  <c r="Q384" i="2"/>
  <c r="AB345" i="10"/>
  <c r="Q438" i="10"/>
  <c r="V258" i="10"/>
  <c r="P5" i="3"/>
  <c r="Q5" i="3"/>
  <c r="P261" i="10"/>
  <c r="M5" i="3"/>
  <c r="Y7" i="3"/>
  <c r="Z7" i="3"/>
  <c r="AB7" i="3"/>
  <c r="AC7" i="3"/>
  <c r="Q442" i="2"/>
  <c r="H441" i="10"/>
  <c r="AB441" i="10"/>
  <c r="AB449" i="10"/>
  <c r="Q450" i="2"/>
  <c r="AZ6" i="3"/>
  <c r="S369" i="10"/>
  <c r="AI19" i="3"/>
  <c r="AA418" i="10"/>
  <c r="Q419" i="2"/>
  <c r="H418" i="10"/>
  <c r="AA387" i="10"/>
  <c r="Q388" i="2"/>
  <c r="H387" i="10"/>
  <c r="K18" i="3"/>
  <c r="J18" i="3"/>
  <c r="G18" i="3"/>
  <c r="H18" i="3"/>
  <c r="O346" i="10"/>
  <c r="G19" i="3"/>
  <c r="H19" i="3"/>
  <c r="O368" i="10"/>
  <c r="Q108" i="2"/>
  <c r="H107" i="10"/>
  <c r="AE18" i="3"/>
  <c r="Y20" i="3"/>
  <c r="N10" i="3"/>
  <c r="N6" i="3"/>
  <c r="AC23" i="3"/>
  <c r="Y23" i="3"/>
  <c r="Z23" i="3"/>
  <c r="AC21" i="3"/>
  <c r="Y21" i="3"/>
  <c r="Z21" i="3"/>
  <c r="AB21" i="3"/>
  <c r="Q87" i="2"/>
  <c r="H86" i="10"/>
  <c r="Q408" i="2"/>
  <c r="AF18" i="3"/>
  <c r="M10" i="3"/>
  <c r="M7" i="3"/>
  <c r="S397" i="10"/>
  <c r="AE20" i="3"/>
  <c r="AH20" i="3"/>
  <c r="AI20" i="3"/>
  <c r="Y8" i="3"/>
  <c r="AA291" i="10"/>
  <c r="Q292" i="2"/>
  <c r="O434" i="10"/>
  <c r="H23" i="3"/>
  <c r="K23" i="3"/>
  <c r="J23" i="3"/>
  <c r="AB36" i="10"/>
  <c r="Q37" i="2"/>
  <c r="Q13" i="2"/>
  <c r="AB12" i="10"/>
  <c r="AH18" i="3"/>
  <c r="AC20" i="3"/>
  <c r="Q9" i="3"/>
  <c r="BA9" i="3"/>
  <c r="AA400" i="10"/>
  <c r="Q401" i="2"/>
  <c r="H400" i="10"/>
  <c r="V350" i="10"/>
  <c r="Q21" i="3"/>
  <c r="Q36" i="2"/>
  <c r="H35" i="10"/>
  <c r="Q107" i="2"/>
  <c r="H106" i="10"/>
  <c r="AB106" i="10"/>
  <c r="AB84" i="10"/>
  <c r="Q85" i="2"/>
  <c r="H84" i="10"/>
  <c r="Q35" i="2"/>
  <c r="H34" i="10"/>
  <c r="AB34" i="10"/>
  <c r="Q11" i="2"/>
  <c r="H10" i="10"/>
  <c r="AB10" i="10"/>
  <c r="AB23" i="3"/>
  <c r="AF19" i="3"/>
  <c r="Q110" i="2"/>
  <c r="H109" i="10"/>
  <c r="AB109" i="10"/>
  <c r="Q88" i="2"/>
  <c r="H87" i="10"/>
  <c r="AB87" i="10"/>
  <c r="Q18" i="3"/>
  <c r="Q386" i="2"/>
  <c r="Q427" i="2"/>
  <c r="H426" i="10"/>
  <c r="Q394" i="2"/>
  <c r="Y19" i="3"/>
  <c r="AH19" i="3"/>
  <c r="Y6" i="3"/>
  <c r="AF10" i="9"/>
  <c r="AB353" i="10"/>
  <c r="Q354" i="2"/>
  <c r="H353" i="10"/>
  <c r="AB463" i="10"/>
  <c r="Q464" i="2"/>
  <c r="H463" i="10"/>
  <c r="Z452" i="10"/>
  <c r="Q453" i="2"/>
  <c r="H452" i="10"/>
  <c r="AB30" i="10"/>
  <c r="Q400" i="2"/>
  <c r="H399" i="10"/>
  <c r="AE19" i="3"/>
  <c r="AI5" i="3"/>
  <c r="O239" i="10"/>
  <c r="J6" i="3"/>
  <c r="AB53" i="10"/>
  <c r="Q98" i="2"/>
  <c r="H97" i="10"/>
  <c r="AB97" i="10"/>
  <c r="Q24" i="2"/>
  <c r="H23" i="10"/>
  <c r="AB23" i="10"/>
  <c r="Q363" i="2"/>
  <c r="H362" i="10"/>
  <c r="AC6" i="3"/>
  <c r="AH5" i="3"/>
  <c r="BC11" i="3"/>
  <c r="Q365" i="2"/>
  <c r="H364" i="10"/>
  <c r="DN3" i="2"/>
  <c r="V6" i="3"/>
  <c r="AB440" i="10"/>
  <c r="Q441" i="2"/>
  <c r="H440" i="10"/>
  <c r="Y432" i="10"/>
  <c r="Q433" i="2"/>
  <c r="H432" i="10"/>
  <c r="AB103" i="10"/>
  <c r="AB13" i="10"/>
  <c r="W23" i="3"/>
  <c r="Z10" i="3"/>
  <c r="AF5" i="3"/>
  <c r="Z9" i="3"/>
  <c r="Y9" i="3"/>
  <c r="AB9" i="3"/>
  <c r="AC9" i="3"/>
  <c r="R320" i="10"/>
  <c r="AB438" i="10"/>
  <c r="Q439" i="2"/>
  <c r="H438" i="10"/>
  <c r="AB275" i="10"/>
  <c r="Q276" i="2"/>
  <c r="Q254" i="2"/>
  <c r="AB253" i="10"/>
  <c r="V18" i="3"/>
  <c r="S20" i="3"/>
  <c r="Q325" i="2"/>
  <c r="AB81" i="10"/>
  <c r="T23" i="3"/>
  <c r="K7" i="3"/>
  <c r="AB10" i="3"/>
  <c r="AE5" i="3"/>
  <c r="Z355" i="10"/>
  <c r="Q335" i="2"/>
  <c r="AB334" i="10"/>
  <c r="Q275" i="2"/>
  <c r="AB274" i="10"/>
  <c r="AB252" i="10"/>
  <c r="Q253" i="2"/>
  <c r="AB143" i="10"/>
  <c r="Q144" i="2"/>
  <c r="H143" i="10"/>
  <c r="V19" i="3"/>
  <c r="AB439" i="10"/>
  <c r="Q440" i="2"/>
  <c r="H439" i="10"/>
  <c r="Q444" i="2"/>
  <c r="H443" i="10"/>
  <c r="Q265" i="2"/>
  <c r="Q121" i="2"/>
  <c r="H120" i="10"/>
  <c r="AB120" i="10"/>
  <c r="G23" i="3"/>
  <c r="Z6" i="3"/>
  <c r="P8" i="3"/>
  <c r="Q8" i="3"/>
  <c r="P325" i="10"/>
  <c r="AB378" i="10"/>
  <c r="Q379" i="2"/>
  <c r="V11" i="3"/>
  <c r="S11" i="3"/>
  <c r="Q236" i="10"/>
  <c r="T11" i="3"/>
  <c r="W11" i="3"/>
  <c r="Z461" i="10"/>
  <c r="Q462" i="2"/>
  <c r="Q120" i="2"/>
  <c r="H119" i="10"/>
  <c r="AB119" i="10"/>
  <c r="Q167" i="2"/>
  <c r="Q12" i="2"/>
  <c r="H11" i="10"/>
  <c r="Q345" i="2"/>
  <c r="Q391" i="2"/>
  <c r="H390" i="10"/>
  <c r="J7" i="3"/>
  <c r="K5" i="3"/>
  <c r="AI6" i="3"/>
  <c r="BA6" i="3"/>
  <c r="AY6" i="3"/>
  <c r="AB333" i="10"/>
  <c r="Q334" i="2"/>
  <c r="Q230" i="2"/>
  <c r="H229" i="10"/>
  <c r="AB229" i="10"/>
  <c r="V21" i="3"/>
  <c r="S9" i="3"/>
  <c r="N7" i="3"/>
  <c r="M11" i="3"/>
  <c r="N11" i="3"/>
  <c r="P11" i="3"/>
  <c r="Q11" i="3"/>
  <c r="O442" i="10"/>
  <c r="Q443" i="2"/>
  <c r="H442" i="10"/>
  <c r="Q252" i="2"/>
  <c r="K19" i="3"/>
  <c r="H7" i="3"/>
  <c r="AE6" i="3"/>
  <c r="H5" i="3"/>
  <c r="AA380" i="10"/>
  <c r="Q381" i="2"/>
  <c r="Q273" i="2"/>
  <c r="AB272" i="10"/>
  <c r="AB207" i="10"/>
  <c r="Q208" i="2"/>
  <c r="Q128" i="2"/>
  <c r="AB114" i="10"/>
  <c r="Q115" i="2"/>
  <c r="H114" i="10"/>
  <c r="AB18" i="10"/>
  <c r="Q19" i="2"/>
  <c r="H18" i="10"/>
  <c r="Q347" i="2"/>
  <c r="J19" i="3"/>
  <c r="G7" i="3"/>
  <c r="AF6" i="3"/>
  <c r="N5" i="3"/>
  <c r="Q146" i="2"/>
  <c r="BC5" i="3"/>
  <c r="AI23" i="3"/>
  <c r="EA3" i="2"/>
  <c r="S344" i="10"/>
  <c r="AI18" i="3"/>
  <c r="AA209" i="10"/>
  <c r="AB349" i="10"/>
  <c r="Q337" i="10"/>
  <c r="T8" i="3"/>
  <c r="V8" i="3"/>
  <c r="Q251" i="2"/>
  <c r="Q317" i="2"/>
  <c r="Q65" i="2"/>
  <c r="H64" i="10"/>
  <c r="AB64" i="10"/>
  <c r="Q421" i="2"/>
  <c r="W19" i="3"/>
  <c r="K9" i="3"/>
  <c r="AH6" i="3"/>
  <c r="AB144" i="10"/>
  <c r="O261" i="10"/>
  <c r="Z398" i="10"/>
  <c r="Q399" i="2"/>
  <c r="H398" i="10"/>
  <c r="AB435" i="10"/>
  <c r="Q436" i="2"/>
  <c r="Q362" i="2"/>
  <c r="H361" i="10"/>
  <c r="T6" i="3"/>
  <c r="Q5" i="2"/>
  <c r="H4" i="10"/>
  <c r="T19" i="3"/>
  <c r="J9" i="3"/>
  <c r="AI11" i="3"/>
  <c r="Q109" i="2"/>
  <c r="H108" i="10"/>
  <c r="Q38" i="2"/>
  <c r="H37" i="10"/>
  <c r="Q58" i="2"/>
  <c r="H57" i="10"/>
  <c r="Q459" i="2"/>
  <c r="H458" i="10"/>
  <c r="Q63" i="2"/>
  <c r="H62" i="10"/>
  <c r="AB62" i="10"/>
  <c r="S19" i="3"/>
  <c r="AH11" i="3"/>
  <c r="Y344" i="10"/>
  <c r="S253" i="10"/>
  <c r="R344" i="10"/>
  <c r="DR3" i="2"/>
  <c r="Z381" i="10"/>
  <c r="Q382" i="2"/>
  <c r="H381" i="10"/>
  <c r="Q361" i="2"/>
  <c r="H360" i="10"/>
  <c r="Q269" i="2"/>
  <c r="AB224" i="10"/>
  <c r="Q225" i="2"/>
  <c r="H224" i="10"/>
  <c r="AB161" i="10"/>
  <c r="Q162" i="2"/>
  <c r="H161" i="10"/>
  <c r="S5" i="3"/>
  <c r="Q267" i="10"/>
  <c r="V4" i="10"/>
  <c r="P407" i="10"/>
  <c r="N21" i="3"/>
  <c r="P21" i="3"/>
  <c r="P20" i="3"/>
  <c r="Q20" i="3"/>
  <c r="M18" i="3"/>
  <c r="P18" i="3"/>
  <c r="AB5" i="3"/>
  <c r="Y263" i="10"/>
  <c r="Q264" i="2"/>
  <c r="Q278" i="10"/>
  <c r="T7" i="3"/>
  <c r="Q434" i="2"/>
  <c r="H433" i="10"/>
  <c r="AA433" i="10"/>
  <c r="Q103" i="2"/>
  <c r="H102" i="10"/>
  <c r="AB102" i="10"/>
  <c r="Q7" i="2"/>
  <c r="AB6" i="10"/>
  <c r="M19" i="3"/>
  <c r="N19" i="3"/>
  <c r="P19" i="3"/>
  <c r="AZ8" i="3"/>
  <c r="BC9" i="3"/>
  <c r="AY9" i="3"/>
  <c r="AZ9" i="3"/>
  <c r="AE9" i="3"/>
  <c r="AF9" i="3"/>
  <c r="AH9" i="3"/>
  <c r="AB6" i="3"/>
  <c r="Z11" i="3"/>
  <c r="AB415" i="10"/>
  <c r="Q416" i="2"/>
  <c r="H415" i="10"/>
  <c r="S6" i="3"/>
  <c r="Q290" i="2"/>
  <c r="AF8" i="3"/>
  <c r="Z5" i="3"/>
  <c r="Q181" i="2"/>
  <c r="H180" i="10"/>
  <c r="AB138" i="10"/>
  <c r="P23" i="3"/>
  <c r="M23" i="3"/>
  <c r="AF10" i="3"/>
  <c r="AI10" i="3"/>
  <c r="AE10" i="3"/>
  <c r="BC10" i="3"/>
  <c r="AY10" i="3"/>
  <c r="AZ10" i="3"/>
  <c r="AA354" i="10"/>
  <c r="Q355" i="2"/>
  <c r="H354" i="10"/>
  <c r="AB414" i="10"/>
  <c r="Q245" i="2"/>
  <c r="AB244" i="10"/>
  <c r="AB117" i="10"/>
  <c r="Q366" i="2"/>
  <c r="Q6" i="3"/>
  <c r="AC11" i="3"/>
  <c r="AE8" i="3"/>
  <c r="Y5" i="3"/>
  <c r="Q161" i="2"/>
  <c r="H160" i="10"/>
  <c r="S7" i="3"/>
  <c r="V345" i="10"/>
  <c r="Q23" i="3"/>
  <c r="Q7" i="3"/>
  <c r="AB11" i="3"/>
  <c r="AC5" i="3"/>
  <c r="Q180" i="2"/>
  <c r="S394" i="10"/>
  <c r="AF20" i="3"/>
  <c r="Q412" i="2"/>
  <c r="H411" i="10"/>
  <c r="V10" i="3"/>
  <c r="W10" i="3"/>
  <c r="S10" i="3"/>
  <c r="P324" i="10"/>
  <c r="M9" i="3"/>
  <c r="AE21" i="3"/>
  <c r="S407" i="10"/>
  <c r="AF21" i="3"/>
  <c r="BA5" i="3"/>
  <c r="AK12" i="9"/>
  <c r="Q358" i="2"/>
  <c r="H357" i="10"/>
  <c r="W7" i="3"/>
  <c r="Q394" i="10"/>
  <c r="V20" i="3"/>
  <c r="T20" i="3"/>
  <c r="W20" i="3"/>
  <c r="W6" i="3"/>
  <c r="Y455" i="10"/>
  <c r="Q456" i="2"/>
  <c r="H455" i="10"/>
  <c r="V238" i="10"/>
  <c r="AI21" i="3"/>
  <c r="AZ5" i="3"/>
  <c r="V7" i="3"/>
  <c r="Q449" i="2"/>
  <c r="H448" i="10"/>
  <c r="AB52" i="10"/>
  <c r="AH21" i="3"/>
  <c r="H6" i="3"/>
  <c r="AY5" i="3"/>
  <c r="AB136" i="10"/>
  <c r="O272" i="10"/>
  <c r="S436" i="10"/>
  <c r="AH23" i="3"/>
  <c r="AE23" i="3"/>
  <c r="AZ7" i="3"/>
  <c r="BA7" i="3"/>
  <c r="BC7" i="3"/>
  <c r="AI7" i="3"/>
  <c r="Q196" i="2"/>
  <c r="H195" i="10"/>
  <c r="AB195" i="10"/>
  <c r="Q68" i="2"/>
  <c r="AB67" i="10"/>
  <c r="Q418" i="2"/>
  <c r="H417" i="10"/>
  <c r="Q19" i="3"/>
  <c r="K6" i="3"/>
  <c r="Q390" i="2"/>
  <c r="AB320" i="10"/>
  <c r="Q321" i="2"/>
  <c r="Q324" i="10"/>
  <c r="W9" i="3"/>
  <c r="T9" i="3"/>
  <c r="Q268" i="2"/>
  <c r="Q23" i="2"/>
  <c r="H22" i="10"/>
  <c r="BA10" i="3"/>
  <c r="AA247" i="10"/>
  <c r="Q248" i="2"/>
  <c r="Q173" i="2"/>
  <c r="H172" i="10"/>
  <c r="Q152" i="2"/>
  <c r="H151" i="10"/>
  <c r="AB151" i="10"/>
  <c r="P10" i="3"/>
  <c r="Q10" i="3"/>
  <c r="AB20" i="3"/>
  <c r="Q425" i="2"/>
  <c r="H424" i="10"/>
  <c r="Q463" i="2"/>
  <c r="H462" i="10"/>
  <c r="BC6" i="3"/>
  <c r="AB409" i="10"/>
  <c r="Q410" i="2"/>
  <c r="H409" i="10"/>
  <c r="AB367" i="10"/>
  <c r="Q368" i="2"/>
  <c r="H367" i="10"/>
  <c r="Q446" i="2"/>
  <c r="H445" i="10"/>
  <c r="AB445" i="10"/>
  <c r="O256" i="10"/>
  <c r="H10" i="3"/>
  <c r="J10" i="3"/>
  <c r="K10" i="3"/>
  <c r="Z19" i="3"/>
  <c r="Q408" i="10"/>
  <c r="T21" i="3"/>
  <c r="W21" i="3"/>
  <c r="T18" i="3"/>
  <c r="Q461" i="2"/>
  <c r="H460" i="10"/>
  <c r="Q466" i="2"/>
  <c r="H465" i="10"/>
  <c r="Q452" i="2"/>
  <c r="H451" i="10"/>
  <c r="AB451" i="10"/>
  <c r="G8" i="3"/>
  <c r="W18" i="3"/>
  <c r="AY8" i="3"/>
  <c r="S325" i="10"/>
  <c r="Q364" i="2"/>
  <c r="H363" i="10"/>
  <c r="Q260" i="2"/>
  <c r="AB259" i="10"/>
  <c r="Q447" i="2"/>
  <c r="H446" i="10"/>
  <c r="Q454" i="2"/>
  <c r="H453" i="10"/>
  <c r="AA453" i="10"/>
  <c r="P9" i="3"/>
  <c r="S8" i="3"/>
  <c r="G6" i="3"/>
  <c r="AB457" i="10"/>
  <c r="Q458" i="2"/>
  <c r="H457" i="10"/>
  <c r="V9" i="3"/>
  <c r="AB466" i="10"/>
  <c r="Q467" i="2"/>
  <c r="H466" i="10"/>
  <c r="Q468" i="2"/>
  <c r="V23" i="3"/>
  <c r="H282" i="10"/>
  <c r="AB150" i="10"/>
  <c r="Q151" i="2"/>
  <c r="H150" i="10"/>
  <c r="CP398" i="2"/>
  <c r="T398" i="2"/>
  <c r="H6" i="10"/>
  <c r="CP408" i="2"/>
  <c r="T408" i="2"/>
  <c r="N278" i="10"/>
  <c r="N247" i="10"/>
  <c r="N269" i="10"/>
  <c r="N262" i="10"/>
  <c r="CS225" i="2"/>
  <c r="N263" i="10"/>
  <c r="N264" i="10"/>
  <c r="N246" i="10"/>
  <c r="J326" i="10"/>
  <c r="M294" i="10"/>
  <c r="M313" i="10"/>
  <c r="M273" i="10"/>
  <c r="M296" i="10"/>
  <c r="M312" i="10"/>
  <c r="M295" i="10"/>
  <c r="M277" i="10"/>
  <c r="M297" i="10"/>
  <c r="M256" i="10"/>
  <c r="M259" i="10"/>
  <c r="N259" i="10"/>
  <c r="M314" i="10"/>
  <c r="M238" i="10"/>
  <c r="M249" i="10"/>
  <c r="M266" i="10"/>
  <c r="M293" i="10"/>
  <c r="M253" i="10"/>
  <c r="M308" i="10"/>
  <c r="N308" i="10"/>
  <c r="M261" i="10"/>
  <c r="M251" i="10"/>
  <c r="M271" i="10"/>
  <c r="M315" i="10"/>
  <c r="M317" i="10"/>
  <c r="M291" i="10"/>
  <c r="M240" i="10"/>
  <c r="M302" i="10"/>
  <c r="N302" i="10"/>
  <c r="M274" i="10"/>
  <c r="N274" i="10"/>
  <c r="M244" i="10"/>
  <c r="AH339" i="2"/>
  <c r="H253" i="10"/>
  <c r="H268" i="10"/>
  <c r="H275" i="10"/>
  <c r="H247" i="10"/>
  <c r="H251" i="10"/>
  <c r="H289" i="10"/>
  <c r="H263" i="10"/>
  <c r="H274" i="10"/>
  <c r="H267" i="10"/>
  <c r="H334" i="10"/>
  <c r="H252" i="10"/>
  <c r="H259" i="10"/>
  <c r="H316" i="10"/>
  <c r="H250" i="10"/>
  <c r="H333" i="10"/>
  <c r="H291" i="10"/>
  <c r="H272" i="10"/>
  <c r="H324" i="10"/>
  <c r="H264" i="10"/>
  <c r="H236" i="10"/>
  <c r="U223" i="2"/>
  <c r="K222" i="10"/>
  <c r="U291" i="2"/>
  <c r="K290" i="10"/>
  <c r="U224" i="2"/>
  <c r="K223" i="10"/>
  <c r="AH246" i="2"/>
  <c r="U290" i="2"/>
  <c r="K289" i="10"/>
  <c r="J323" i="10"/>
  <c r="AH279" i="2"/>
  <c r="U316" i="2"/>
  <c r="K315" i="10"/>
  <c r="CT225" i="2"/>
  <c r="U300" i="2"/>
  <c r="K299" i="10"/>
  <c r="U267" i="2"/>
  <c r="K266" i="10"/>
  <c r="CQ225" i="2"/>
  <c r="AG23" i="3"/>
  <c r="U251" i="2"/>
  <c r="K250" i="10"/>
  <c r="AH305" i="2"/>
  <c r="U244" i="2"/>
  <c r="K243" i="10"/>
  <c r="AH303" i="2"/>
  <c r="U315" i="2"/>
  <c r="K314" i="10"/>
  <c r="U332" i="2"/>
  <c r="K331" i="10"/>
  <c r="U262" i="2"/>
  <c r="K261" i="10"/>
  <c r="AH223" i="2"/>
  <c r="AH289" i="2"/>
  <c r="AH283" i="2"/>
  <c r="AH320" i="2"/>
  <c r="AH267" i="2"/>
  <c r="AH254" i="2"/>
  <c r="AH330" i="2"/>
  <c r="AH291" i="2"/>
  <c r="J282" i="10"/>
  <c r="BB10" i="3"/>
  <c r="Z3" i="2"/>
  <c r="AH312" i="2"/>
  <c r="AH324" i="2"/>
  <c r="U325" i="2"/>
  <c r="K324" i="10"/>
  <c r="O9" i="3"/>
  <c r="J316" i="10"/>
  <c r="AH244" i="2"/>
  <c r="CR227" i="2"/>
  <c r="CQ227" i="2"/>
  <c r="CS227" i="2"/>
  <c r="AH255" i="2"/>
  <c r="J307" i="10"/>
  <c r="AA20" i="3"/>
  <c r="AH228" i="2"/>
  <c r="J249" i="10"/>
  <c r="AH257" i="2"/>
  <c r="U126" i="2"/>
  <c r="K125" i="10"/>
  <c r="CS226" i="2"/>
  <c r="AH282" i="2"/>
  <c r="AH272" i="2"/>
  <c r="U329" i="2"/>
  <c r="K328" i="10"/>
  <c r="AH316" i="2"/>
  <c r="U322" i="2"/>
  <c r="K321" i="10"/>
  <c r="AH278" i="2"/>
  <c r="R6" i="3"/>
  <c r="AH335" i="2"/>
  <c r="AH296" i="2"/>
  <c r="U307" i="2"/>
  <c r="K306" i="10"/>
  <c r="AH225" i="2"/>
  <c r="AH310" i="2"/>
  <c r="AH344" i="2"/>
  <c r="J269" i="10"/>
  <c r="AH248" i="2"/>
  <c r="AH280" i="2"/>
  <c r="AH329" i="2"/>
  <c r="AH250" i="2"/>
  <c r="AH338" i="2"/>
  <c r="AH301" i="2"/>
  <c r="AH293" i="2"/>
  <c r="AH427" i="2"/>
  <c r="AH398" i="2"/>
  <c r="AC10" i="9"/>
  <c r="AM12" i="3"/>
  <c r="AH321" i="2"/>
  <c r="AD8" i="3"/>
  <c r="BB6" i="3"/>
  <c r="AH270" i="2"/>
  <c r="AH295" i="2"/>
  <c r="AH276" i="2"/>
  <c r="J127" i="10"/>
  <c r="AH306" i="2"/>
  <c r="J257" i="10"/>
  <c r="CT224" i="2"/>
  <c r="AH224" i="2"/>
  <c r="AH313" i="2"/>
  <c r="CQ224" i="2"/>
  <c r="CS224" i="2"/>
  <c r="J313" i="10"/>
  <c r="AH297" i="2"/>
  <c r="BB24" i="3"/>
  <c r="AH253" i="2"/>
  <c r="AL24" i="3"/>
  <c r="U225" i="2"/>
  <c r="K224" i="10"/>
  <c r="AH226" i="2"/>
  <c r="AH237" i="2"/>
  <c r="R8" i="3"/>
  <c r="U278" i="2"/>
  <c r="K277" i="10"/>
  <c r="AH343" i="2"/>
  <c r="J268" i="10"/>
  <c r="AH292" i="2"/>
  <c r="AH249" i="2"/>
  <c r="AH341" i="2"/>
  <c r="AH325" i="2"/>
  <c r="AH311" i="2"/>
  <c r="AH302" i="2"/>
  <c r="AH319" i="2"/>
  <c r="AH407" i="2"/>
  <c r="AH309" i="2"/>
  <c r="AH336" i="2"/>
  <c r="AH238" i="2"/>
  <c r="AH308" i="2"/>
  <c r="X9" i="3"/>
  <c r="AH300" i="2"/>
  <c r="AH252" i="2"/>
  <c r="CT226" i="2"/>
  <c r="CQ226" i="2"/>
  <c r="AH243" i="2"/>
  <c r="AH318" i="2"/>
  <c r="AH284" i="2"/>
  <c r="AH277" i="2"/>
  <c r="AH258" i="2"/>
  <c r="AH314" i="2"/>
  <c r="AA23" i="3"/>
  <c r="AH290" i="2"/>
  <c r="AH275" i="2"/>
  <c r="AH285" i="2"/>
  <c r="AH342" i="2"/>
  <c r="U340" i="2"/>
  <c r="K339" i="10"/>
  <c r="J339" i="10"/>
  <c r="AH304" i="2"/>
  <c r="AH264" i="2"/>
  <c r="AH331" i="2"/>
  <c r="AB135" i="10"/>
  <c r="AH315" i="2"/>
  <c r="J300" i="10"/>
  <c r="J240" i="10"/>
  <c r="AH334" i="2"/>
  <c r="I23" i="3"/>
  <c r="AQ24" i="3"/>
  <c r="AH239" i="2"/>
  <c r="AH241" i="2"/>
  <c r="J439" i="10"/>
  <c r="U440" i="2"/>
  <c r="K439" i="10"/>
  <c r="F23" i="3"/>
  <c r="AH357" i="2"/>
  <c r="AH288" i="2"/>
  <c r="U271" i="2"/>
  <c r="K270" i="10"/>
  <c r="J270" i="10"/>
  <c r="AA6" i="3"/>
  <c r="U10" i="3"/>
  <c r="AD6" i="3"/>
  <c r="AH251" i="2"/>
  <c r="U292" i="2"/>
  <c r="K291" i="10"/>
  <c r="J291" i="10"/>
  <c r="J244" i="10"/>
  <c r="U245" i="2"/>
  <c r="K244" i="10"/>
  <c r="AH437" i="2"/>
  <c r="AH269" i="2"/>
  <c r="J329" i="10"/>
  <c r="AH259" i="2"/>
  <c r="O21" i="3"/>
  <c r="AH347" i="2"/>
  <c r="AH348" i="2"/>
  <c r="AH307" i="2"/>
  <c r="U243" i="2"/>
  <c r="K242" i="10"/>
  <c r="J242" i="10"/>
  <c r="AH333" i="2"/>
  <c r="AH261" i="2"/>
  <c r="AJ12" i="3"/>
  <c r="AH265" i="2"/>
  <c r="I19" i="3"/>
  <c r="AH423" i="2"/>
  <c r="AH256" i="2"/>
  <c r="AH346" i="2"/>
  <c r="U266" i="2"/>
  <c r="K265" i="10"/>
  <c r="AH317" i="2"/>
  <c r="AH271" i="2"/>
  <c r="AH240" i="2"/>
  <c r="AH266" i="2"/>
  <c r="U277" i="2"/>
  <c r="K276" i="10"/>
  <c r="J276" i="10"/>
  <c r="F19" i="3"/>
  <c r="X7" i="3"/>
  <c r="AH287" i="2"/>
  <c r="J303" i="10"/>
  <c r="U304" i="2"/>
  <c r="K303" i="10"/>
  <c r="U284" i="2"/>
  <c r="K283" i="10"/>
  <c r="J283" i="10"/>
  <c r="AH286" i="2"/>
  <c r="AH438" i="2"/>
  <c r="AH340" i="2"/>
  <c r="U237" i="2"/>
  <c r="K236" i="10"/>
  <c r="J236" i="10"/>
  <c r="I9" i="3"/>
  <c r="AD19" i="3"/>
  <c r="U336" i="2"/>
  <c r="K335" i="10"/>
  <c r="J335" i="10"/>
  <c r="AH260" i="2"/>
  <c r="U7" i="3"/>
  <c r="AH372" i="2"/>
  <c r="AH268" i="2"/>
  <c r="AH245" i="2"/>
  <c r="AS12" i="3"/>
  <c r="AH431" i="2"/>
  <c r="J437" i="10"/>
  <c r="U438" i="2"/>
  <c r="K437" i="10"/>
  <c r="U369" i="2"/>
  <c r="K368" i="10"/>
  <c r="J368" i="10"/>
  <c r="J239" i="10"/>
  <c r="U240" i="2"/>
  <c r="K239" i="10"/>
  <c r="U427" i="2"/>
  <c r="K426" i="10"/>
  <c r="J426" i="10"/>
  <c r="J397" i="10"/>
  <c r="U398" i="2"/>
  <c r="K397" i="10"/>
  <c r="O11" i="3"/>
  <c r="J356" i="10"/>
  <c r="U357" i="2"/>
  <c r="K356" i="10"/>
  <c r="U439" i="2"/>
  <c r="K438" i="10"/>
  <c r="J438" i="10"/>
  <c r="U353" i="2"/>
  <c r="K352" i="10"/>
  <c r="J352" i="10"/>
  <c r="U345" i="2"/>
  <c r="K344" i="10"/>
  <c r="J344" i="10"/>
  <c r="AH436" i="2"/>
  <c r="AH439" i="2"/>
  <c r="J273" i="10"/>
  <c r="U274" i="2"/>
  <c r="K273" i="10"/>
  <c r="O23" i="3"/>
  <c r="L11" i="3"/>
  <c r="AA9" i="3"/>
  <c r="U431" i="2"/>
  <c r="K430" i="10"/>
  <c r="J430" i="10"/>
  <c r="AH353" i="2"/>
  <c r="J248" i="10"/>
  <c r="U249" i="2"/>
  <c r="K248" i="10"/>
  <c r="J286" i="10"/>
  <c r="U287" i="2"/>
  <c r="K286" i="10"/>
  <c r="J383" i="10"/>
  <c r="U384" i="2"/>
  <c r="K383" i="10"/>
  <c r="I10" i="3"/>
  <c r="AA19" i="3"/>
  <c r="J434" i="10"/>
  <c r="U435" i="2"/>
  <c r="K434" i="10"/>
  <c r="M344" i="10"/>
  <c r="U420" i="2"/>
  <c r="K419" i="10"/>
  <c r="J419" i="10"/>
  <c r="AH247" i="2"/>
  <c r="AH273" i="2"/>
  <c r="AH263" i="2"/>
  <c r="R7" i="3"/>
  <c r="AS24" i="3"/>
  <c r="C24" i="9"/>
  <c r="J252" i="10"/>
  <c r="U253" i="2"/>
  <c r="K252" i="10"/>
  <c r="AH294" i="2"/>
  <c r="J126" i="10"/>
  <c r="U127" i="2"/>
  <c r="K126" i="10"/>
  <c r="U176" i="2"/>
  <c r="K175" i="10"/>
  <c r="J175" i="10"/>
  <c r="AP24" i="3"/>
  <c r="E24" i="9"/>
  <c r="U360" i="2"/>
  <c r="K359" i="10"/>
  <c r="J359" i="10"/>
  <c r="J346" i="10"/>
  <c r="U347" i="2"/>
  <c r="K346" i="10"/>
  <c r="J246" i="10"/>
  <c r="U247" i="2"/>
  <c r="K246" i="10"/>
  <c r="J262" i="10"/>
  <c r="U263" i="2"/>
  <c r="AR24" i="3"/>
  <c r="U370" i="2"/>
  <c r="K369" i="10"/>
  <c r="J369" i="10"/>
  <c r="AH368" i="2"/>
  <c r="AH298" i="2"/>
  <c r="J406" i="10"/>
  <c r="U407" i="2"/>
  <c r="K406" i="10"/>
  <c r="AH323" i="2"/>
  <c r="U252" i="2"/>
  <c r="K251" i="10"/>
  <c r="J251" i="10"/>
  <c r="J373" i="10"/>
  <c r="U374" i="2"/>
  <c r="K373" i="10"/>
  <c r="U368" i="2"/>
  <c r="K367" i="10"/>
  <c r="J367" i="10"/>
  <c r="AH408" i="2"/>
  <c r="J318" i="10"/>
  <c r="U319" i="2"/>
  <c r="K318" i="10"/>
  <c r="AD21" i="3"/>
  <c r="BD6" i="3"/>
  <c r="AH358" i="2"/>
  <c r="U380" i="2"/>
  <c r="K379" i="10"/>
  <c r="J379" i="10"/>
  <c r="CP365" i="2"/>
  <c r="T365" i="2"/>
  <c r="U348" i="2"/>
  <c r="K347" i="10"/>
  <c r="J347" i="10"/>
  <c r="U74" i="2"/>
  <c r="K73" i="10"/>
  <c r="J73" i="10"/>
  <c r="U323" i="2"/>
  <c r="K322" i="10"/>
  <c r="J322" i="10"/>
  <c r="U429" i="2"/>
  <c r="K428" i="10"/>
  <c r="J428" i="10"/>
  <c r="U404" i="2"/>
  <c r="K403" i="10"/>
  <c r="J403" i="10"/>
  <c r="AH361" i="2"/>
  <c r="U414" i="2"/>
  <c r="K413" i="10"/>
  <c r="J413" i="10"/>
  <c r="M2" i="10"/>
  <c r="AH274" i="2"/>
  <c r="J421" i="10"/>
  <c r="U422" i="2"/>
  <c r="K421" i="10"/>
  <c r="AH380" i="2"/>
  <c r="U423" i="2"/>
  <c r="K422" i="10"/>
  <c r="J422" i="10"/>
  <c r="AH371" i="2"/>
  <c r="AH414" i="2"/>
  <c r="CT228" i="2"/>
  <c r="CS228" i="2"/>
  <c r="CQ228" i="2"/>
  <c r="CR228" i="2"/>
  <c r="U372" i="2"/>
  <c r="K371" i="10"/>
  <c r="J371" i="10"/>
  <c r="U386" i="2"/>
  <c r="K385" i="10"/>
  <c r="J385" i="10"/>
  <c r="AH417" i="2"/>
  <c r="J357" i="10"/>
  <c r="U358" i="2"/>
  <c r="K357" i="10"/>
  <c r="U361" i="2"/>
  <c r="K360" i="10"/>
  <c r="J360" i="10"/>
  <c r="U346" i="2"/>
  <c r="K345" i="10"/>
  <c r="J345" i="10"/>
  <c r="J245" i="10"/>
  <c r="U246" i="2"/>
  <c r="K245" i="10"/>
  <c r="U371" i="2"/>
  <c r="K370" i="10"/>
  <c r="J370" i="10"/>
  <c r="CR223" i="2"/>
  <c r="CT223" i="2"/>
  <c r="CS223" i="2"/>
  <c r="CQ223" i="2"/>
  <c r="AH227" i="2"/>
  <c r="J267" i="10"/>
  <c r="U268" i="2"/>
  <c r="K267" i="10"/>
  <c r="AH281" i="2"/>
  <c r="AH328" i="2"/>
  <c r="U366" i="2"/>
  <c r="K365" i="10"/>
  <c r="J365" i="10"/>
  <c r="J279" i="10"/>
  <c r="U280" i="2"/>
  <c r="K279" i="10"/>
  <c r="J372" i="10"/>
  <c r="U373" i="2"/>
  <c r="K372" i="10"/>
  <c r="J400" i="10"/>
  <c r="U401" i="2"/>
  <c r="K400" i="10"/>
  <c r="J33" i="10"/>
  <c r="U34" i="2"/>
  <c r="K33" i="10"/>
  <c r="AH399" i="2"/>
  <c r="AH401" i="2"/>
  <c r="AH425" i="2"/>
  <c r="AH366" i="2"/>
  <c r="AH355" i="2"/>
  <c r="J333" i="10"/>
  <c r="U334" i="2"/>
  <c r="K333" i="10"/>
  <c r="AH262" i="2"/>
  <c r="X21" i="3"/>
  <c r="U355" i="2"/>
  <c r="K354" i="10"/>
  <c r="J354" i="10"/>
  <c r="J189" i="10"/>
  <c r="U190" i="2"/>
  <c r="K189" i="10"/>
  <c r="J241" i="10"/>
  <c r="U242" i="2"/>
  <c r="K241" i="10"/>
  <c r="BD10" i="3"/>
  <c r="BD9" i="3"/>
  <c r="AG6" i="3"/>
  <c r="AR12" i="3"/>
  <c r="AH326" i="2"/>
  <c r="AH299" i="2"/>
  <c r="J176" i="10"/>
  <c r="U177" i="2"/>
  <c r="K176" i="10"/>
  <c r="AH242" i="2"/>
  <c r="M241" i="10"/>
  <c r="BB7" i="3"/>
  <c r="AA11" i="3"/>
  <c r="AQ12" i="3"/>
  <c r="AH416" i="2"/>
  <c r="AH369" i="2"/>
  <c r="AD5" i="3"/>
  <c r="X23" i="3"/>
  <c r="W24" i="3"/>
  <c r="O8" i="3"/>
  <c r="AA5" i="3"/>
  <c r="AG20" i="3"/>
  <c r="H244" i="10"/>
  <c r="I7" i="3"/>
  <c r="Q24" i="3"/>
  <c r="AD20" i="3"/>
  <c r="O18" i="3"/>
  <c r="P24" i="3"/>
  <c r="U5" i="3"/>
  <c r="H344" i="10"/>
  <c r="L7" i="3"/>
  <c r="AE24" i="3"/>
  <c r="AD18" i="3"/>
  <c r="O10" i="3"/>
  <c r="AD9" i="3"/>
  <c r="O20" i="3"/>
  <c r="T24" i="3"/>
  <c r="R20" i="3"/>
  <c r="L10" i="3"/>
  <c r="U18" i="3"/>
  <c r="U6" i="3"/>
  <c r="AA7" i="3"/>
  <c r="BD7" i="3"/>
  <c r="H435" i="10"/>
  <c r="AI24" i="3"/>
  <c r="H407" i="10"/>
  <c r="AD10" i="3"/>
  <c r="O19" i="3"/>
  <c r="U19" i="3"/>
  <c r="L5" i="3"/>
  <c r="AG5" i="3"/>
  <c r="L19" i="3"/>
  <c r="BD5" i="3"/>
  <c r="BB9" i="3"/>
  <c r="F18" i="3"/>
  <c r="Q12" i="3"/>
  <c r="I18" i="3"/>
  <c r="O5" i="3"/>
  <c r="R9" i="3"/>
  <c r="U21" i="3"/>
  <c r="AG18" i="3"/>
  <c r="AH24" i="3"/>
  <c r="S12" i="3"/>
  <c r="R5" i="3"/>
  <c r="R19" i="3"/>
  <c r="F7" i="3"/>
  <c r="R11" i="3"/>
  <c r="X6" i="3"/>
  <c r="AA21" i="3"/>
  <c r="U20" i="3"/>
  <c r="AG11" i="3"/>
  <c r="U11" i="3"/>
  <c r="AG19" i="3"/>
  <c r="X5" i="3"/>
  <c r="H320" i="10"/>
  <c r="AG21" i="3"/>
  <c r="H378" i="10"/>
  <c r="X19" i="3"/>
  <c r="BB5" i="3"/>
  <c r="H389" i="10"/>
  <c r="H346" i="10"/>
  <c r="H393" i="10"/>
  <c r="I5" i="3"/>
  <c r="I6" i="3"/>
  <c r="F5" i="3"/>
  <c r="U406" i="2"/>
  <c r="K405" i="10"/>
  <c r="I405" i="10"/>
  <c r="U408" i="2"/>
  <c r="K407" i="10"/>
  <c r="J407" i="10"/>
  <c r="D24" i="9"/>
  <c r="B24" i="9"/>
  <c r="U365" i="2"/>
  <c r="K364" i="10"/>
  <c r="J364" i="10"/>
  <c r="K262" i="10"/>
  <c r="B25" i="9"/>
  <c r="AB129" i="12"/>
  <c r="AB128" i="12"/>
  <c r="AB130" i="12"/>
  <c r="T46" i="10" l="1"/>
  <c r="T108" i="10"/>
  <c r="X166" i="10"/>
  <c r="X261" i="10"/>
  <c r="X342" i="10"/>
  <c r="AB91" i="10"/>
  <c r="Q124" i="2"/>
  <c r="H26" i="10"/>
  <c r="H49" i="10"/>
  <c r="V296" i="10"/>
  <c r="T62" i="10"/>
  <c r="T140" i="10"/>
  <c r="T146" i="10"/>
  <c r="T423" i="10"/>
  <c r="T430" i="10"/>
  <c r="X206" i="10"/>
  <c r="X297" i="10"/>
  <c r="X327" i="10"/>
  <c r="Q441" i="10"/>
  <c r="Q114" i="2"/>
  <c r="Q116" i="2"/>
  <c r="AB121" i="10"/>
  <c r="AB4" i="10"/>
  <c r="W386" i="10"/>
  <c r="H55" i="10"/>
  <c r="Q45" i="10"/>
  <c r="Q41" i="10"/>
  <c r="AL448" i="2"/>
  <c r="AI462" i="2"/>
  <c r="AH462" i="2" s="1"/>
  <c r="AK442" i="2"/>
  <c r="AI448" i="2"/>
  <c r="AH448" i="2" s="1"/>
  <c r="AK451" i="2"/>
  <c r="AA445" i="2"/>
  <c r="CJ461" i="2"/>
  <c r="CJ454" i="2"/>
  <c r="AL449" i="2"/>
  <c r="W462" i="2"/>
  <c r="M461" i="10" s="1"/>
  <c r="N461" i="10" s="1"/>
  <c r="CJ463" i="2"/>
  <c r="AL463" i="2"/>
  <c r="AJ445" i="2"/>
  <c r="AI447" i="2"/>
  <c r="AH447" i="2" s="1"/>
  <c r="AL451" i="2"/>
  <c r="W460" i="2"/>
  <c r="M459" i="10" s="1"/>
  <c r="N459" i="10" s="1"/>
  <c r="W447" i="2"/>
  <c r="M446" i="10" s="1"/>
  <c r="N446" i="10" s="1"/>
  <c r="CJ447" i="2"/>
  <c r="AI451" i="2"/>
  <c r="AH451" i="2" s="1"/>
  <c r="AJ463" i="2"/>
  <c r="AL450" i="2"/>
  <c r="AK468" i="2"/>
  <c r="AJ468" i="2"/>
  <c r="AJ466" i="2"/>
  <c r="AI466" i="2"/>
  <c r="AH466" i="2" s="1"/>
  <c r="N450" i="10"/>
  <c r="N462" i="10"/>
  <c r="CJ453" i="2"/>
  <c r="W453" i="2"/>
  <c r="M452" i="10" s="1"/>
  <c r="N452" i="10" s="1"/>
  <c r="W457" i="2"/>
  <c r="M456" i="10" s="1"/>
  <c r="N456" i="10" s="1"/>
  <c r="CJ457" i="2"/>
  <c r="AK464" i="2"/>
  <c r="AA464" i="2"/>
  <c r="W448" i="2"/>
  <c r="M447" i="10" s="1"/>
  <c r="N447" i="10" s="1"/>
  <c r="CJ448" i="2"/>
  <c r="AK459" i="2"/>
  <c r="AI459" i="2"/>
  <c r="AH459" i="2" s="1"/>
  <c r="W450" i="2"/>
  <c r="M449" i="10" s="1"/>
  <c r="N449" i="10" s="1"/>
  <c r="CJ450" i="2"/>
  <c r="AK454" i="2"/>
  <c r="AI454" i="2"/>
  <c r="AH454" i="2" s="1"/>
  <c r="AJ454" i="2"/>
  <c r="W458" i="2"/>
  <c r="M457" i="10" s="1"/>
  <c r="N457" i="10" s="1"/>
  <c r="CJ458" i="2"/>
  <c r="CJ464" i="2"/>
  <c r="W464" i="2"/>
  <c r="M463" i="10" s="1"/>
  <c r="N463" i="10" s="1"/>
  <c r="CJ455" i="2"/>
  <c r="W455" i="2"/>
  <c r="M454" i="10" s="1"/>
  <c r="N454" i="10" s="1"/>
  <c r="W467" i="2"/>
  <c r="M466" i="10" s="1"/>
  <c r="N466" i="10" s="1"/>
  <c r="CJ467" i="2"/>
  <c r="AJ448" i="2"/>
  <c r="AK448" i="2"/>
  <c r="AK461" i="2"/>
  <c r="AI450" i="2"/>
  <c r="AH450" i="2" s="1"/>
  <c r="AK466" i="2"/>
  <c r="AL466" i="2"/>
  <c r="AA466" i="2"/>
  <c r="AL465" i="2"/>
  <c r="AA465" i="2"/>
  <c r="AK447" i="2"/>
  <c r="AI463" i="2"/>
  <c r="AH463" i="2" s="1"/>
  <c r="AK463" i="2"/>
  <c r="AI442" i="2"/>
  <c r="AH442" i="2" s="1"/>
  <c r="AL442" i="2"/>
  <c r="AA442" i="2"/>
  <c r="CJ452" i="2"/>
  <c r="AJ460" i="2"/>
  <c r="AI460" i="2"/>
  <c r="AH460" i="2" s="1"/>
  <c r="N460" i="10"/>
  <c r="AL456" i="2"/>
  <c r="AK456" i="2"/>
  <c r="AI456" i="2"/>
  <c r="AH456" i="2" s="1"/>
  <c r="AJ456" i="2"/>
  <c r="AA438" i="10"/>
  <c r="Z241" i="10"/>
  <c r="O6" i="10"/>
  <c r="V77" i="10"/>
  <c r="T107" i="10"/>
  <c r="T439" i="10"/>
  <c r="X28" i="10"/>
  <c r="X257" i="10"/>
  <c r="X310" i="10"/>
  <c r="X322" i="10"/>
  <c r="Y448" i="10"/>
  <c r="V446" i="10"/>
  <c r="V445" i="10"/>
  <c r="O217" i="10"/>
  <c r="O105" i="10"/>
  <c r="O93" i="10"/>
  <c r="X371" i="10"/>
  <c r="Q455" i="10"/>
  <c r="V461" i="10"/>
  <c r="W316" i="10"/>
  <c r="W435" i="10"/>
  <c r="H145" i="10"/>
  <c r="AA366" i="10"/>
  <c r="AA430" i="2"/>
  <c r="CP430" i="2" s="1"/>
  <c r="T430" i="2"/>
  <c r="AK392" i="2"/>
  <c r="M392" i="10"/>
  <c r="N392" i="10" s="1"/>
  <c r="AL433" i="2"/>
  <c r="AK433" i="2"/>
  <c r="AJ387" i="2"/>
  <c r="AJ432" i="2"/>
  <c r="CJ393" i="2"/>
  <c r="AL392" i="2"/>
  <c r="AJ392" i="2"/>
  <c r="N431" i="10"/>
  <c r="AA352" i="2"/>
  <c r="AK379" i="2"/>
  <c r="AI379" i="2"/>
  <c r="AI354" i="2"/>
  <c r="AL352" i="2"/>
  <c r="AK352" i="2"/>
  <c r="AK354" i="2"/>
  <c r="W429" i="2"/>
  <c r="M428" i="10" s="1"/>
  <c r="N428" i="10" s="1"/>
  <c r="AJ354" i="2"/>
  <c r="AL387" i="2"/>
  <c r="AJ393" i="2"/>
  <c r="CJ431" i="2"/>
  <c r="W431" i="2"/>
  <c r="M430" i="10" s="1"/>
  <c r="N430" i="10" s="1"/>
  <c r="W394" i="2"/>
  <c r="M393" i="10" s="1"/>
  <c r="N393" i="10" s="1"/>
  <c r="CJ394" i="2"/>
  <c r="AA387" i="2"/>
  <c r="AL379" i="2"/>
  <c r="AA379" i="2"/>
  <c r="AK387" i="2"/>
  <c r="AA392" i="2"/>
  <c r="CP392" i="2" s="1"/>
  <c r="T392" i="2" s="1"/>
  <c r="AI392" i="2"/>
  <c r="AH392" i="2" s="1"/>
  <c r="AA440" i="2"/>
  <c r="AJ440" i="2"/>
  <c r="CJ432" i="2"/>
  <c r="CJ430" i="2"/>
  <c r="W430" i="2"/>
  <c r="M429" i="10" s="1"/>
  <c r="N429" i="10" s="1"/>
  <c r="AJ394" i="2"/>
  <c r="AK394" i="2"/>
  <c r="AI394" i="2"/>
  <c r="AH394" i="2" s="1"/>
  <c r="AK388" i="2"/>
  <c r="AJ388" i="2"/>
  <c r="AH388" i="2" s="1"/>
  <c r="AJ430" i="2"/>
  <c r="AL430" i="2"/>
  <c r="AK430" i="2"/>
  <c r="AK393" i="2"/>
  <c r="AI393" i="2"/>
  <c r="AK428" i="2"/>
  <c r="AA428" i="2"/>
  <c r="AL428" i="2"/>
  <c r="AI428" i="2"/>
  <c r="AJ428" i="2"/>
  <c r="AL393" i="2"/>
  <c r="W428" i="2"/>
  <c r="M427" i="10" s="1"/>
  <c r="N427" i="10" s="1"/>
  <c r="CJ428" i="2"/>
  <c r="AI352" i="2"/>
  <c r="AH352" i="2" s="1"/>
  <c r="AK429" i="2"/>
  <c r="AH429" i="2" s="1"/>
  <c r="AA412" i="2"/>
  <c r="AI412" i="2"/>
  <c r="AK412" i="2"/>
  <c r="CP412" i="2" s="1"/>
  <c r="T412" i="2" s="1"/>
  <c r="AJ412" i="2"/>
  <c r="AL412" i="2"/>
  <c r="Q47" i="10"/>
  <c r="Q8" i="10"/>
  <c r="Q13" i="10"/>
  <c r="Q23" i="10"/>
  <c r="Q70" i="10"/>
  <c r="AI345" i="2"/>
  <c r="AH345" i="2" s="1"/>
  <c r="H207" i="10"/>
  <c r="H127" i="10"/>
  <c r="H380" i="10"/>
  <c r="H365" i="10"/>
  <c r="O247" i="10"/>
  <c r="O241" i="10"/>
  <c r="O171" i="10"/>
  <c r="O103" i="10"/>
  <c r="O102" i="10"/>
  <c r="O72" i="10"/>
  <c r="O40" i="10"/>
  <c r="V242" i="10"/>
  <c r="V190" i="10"/>
  <c r="V57" i="10"/>
  <c r="V51" i="10"/>
  <c r="T36" i="10"/>
  <c r="T55" i="10"/>
  <c r="T109" i="10"/>
  <c r="T115" i="10"/>
  <c r="T129" i="10"/>
  <c r="T131" i="10"/>
  <c r="T182" i="10"/>
  <c r="T212" i="10"/>
  <c r="T351" i="10"/>
  <c r="T367" i="10"/>
  <c r="T385" i="10"/>
  <c r="T465" i="10"/>
  <c r="X136" i="10"/>
  <c r="X140" i="10"/>
  <c r="X146" i="10"/>
  <c r="X154" i="10"/>
  <c r="X160" i="10"/>
  <c r="X191" i="10"/>
  <c r="X201" i="10"/>
  <c r="X215" i="10"/>
  <c r="X267" i="10"/>
  <c r="X271" i="10"/>
  <c r="X294" i="10"/>
  <c r="X304" i="10"/>
  <c r="X306" i="10"/>
  <c r="X308" i="10"/>
  <c r="X317" i="10"/>
  <c r="Q432" i="10"/>
  <c r="AB460" i="10"/>
  <c r="W31" i="10"/>
  <c r="W46" i="10"/>
  <c r="W58" i="10"/>
  <c r="W142" i="10"/>
  <c r="W366" i="10"/>
  <c r="Y16" i="10"/>
  <c r="FU435" i="2"/>
  <c r="FU170" i="2"/>
  <c r="Q32" i="2"/>
  <c r="H31" i="10" s="1"/>
  <c r="AB46" i="10"/>
  <c r="Q54" i="2"/>
  <c r="AB57" i="10"/>
  <c r="AB94" i="10"/>
  <c r="Q102" i="2"/>
  <c r="H101" i="10" s="1"/>
  <c r="AB108" i="10"/>
  <c r="Q112" i="2"/>
  <c r="H111" i="10" s="1"/>
  <c r="H113" i="10"/>
  <c r="Q123" i="2"/>
  <c r="H122" i="10" s="1"/>
  <c r="H123" i="10"/>
  <c r="W354" i="10"/>
  <c r="H70" i="10"/>
  <c r="H95" i="10"/>
  <c r="H105" i="10"/>
  <c r="H72" i="10"/>
  <c r="H5" i="10"/>
  <c r="W390" i="10"/>
  <c r="O243" i="10"/>
  <c r="O197" i="10"/>
  <c r="O120" i="10"/>
  <c r="O80" i="10"/>
  <c r="V63" i="10"/>
  <c r="T114" i="10"/>
  <c r="T130" i="10"/>
  <c r="T150" i="10"/>
  <c r="T352" i="10"/>
  <c r="T442" i="10"/>
  <c r="T447" i="10"/>
  <c r="X8" i="10"/>
  <c r="X78" i="10"/>
  <c r="X90" i="10"/>
  <c r="X125" i="10"/>
  <c r="X169" i="10"/>
  <c r="X279" i="10"/>
  <c r="X323" i="10"/>
  <c r="X336" i="10"/>
  <c r="X338" i="10"/>
  <c r="X359" i="10"/>
  <c r="FU467" i="2"/>
  <c r="Z458" i="10"/>
  <c r="AA460" i="10"/>
  <c r="W10" i="10"/>
  <c r="W49" i="10"/>
  <c r="W84" i="10"/>
  <c r="W86" i="10"/>
  <c r="W135" i="10"/>
  <c r="P439" i="10"/>
  <c r="V372" i="10"/>
  <c r="V386" i="10"/>
  <c r="V389" i="10"/>
  <c r="R347" i="10"/>
  <c r="Y8" i="10"/>
  <c r="Y123" i="10"/>
  <c r="Q8" i="2"/>
  <c r="H7" i="10" s="1"/>
  <c r="Q53" i="2"/>
  <c r="Q82" i="2"/>
  <c r="Q97" i="2"/>
  <c r="H96" i="10" s="1"/>
  <c r="Q99" i="2"/>
  <c r="H98" i="10" s="1"/>
  <c r="Q101" i="2"/>
  <c r="H100" i="10" s="1"/>
  <c r="H115" i="10"/>
  <c r="W378" i="10"/>
  <c r="FU375" i="2"/>
  <c r="AB16" i="10"/>
  <c r="AB20" i="10"/>
  <c r="AB22" i="10"/>
  <c r="Q29" i="2"/>
  <c r="Q31" i="2"/>
  <c r="H30" i="10" s="1"/>
  <c r="Q48" i="2"/>
  <c r="AB48" i="10"/>
  <c r="AB51" i="10"/>
  <c r="Q62" i="2"/>
  <c r="H61" i="10" s="1"/>
  <c r="Q80" i="2"/>
  <c r="H79" i="10" s="1"/>
  <c r="Q90" i="2"/>
  <c r="H89" i="10" s="1"/>
  <c r="Q104" i="2"/>
  <c r="H103" i="10" s="1"/>
  <c r="AB107" i="10"/>
  <c r="AB112" i="10"/>
  <c r="Q118" i="2"/>
  <c r="H117" i="10" s="1"/>
  <c r="Q119" i="2"/>
  <c r="H118" i="10" s="1"/>
  <c r="W369" i="10"/>
  <c r="W360" i="10"/>
  <c r="H68" i="10"/>
  <c r="H93" i="10"/>
  <c r="H90" i="10"/>
  <c r="Q11" i="10"/>
  <c r="Q19" i="10"/>
  <c r="Q31" i="10"/>
  <c r="Q35" i="10"/>
  <c r="Q42" i="10"/>
  <c r="Q49" i="10"/>
  <c r="Q53" i="10"/>
  <c r="AA165" i="10"/>
  <c r="AA168" i="10"/>
  <c r="AA413" i="10"/>
  <c r="Q7" i="10"/>
  <c r="Q16" i="10"/>
  <c r="Q20" i="10"/>
  <c r="Q26" i="10"/>
  <c r="Q28" i="10"/>
  <c r="Q34" i="10"/>
  <c r="Q36" i="10"/>
  <c r="Q43" i="10"/>
  <c r="Q159" i="2"/>
  <c r="H158" i="10" s="1"/>
  <c r="Q165" i="2"/>
  <c r="AB278" i="10"/>
  <c r="Q293" i="2"/>
  <c r="AB295" i="10"/>
  <c r="Q318" i="2"/>
  <c r="AB321" i="10"/>
  <c r="AA69" i="10"/>
  <c r="AA81" i="10"/>
  <c r="AA134" i="10"/>
  <c r="AA178" i="10"/>
  <c r="S58" i="10"/>
  <c r="S98" i="10"/>
  <c r="H467" i="10"/>
  <c r="AB191" i="10"/>
  <c r="AB203" i="10"/>
  <c r="AB226" i="10"/>
  <c r="AB267" i="10"/>
  <c r="AB273" i="10"/>
  <c r="AB316" i="10"/>
  <c r="AA162" i="10"/>
  <c r="AA218" i="10"/>
  <c r="Q52" i="10"/>
  <c r="Q79" i="10"/>
  <c r="AA275" i="10"/>
  <c r="Q64" i="10"/>
  <c r="Q182" i="10"/>
  <c r="FU320" i="2"/>
  <c r="FU33" i="2"/>
  <c r="U340" i="10"/>
  <c r="U337" i="10"/>
  <c r="U336" i="10"/>
  <c r="U330" i="10"/>
  <c r="U326" i="10"/>
  <c r="U322" i="10"/>
  <c r="U320" i="10"/>
  <c r="U317" i="10"/>
  <c r="U316" i="10"/>
  <c r="U314" i="10"/>
  <c r="U306" i="10"/>
  <c r="U303" i="10"/>
  <c r="U301" i="10"/>
  <c r="U299" i="10"/>
  <c r="U296" i="10"/>
  <c r="U291" i="10"/>
  <c r="U288" i="10"/>
  <c r="U286" i="10"/>
  <c r="U284" i="10"/>
  <c r="U282" i="10"/>
  <c r="U277" i="10"/>
  <c r="U275" i="10"/>
  <c r="U273" i="10"/>
  <c r="U124" i="10"/>
  <c r="U128" i="10"/>
  <c r="U135" i="10"/>
  <c r="U140" i="10"/>
  <c r="U146" i="10"/>
  <c r="U152" i="10"/>
  <c r="U155" i="10"/>
  <c r="U163" i="10"/>
  <c r="U168" i="10"/>
  <c r="U179" i="10"/>
  <c r="U195" i="10"/>
  <c r="U201" i="10"/>
  <c r="U206" i="10"/>
  <c r="U211" i="10"/>
  <c r="U233" i="10"/>
  <c r="O427" i="10"/>
  <c r="O418" i="10"/>
  <c r="O396" i="10"/>
  <c r="O395" i="10"/>
  <c r="O391" i="10"/>
  <c r="O376" i="10"/>
  <c r="O366" i="10"/>
  <c r="O353" i="10"/>
  <c r="O310" i="10"/>
  <c r="O189" i="10"/>
  <c r="O163" i="10"/>
  <c r="O44" i="10"/>
  <c r="O28" i="10"/>
  <c r="V293" i="10"/>
  <c r="V112" i="10"/>
  <c r="V69" i="10"/>
  <c r="V48" i="10"/>
  <c r="T49" i="10"/>
  <c r="T277" i="10"/>
  <c r="T321" i="10"/>
  <c r="T379" i="10"/>
  <c r="T381" i="10"/>
  <c r="T391" i="10"/>
  <c r="T408" i="10"/>
  <c r="X167" i="10"/>
  <c r="X204" i="10"/>
  <c r="X209" i="10"/>
  <c r="X211" i="10"/>
  <c r="X233" i="10"/>
  <c r="X247" i="10"/>
  <c r="Y452" i="10"/>
  <c r="V432" i="10"/>
  <c r="Q460" i="10"/>
  <c r="Q461" i="10"/>
  <c r="Q463" i="10"/>
  <c r="Q467" i="10"/>
  <c r="R457" i="10"/>
  <c r="W196" i="10"/>
  <c r="W236" i="10"/>
  <c r="W256" i="10"/>
  <c r="V439" i="10"/>
  <c r="V402" i="10"/>
  <c r="FU141" i="2"/>
  <c r="FU273" i="2"/>
  <c r="FU274" i="2"/>
  <c r="FU277" i="2"/>
  <c r="FU204" i="2"/>
  <c r="H383" i="10"/>
  <c r="H36" i="10"/>
  <c r="U339" i="10"/>
  <c r="U338" i="10"/>
  <c r="U334" i="10"/>
  <c r="U331" i="10"/>
  <c r="U327" i="10"/>
  <c r="U324" i="10"/>
  <c r="U321" i="10"/>
  <c r="U318" i="10"/>
  <c r="U315" i="10"/>
  <c r="U312" i="10"/>
  <c r="U305" i="10"/>
  <c r="U302" i="10"/>
  <c r="U300" i="10"/>
  <c r="U297" i="10"/>
  <c r="U295" i="10"/>
  <c r="U292" i="10"/>
  <c r="U290" i="10"/>
  <c r="U287" i="10"/>
  <c r="U285" i="10"/>
  <c r="U283" i="10"/>
  <c r="U281" i="10"/>
  <c r="U274" i="10"/>
  <c r="U271" i="10"/>
  <c r="U104" i="10"/>
  <c r="U123" i="10"/>
  <c r="U137" i="10"/>
  <c r="U151" i="10"/>
  <c r="U158" i="10"/>
  <c r="U164" i="10"/>
  <c r="U173" i="10"/>
  <c r="U196" i="10"/>
  <c r="U204" i="10"/>
  <c r="U209" i="10"/>
  <c r="U226" i="10"/>
  <c r="O440" i="10"/>
  <c r="O425" i="10"/>
  <c r="O414" i="10"/>
  <c r="O402" i="10"/>
  <c r="O394" i="10"/>
  <c r="O371" i="10"/>
  <c r="O359" i="10"/>
  <c r="O347" i="10"/>
  <c r="O327" i="10"/>
  <c r="O286" i="10"/>
  <c r="O211" i="10"/>
  <c r="O131" i="10"/>
  <c r="O124" i="10"/>
  <c r="O118" i="10"/>
  <c r="O116" i="10"/>
  <c r="O114" i="10"/>
  <c r="O38" i="10"/>
  <c r="V338" i="10"/>
  <c r="V325" i="10"/>
  <c r="V235" i="10"/>
  <c r="V180" i="10"/>
  <c r="V165" i="10"/>
  <c r="V138" i="10"/>
  <c r="V98" i="10"/>
  <c r="V14" i="10"/>
  <c r="T6" i="10"/>
  <c r="T17" i="10"/>
  <c r="T64" i="10"/>
  <c r="T260" i="10"/>
  <c r="X148" i="10"/>
  <c r="X165" i="10"/>
  <c r="X255" i="10"/>
  <c r="X455" i="10"/>
  <c r="P451" i="10"/>
  <c r="Y451" i="10"/>
  <c r="Q433" i="10"/>
  <c r="P466" i="10"/>
  <c r="S466" i="10"/>
  <c r="Q466" i="10"/>
  <c r="R458" i="10"/>
  <c r="W92" i="10"/>
  <c r="W96" i="10"/>
  <c r="W151" i="10"/>
  <c r="W259" i="10"/>
  <c r="W264" i="10"/>
  <c r="W332" i="10"/>
  <c r="W336" i="10"/>
  <c r="W347" i="10"/>
  <c r="W430" i="10"/>
  <c r="V411" i="10"/>
  <c r="Z284" i="10"/>
  <c r="Z310" i="10"/>
  <c r="Y345" i="10"/>
  <c r="H12" i="10"/>
  <c r="Y314" i="10"/>
  <c r="R54" i="10"/>
  <c r="FU140" i="2"/>
  <c r="FU276" i="2"/>
  <c r="FU203" i="2"/>
  <c r="H348" i="10"/>
  <c r="H449" i="10"/>
  <c r="H11" i="3"/>
  <c r="F11" i="3" s="1"/>
  <c r="K11" i="3"/>
  <c r="J11" i="3"/>
  <c r="K8" i="3"/>
  <c r="K12" i="3" s="1"/>
  <c r="O341" i="10"/>
  <c r="H8" i="3"/>
  <c r="F8" i="3" s="1"/>
  <c r="K21" i="3"/>
  <c r="I21" i="3" s="1"/>
  <c r="G21" i="3"/>
  <c r="F21" i="3" s="1"/>
  <c r="AA140" i="10"/>
  <c r="AA166" i="10"/>
  <c r="AA175" i="10"/>
  <c r="AA215" i="10"/>
  <c r="AA222" i="10"/>
  <c r="AA226" i="10"/>
  <c r="AA227" i="10"/>
  <c r="AA328" i="10"/>
  <c r="AA332" i="10"/>
  <c r="AA359" i="10"/>
  <c r="AA381" i="10"/>
  <c r="AA397" i="10"/>
  <c r="Z265" i="10"/>
  <c r="S53" i="10"/>
  <c r="AA174" i="10"/>
  <c r="AA221" i="10"/>
  <c r="AA225" i="10"/>
  <c r="AA246" i="10"/>
  <c r="AA263" i="10"/>
  <c r="Z335" i="10"/>
  <c r="Y363" i="10"/>
  <c r="P58" i="10"/>
  <c r="AA191" i="10"/>
  <c r="AA211" i="10"/>
  <c r="AA240" i="10"/>
  <c r="AA313" i="10"/>
  <c r="AA318" i="10"/>
  <c r="AA345" i="10"/>
  <c r="Y365" i="10"/>
  <c r="R353" i="10"/>
  <c r="P124" i="10"/>
  <c r="K193" i="10"/>
  <c r="D24" i="3"/>
  <c r="U169" i="2"/>
  <c r="K168" i="10" s="1"/>
  <c r="J168" i="10"/>
  <c r="U173" i="2"/>
  <c r="K172" i="10" s="1"/>
  <c r="J172" i="10"/>
  <c r="J166" i="10"/>
  <c r="U167" i="2"/>
  <c r="K166" i="10" s="1"/>
  <c r="J187" i="10"/>
  <c r="U188" i="2"/>
  <c r="K187" i="10" s="1"/>
  <c r="J209" i="10"/>
  <c r="U209" i="2"/>
  <c r="K208" i="10" s="1"/>
  <c r="J208" i="10"/>
  <c r="U151" i="2"/>
  <c r="K150" i="10" s="1"/>
  <c r="D12" i="3"/>
  <c r="Q400" i="10"/>
  <c r="AB381" i="10"/>
  <c r="AB382" i="10"/>
  <c r="AB391" i="10"/>
  <c r="AA43" i="10"/>
  <c r="AA52" i="10"/>
  <c r="AA56" i="10"/>
  <c r="AA67" i="10"/>
  <c r="AA82" i="10"/>
  <c r="AA94" i="10"/>
  <c r="AA123" i="10"/>
  <c r="AA126" i="10"/>
  <c r="AA128" i="10"/>
  <c r="AA130" i="10"/>
  <c r="AA133" i="10"/>
  <c r="AA138" i="10"/>
  <c r="AA141" i="10"/>
  <c r="AA177" i="10"/>
  <c r="AA204" i="10"/>
  <c r="AA208" i="10"/>
  <c r="AA236" i="10"/>
  <c r="AA243" i="10"/>
  <c r="AA311" i="10"/>
  <c r="AA314" i="10"/>
  <c r="AA320" i="10"/>
  <c r="AA356" i="10"/>
  <c r="AA372" i="10"/>
  <c r="AA385" i="10"/>
  <c r="AA405" i="10"/>
  <c r="Z26" i="10"/>
  <c r="Z79" i="10"/>
  <c r="Y33" i="10"/>
  <c r="Y364" i="10"/>
  <c r="S228" i="10"/>
  <c r="AB370" i="10"/>
  <c r="AB371" i="10"/>
  <c r="AB377" i="10"/>
  <c r="AB429" i="10"/>
  <c r="AB436" i="10"/>
  <c r="AA46" i="10"/>
  <c r="AA119" i="10"/>
  <c r="AA122" i="10"/>
  <c r="AA127" i="10"/>
  <c r="AA129" i="10"/>
  <c r="AA131" i="10"/>
  <c r="AA135" i="10"/>
  <c r="AA137" i="10"/>
  <c r="AA185" i="10"/>
  <c r="AA196" i="10"/>
  <c r="AA203" i="10"/>
  <c r="AA272" i="10"/>
  <c r="AA276" i="10"/>
  <c r="AA333" i="10"/>
  <c r="AA340" i="10"/>
  <c r="AA357" i="10"/>
  <c r="AA373" i="10"/>
  <c r="AA384" i="10"/>
  <c r="Z44" i="10"/>
  <c r="Z69" i="10"/>
  <c r="R91" i="10"/>
  <c r="R339" i="10"/>
  <c r="H385" i="10"/>
  <c r="O325" i="10"/>
  <c r="O321" i="10"/>
  <c r="O317" i="10"/>
  <c r="O300" i="10"/>
  <c r="O291" i="10"/>
  <c r="O284" i="10"/>
  <c r="O255" i="10"/>
  <c r="O233" i="10"/>
  <c r="O229" i="10"/>
  <c r="O221" i="10"/>
  <c r="O216" i="10"/>
  <c r="O213" i="10"/>
  <c r="O210" i="10"/>
  <c r="O208" i="10"/>
  <c r="O206" i="10"/>
  <c r="O204" i="10"/>
  <c r="O191" i="10"/>
  <c r="O188" i="10"/>
  <c r="O149" i="10"/>
  <c r="O143" i="10"/>
  <c r="O137" i="10"/>
  <c r="O133" i="10"/>
  <c r="O128" i="10"/>
  <c r="O66" i="10"/>
  <c r="O63" i="10"/>
  <c r="O55" i="10"/>
  <c r="O53" i="10"/>
  <c r="O51" i="10"/>
  <c r="O42" i="10"/>
  <c r="O29" i="10"/>
  <c r="O12" i="10"/>
  <c r="O9" i="10"/>
  <c r="V340" i="10"/>
  <c r="V330" i="10"/>
  <c r="V328" i="10"/>
  <c r="V323" i="10"/>
  <c r="V311" i="10"/>
  <c r="V309" i="10"/>
  <c r="V288" i="10"/>
  <c r="V283" i="10"/>
  <c r="V270" i="10"/>
  <c r="V259" i="10"/>
  <c r="V257" i="10"/>
  <c r="V253" i="10"/>
  <c r="V240" i="10"/>
  <c r="V228" i="10"/>
  <c r="V226" i="10"/>
  <c r="V224" i="10"/>
  <c r="V222" i="10"/>
  <c r="V220" i="10"/>
  <c r="V216" i="10"/>
  <c r="V200" i="10"/>
  <c r="V194" i="10"/>
  <c r="V167" i="10"/>
  <c r="V160" i="10"/>
  <c r="V153" i="10"/>
  <c r="V142" i="10"/>
  <c r="V136" i="10"/>
  <c r="V128" i="10"/>
  <c r="V124" i="10"/>
  <c r="V117" i="10"/>
  <c r="V115" i="10"/>
  <c r="V113" i="10"/>
  <c r="V104" i="10"/>
  <c r="V103" i="10"/>
  <c r="V100" i="10"/>
  <c r="V91" i="10"/>
  <c r="V89" i="10"/>
  <c r="V85" i="10"/>
  <c r="V79" i="10"/>
  <c r="V71" i="10"/>
  <c r="V24" i="10"/>
  <c r="V16" i="10"/>
  <c r="U4" i="10"/>
  <c r="T5" i="10"/>
  <c r="T8" i="10"/>
  <c r="T18" i="10"/>
  <c r="T23" i="10"/>
  <c r="T39" i="10"/>
  <c r="T45" i="10"/>
  <c r="T66" i="10"/>
  <c r="T77" i="10"/>
  <c r="T87" i="10"/>
  <c r="T110" i="10"/>
  <c r="T112" i="10"/>
  <c r="T120" i="10"/>
  <c r="T124" i="10"/>
  <c r="T126" i="10"/>
  <c r="T128" i="10"/>
  <c r="T133" i="10"/>
  <c r="T141" i="10"/>
  <c r="T147" i="10"/>
  <c r="T149" i="10"/>
  <c r="T155" i="10"/>
  <c r="T157" i="10"/>
  <c r="T159" i="10"/>
  <c r="T169" i="10"/>
  <c r="T183" i="10"/>
  <c r="T187" i="10"/>
  <c r="T218" i="10"/>
  <c r="T226" i="10"/>
  <c r="T227" i="10"/>
  <c r="T229" i="10"/>
  <c r="T231" i="10"/>
  <c r="T241" i="10"/>
  <c r="T262" i="10"/>
  <c r="T275" i="10"/>
  <c r="T285" i="10"/>
  <c r="T303" i="10"/>
  <c r="T308" i="10"/>
  <c r="T335" i="10"/>
  <c r="T347" i="10"/>
  <c r="T354" i="10"/>
  <c r="T356" i="10"/>
  <c r="T370" i="10"/>
  <c r="T372" i="10"/>
  <c r="T374" i="10"/>
  <c r="T376" i="10"/>
  <c r="T387" i="10"/>
  <c r="T390" i="10"/>
  <c r="T401" i="10"/>
  <c r="T406" i="10"/>
  <c r="T412" i="10"/>
  <c r="T414" i="10"/>
  <c r="T420" i="10"/>
  <c r="T428" i="10"/>
  <c r="T431" i="10"/>
  <c r="T437" i="10"/>
  <c r="T450" i="10"/>
  <c r="T454" i="10"/>
  <c r="T456" i="10"/>
  <c r="T463" i="10"/>
  <c r="T464" i="10"/>
  <c r="X5" i="10"/>
  <c r="X61" i="10"/>
  <c r="X63" i="10"/>
  <c r="X82" i="10"/>
  <c r="X84" i="10"/>
  <c r="X91" i="10"/>
  <c r="X93" i="10"/>
  <c r="X99" i="10"/>
  <c r="X101" i="10"/>
  <c r="X103" i="10"/>
  <c r="X106" i="10"/>
  <c r="X118" i="10"/>
  <c r="X131" i="10"/>
  <c r="X139" i="10"/>
  <c r="X141" i="10"/>
  <c r="X162" i="10"/>
  <c r="X173" i="10"/>
  <c r="X175" i="10"/>
  <c r="X177" i="10"/>
  <c r="X180" i="10"/>
  <c r="X182" i="10"/>
  <c r="X186" i="10"/>
  <c r="X194" i="10"/>
  <c r="X196" i="10"/>
  <c r="X218" i="10"/>
  <c r="X224" i="10"/>
  <c r="X226" i="10"/>
  <c r="X228" i="10"/>
  <c r="X230" i="10"/>
  <c r="X234" i="10"/>
  <c r="X242" i="10"/>
  <c r="X244" i="10"/>
  <c r="X249" i="10"/>
  <c r="X258" i="10"/>
  <c r="X265" i="10"/>
  <c r="X273" i="10"/>
  <c r="X275" i="10"/>
  <c r="X287" i="10"/>
  <c r="X292" i="10"/>
  <c r="X312" i="10"/>
  <c r="X319" i="10"/>
  <c r="X321" i="10"/>
  <c r="X324" i="10"/>
  <c r="X328" i="10"/>
  <c r="X333" i="10"/>
  <c r="X339" i="10"/>
  <c r="X341" i="10"/>
  <c r="X344" i="10"/>
  <c r="X346" i="10"/>
  <c r="X348" i="10"/>
  <c r="X369" i="10"/>
  <c r="X370" i="10"/>
  <c r="X373" i="10"/>
  <c r="X389" i="10"/>
  <c r="X458" i="10"/>
  <c r="X460" i="10"/>
  <c r="X462" i="10"/>
  <c r="X464" i="10"/>
  <c r="X466" i="10"/>
  <c r="Q451" i="10"/>
  <c r="Q452" i="10"/>
  <c r="R452" i="10"/>
  <c r="V452" i="10"/>
  <c r="V431" i="10"/>
  <c r="P432" i="10"/>
  <c r="R432" i="10"/>
  <c r="R433" i="10"/>
  <c r="FU434" i="2"/>
  <c r="Y433" i="10"/>
  <c r="P456" i="10"/>
  <c r="V460" i="10"/>
  <c r="V464" i="10"/>
  <c r="W457" i="10"/>
  <c r="W461" i="10"/>
  <c r="Y466" i="10"/>
  <c r="Z456" i="10"/>
  <c r="AA461" i="10"/>
  <c r="AA462" i="10"/>
  <c r="AA467" i="10"/>
  <c r="AB456" i="10"/>
  <c r="AB458" i="10"/>
  <c r="AB461" i="10"/>
  <c r="V454" i="10"/>
  <c r="AB454" i="10"/>
  <c r="FU447" i="2"/>
  <c r="W446" i="10"/>
  <c r="Z446" i="10"/>
  <c r="AB446" i="10"/>
  <c r="P445" i="10"/>
  <c r="Z444" i="10"/>
  <c r="S442" i="10"/>
  <c r="AA440" i="10"/>
  <c r="W4" i="10"/>
  <c r="W59" i="10"/>
  <c r="W82" i="10"/>
  <c r="W85" i="10"/>
  <c r="W90" i="10"/>
  <c r="W111" i="10"/>
  <c r="W119" i="10"/>
  <c r="W121" i="10"/>
  <c r="W134" i="10"/>
  <c r="W137" i="10"/>
  <c r="W139" i="10"/>
  <c r="W146" i="10"/>
  <c r="W183" i="10"/>
  <c r="W242" i="10"/>
  <c r="W255" i="10"/>
  <c r="W258" i="10"/>
  <c r="W275" i="10"/>
  <c r="W278" i="10"/>
  <c r="W301" i="10"/>
  <c r="W303" i="10"/>
  <c r="W305" i="10"/>
  <c r="W307" i="10"/>
  <c r="W324" i="10"/>
  <c r="W326" i="10"/>
  <c r="W328" i="10"/>
  <c r="W338" i="10"/>
  <c r="W342" i="10"/>
  <c r="W370" i="10"/>
  <c r="W383" i="10"/>
  <c r="W400" i="10"/>
  <c r="W402" i="10"/>
  <c r="W410" i="10"/>
  <c r="FU440" i="2"/>
  <c r="Y439" i="10"/>
  <c r="Z439" i="10"/>
  <c r="V348" i="10"/>
  <c r="V352" i="10"/>
  <c r="V354" i="10"/>
  <c r="V367" i="10"/>
  <c r="V369" i="10"/>
  <c r="V379" i="10"/>
  <c r="V383" i="10"/>
  <c r="V395" i="10"/>
  <c r="V399" i="10"/>
  <c r="V405" i="10"/>
  <c r="V414" i="10"/>
  <c r="V416" i="10"/>
  <c r="V422" i="10"/>
  <c r="V426" i="10"/>
  <c r="V434" i="10"/>
  <c r="V437" i="10"/>
  <c r="Q348" i="10"/>
  <c r="AB400" i="10"/>
  <c r="AB401" i="10"/>
  <c r="AB422" i="10"/>
  <c r="AB430" i="10"/>
  <c r="AA5" i="10"/>
  <c r="AA21" i="10"/>
  <c r="AA27" i="10"/>
  <c r="AA77" i="10"/>
  <c r="AA80" i="10"/>
  <c r="AA107" i="10"/>
  <c r="AA109" i="10"/>
  <c r="AA125" i="10"/>
  <c r="AA136" i="10"/>
  <c r="AA139" i="10"/>
  <c r="AA145" i="10"/>
  <c r="AA154" i="10"/>
  <c r="AA167" i="10"/>
  <c r="AA176" i="10"/>
  <c r="AA199" i="10"/>
  <c r="AA224" i="10"/>
  <c r="AA229" i="10"/>
  <c r="AA251" i="10"/>
  <c r="AA286" i="10"/>
  <c r="AA288" i="10"/>
  <c r="AA295" i="10"/>
  <c r="AA316" i="10"/>
  <c r="AA321" i="10"/>
  <c r="AA327" i="10"/>
  <c r="AA335" i="10"/>
  <c r="AA361" i="10"/>
  <c r="AA368" i="10"/>
  <c r="AA378" i="10"/>
  <c r="AA410" i="10"/>
  <c r="AA414" i="10"/>
  <c r="AA417" i="10"/>
  <c r="AA420" i="10"/>
  <c r="Z61" i="10"/>
  <c r="Z81" i="10"/>
  <c r="Z179" i="10"/>
  <c r="Z326" i="10"/>
  <c r="Z356" i="10"/>
  <c r="Z402" i="10"/>
  <c r="Z405" i="10"/>
  <c r="Y29" i="10"/>
  <c r="Y47" i="10"/>
  <c r="Y51" i="10"/>
  <c r="Y378" i="10"/>
  <c r="S25" i="10"/>
  <c r="P74" i="10"/>
  <c r="FU379" i="2"/>
  <c r="FU372" i="2"/>
  <c r="FU10" i="2"/>
  <c r="FU65" i="2"/>
  <c r="FU271" i="2"/>
  <c r="O322" i="10"/>
  <c r="O318" i="10"/>
  <c r="O314" i="10"/>
  <c r="O307" i="10"/>
  <c r="O303" i="10"/>
  <c r="O297" i="10"/>
  <c r="O292" i="10"/>
  <c r="O290" i="10"/>
  <c r="O285" i="10"/>
  <c r="O251" i="10"/>
  <c r="O238" i="10"/>
  <c r="O234" i="10"/>
  <c r="O220" i="10"/>
  <c r="O207" i="10"/>
  <c r="O203" i="10"/>
  <c r="O185" i="10"/>
  <c r="O176" i="10"/>
  <c r="O168" i="10"/>
  <c r="O166" i="10"/>
  <c r="O161" i="10"/>
  <c r="O156" i="10"/>
  <c r="O152" i="10"/>
  <c r="O138" i="10"/>
  <c r="O129" i="10"/>
  <c r="O127" i="10"/>
  <c r="O76" i="10"/>
  <c r="O56" i="10"/>
  <c r="O54" i="10"/>
  <c r="O52" i="10"/>
  <c r="O50" i="10"/>
  <c r="O48" i="10"/>
  <c r="O43" i="10"/>
  <c r="O30" i="10"/>
  <c r="O27" i="10"/>
  <c r="O23" i="10"/>
  <c r="O11" i="10"/>
  <c r="O8" i="10"/>
  <c r="V337" i="10"/>
  <c r="V324" i="10"/>
  <c r="V314" i="10"/>
  <c r="V310" i="10"/>
  <c r="V308" i="10"/>
  <c r="V306" i="10"/>
  <c r="V300" i="10"/>
  <c r="V280" i="10"/>
  <c r="V265" i="10"/>
  <c r="V254" i="10"/>
  <c r="V252" i="10"/>
  <c r="V250" i="10"/>
  <c r="V239" i="10"/>
  <c r="V233" i="10"/>
  <c r="V229" i="10"/>
  <c r="V227" i="10"/>
  <c r="V223" i="10"/>
  <c r="V221" i="10"/>
  <c r="V219" i="10"/>
  <c r="V215" i="10"/>
  <c r="V148" i="10"/>
  <c r="V121" i="10"/>
  <c r="V118" i="10"/>
  <c r="V116" i="10"/>
  <c r="V114" i="10"/>
  <c r="V108" i="10"/>
  <c r="V107" i="10"/>
  <c r="V102" i="10"/>
  <c r="V101" i="10"/>
  <c r="V99" i="10"/>
  <c r="V96" i="10"/>
  <c r="V84" i="10"/>
  <c r="V74" i="10"/>
  <c r="V38" i="10"/>
  <c r="V21" i="10"/>
  <c r="T4" i="10"/>
  <c r="T14" i="10"/>
  <c r="T15" i="10"/>
  <c r="T20" i="10"/>
  <c r="T38" i="10"/>
  <c r="T53" i="10"/>
  <c r="T76" i="10"/>
  <c r="T111" i="10"/>
  <c r="T113" i="10"/>
  <c r="T121" i="10"/>
  <c r="T122" i="10"/>
  <c r="T125" i="10"/>
  <c r="T127" i="10"/>
  <c r="T142" i="10"/>
  <c r="T143" i="10"/>
  <c r="T148" i="10"/>
  <c r="T154" i="10"/>
  <c r="T156" i="10"/>
  <c r="T180" i="10"/>
  <c r="T222" i="10"/>
  <c r="T225" i="10"/>
  <c r="T228" i="10"/>
  <c r="T230" i="10"/>
  <c r="T240" i="10"/>
  <c r="T265" i="10"/>
  <c r="T282" i="10"/>
  <c r="T319" i="10"/>
  <c r="T353" i="10"/>
  <c r="T355" i="10"/>
  <c r="T357" i="10"/>
  <c r="T361" i="10"/>
  <c r="T365" i="10"/>
  <c r="T371" i="10"/>
  <c r="T375" i="10"/>
  <c r="T386" i="10"/>
  <c r="T388" i="10"/>
  <c r="T395" i="10"/>
  <c r="T402" i="10"/>
  <c r="T415" i="10"/>
  <c r="T417" i="10"/>
  <c r="T421" i="10"/>
  <c r="T434" i="10"/>
  <c r="T453" i="10"/>
  <c r="T459" i="10"/>
  <c r="T466" i="10"/>
  <c r="X6" i="10"/>
  <c r="X7" i="10"/>
  <c r="X10" i="10"/>
  <c r="X79" i="10"/>
  <c r="X80" i="10"/>
  <c r="X83" i="10"/>
  <c r="X85" i="10"/>
  <c r="X86" i="10"/>
  <c r="X96" i="10"/>
  <c r="X102" i="10"/>
  <c r="X138" i="10"/>
  <c r="X142" i="10"/>
  <c r="X151" i="10"/>
  <c r="X170" i="10"/>
  <c r="X187" i="10"/>
  <c r="X199" i="10"/>
  <c r="X221" i="10"/>
  <c r="X229" i="10"/>
  <c r="X231" i="10"/>
  <c r="X235" i="10"/>
  <c r="X239" i="10"/>
  <c r="X245" i="10"/>
  <c r="X253" i="10"/>
  <c r="X263" i="10"/>
  <c r="X269" i="10"/>
  <c r="X283" i="10"/>
  <c r="X286" i="10"/>
  <c r="X299" i="10"/>
  <c r="X302" i="10"/>
  <c r="X315" i="10"/>
  <c r="X330" i="10"/>
  <c r="X332" i="10"/>
  <c r="X340" i="10"/>
  <c r="X343" i="10"/>
  <c r="X345" i="10"/>
  <c r="X349" i="10"/>
  <c r="X357" i="10"/>
  <c r="X387" i="10"/>
  <c r="X405" i="10"/>
  <c r="X432" i="10"/>
  <c r="X439" i="10"/>
  <c r="X449" i="10"/>
  <c r="X457" i="10"/>
  <c r="X459" i="10"/>
  <c r="X461" i="10"/>
  <c r="X463" i="10"/>
  <c r="X465" i="10"/>
  <c r="X467" i="10"/>
  <c r="S451" i="10"/>
  <c r="R451" i="10"/>
  <c r="P452" i="10"/>
  <c r="S452" i="10"/>
  <c r="FU453" i="2"/>
  <c r="W431" i="10"/>
  <c r="P433" i="10"/>
  <c r="S433" i="10"/>
  <c r="P461" i="10"/>
  <c r="FU460" i="2"/>
  <c r="V456" i="10"/>
  <c r="V459" i="10"/>
  <c r="V463" i="10"/>
  <c r="V465" i="10"/>
  <c r="W456" i="10"/>
  <c r="W466" i="10"/>
  <c r="W467" i="10"/>
  <c r="Y459" i="10"/>
  <c r="Y467" i="10"/>
  <c r="Z455" i="10"/>
  <c r="AA463" i="10"/>
  <c r="AA464" i="10"/>
  <c r="AB455" i="10"/>
  <c r="AB462" i="10"/>
  <c r="P454" i="10"/>
  <c r="Y446" i="10"/>
  <c r="S445" i="10"/>
  <c r="Z443" i="10"/>
  <c r="R441" i="10"/>
  <c r="Y440" i="10"/>
  <c r="W29" i="10"/>
  <c r="W66" i="10"/>
  <c r="W70" i="10"/>
  <c r="W83" i="10"/>
  <c r="W101" i="10"/>
  <c r="W102" i="10"/>
  <c r="W108" i="10"/>
  <c r="W118" i="10"/>
  <c r="W120" i="10"/>
  <c r="W133" i="10"/>
  <c r="W136" i="10"/>
  <c r="W138" i="10"/>
  <c r="W140" i="10"/>
  <c r="W154" i="10"/>
  <c r="W155" i="10"/>
  <c r="W179" i="10"/>
  <c r="W182" i="10"/>
  <c r="W206" i="10"/>
  <c r="W254" i="10"/>
  <c r="W257" i="10"/>
  <c r="W279" i="10"/>
  <c r="W302" i="10"/>
  <c r="W304" i="10"/>
  <c r="W314" i="10"/>
  <c r="W334" i="10"/>
  <c r="W358" i="10"/>
  <c r="R439" i="10"/>
  <c r="AA439" i="10"/>
  <c r="V347" i="10"/>
  <c r="V349" i="10"/>
  <c r="V355" i="10"/>
  <c r="V357" i="10"/>
  <c r="V359" i="10"/>
  <c r="V362" i="10"/>
  <c r="V364" i="10"/>
  <c r="V375" i="10"/>
  <c r="V376" i="10"/>
  <c r="V382" i="10"/>
  <c r="V392" i="10"/>
  <c r="V398" i="10"/>
  <c r="V406" i="10"/>
  <c r="V410" i="10"/>
  <c r="V415" i="10"/>
  <c r="V425" i="10"/>
  <c r="V435" i="10"/>
  <c r="V436" i="10"/>
  <c r="AB399" i="10"/>
  <c r="AB406" i="10"/>
  <c r="AB425" i="10"/>
  <c r="AA7" i="10"/>
  <c r="AA120" i="10"/>
  <c r="AA124" i="10"/>
  <c r="AA152" i="10"/>
  <c r="AA179" i="10"/>
  <c r="AA223" i="10"/>
  <c r="AA264" i="10"/>
  <c r="AA308" i="10"/>
  <c r="AA341" i="10"/>
  <c r="Z387" i="10"/>
  <c r="S188" i="10"/>
  <c r="P408" i="10"/>
  <c r="FU279" i="2"/>
  <c r="FU208" i="2"/>
  <c r="FU268" i="2"/>
  <c r="AB424" i="10"/>
  <c r="AB426" i="10"/>
  <c r="AB427" i="10"/>
  <c r="AA9" i="10"/>
  <c r="AA24" i="10"/>
  <c r="S168" i="10"/>
  <c r="S210" i="10"/>
  <c r="S267" i="10"/>
  <c r="S302" i="10"/>
  <c r="FU349" i="2"/>
  <c r="FU9" i="2"/>
  <c r="H67" i="10"/>
  <c r="Q346" i="10"/>
  <c r="R346" i="10"/>
  <c r="Z275" i="10"/>
  <c r="Z285" i="10"/>
  <c r="Y23" i="10"/>
  <c r="Y35" i="10"/>
  <c r="Y37" i="10"/>
  <c r="Y82" i="10"/>
  <c r="Y84" i="10"/>
  <c r="R230" i="10"/>
  <c r="S170" i="10"/>
  <c r="S224" i="10"/>
  <c r="S225" i="10"/>
  <c r="S230" i="10"/>
  <c r="P126" i="10"/>
  <c r="P142" i="10"/>
  <c r="P201" i="10"/>
  <c r="P217" i="10"/>
  <c r="Z189" i="10"/>
  <c r="Z272" i="10"/>
  <c r="Z277" i="10"/>
  <c r="Z279" i="10"/>
  <c r="Z299" i="10"/>
  <c r="Z346" i="10"/>
  <c r="Z391" i="10"/>
  <c r="R87" i="10"/>
  <c r="R126" i="10"/>
  <c r="R220" i="10"/>
  <c r="S69" i="10"/>
  <c r="S79" i="10"/>
  <c r="S221" i="10"/>
  <c r="S235" i="10"/>
  <c r="S328" i="10"/>
  <c r="P351" i="10"/>
  <c r="R210" i="10"/>
  <c r="R212" i="10"/>
  <c r="R222" i="10"/>
  <c r="R286" i="10"/>
  <c r="R297" i="10"/>
  <c r="S212" i="10"/>
  <c r="S223" i="10"/>
  <c r="S229" i="10"/>
  <c r="S242" i="10"/>
  <c r="S282" i="10"/>
  <c r="S339" i="10"/>
  <c r="P76" i="10"/>
  <c r="P82" i="10"/>
  <c r="P382" i="10"/>
  <c r="B17" i="9"/>
  <c r="U116" i="10"/>
  <c r="U118" i="10"/>
  <c r="U121" i="10"/>
  <c r="U133" i="10"/>
  <c r="U138" i="10"/>
  <c r="U142" i="10"/>
  <c r="U144" i="10"/>
  <c r="U147" i="10"/>
  <c r="U154" i="10"/>
  <c r="U174" i="10"/>
  <c r="U181" i="10"/>
  <c r="U183" i="10"/>
  <c r="U191" i="10"/>
  <c r="U193" i="10"/>
  <c r="U200" i="10"/>
  <c r="U203" i="10"/>
  <c r="U213" i="10"/>
  <c r="U215" i="10"/>
  <c r="U217" i="10"/>
  <c r="U221" i="10"/>
  <c r="U223" i="10"/>
  <c r="U228" i="10"/>
  <c r="U231" i="10"/>
  <c r="U236" i="10"/>
  <c r="U239" i="10"/>
  <c r="U242" i="10"/>
  <c r="U245" i="10"/>
  <c r="U254" i="10"/>
  <c r="U258" i="10"/>
  <c r="U261" i="10"/>
  <c r="U267" i="10"/>
  <c r="O464" i="10"/>
  <c r="O461" i="10"/>
  <c r="O453" i="10"/>
  <c r="O451" i="10"/>
  <c r="O449" i="10"/>
  <c r="O445" i="10"/>
  <c r="O439" i="10"/>
  <c r="O436" i="10"/>
  <c r="O433" i="10"/>
  <c r="O430" i="10"/>
  <c r="O428" i="10"/>
  <c r="O424" i="10"/>
  <c r="O423" i="10"/>
  <c r="O417" i="10"/>
  <c r="O413" i="10"/>
  <c r="O410" i="10"/>
  <c r="O408" i="10"/>
  <c r="O405" i="10"/>
  <c r="O403" i="10"/>
  <c r="O401" i="10"/>
  <c r="O399" i="10"/>
  <c r="O392" i="10"/>
  <c r="O388" i="10"/>
  <c r="O385" i="10"/>
  <c r="O383" i="10"/>
  <c r="O381" i="10"/>
  <c r="O379" i="10"/>
  <c r="O373" i="10"/>
  <c r="O369" i="10"/>
  <c r="O367" i="10"/>
  <c r="O364" i="10"/>
  <c r="O362" i="10"/>
  <c r="O360" i="10"/>
  <c r="O358" i="10"/>
  <c r="O356" i="10"/>
  <c r="O354" i="10"/>
  <c r="O352" i="10"/>
  <c r="O350" i="10"/>
  <c r="O345" i="10"/>
  <c r="O344" i="10"/>
  <c r="O338" i="10"/>
  <c r="O336" i="10"/>
  <c r="O334" i="10"/>
  <c r="O332" i="10"/>
  <c r="O330" i="10"/>
  <c r="O324" i="10"/>
  <c r="O319" i="10"/>
  <c r="O316" i="10"/>
  <c r="O312" i="10"/>
  <c r="O308" i="10"/>
  <c r="O304" i="10"/>
  <c r="O301" i="10"/>
  <c r="O298" i="10"/>
  <c r="O295" i="10"/>
  <c r="O289" i="10"/>
  <c r="O283" i="10"/>
  <c r="O281" i="10"/>
  <c r="O279" i="10"/>
  <c r="O277" i="10"/>
  <c r="O275" i="10"/>
  <c r="O273" i="10"/>
  <c r="O271" i="10"/>
  <c r="O269" i="10"/>
  <c r="O266" i="10"/>
  <c r="O264" i="10"/>
  <c r="O262" i="10"/>
  <c r="O260" i="10"/>
  <c r="O258" i="10"/>
  <c r="O254" i="10"/>
  <c r="O252" i="10"/>
  <c r="O249" i="10"/>
  <c r="O245" i="10"/>
  <c r="O240" i="10"/>
  <c r="O236" i="10"/>
  <c r="O232" i="10"/>
  <c r="O230" i="10"/>
  <c r="O227" i="10"/>
  <c r="O225" i="10"/>
  <c r="O223" i="10"/>
  <c r="O218" i="10"/>
  <c r="O212" i="10"/>
  <c r="O205" i="10"/>
  <c r="O202" i="10"/>
  <c r="O200" i="10"/>
  <c r="O198" i="10"/>
  <c r="O195" i="10"/>
  <c r="O193" i="10"/>
  <c r="O190" i="10"/>
  <c r="O187" i="10"/>
  <c r="O183" i="10"/>
  <c r="O181" i="10"/>
  <c r="O179" i="10"/>
  <c r="O177" i="10"/>
  <c r="O174" i="10"/>
  <c r="O172" i="10"/>
  <c r="O170" i="10"/>
  <c r="O165" i="10"/>
  <c r="O162" i="10"/>
  <c r="O159" i="10"/>
  <c r="O157" i="10"/>
  <c r="O154" i="10"/>
  <c r="O151" i="10"/>
  <c r="O147" i="10"/>
  <c r="O145" i="10"/>
  <c r="O141" i="10"/>
  <c r="O139" i="10"/>
  <c r="O135" i="10"/>
  <c r="O130" i="10"/>
  <c r="O126" i="10"/>
  <c r="O122" i="10"/>
  <c r="O119" i="10"/>
  <c r="O115" i="10"/>
  <c r="O112" i="10"/>
  <c r="O110" i="10"/>
  <c r="O108" i="10"/>
  <c r="O106" i="10"/>
  <c r="O101" i="10"/>
  <c r="O98" i="10"/>
  <c r="O96" i="10"/>
  <c r="O94" i="10"/>
  <c r="O91" i="10"/>
  <c r="O89" i="10"/>
  <c r="O87" i="10"/>
  <c r="O84" i="10"/>
  <c r="O82" i="10"/>
  <c r="O78" i="10"/>
  <c r="O75" i="10"/>
  <c r="O73" i="10"/>
  <c r="O70" i="10"/>
  <c r="O67" i="10"/>
  <c r="O65" i="10"/>
  <c r="O61" i="10"/>
  <c r="O59" i="10"/>
  <c r="O57" i="10"/>
  <c r="O46" i="10"/>
  <c r="O39" i="10"/>
  <c r="O36" i="10"/>
  <c r="O34" i="10"/>
  <c r="O32" i="10"/>
  <c r="O25" i="10"/>
  <c r="O22" i="10"/>
  <c r="O20" i="10"/>
  <c r="O18" i="10"/>
  <c r="O16" i="10"/>
  <c r="O14" i="10"/>
  <c r="O4" i="10"/>
  <c r="V343" i="10"/>
  <c r="V341" i="10"/>
  <c r="V336" i="10"/>
  <c r="V334" i="10"/>
  <c r="V332" i="10"/>
  <c r="V329" i="10"/>
  <c r="V326" i="10"/>
  <c r="V322" i="10"/>
  <c r="V319" i="10"/>
  <c r="V316" i="10"/>
  <c r="V313" i="10"/>
  <c r="V307" i="10"/>
  <c r="V304" i="10"/>
  <c r="V302" i="10"/>
  <c r="V299" i="10"/>
  <c r="V297" i="10"/>
  <c r="V295" i="10"/>
  <c r="V292" i="10"/>
  <c r="V290" i="10"/>
  <c r="V287" i="10"/>
  <c r="V285" i="10"/>
  <c r="V282" i="10"/>
  <c r="V279" i="10"/>
  <c r="V277" i="10"/>
  <c r="V275" i="10"/>
  <c r="V273" i="10"/>
  <c r="V271" i="10"/>
  <c r="V268" i="10"/>
  <c r="V266" i="10"/>
  <c r="V263" i="10"/>
  <c r="V261" i="10"/>
  <c r="V256" i="10"/>
  <c r="V249" i="10"/>
  <c r="V247" i="10"/>
  <c r="V245" i="10"/>
  <c r="V243" i="10"/>
  <c r="V237" i="10"/>
  <c r="V234" i="10"/>
  <c r="V231" i="10"/>
  <c r="V218" i="10"/>
  <c r="V214" i="10"/>
  <c r="V213" i="10"/>
  <c r="V211" i="10"/>
  <c r="V209" i="10"/>
  <c r="V207" i="10"/>
  <c r="V205" i="10"/>
  <c r="V203" i="10"/>
  <c r="V201" i="10"/>
  <c r="V199" i="10"/>
  <c r="V197" i="10"/>
  <c r="V195" i="10"/>
  <c r="V193" i="10"/>
  <c r="V191" i="10"/>
  <c r="V188" i="10"/>
  <c r="V186" i="10"/>
  <c r="V184" i="10"/>
  <c r="V182" i="10"/>
  <c r="V179" i="10"/>
  <c r="V176" i="10"/>
  <c r="V174" i="10"/>
  <c r="V172" i="10"/>
  <c r="V170" i="10"/>
  <c r="V168" i="10"/>
  <c r="V164" i="10"/>
  <c r="V163" i="10"/>
  <c r="V161" i="10"/>
  <c r="V158" i="10"/>
  <c r="V156" i="10"/>
  <c r="V154" i="10"/>
  <c r="V151" i="10"/>
  <c r="V149" i="10"/>
  <c r="V147" i="10"/>
  <c r="V145" i="10"/>
  <c r="V143" i="10"/>
  <c r="V141" i="10"/>
  <c r="V139" i="10"/>
  <c r="V135" i="10"/>
  <c r="V133" i="10"/>
  <c r="V131" i="10"/>
  <c r="V129" i="10"/>
  <c r="V127" i="10"/>
  <c r="V125" i="10"/>
  <c r="V122" i="10"/>
  <c r="V120" i="10"/>
  <c r="V111" i="10"/>
  <c r="V110" i="10"/>
  <c r="V106" i="10"/>
  <c r="V94" i="10"/>
  <c r="V93" i="10"/>
  <c r="V88" i="10"/>
  <c r="V86" i="10"/>
  <c r="V83" i="10"/>
  <c r="V81" i="10"/>
  <c r="V78" i="10"/>
  <c r="V75" i="10"/>
  <c r="V72" i="10"/>
  <c r="V68" i="10"/>
  <c r="V66" i="10"/>
  <c r="V64" i="10"/>
  <c r="V61" i="10"/>
  <c r="V59" i="10"/>
  <c r="V56" i="10"/>
  <c r="V54" i="10"/>
  <c r="V52" i="10"/>
  <c r="V49" i="10"/>
  <c r="V46" i="10"/>
  <c r="V44" i="10"/>
  <c r="V42" i="10"/>
  <c r="V40" i="10"/>
  <c r="V37" i="10"/>
  <c r="V35" i="10"/>
  <c r="V33" i="10"/>
  <c r="V31" i="10"/>
  <c r="V29" i="10"/>
  <c r="V27" i="10"/>
  <c r="V25" i="10"/>
  <c r="V22" i="10"/>
  <c r="V19" i="10"/>
  <c r="V17" i="10"/>
  <c r="V15" i="10"/>
  <c r="V13" i="10"/>
  <c r="V11" i="10"/>
  <c r="V8" i="10"/>
  <c r="V6" i="10"/>
  <c r="T10" i="10"/>
  <c r="T12" i="10"/>
  <c r="T16" i="10"/>
  <c r="T19" i="10"/>
  <c r="T21" i="10"/>
  <c r="T24" i="10"/>
  <c r="T26" i="10"/>
  <c r="T28" i="10"/>
  <c r="T30" i="10"/>
  <c r="T32" i="10"/>
  <c r="T34" i="10"/>
  <c r="T37" i="10"/>
  <c r="T41" i="10"/>
  <c r="T43" i="10"/>
  <c r="T47" i="10"/>
  <c r="T50" i="10"/>
  <c r="T52" i="10"/>
  <c r="T54" i="10"/>
  <c r="T57" i="10"/>
  <c r="T59" i="10"/>
  <c r="T61" i="10"/>
  <c r="T65" i="10"/>
  <c r="T68" i="10"/>
  <c r="T70" i="10"/>
  <c r="T72" i="10"/>
  <c r="T74" i="10"/>
  <c r="T78" i="10"/>
  <c r="T80" i="10"/>
  <c r="T82" i="10"/>
  <c r="T84" i="10"/>
  <c r="T86" i="10"/>
  <c r="T89" i="10"/>
  <c r="T91" i="10"/>
  <c r="T93" i="10"/>
  <c r="T95" i="10"/>
  <c r="T97" i="10"/>
  <c r="T99" i="10"/>
  <c r="T101" i="10"/>
  <c r="T103" i="10"/>
  <c r="T105" i="10"/>
  <c r="T116" i="10"/>
  <c r="T117" i="10"/>
  <c r="T134" i="10"/>
  <c r="T136" i="10"/>
  <c r="T138" i="10"/>
  <c r="T144" i="10"/>
  <c r="T151" i="10"/>
  <c r="T152" i="10"/>
  <c r="T161" i="10"/>
  <c r="T162" i="10"/>
  <c r="T164" i="10"/>
  <c r="T166" i="10"/>
  <c r="T168" i="10"/>
  <c r="T170" i="10"/>
  <c r="T172" i="10"/>
  <c r="T174" i="10"/>
  <c r="T176" i="10"/>
  <c r="T178" i="10"/>
  <c r="T184" i="10"/>
  <c r="T186" i="10"/>
  <c r="T189" i="10"/>
  <c r="T191" i="10"/>
  <c r="T193" i="10"/>
  <c r="T195" i="10"/>
  <c r="T197" i="10"/>
  <c r="T199" i="10"/>
  <c r="T201" i="10"/>
  <c r="T203" i="10"/>
  <c r="T205" i="10"/>
  <c r="T207" i="10"/>
  <c r="T209" i="10"/>
  <c r="T211" i="10"/>
  <c r="T214" i="10"/>
  <c r="T216" i="10"/>
  <c r="T219" i="10"/>
  <c r="T221" i="10"/>
  <c r="T232" i="10"/>
  <c r="T234" i="10"/>
  <c r="T236" i="10"/>
  <c r="T238" i="10"/>
  <c r="T242" i="10"/>
  <c r="T244" i="10"/>
  <c r="T246" i="10"/>
  <c r="T248" i="10"/>
  <c r="T250" i="10"/>
  <c r="T252" i="10"/>
  <c r="T254" i="10"/>
  <c r="T256" i="10"/>
  <c r="T258" i="10"/>
  <c r="T261" i="10"/>
  <c r="T264" i="10"/>
  <c r="T267" i="10"/>
  <c r="T269" i="10"/>
  <c r="T271" i="10"/>
  <c r="T273" i="10"/>
  <c r="T276" i="10"/>
  <c r="T280" i="10"/>
  <c r="T284" i="10"/>
  <c r="T286" i="10"/>
  <c r="T288" i="10"/>
  <c r="T290" i="10"/>
  <c r="T292" i="10"/>
  <c r="T294" i="10"/>
  <c r="T296" i="10"/>
  <c r="T298" i="10"/>
  <c r="T300" i="10"/>
  <c r="T302" i="10"/>
  <c r="T305" i="10"/>
  <c r="T307" i="10"/>
  <c r="T310" i="10"/>
  <c r="T312" i="10"/>
  <c r="T314" i="10"/>
  <c r="T316" i="10"/>
  <c r="T318" i="10"/>
  <c r="T323" i="10"/>
  <c r="T325" i="10"/>
  <c r="T327" i="10"/>
  <c r="T329" i="10"/>
  <c r="T331" i="10"/>
  <c r="T333" i="10"/>
  <c r="T336" i="10"/>
  <c r="T338" i="10"/>
  <c r="T340" i="10"/>
  <c r="T342" i="10"/>
  <c r="T344" i="10"/>
  <c r="T346" i="10"/>
  <c r="T349" i="10"/>
  <c r="T358" i="10"/>
  <c r="T360" i="10"/>
  <c r="T363" i="10"/>
  <c r="T368" i="10"/>
  <c r="T377" i="10"/>
  <c r="T382" i="10"/>
  <c r="T384" i="10"/>
  <c r="T392" i="10"/>
  <c r="T394" i="10"/>
  <c r="T396" i="10"/>
  <c r="T398" i="10"/>
  <c r="T399" i="10"/>
  <c r="T403" i="10"/>
  <c r="T404" i="10"/>
  <c r="T407" i="10"/>
  <c r="T409" i="10"/>
  <c r="T411" i="10"/>
  <c r="T418" i="10"/>
  <c r="T424" i="10"/>
  <c r="T426" i="10"/>
  <c r="T429" i="10"/>
  <c r="T432" i="10"/>
  <c r="T435" i="10"/>
  <c r="T440" i="10"/>
  <c r="T443" i="10"/>
  <c r="T445" i="10"/>
  <c r="T448" i="10"/>
  <c r="T451" i="10"/>
  <c r="T457" i="10"/>
  <c r="T460" i="10"/>
  <c r="T462" i="10"/>
  <c r="X4" i="10"/>
  <c r="X9" i="10"/>
  <c r="X12" i="10"/>
  <c r="X14" i="10"/>
  <c r="X16" i="10"/>
  <c r="X18" i="10"/>
  <c r="X20" i="10"/>
  <c r="X23" i="10"/>
  <c r="X25" i="10"/>
  <c r="X27" i="10"/>
  <c r="X30" i="10"/>
  <c r="X32" i="10"/>
  <c r="X34" i="10"/>
  <c r="X36" i="10"/>
  <c r="X38" i="10"/>
  <c r="X40" i="10"/>
  <c r="X42" i="10"/>
  <c r="X44" i="10"/>
  <c r="X46" i="10"/>
  <c r="X49" i="10"/>
  <c r="X51" i="10"/>
  <c r="X53" i="10"/>
  <c r="X55" i="10"/>
  <c r="X57" i="10"/>
  <c r="X59" i="10"/>
  <c r="X62" i="10"/>
  <c r="X65" i="10"/>
  <c r="X67" i="10"/>
  <c r="X69" i="10"/>
  <c r="X71" i="10"/>
  <c r="X73" i="10"/>
  <c r="X75" i="10"/>
  <c r="X77" i="10"/>
  <c r="X89" i="10"/>
  <c r="X92" i="10"/>
  <c r="X95" i="10"/>
  <c r="X98" i="10"/>
  <c r="X100" i="10"/>
  <c r="X104" i="10"/>
  <c r="X108" i="10"/>
  <c r="X110" i="10"/>
  <c r="X112" i="10"/>
  <c r="X114" i="10"/>
  <c r="X116" i="10"/>
  <c r="X119" i="10"/>
  <c r="X121" i="10"/>
  <c r="X123" i="10"/>
  <c r="X126" i="10"/>
  <c r="X128" i="10"/>
  <c r="X130" i="10"/>
  <c r="X133" i="10"/>
  <c r="X135" i="10"/>
  <c r="X137" i="10"/>
  <c r="X144" i="10"/>
  <c r="X149" i="10"/>
  <c r="X152" i="10"/>
  <c r="X163" i="10"/>
  <c r="X171" i="10"/>
  <c r="X178" i="10"/>
  <c r="X183" i="10"/>
  <c r="X185" i="10"/>
  <c r="X189" i="10"/>
  <c r="X192" i="10"/>
  <c r="X197" i="10"/>
  <c r="X202" i="10"/>
  <c r="X207" i="10"/>
  <c r="X212" i="10"/>
  <c r="X213" i="10"/>
  <c r="X216" i="10"/>
  <c r="X219" i="10"/>
  <c r="X222" i="10"/>
  <c r="X236" i="10"/>
  <c r="X237" i="10"/>
  <c r="X240" i="10"/>
  <c r="X259" i="10"/>
  <c r="X276" i="10"/>
  <c r="X278" i="10"/>
  <c r="X280" i="10"/>
  <c r="X281" i="10"/>
  <c r="X284" i="10"/>
  <c r="X288" i="10"/>
  <c r="X290" i="10"/>
  <c r="X295" i="10"/>
  <c r="X300" i="10"/>
  <c r="X313" i="10"/>
  <c r="X325" i="10"/>
  <c r="X334" i="10"/>
  <c r="X350" i="10"/>
  <c r="X351" i="10"/>
  <c r="X353" i="10"/>
  <c r="X355" i="10"/>
  <c r="X361" i="10"/>
  <c r="X363" i="10"/>
  <c r="X365" i="10"/>
  <c r="X367" i="10"/>
  <c r="X372" i="10"/>
  <c r="X374" i="10"/>
  <c r="X376" i="10"/>
  <c r="X378" i="10"/>
  <c r="X380" i="10"/>
  <c r="X382" i="10"/>
  <c r="X384" i="10"/>
  <c r="X386" i="10"/>
  <c r="X388" i="10"/>
  <c r="X391" i="10"/>
  <c r="X393" i="10"/>
  <c r="X395" i="10"/>
  <c r="X397" i="10"/>
  <c r="X399" i="10"/>
  <c r="X401" i="10"/>
  <c r="X403" i="10"/>
  <c r="X407" i="10"/>
  <c r="X409" i="10"/>
  <c r="X411" i="10"/>
  <c r="X413" i="10"/>
  <c r="X415" i="10"/>
  <c r="X417" i="10"/>
  <c r="X419" i="10"/>
  <c r="X421" i="10"/>
  <c r="X423" i="10"/>
  <c r="X425" i="10"/>
  <c r="X427" i="10"/>
  <c r="X429" i="10"/>
  <c r="X431" i="10"/>
  <c r="X434" i="10"/>
  <c r="X436" i="10"/>
  <c r="X438" i="10"/>
  <c r="X441" i="10"/>
  <c r="X443" i="10"/>
  <c r="X445" i="10"/>
  <c r="X447" i="10"/>
  <c r="X450" i="10"/>
  <c r="X452" i="10"/>
  <c r="X454" i="10"/>
  <c r="FU452" i="2"/>
  <c r="Z451" i="10"/>
  <c r="W452" i="10"/>
  <c r="AA452" i="10"/>
  <c r="P431" i="10"/>
  <c r="Q431" i="10"/>
  <c r="FU432" i="2"/>
  <c r="AA431" i="10"/>
  <c r="W432" i="10"/>
  <c r="Z432" i="10"/>
  <c r="AB432" i="10"/>
  <c r="Z433" i="10"/>
  <c r="AB433" i="10"/>
  <c r="P457" i="10"/>
  <c r="P458" i="10"/>
  <c r="P460" i="10"/>
  <c r="P463" i="10"/>
  <c r="P465" i="10"/>
  <c r="S455" i="10"/>
  <c r="S457" i="10"/>
  <c r="S459" i="10"/>
  <c r="S461" i="10"/>
  <c r="S463" i="10"/>
  <c r="S465" i="10"/>
  <c r="Q456" i="10"/>
  <c r="Q458" i="10"/>
  <c r="Q464" i="10"/>
  <c r="R455" i="10"/>
  <c r="R459" i="10"/>
  <c r="R461" i="10"/>
  <c r="R463" i="10"/>
  <c r="R465" i="10"/>
  <c r="R467" i="10"/>
  <c r="FU457" i="2"/>
  <c r="FU459" i="2"/>
  <c r="FU462" i="2"/>
  <c r="FU464" i="2"/>
  <c r="FU466" i="2"/>
  <c r="V458" i="10"/>
  <c r="V467" i="10"/>
  <c r="W458" i="10"/>
  <c r="W460" i="10"/>
  <c r="W463" i="10"/>
  <c r="W465" i="10"/>
  <c r="Y456" i="10"/>
  <c r="Y458" i="10"/>
  <c r="Y460" i="10"/>
  <c r="Y462" i="10"/>
  <c r="Y464" i="10"/>
  <c r="Z457" i="10"/>
  <c r="Z460" i="10"/>
  <c r="Z462" i="10"/>
  <c r="Z466" i="10"/>
  <c r="AA455" i="10"/>
  <c r="AA457" i="10"/>
  <c r="AA459" i="10"/>
  <c r="AA465" i="10"/>
  <c r="AB465" i="10"/>
  <c r="Q454" i="10"/>
  <c r="FU455" i="2"/>
  <c r="W454" i="10"/>
  <c r="Z454" i="10"/>
  <c r="P449" i="10"/>
  <c r="P453" i="10"/>
  <c r="S448" i="10"/>
  <c r="S450" i="10"/>
  <c r="Q447" i="10"/>
  <c r="Q449" i="10"/>
  <c r="Q453" i="10"/>
  <c r="R448" i="10"/>
  <c r="R450" i="10"/>
  <c r="FU448" i="2"/>
  <c r="FU450" i="2"/>
  <c r="FU454" i="2"/>
  <c r="V448" i="10"/>
  <c r="V450" i="10"/>
  <c r="W447" i="10"/>
  <c r="W449" i="10"/>
  <c r="W453" i="10"/>
  <c r="Y449" i="10"/>
  <c r="Y453" i="10"/>
  <c r="Z447" i="10"/>
  <c r="Z449" i="10"/>
  <c r="Z453" i="10"/>
  <c r="AA448" i="10"/>
  <c r="AA450" i="10"/>
  <c r="AB453" i="10"/>
  <c r="P446" i="10"/>
  <c r="Q446" i="10"/>
  <c r="AA446" i="10"/>
  <c r="Q445" i="10"/>
  <c r="FU446" i="2"/>
  <c r="Y445" i="10"/>
  <c r="Z445" i="10"/>
  <c r="P444" i="10"/>
  <c r="Q444" i="10"/>
  <c r="FU445" i="2"/>
  <c r="Y444" i="10"/>
  <c r="AA444" i="10"/>
  <c r="S443" i="10"/>
  <c r="R443" i="10"/>
  <c r="V443" i="10"/>
  <c r="Y443" i="10"/>
  <c r="AA443" i="10"/>
  <c r="P442" i="10"/>
  <c r="R442" i="10"/>
  <c r="FU443" i="2"/>
  <c r="V442" i="10"/>
  <c r="W442" i="10"/>
  <c r="Y442" i="10"/>
  <c r="Z442" i="10"/>
  <c r="AA442" i="10"/>
  <c r="AB442" i="10"/>
  <c r="P440" i="10"/>
  <c r="Q440" i="10"/>
  <c r="FU441" i="2"/>
  <c r="W440" i="10"/>
  <c r="W5" i="10"/>
  <c r="W7" i="10"/>
  <c r="W9" i="10"/>
  <c r="W12" i="10"/>
  <c r="W14" i="10"/>
  <c r="W16" i="10"/>
  <c r="W19" i="10"/>
  <c r="W21" i="10"/>
  <c r="W23" i="10"/>
  <c r="W25" i="10"/>
  <c r="W27" i="10"/>
  <c r="W30" i="10"/>
  <c r="W33" i="10"/>
  <c r="W35" i="10"/>
  <c r="W37" i="10"/>
  <c r="W39" i="10"/>
  <c r="W41" i="10"/>
  <c r="W43" i="10"/>
  <c r="W45" i="10"/>
  <c r="W48" i="10"/>
  <c r="W51" i="10"/>
  <c r="W53" i="10"/>
  <c r="W55" i="10"/>
  <c r="W57" i="10"/>
  <c r="W61" i="10"/>
  <c r="W63" i="10"/>
  <c r="W65" i="10"/>
  <c r="W68" i="10"/>
  <c r="W72" i="10"/>
  <c r="W74" i="10"/>
  <c r="W76" i="10"/>
  <c r="W78" i="10"/>
  <c r="W80" i="10"/>
  <c r="W88" i="10"/>
  <c r="W89" i="10"/>
  <c r="W93" i="10"/>
  <c r="W95" i="10"/>
  <c r="W98" i="10"/>
  <c r="W100" i="10"/>
  <c r="W103" i="10"/>
  <c r="W105" i="10"/>
  <c r="W107" i="10"/>
  <c r="W110" i="10"/>
  <c r="W113" i="10"/>
  <c r="W115" i="10"/>
  <c r="W117" i="10"/>
  <c r="W123" i="10"/>
  <c r="W126" i="10"/>
  <c r="W128" i="10"/>
  <c r="W130" i="10"/>
  <c r="W132" i="10"/>
  <c r="W143" i="10"/>
  <c r="W145" i="10"/>
  <c r="W147" i="10"/>
  <c r="W149" i="10"/>
  <c r="W152" i="10"/>
  <c r="W157" i="10"/>
  <c r="W159" i="10"/>
  <c r="W161" i="10"/>
  <c r="W163" i="10"/>
  <c r="W165" i="10"/>
  <c r="W167" i="10"/>
  <c r="W169" i="10"/>
  <c r="W171" i="10"/>
  <c r="W173" i="10"/>
  <c r="W176" i="10"/>
  <c r="W178" i="10"/>
  <c r="W181" i="10"/>
  <c r="W184" i="10"/>
  <c r="W186" i="10"/>
  <c r="W188" i="10"/>
  <c r="W190" i="10"/>
  <c r="W192" i="10"/>
  <c r="W194" i="10"/>
  <c r="W197" i="10"/>
  <c r="W199" i="10"/>
  <c r="W201" i="10"/>
  <c r="W203" i="10"/>
  <c r="W205" i="10"/>
  <c r="W208" i="10"/>
  <c r="W210" i="10"/>
  <c r="W212" i="10"/>
  <c r="W214" i="10"/>
  <c r="W216" i="10"/>
  <c r="W218" i="10"/>
  <c r="W220" i="10"/>
  <c r="W222" i="10"/>
  <c r="W224" i="10"/>
  <c r="W226" i="10"/>
  <c r="W228" i="10"/>
  <c r="W231" i="10"/>
  <c r="W233" i="10"/>
  <c r="W235" i="10"/>
  <c r="W238" i="10"/>
  <c r="W240" i="10"/>
  <c r="W243" i="10"/>
  <c r="W245" i="10"/>
  <c r="W247" i="10"/>
  <c r="W249" i="10"/>
  <c r="W251" i="10"/>
  <c r="W253" i="10"/>
  <c r="W261" i="10"/>
  <c r="W263" i="10"/>
  <c r="W265" i="10"/>
  <c r="W267" i="10"/>
  <c r="W270" i="10"/>
  <c r="W272" i="10"/>
  <c r="W276" i="10"/>
  <c r="W280" i="10"/>
  <c r="W282" i="10"/>
  <c r="W284" i="10"/>
  <c r="W286" i="10"/>
  <c r="W288" i="10"/>
  <c r="W290" i="10"/>
  <c r="W292" i="10"/>
  <c r="W294" i="10"/>
  <c r="W296" i="10"/>
  <c r="W298" i="10"/>
  <c r="W300" i="10"/>
  <c r="W308" i="10"/>
  <c r="W310" i="10"/>
  <c r="W312" i="10"/>
  <c r="W315" i="10"/>
  <c r="W317" i="10"/>
  <c r="W319" i="10"/>
  <c r="W321" i="10"/>
  <c r="W323" i="10"/>
  <c r="W327" i="10"/>
  <c r="W330" i="10"/>
  <c r="W333" i="10"/>
  <c r="W337" i="10"/>
  <c r="W339" i="10"/>
  <c r="W341" i="10"/>
  <c r="W343" i="10"/>
  <c r="W345" i="10"/>
  <c r="W348" i="10"/>
  <c r="W350" i="10"/>
  <c r="W352" i="10"/>
  <c r="W356" i="10"/>
  <c r="W359" i="10"/>
  <c r="W362" i="10"/>
  <c r="W364" i="10"/>
  <c r="W367" i="10"/>
  <c r="W371" i="10"/>
  <c r="W373" i="10"/>
  <c r="W375" i="10"/>
  <c r="W377" i="10"/>
  <c r="W380" i="10"/>
  <c r="W382" i="10"/>
  <c r="W385" i="10"/>
  <c r="W388" i="10"/>
  <c r="W391" i="10"/>
  <c r="W393" i="10"/>
  <c r="W395" i="10"/>
  <c r="W397" i="10"/>
  <c r="W399" i="10"/>
  <c r="W404" i="10"/>
  <c r="W406" i="10"/>
  <c r="W408" i="10"/>
  <c r="W411" i="10"/>
  <c r="W413" i="10"/>
  <c r="W415" i="10"/>
  <c r="W417" i="10"/>
  <c r="W419" i="10"/>
  <c r="W421" i="10"/>
  <c r="W423" i="10"/>
  <c r="W425" i="10"/>
  <c r="V346" i="10"/>
  <c r="V351" i="10"/>
  <c r="V353" i="10"/>
  <c r="V358" i="10"/>
  <c r="V368" i="10"/>
  <c r="V418" i="10"/>
  <c r="V421" i="10"/>
  <c r="R348" i="10"/>
  <c r="Q347" i="10"/>
  <c r="Q279" i="10"/>
  <c r="AB29" i="10"/>
  <c r="AB159" i="10"/>
  <c r="AB172" i="10"/>
  <c r="AB263" i="10"/>
  <c r="AB268" i="10"/>
  <c r="AB270" i="10"/>
  <c r="AB277" i="10"/>
  <c r="AB283" i="10"/>
  <c r="Q286" i="2"/>
  <c r="AB287" i="10"/>
  <c r="AB289" i="10"/>
  <c r="AB294" i="10"/>
  <c r="AB300" i="10"/>
  <c r="Q303" i="2"/>
  <c r="AB303" i="10"/>
  <c r="AB310" i="10"/>
  <c r="AB313" i="10"/>
  <c r="AB318" i="10"/>
  <c r="AB322" i="10"/>
  <c r="AB324" i="10"/>
  <c r="AB326" i="10"/>
  <c r="AB328" i="10"/>
  <c r="AB339" i="10"/>
  <c r="AB342" i="10"/>
  <c r="AB347" i="10"/>
  <c r="AB351" i="10"/>
  <c r="AB354" i="10"/>
  <c r="AB359" i="10"/>
  <c r="AB361" i="10"/>
  <c r="AB364" i="10"/>
  <c r="AB372" i="10"/>
  <c r="AB376" i="10"/>
  <c r="AB379" i="10"/>
  <c r="AB385" i="10"/>
  <c r="AB387" i="10"/>
  <c r="AB389" i="10"/>
  <c r="AB392" i="10"/>
  <c r="AB396" i="10"/>
  <c r="AB398" i="10"/>
  <c r="AB403" i="10"/>
  <c r="AB407" i="10"/>
  <c r="AB413" i="10"/>
  <c r="AB416" i="10"/>
  <c r="AB418" i="10"/>
  <c r="AB420" i="10"/>
  <c r="AB421" i="10"/>
  <c r="AB437" i="10"/>
  <c r="AA6" i="10"/>
  <c r="AA10" i="10"/>
  <c r="AA12" i="10"/>
  <c r="AA14" i="10"/>
  <c r="AA16" i="10"/>
  <c r="AA19" i="10"/>
  <c r="AA23" i="10"/>
  <c r="AA26" i="10"/>
  <c r="AA29" i="10"/>
  <c r="AA31" i="10"/>
  <c r="AA34" i="10"/>
  <c r="AA36" i="10"/>
  <c r="AA38" i="10"/>
  <c r="AA40" i="10"/>
  <c r="AA42" i="10"/>
  <c r="AA45" i="10"/>
  <c r="AA48" i="10"/>
  <c r="AA51" i="10"/>
  <c r="AA54" i="10"/>
  <c r="AA57" i="10"/>
  <c r="AA59" i="10"/>
  <c r="AA61" i="10"/>
  <c r="AA64" i="10"/>
  <c r="AA66" i="10"/>
  <c r="AA70" i="10"/>
  <c r="AA72" i="10"/>
  <c r="AA74" i="10"/>
  <c r="AA76" i="10"/>
  <c r="AA79" i="10"/>
  <c r="AA84" i="10"/>
  <c r="AA86" i="10"/>
  <c r="AA88" i="10"/>
  <c r="AA92" i="10"/>
  <c r="AA95" i="10"/>
  <c r="AA97" i="10"/>
  <c r="AA99" i="10"/>
  <c r="AA101" i="10"/>
  <c r="AA103" i="10"/>
  <c r="AA105" i="10"/>
  <c r="AA111" i="10"/>
  <c r="AA113" i="10"/>
  <c r="AA115" i="10"/>
  <c r="AA117" i="10"/>
  <c r="AA142" i="10"/>
  <c r="AA144" i="10"/>
  <c r="AA147" i="10"/>
  <c r="AA149" i="10"/>
  <c r="AA151" i="10"/>
  <c r="AA153" i="10"/>
  <c r="AA156" i="10"/>
  <c r="AA158" i="10"/>
  <c r="AA160" i="10"/>
  <c r="AA163" i="10"/>
  <c r="AA170" i="10"/>
  <c r="AA172" i="10"/>
  <c r="AA180" i="10"/>
  <c r="AA182" i="10"/>
  <c r="AA184" i="10"/>
  <c r="AA187" i="10"/>
  <c r="AA189" i="10"/>
  <c r="AA193" i="10"/>
  <c r="AA195" i="10"/>
  <c r="AA198" i="10"/>
  <c r="AA201" i="10"/>
  <c r="AA206" i="10"/>
  <c r="AA212" i="10"/>
  <c r="AA214" i="10"/>
  <c r="AA217" i="10"/>
  <c r="AA220" i="10"/>
  <c r="AA228" i="10"/>
  <c r="AA230" i="10"/>
  <c r="AA232" i="10"/>
  <c r="AA234" i="10"/>
  <c r="AA237" i="10"/>
  <c r="AA239" i="10"/>
  <c r="AA248" i="10"/>
  <c r="AA250" i="10"/>
  <c r="AA252" i="10"/>
  <c r="AA254" i="10"/>
  <c r="AA256" i="10"/>
  <c r="AA259" i="10"/>
  <c r="AA262" i="10"/>
  <c r="AA266" i="10"/>
  <c r="AA268" i="10"/>
  <c r="AA270" i="10"/>
  <c r="AA274" i="10"/>
  <c r="AA277" i="10"/>
  <c r="AA279" i="10"/>
  <c r="AA281" i="10"/>
  <c r="AA284" i="10"/>
  <c r="AA287" i="10"/>
  <c r="AA290" i="10"/>
  <c r="AA292" i="10"/>
  <c r="AA294" i="10"/>
  <c r="AA297" i="10"/>
  <c r="AA299" i="10"/>
  <c r="AA301" i="10"/>
  <c r="AA303" i="10"/>
  <c r="AA305" i="10"/>
  <c r="AA307" i="10"/>
  <c r="AA309" i="10"/>
  <c r="AA312" i="10"/>
  <c r="AA315" i="10"/>
  <c r="AA323" i="10"/>
  <c r="AA325" i="10"/>
  <c r="AA329" i="10"/>
  <c r="AA331" i="10"/>
  <c r="AA336" i="10"/>
  <c r="AA338" i="10"/>
  <c r="AA343" i="10"/>
  <c r="AA349" i="10"/>
  <c r="AA351" i="10"/>
  <c r="AA353" i="10"/>
  <c r="AA355" i="10"/>
  <c r="AA360" i="10"/>
  <c r="AA363" i="10"/>
  <c r="AA365" i="10"/>
  <c r="AA367" i="10"/>
  <c r="AA369" i="10"/>
  <c r="AA371" i="10"/>
  <c r="AA374" i="10"/>
  <c r="AA376" i="10"/>
  <c r="AA390" i="10"/>
  <c r="AA391" i="10"/>
  <c r="AA398" i="10"/>
  <c r="AA401" i="10"/>
  <c r="AA403" i="10"/>
  <c r="AA408" i="10"/>
  <c r="AA411" i="10"/>
  <c r="AA415" i="10"/>
  <c r="AA421" i="10"/>
  <c r="AA436" i="10"/>
  <c r="Z54" i="10"/>
  <c r="Z70" i="10"/>
  <c r="Z133" i="10"/>
  <c r="Z173" i="10"/>
  <c r="Z191" i="10"/>
  <c r="Z257" i="10"/>
  <c r="Z278" i="10"/>
  <c r="Z281" i="10"/>
  <c r="Z315" i="10"/>
  <c r="Z319" i="10"/>
  <c r="Z339" i="10"/>
  <c r="Z341" i="10"/>
  <c r="Z370" i="10"/>
  <c r="Z376" i="10"/>
  <c r="Z382" i="10"/>
  <c r="Z393" i="10"/>
  <c r="Z414" i="10"/>
  <c r="Z417" i="10"/>
  <c r="Z437" i="10"/>
  <c r="Y25" i="10"/>
  <c r="Y104" i="10"/>
  <c r="Y146" i="10"/>
  <c r="Y249" i="10"/>
  <c r="Y335" i="10"/>
  <c r="Y336" i="10"/>
  <c r="Y358" i="10"/>
  <c r="Y360" i="10"/>
  <c r="Y383" i="10"/>
  <c r="R151" i="10"/>
  <c r="R383" i="10"/>
  <c r="R392" i="10"/>
  <c r="R398" i="10"/>
  <c r="R421" i="10"/>
  <c r="S8" i="10"/>
  <c r="S40" i="10"/>
  <c r="S44" i="10"/>
  <c r="S62" i="10"/>
  <c r="S121" i="10"/>
  <c r="S125" i="10"/>
  <c r="S181" i="10"/>
  <c r="S208" i="10"/>
  <c r="S209" i="10"/>
  <c r="S215" i="10"/>
  <c r="S231" i="10"/>
  <c r="S232" i="10"/>
  <c r="S237" i="10"/>
  <c r="S244" i="10"/>
  <c r="S245" i="10"/>
  <c r="S251" i="10"/>
  <c r="S252" i="10"/>
  <c r="S262" i="10"/>
  <c r="S263" i="10"/>
  <c r="S264" i="10"/>
  <c r="S362" i="10"/>
  <c r="S363" i="10"/>
  <c r="P37" i="10"/>
  <c r="P94" i="10"/>
  <c r="P140" i="10"/>
  <c r="P172" i="10"/>
  <c r="P179" i="10"/>
  <c r="P231" i="10"/>
  <c r="P294" i="10"/>
  <c r="P389" i="10"/>
  <c r="P414" i="10"/>
  <c r="P417" i="10"/>
  <c r="FU399" i="2"/>
  <c r="FU369" i="2"/>
  <c r="FU351" i="2"/>
  <c r="FU382" i="2"/>
  <c r="FU353" i="2"/>
  <c r="FU8" i="2"/>
  <c r="FU17" i="2"/>
  <c r="FU20" i="2"/>
  <c r="FU103" i="2"/>
  <c r="FU136" i="2"/>
  <c r="FU160" i="2"/>
  <c r="FU162" i="2"/>
  <c r="FU278" i="2"/>
  <c r="FU321" i="2"/>
  <c r="FU6" i="2"/>
  <c r="FU16" i="2"/>
  <c r="FU23" i="2"/>
  <c r="FU27" i="2"/>
  <c r="FU29" i="2"/>
  <c r="FU30" i="2"/>
  <c r="FU35" i="2"/>
  <c r="FU225" i="2"/>
  <c r="FU252" i="2"/>
  <c r="U117" i="10"/>
  <c r="U119" i="10"/>
  <c r="U122" i="10"/>
  <c r="U125" i="10"/>
  <c r="U129" i="10"/>
  <c r="U132" i="10"/>
  <c r="U141" i="10"/>
  <c r="U143" i="10"/>
  <c r="U145" i="10"/>
  <c r="U148" i="10"/>
  <c r="U159" i="10"/>
  <c r="U162" i="10"/>
  <c r="U165" i="10"/>
  <c r="U169" i="10"/>
  <c r="U177" i="10"/>
  <c r="U182" i="10"/>
  <c r="U184" i="10"/>
  <c r="U186" i="10"/>
  <c r="U188" i="10"/>
  <c r="U190" i="10"/>
  <c r="U192" i="10"/>
  <c r="U194" i="10"/>
  <c r="U199" i="10"/>
  <c r="U207" i="10"/>
  <c r="U208" i="10"/>
  <c r="U212" i="10"/>
  <c r="U214" i="10"/>
  <c r="U216" i="10"/>
  <c r="U222" i="10"/>
  <c r="U235" i="10"/>
  <c r="U237" i="10"/>
  <c r="U243" i="10"/>
  <c r="U248" i="10"/>
  <c r="U255" i="10"/>
  <c r="U259" i="10"/>
  <c r="U266" i="10"/>
  <c r="O462" i="10"/>
  <c r="O460" i="10"/>
  <c r="O452" i="10"/>
  <c r="O450" i="10"/>
  <c r="O448" i="10"/>
  <c r="O446" i="10"/>
  <c r="O444" i="10"/>
  <c r="O441" i="10"/>
  <c r="O438" i="10"/>
  <c r="O435" i="10"/>
  <c r="O432" i="10"/>
  <c r="O426" i="10"/>
  <c r="O422" i="10"/>
  <c r="O415" i="10"/>
  <c r="O412" i="10"/>
  <c r="O409" i="10"/>
  <c r="O406" i="10"/>
  <c r="O404" i="10"/>
  <c r="O390" i="10"/>
  <c r="O387" i="10"/>
  <c r="O384" i="10"/>
  <c r="O380" i="10"/>
  <c r="O378" i="10"/>
  <c r="O372" i="10"/>
  <c r="O370" i="10"/>
  <c r="O365" i="10"/>
  <c r="O363" i="10"/>
  <c r="O361" i="10"/>
  <c r="O357" i="10"/>
  <c r="O355" i="10"/>
  <c r="O351" i="10"/>
  <c r="O348" i="10"/>
  <c r="O343" i="10"/>
  <c r="O340" i="10"/>
  <c r="O337" i="10"/>
  <c r="O335" i="10"/>
  <c r="O333" i="10"/>
  <c r="O331" i="10"/>
  <c r="O329" i="10"/>
  <c r="O326" i="10"/>
  <c r="O323" i="10"/>
  <c r="O320" i="10"/>
  <c r="O315" i="10"/>
  <c r="O313" i="10"/>
  <c r="O311" i="10"/>
  <c r="O309" i="10"/>
  <c r="O306" i="10"/>
  <c r="O302" i="10"/>
  <c r="O299" i="10"/>
  <c r="O296" i="10"/>
  <c r="O294" i="10"/>
  <c r="O288" i="10"/>
  <c r="O287" i="10"/>
  <c r="O282" i="10"/>
  <c r="O280" i="10"/>
  <c r="O278" i="10"/>
  <c r="O276" i="10"/>
  <c r="O274" i="10"/>
  <c r="O270" i="10"/>
  <c r="O268" i="10"/>
  <c r="O265" i="10"/>
  <c r="O259" i="10"/>
  <c r="O257" i="10"/>
  <c r="O253" i="10"/>
  <c r="O250" i="10"/>
  <c r="O248" i="10"/>
  <c r="O246" i="10"/>
  <c r="O244" i="10"/>
  <c r="O242" i="10"/>
  <c r="O237" i="10"/>
  <c r="O235" i="10"/>
  <c r="O231" i="10"/>
  <c r="O228" i="10"/>
  <c r="O226" i="10"/>
  <c r="O224" i="10"/>
  <c r="O222" i="10"/>
  <c r="O219" i="10"/>
  <c r="O214" i="10"/>
  <c r="O209" i="10"/>
  <c r="O201" i="10"/>
  <c r="O199" i="10"/>
  <c r="O196" i="10"/>
  <c r="O194" i="10"/>
  <c r="O192" i="10"/>
  <c r="O186" i="10"/>
  <c r="O184" i="10"/>
  <c r="O182" i="10"/>
  <c r="O180" i="10"/>
  <c r="O178" i="10"/>
  <c r="O175" i="10"/>
  <c r="O173" i="10"/>
  <c r="O169" i="10"/>
  <c r="O167" i="10"/>
  <c r="O164" i="10"/>
  <c r="O160" i="10"/>
  <c r="O158" i="10"/>
  <c r="O155" i="10"/>
  <c r="O153" i="10"/>
  <c r="O150" i="10"/>
  <c r="O148" i="10"/>
  <c r="O146" i="10"/>
  <c r="O144" i="10"/>
  <c r="O142" i="10"/>
  <c r="O140" i="10"/>
  <c r="O136" i="10"/>
  <c r="O134" i="10"/>
  <c r="O132" i="10"/>
  <c r="O125" i="10"/>
  <c r="O123" i="10"/>
  <c r="O121" i="10"/>
  <c r="O117" i="10"/>
  <c r="O113" i="10"/>
  <c r="O111" i="10"/>
  <c r="O109" i="10"/>
  <c r="O107" i="10"/>
  <c r="O104" i="10"/>
  <c r="O100" i="10"/>
  <c r="O97" i="10"/>
  <c r="O95" i="10"/>
  <c r="O92" i="10"/>
  <c r="O90" i="10"/>
  <c r="O88" i="10"/>
  <c r="O85" i="10"/>
  <c r="O83" i="10"/>
  <c r="O81" i="10"/>
  <c r="O79" i="10"/>
  <c r="O77" i="10"/>
  <c r="O74" i="10"/>
  <c r="O71" i="10"/>
  <c r="O69" i="10"/>
  <c r="O64" i="10"/>
  <c r="O62" i="10"/>
  <c r="O60" i="10"/>
  <c r="O58" i="10"/>
  <c r="O47" i="10"/>
  <c r="O45" i="10"/>
  <c r="O41" i="10"/>
  <c r="O37" i="10"/>
  <c r="O35" i="10"/>
  <c r="O33" i="10"/>
  <c r="O31" i="10"/>
  <c r="O26" i="10"/>
  <c r="O24" i="10"/>
  <c r="O21" i="10"/>
  <c r="O19" i="10"/>
  <c r="O17" i="10"/>
  <c r="O15" i="10"/>
  <c r="O13" i="10"/>
  <c r="O10" i="10"/>
  <c r="O7" i="10"/>
  <c r="O5" i="10"/>
  <c r="O215" i="10"/>
  <c r="V342" i="10"/>
  <c r="V339" i="10"/>
  <c r="V335" i="10"/>
  <c r="V333" i="10"/>
  <c r="V331" i="10"/>
  <c r="V327" i="10"/>
  <c r="V320" i="10"/>
  <c r="V318" i="10"/>
  <c r="V315" i="10"/>
  <c r="V312" i="10"/>
  <c r="V305" i="10"/>
  <c r="V303" i="10"/>
  <c r="V301" i="10"/>
  <c r="V298" i="10"/>
  <c r="V294" i="10"/>
  <c r="V291" i="10"/>
  <c r="V289" i="10"/>
  <c r="V286" i="10"/>
  <c r="V284" i="10"/>
  <c r="V281" i="10"/>
  <c r="V278" i="10"/>
  <c r="V276" i="10"/>
  <c r="V274" i="10"/>
  <c r="V272" i="10"/>
  <c r="V269" i="10"/>
  <c r="V267" i="10"/>
  <c r="V264" i="10"/>
  <c r="V262" i="10"/>
  <c r="V260" i="10"/>
  <c r="V255" i="10"/>
  <c r="V251" i="10"/>
  <c r="V248" i="10"/>
  <c r="V246" i="10"/>
  <c r="V244" i="10"/>
  <c r="V241" i="10"/>
  <c r="V236" i="10"/>
  <c r="V232" i="10"/>
  <c r="V230" i="10"/>
  <c r="V225" i="10"/>
  <c r="V217" i="10"/>
  <c r="V212" i="10"/>
  <c r="V210" i="10"/>
  <c r="V208" i="10"/>
  <c r="V206" i="10"/>
  <c r="V204" i="10"/>
  <c r="V202" i="10"/>
  <c r="V198" i="10"/>
  <c r="V196" i="10"/>
  <c r="V192" i="10"/>
  <c r="V189" i="10"/>
  <c r="V187" i="10"/>
  <c r="V185" i="10"/>
  <c r="V183" i="10"/>
  <c r="V181" i="10"/>
  <c r="V178" i="10"/>
  <c r="V177" i="10"/>
  <c r="V175" i="10"/>
  <c r="V173" i="10"/>
  <c r="V171" i="10"/>
  <c r="V169" i="10"/>
  <c r="V166" i="10"/>
  <c r="V162" i="10"/>
  <c r="V159" i="10"/>
  <c r="V157" i="10"/>
  <c r="V155" i="10"/>
  <c r="V152" i="10"/>
  <c r="V150" i="10"/>
  <c r="V146" i="10"/>
  <c r="V144" i="10"/>
  <c r="V140" i="10"/>
  <c r="V137" i="10"/>
  <c r="V134" i="10"/>
  <c r="V132" i="10"/>
  <c r="V130" i="10"/>
  <c r="V126" i="10"/>
  <c r="V123" i="10"/>
  <c r="V119" i="10"/>
  <c r="V109" i="10"/>
  <c r="V105" i="10"/>
  <c r="V97" i="10"/>
  <c r="V95" i="10"/>
  <c r="V92" i="10"/>
  <c r="V90" i="10"/>
  <c r="V87" i="10"/>
  <c r="V82" i="10"/>
  <c r="V80" i="10"/>
  <c r="V76" i="10"/>
  <c r="V73" i="10"/>
  <c r="V70" i="10"/>
  <c r="V67" i="10"/>
  <c r="V65" i="10"/>
  <c r="V62" i="10"/>
  <c r="V60" i="10"/>
  <c r="V58" i="10"/>
  <c r="V55" i="10"/>
  <c r="V53" i="10"/>
  <c r="V50" i="10"/>
  <c r="V47" i="10"/>
  <c r="V45" i="10"/>
  <c r="V43" i="10"/>
  <c r="V41" i="10"/>
  <c r="V39" i="10"/>
  <c r="V36" i="10"/>
  <c r="V34" i="10"/>
  <c r="V32" i="10"/>
  <c r="V30" i="10"/>
  <c r="V28" i="10"/>
  <c r="V26" i="10"/>
  <c r="V23" i="10"/>
  <c r="V20" i="10"/>
  <c r="V18" i="10"/>
  <c r="V12" i="10"/>
  <c r="V9" i="10"/>
  <c r="V7" i="10"/>
  <c r="V5" i="10"/>
  <c r="T7" i="10"/>
  <c r="T9" i="10"/>
  <c r="T11" i="10"/>
  <c r="T13" i="10"/>
  <c r="T22" i="10"/>
  <c r="T25" i="10"/>
  <c r="T27" i="10"/>
  <c r="T29" i="10"/>
  <c r="T31" i="10"/>
  <c r="T33" i="10"/>
  <c r="T35" i="10"/>
  <c r="T40" i="10"/>
  <c r="T42" i="10"/>
  <c r="T44" i="10"/>
  <c r="T48" i="10"/>
  <c r="T51" i="10"/>
  <c r="T56" i="10"/>
  <c r="T58" i="10"/>
  <c r="T60" i="10"/>
  <c r="T63" i="10"/>
  <c r="T67" i="10"/>
  <c r="T69" i="10"/>
  <c r="T71" i="10"/>
  <c r="T73" i="10"/>
  <c r="T75" i="10"/>
  <c r="T79" i="10"/>
  <c r="T81" i="10"/>
  <c r="T83" i="10"/>
  <c r="T85" i="10"/>
  <c r="T88" i="10"/>
  <c r="T90" i="10"/>
  <c r="T92" i="10"/>
  <c r="T94" i="10"/>
  <c r="T96" i="10"/>
  <c r="T98" i="10"/>
  <c r="T100" i="10"/>
  <c r="T102" i="10"/>
  <c r="T104" i="10"/>
  <c r="T106" i="10"/>
  <c r="T118" i="10"/>
  <c r="T132" i="10"/>
  <c r="T135" i="10"/>
  <c r="T137" i="10"/>
  <c r="T139" i="10"/>
  <c r="T145" i="10"/>
  <c r="T153" i="10"/>
  <c r="T158" i="10"/>
  <c r="T160" i="10"/>
  <c r="T163" i="10"/>
  <c r="T165" i="10"/>
  <c r="T167" i="10"/>
  <c r="T171" i="10"/>
  <c r="T173" i="10"/>
  <c r="T175" i="10"/>
  <c r="T177" i="10"/>
  <c r="T179" i="10"/>
  <c r="T181" i="10"/>
  <c r="T185" i="10"/>
  <c r="T188" i="10"/>
  <c r="T190" i="10"/>
  <c r="T192" i="10"/>
  <c r="T194" i="10"/>
  <c r="T196" i="10"/>
  <c r="T198" i="10"/>
  <c r="T200" i="10"/>
  <c r="T202" i="10"/>
  <c r="T204" i="10"/>
  <c r="T206" i="10"/>
  <c r="T208" i="10"/>
  <c r="T210" i="10"/>
  <c r="T213" i="10"/>
  <c r="T215" i="10"/>
  <c r="T217" i="10"/>
  <c r="T223" i="10"/>
  <c r="T233" i="10"/>
  <c r="T235" i="10"/>
  <c r="T237" i="10"/>
  <c r="T239" i="10"/>
  <c r="T243" i="10"/>
  <c r="T245" i="10"/>
  <c r="T247" i="10"/>
  <c r="T249" i="10"/>
  <c r="T251" i="10"/>
  <c r="T253" i="10"/>
  <c r="T255" i="10"/>
  <c r="T257" i="10"/>
  <c r="T259" i="10"/>
  <c r="T263" i="10"/>
  <c r="T266" i="10"/>
  <c r="T268" i="10"/>
  <c r="T270" i="10"/>
  <c r="T272" i="10"/>
  <c r="T274" i="10"/>
  <c r="T278" i="10"/>
  <c r="T283" i="10"/>
  <c r="T287" i="10"/>
  <c r="T289" i="10"/>
  <c r="T291" i="10"/>
  <c r="T293" i="10"/>
  <c r="T295" i="10"/>
  <c r="T297" i="10"/>
  <c r="T299" i="10"/>
  <c r="T301" i="10"/>
  <c r="T304" i="10"/>
  <c r="T306" i="10"/>
  <c r="T309" i="10"/>
  <c r="T311" i="10"/>
  <c r="T313" i="10"/>
  <c r="T315" i="10"/>
  <c r="T317" i="10"/>
  <c r="T320" i="10"/>
  <c r="T322" i="10"/>
  <c r="T324" i="10"/>
  <c r="T326" i="10"/>
  <c r="T328" i="10"/>
  <c r="T330" i="10"/>
  <c r="T332" i="10"/>
  <c r="T334" i="10"/>
  <c r="T337" i="10"/>
  <c r="T339" i="10"/>
  <c r="T341" i="10"/>
  <c r="T343" i="10"/>
  <c r="T345" i="10"/>
  <c r="T348" i="10"/>
  <c r="T350" i="10"/>
  <c r="T359" i="10"/>
  <c r="T362" i="10"/>
  <c r="T364" i="10"/>
  <c r="T366" i="10"/>
  <c r="T369" i="10"/>
  <c r="T373" i="10"/>
  <c r="T378" i="10"/>
  <c r="T380" i="10"/>
  <c r="T383" i="10"/>
  <c r="T393" i="10"/>
  <c r="T397" i="10"/>
  <c r="T400" i="10"/>
  <c r="T405" i="10"/>
  <c r="T410" i="10"/>
  <c r="T413" i="10"/>
  <c r="T416" i="10"/>
  <c r="T419" i="10"/>
  <c r="T422" i="10"/>
  <c r="T425" i="10"/>
  <c r="T427" i="10"/>
  <c r="T433" i="10"/>
  <c r="T436" i="10"/>
  <c r="T438" i="10"/>
  <c r="T441" i="10"/>
  <c r="T444" i="10"/>
  <c r="T446" i="10"/>
  <c r="T449" i="10"/>
  <c r="T452" i="10"/>
  <c r="T455" i="10"/>
  <c r="T458" i="10"/>
  <c r="T461" i="10"/>
  <c r="T467" i="10"/>
  <c r="X11" i="10"/>
  <c r="X13" i="10"/>
  <c r="X15" i="10"/>
  <c r="X17" i="10"/>
  <c r="X19" i="10"/>
  <c r="X21" i="10"/>
  <c r="X24" i="10"/>
  <c r="X26" i="10"/>
  <c r="X29" i="10"/>
  <c r="X31" i="10"/>
  <c r="X33" i="10"/>
  <c r="X35" i="10"/>
  <c r="X37" i="10"/>
  <c r="X39" i="10"/>
  <c r="X41" i="10"/>
  <c r="X43" i="10"/>
  <c r="X45" i="10"/>
  <c r="X47" i="10"/>
  <c r="X50" i="10"/>
  <c r="X52" i="10"/>
  <c r="X54" i="10"/>
  <c r="X56" i="10"/>
  <c r="X58" i="10"/>
  <c r="X60" i="10"/>
  <c r="X64" i="10"/>
  <c r="X66" i="10"/>
  <c r="X68" i="10"/>
  <c r="X70" i="10"/>
  <c r="X72" i="10"/>
  <c r="X74" i="10"/>
  <c r="X76" i="10"/>
  <c r="X87" i="10"/>
  <c r="X88" i="10"/>
  <c r="X94" i="10"/>
  <c r="X97" i="10"/>
  <c r="X105" i="10"/>
  <c r="X107" i="10"/>
  <c r="X109" i="10"/>
  <c r="X111" i="10"/>
  <c r="X113" i="10"/>
  <c r="X115" i="10"/>
  <c r="X117" i="10"/>
  <c r="X120" i="10"/>
  <c r="X122" i="10"/>
  <c r="X124" i="10"/>
  <c r="X127" i="10"/>
  <c r="X129" i="10"/>
  <c r="X132" i="10"/>
  <c r="X134" i="10"/>
  <c r="X143" i="10"/>
  <c r="X145" i="10"/>
  <c r="X147" i="10"/>
  <c r="X150" i="10"/>
  <c r="X153" i="10"/>
  <c r="X155" i="10"/>
  <c r="X157" i="10"/>
  <c r="X159" i="10"/>
  <c r="X161" i="10"/>
  <c r="X164" i="10"/>
  <c r="X168" i="10"/>
  <c r="X172" i="10"/>
  <c r="X174" i="10"/>
  <c r="X176" i="10"/>
  <c r="X179" i="10"/>
  <c r="X181" i="10"/>
  <c r="X184" i="10"/>
  <c r="X188" i="10"/>
  <c r="X190" i="10"/>
  <c r="X193" i="10"/>
  <c r="X195" i="10"/>
  <c r="X198" i="10"/>
  <c r="X200" i="10"/>
  <c r="X203" i="10"/>
  <c r="X205" i="10"/>
  <c r="X208" i="10"/>
  <c r="X210" i="10"/>
  <c r="X214" i="10"/>
  <c r="X217" i="10"/>
  <c r="X220" i="10"/>
  <c r="X223" i="10"/>
  <c r="X225" i="10"/>
  <c r="X227" i="10"/>
  <c r="X232" i="10"/>
  <c r="X238" i="10"/>
  <c r="X241" i="10"/>
  <c r="X243" i="10"/>
  <c r="X246" i="10"/>
  <c r="X248" i="10"/>
  <c r="X250" i="10"/>
  <c r="X252" i="10"/>
  <c r="X254" i="10"/>
  <c r="X256" i="10"/>
  <c r="X260" i="10"/>
  <c r="X262" i="10"/>
  <c r="X264" i="10"/>
  <c r="X266" i="10"/>
  <c r="X268" i="10"/>
  <c r="X270" i="10"/>
  <c r="X272" i="10"/>
  <c r="X274" i="10"/>
  <c r="X277" i="10"/>
  <c r="X282" i="10"/>
  <c r="X285" i="10"/>
  <c r="X289" i="10"/>
  <c r="X291" i="10"/>
  <c r="X293" i="10"/>
  <c r="X296" i="10"/>
  <c r="X298" i="10"/>
  <c r="X301" i="10"/>
  <c r="X303" i="10"/>
  <c r="X305" i="10"/>
  <c r="X307" i="10"/>
  <c r="X309" i="10"/>
  <c r="X311" i="10"/>
  <c r="X314" i="10"/>
  <c r="X316" i="10"/>
  <c r="X318" i="10"/>
  <c r="X320" i="10"/>
  <c r="X326" i="10"/>
  <c r="X329" i="10"/>
  <c r="X331" i="10"/>
  <c r="X335" i="10"/>
  <c r="X337" i="10"/>
  <c r="X347" i="10"/>
  <c r="X352" i="10"/>
  <c r="X354" i="10"/>
  <c r="X356" i="10"/>
  <c r="X358" i="10"/>
  <c r="X360" i="10"/>
  <c r="X362" i="10"/>
  <c r="X364" i="10"/>
  <c r="X366" i="10"/>
  <c r="X368" i="10"/>
  <c r="X375" i="10"/>
  <c r="X377" i="10"/>
  <c r="X379" i="10"/>
  <c r="X381" i="10"/>
  <c r="X383" i="10"/>
  <c r="X385" i="10"/>
  <c r="X390" i="10"/>
  <c r="X392" i="10"/>
  <c r="X394" i="10"/>
  <c r="X396" i="10"/>
  <c r="X398" i="10"/>
  <c r="X400" i="10"/>
  <c r="X402" i="10"/>
  <c r="X404" i="10"/>
  <c r="X406" i="10"/>
  <c r="X408" i="10"/>
  <c r="X410" i="10"/>
  <c r="X412" i="10"/>
  <c r="X414" i="10"/>
  <c r="X416" i="10"/>
  <c r="X418" i="10"/>
  <c r="X420" i="10"/>
  <c r="X422" i="10"/>
  <c r="X424" i="10"/>
  <c r="X426" i="10"/>
  <c r="X428" i="10"/>
  <c r="X430" i="10"/>
  <c r="X433" i="10"/>
  <c r="X435" i="10"/>
  <c r="X437" i="10"/>
  <c r="X440" i="10"/>
  <c r="X442" i="10"/>
  <c r="X444" i="10"/>
  <c r="X446" i="10"/>
  <c r="X448" i="10"/>
  <c r="X451" i="10"/>
  <c r="X453" i="10"/>
  <c r="X456" i="10"/>
  <c r="AA451" i="10"/>
  <c r="AB452" i="10"/>
  <c r="S431" i="10"/>
  <c r="R431" i="10"/>
  <c r="Y431" i="10"/>
  <c r="Z431" i="10"/>
  <c r="AB431" i="10"/>
  <c r="FU433" i="2"/>
  <c r="AA432" i="10"/>
  <c r="W433" i="10"/>
  <c r="P455" i="10"/>
  <c r="P459" i="10"/>
  <c r="P462" i="10"/>
  <c r="P464" i="10"/>
  <c r="P467" i="10"/>
  <c r="S456" i="10"/>
  <c r="S458" i="10"/>
  <c r="S460" i="10"/>
  <c r="S462" i="10"/>
  <c r="S464" i="10"/>
  <c r="S467" i="10"/>
  <c r="Q457" i="10"/>
  <c r="Q462" i="10"/>
  <c r="Q465" i="10"/>
  <c r="R456" i="10"/>
  <c r="R460" i="10"/>
  <c r="R462" i="10"/>
  <c r="R464" i="10"/>
  <c r="R466" i="10"/>
  <c r="FU456" i="2"/>
  <c r="FU458" i="2"/>
  <c r="FU461" i="2"/>
  <c r="FU463" i="2"/>
  <c r="FU465" i="2"/>
  <c r="FU468" i="2"/>
  <c r="V457" i="10"/>
  <c r="V462" i="10"/>
  <c r="V466" i="10"/>
  <c r="W455" i="10"/>
  <c r="W459" i="10"/>
  <c r="W462" i="10"/>
  <c r="W464" i="10"/>
  <c r="Y461" i="10"/>
  <c r="Y463" i="10"/>
  <c r="Y465" i="10"/>
  <c r="Z459" i="10"/>
  <c r="Z463" i="10"/>
  <c r="Z465" i="10"/>
  <c r="Z467" i="10"/>
  <c r="AA456" i="10"/>
  <c r="AA458" i="10"/>
  <c r="AA466" i="10"/>
  <c r="AB464" i="10"/>
  <c r="AB467" i="10"/>
  <c r="S454" i="10"/>
  <c r="R454" i="10"/>
  <c r="Y454" i="10"/>
  <c r="AA454" i="10"/>
  <c r="P447" i="10"/>
  <c r="P450" i="10"/>
  <c r="S447" i="10"/>
  <c r="S449" i="10"/>
  <c r="S453" i="10"/>
  <c r="Q448" i="10"/>
  <c r="Q450" i="10"/>
  <c r="R447" i="10"/>
  <c r="R449" i="10"/>
  <c r="R453" i="10"/>
  <c r="FU449" i="2"/>
  <c r="FU451" i="2"/>
  <c r="V447" i="10"/>
  <c r="V449" i="10"/>
  <c r="V453" i="10"/>
  <c r="W448" i="10"/>
  <c r="W450" i="10"/>
  <c r="Y447" i="10"/>
  <c r="Z448" i="10"/>
  <c r="Z450" i="10"/>
  <c r="AA447" i="10"/>
  <c r="AA449" i="10"/>
  <c r="AB448" i="10"/>
  <c r="AB450" i="10"/>
  <c r="S446" i="10"/>
  <c r="R446" i="10"/>
  <c r="R445" i="10"/>
  <c r="W445" i="10"/>
  <c r="AA445" i="10"/>
  <c r="R444" i="10"/>
  <c r="W444" i="10"/>
  <c r="AB444" i="10"/>
  <c r="P443" i="10"/>
  <c r="Q443" i="10"/>
  <c r="FU444" i="2"/>
  <c r="W443" i="10"/>
  <c r="AB443" i="10"/>
  <c r="P441" i="10"/>
  <c r="S441" i="10"/>
  <c r="Q442" i="10"/>
  <c r="FU442" i="2"/>
  <c r="V441" i="10"/>
  <c r="W441" i="10"/>
  <c r="Y441" i="10"/>
  <c r="Z441" i="10"/>
  <c r="AA441" i="10"/>
  <c r="S440" i="10"/>
  <c r="R440" i="10"/>
  <c r="Z440" i="10"/>
  <c r="W6" i="10"/>
  <c r="W8" i="10"/>
  <c r="W11" i="10"/>
  <c r="W13" i="10"/>
  <c r="W15" i="10"/>
  <c r="W17" i="10"/>
  <c r="W18" i="10"/>
  <c r="W20" i="10"/>
  <c r="W22" i="10"/>
  <c r="W24" i="10"/>
  <c r="W26" i="10"/>
  <c r="W28" i="10"/>
  <c r="W32" i="10"/>
  <c r="W34" i="10"/>
  <c r="W36" i="10"/>
  <c r="W38" i="10"/>
  <c r="W40" i="10"/>
  <c r="W42" i="10"/>
  <c r="W44" i="10"/>
  <c r="W47" i="10"/>
  <c r="W50" i="10"/>
  <c r="W52" i="10"/>
  <c r="W54" i="10"/>
  <c r="W56" i="10"/>
  <c r="W60" i="10"/>
  <c r="W62" i="10"/>
  <c r="W64" i="10"/>
  <c r="W67" i="10"/>
  <c r="W69" i="10"/>
  <c r="W71" i="10"/>
  <c r="W73" i="10"/>
  <c r="W75" i="10"/>
  <c r="W77" i="10"/>
  <c r="W79" i="10"/>
  <c r="W87" i="10"/>
  <c r="W91" i="10"/>
  <c r="W94" i="10"/>
  <c r="W97" i="10"/>
  <c r="W99" i="10"/>
  <c r="W104" i="10"/>
  <c r="W106" i="10"/>
  <c r="W109" i="10"/>
  <c r="W112" i="10"/>
  <c r="W114" i="10"/>
  <c r="W116" i="10"/>
  <c r="W122" i="10"/>
  <c r="W124" i="10"/>
  <c r="W127" i="10"/>
  <c r="W129" i="10"/>
  <c r="W131" i="10"/>
  <c r="W141" i="10"/>
  <c r="W144" i="10"/>
  <c r="W148" i="10"/>
  <c r="W150" i="10"/>
  <c r="W153" i="10"/>
  <c r="W156" i="10"/>
  <c r="W158" i="10"/>
  <c r="W160" i="10"/>
  <c r="W162" i="10"/>
  <c r="W164" i="10"/>
  <c r="W166" i="10"/>
  <c r="W168" i="10"/>
  <c r="W170" i="10"/>
  <c r="W172" i="10"/>
  <c r="W175" i="10"/>
  <c r="W177" i="10"/>
  <c r="W180" i="10"/>
  <c r="W185" i="10"/>
  <c r="W187" i="10"/>
  <c r="W189" i="10"/>
  <c r="W191" i="10"/>
  <c r="W193" i="10"/>
  <c r="W195" i="10"/>
  <c r="W198" i="10"/>
  <c r="W200" i="10"/>
  <c r="W202" i="10"/>
  <c r="W204" i="10"/>
  <c r="W207" i="10"/>
  <c r="W209" i="10"/>
  <c r="W211" i="10"/>
  <c r="W213" i="10"/>
  <c r="W215" i="10"/>
  <c r="W217" i="10"/>
  <c r="W219" i="10"/>
  <c r="W221" i="10"/>
  <c r="W223" i="10"/>
  <c r="W225" i="10"/>
  <c r="W227" i="10"/>
  <c r="W230" i="10"/>
  <c r="W232" i="10"/>
  <c r="W234" i="10"/>
  <c r="W237" i="10"/>
  <c r="W239" i="10"/>
  <c r="W241" i="10"/>
  <c r="W244" i="10"/>
  <c r="W246" i="10"/>
  <c r="W248" i="10"/>
  <c r="W250" i="10"/>
  <c r="W252" i="10"/>
  <c r="W260" i="10"/>
  <c r="W262" i="10"/>
  <c r="W266" i="10"/>
  <c r="W268" i="10"/>
  <c r="W269" i="10"/>
  <c r="W271" i="10"/>
  <c r="W273" i="10"/>
  <c r="W274" i="10"/>
  <c r="W277" i="10"/>
  <c r="W281" i="10"/>
  <c r="W283" i="10"/>
  <c r="W285" i="10"/>
  <c r="W287" i="10"/>
  <c r="W289" i="10"/>
  <c r="W291" i="10"/>
  <c r="W293" i="10"/>
  <c r="W295" i="10"/>
  <c r="W297" i="10"/>
  <c r="W299" i="10"/>
  <c r="W306" i="10"/>
  <c r="W309" i="10"/>
  <c r="W311" i="10"/>
  <c r="W313" i="10"/>
  <c r="W318" i="10"/>
  <c r="W320" i="10"/>
  <c r="W322" i="10"/>
  <c r="W325" i="10"/>
  <c r="W329" i="10"/>
  <c r="W331" i="10"/>
  <c r="W335" i="10"/>
  <c r="W340" i="10"/>
  <c r="W344" i="10"/>
  <c r="W346" i="10"/>
  <c r="W349" i="10"/>
  <c r="W351" i="10"/>
  <c r="W353" i="10"/>
  <c r="W357" i="10"/>
  <c r="W361" i="10"/>
  <c r="W363" i="10"/>
  <c r="W365" i="10"/>
  <c r="W368" i="10"/>
  <c r="W372" i="10"/>
  <c r="W374" i="10"/>
  <c r="W376" i="10"/>
  <c r="W379" i="10"/>
  <c r="W381" i="10"/>
  <c r="W384" i="10"/>
  <c r="W387" i="10"/>
  <c r="W389" i="10"/>
  <c r="W392" i="10"/>
  <c r="W394" i="10"/>
  <c r="W396" i="10"/>
  <c r="W401" i="10"/>
  <c r="W403" i="10"/>
  <c r="W405" i="10"/>
  <c r="W407" i="10"/>
  <c r="W409" i="10"/>
  <c r="W412" i="10"/>
  <c r="W414" i="10"/>
  <c r="W416" i="10"/>
  <c r="W418" i="10"/>
  <c r="W420" i="10"/>
  <c r="W422" i="10"/>
  <c r="W424" i="10"/>
  <c r="V407" i="10"/>
  <c r="V417" i="10"/>
  <c r="V427" i="10"/>
  <c r="S350" i="10"/>
  <c r="S349" i="10"/>
  <c r="Q130" i="2"/>
  <c r="AB133" i="10"/>
  <c r="Q139" i="2"/>
  <c r="AB160" i="10"/>
  <c r="Q172" i="2"/>
  <c r="AB177" i="10"/>
  <c r="AB269" i="10"/>
  <c r="AB271" i="10"/>
  <c r="AB276" i="10"/>
  <c r="AB279" i="10"/>
  <c r="AB286" i="10"/>
  <c r="AB288" i="10"/>
  <c r="AB291" i="10"/>
  <c r="AB296" i="10"/>
  <c r="AB299" i="10"/>
  <c r="AB306" i="10"/>
  <c r="AB309" i="10"/>
  <c r="AB315" i="10"/>
  <c r="AB319" i="10"/>
  <c r="AB323" i="10"/>
  <c r="AB332" i="10"/>
  <c r="AB335" i="10"/>
  <c r="AB343" i="10"/>
  <c r="AB346" i="10"/>
  <c r="AB352" i="10"/>
  <c r="AB355" i="10"/>
  <c r="AB358" i="10"/>
  <c r="AB360" i="10"/>
  <c r="AB363" i="10"/>
  <c r="AB365" i="10"/>
  <c r="AB369" i="10"/>
  <c r="AB373" i="10"/>
  <c r="AB375" i="10"/>
  <c r="AB380" i="10"/>
  <c r="Q385" i="2"/>
  <c r="AB386" i="10"/>
  <c r="AB388" i="10"/>
  <c r="AB393" i="10"/>
  <c r="AB397" i="10"/>
  <c r="AB402" i="10"/>
  <c r="AB404" i="10"/>
  <c r="AB408" i="10"/>
  <c r="AB411" i="10"/>
  <c r="AB417" i="10"/>
  <c r="AB419" i="10"/>
  <c r="AA4" i="10"/>
  <c r="AA8" i="10"/>
  <c r="AA13" i="10"/>
  <c r="AA15" i="10"/>
  <c r="AA17" i="10"/>
  <c r="AA20" i="10"/>
  <c r="AA22" i="10"/>
  <c r="AA25" i="10"/>
  <c r="AA28" i="10"/>
  <c r="AA30" i="10"/>
  <c r="AA32" i="10"/>
  <c r="AA35" i="10"/>
  <c r="AA37" i="10"/>
  <c r="AA39" i="10"/>
  <c r="AA41" i="10"/>
  <c r="AA44" i="10"/>
  <c r="AA47" i="10"/>
  <c r="AA50" i="10"/>
  <c r="AA53" i="10"/>
  <c r="AA55" i="10"/>
  <c r="AA58" i="10"/>
  <c r="AA60" i="10"/>
  <c r="AA63" i="10"/>
  <c r="AA65" i="10"/>
  <c r="AA68" i="10"/>
  <c r="AA71" i="10"/>
  <c r="AA73" i="10"/>
  <c r="AA75" i="10"/>
  <c r="AA78" i="10"/>
  <c r="AA83" i="10"/>
  <c r="AA85" i="10"/>
  <c r="AA87" i="10"/>
  <c r="AA90" i="10"/>
  <c r="AA93" i="10"/>
  <c r="AA96" i="10"/>
  <c r="AA98" i="10"/>
  <c r="AA100" i="10"/>
  <c r="AA102" i="10"/>
  <c r="AA104" i="10"/>
  <c r="AA106" i="10"/>
  <c r="AA110" i="10"/>
  <c r="AA112" i="10"/>
  <c r="AA114" i="10"/>
  <c r="AA116" i="10"/>
  <c r="AA118" i="10"/>
  <c r="AA143" i="10"/>
  <c r="AA146" i="10"/>
  <c r="AA148" i="10"/>
  <c r="AA150" i="10"/>
  <c r="AA155" i="10"/>
  <c r="AA157" i="10"/>
  <c r="AA159" i="10"/>
  <c r="AA161" i="10"/>
  <c r="AA164" i="10"/>
  <c r="AA171" i="10"/>
  <c r="AA173" i="10"/>
  <c r="AA181" i="10"/>
  <c r="AA183" i="10"/>
  <c r="AA186" i="10"/>
  <c r="AA188" i="10"/>
  <c r="AA190" i="10"/>
  <c r="AA192" i="10"/>
  <c r="AA194" i="10"/>
  <c r="AA197" i="10"/>
  <c r="AA200" i="10"/>
  <c r="AA202" i="10"/>
  <c r="AA205" i="10"/>
  <c r="AA207" i="10"/>
  <c r="AA210" i="10"/>
  <c r="AA213" i="10"/>
  <c r="AA216" i="10"/>
  <c r="AA219" i="10"/>
  <c r="AA231" i="10"/>
  <c r="AA233" i="10"/>
  <c r="AA235" i="10"/>
  <c r="AA238" i="10"/>
  <c r="AA241" i="10"/>
  <c r="AA244" i="10"/>
  <c r="AA249" i="10"/>
  <c r="AA253" i="10"/>
  <c r="AA255" i="10"/>
  <c r="AA258" i="10"/>
  <c r="AA260" i="10"/>
  <c r="AA265" i="10"/>
  <c r="AA267" i="10"/>
  <c r="AA269" i="10"/>
  <c r="AA271" i="10"/>
  <c r="AA273" i="10"/>
  <c r="AA278" i="10"/>
  <c r="AA280" i="10"/>
  <c r="AA283" i="10"/>
  <c r="AA285" i="10"/>
  <c r="AA289" i="10"/>
  <c r="AA293" i="10"/>
  <c r="AA296" i="10"/>
  <c r="AA298" i="10"/>
  <c r="AA300" i="10"/>
  <c r="AA302" i="10"/>
  <c r="AA304" i="10"/>
  <c r="AA306" i="10"/>
  <c r="AA310" i="10"/>
  <c r="AA317" i="10"/>
  <c r="AA319" i="10"/>
  <c r="AA322" i="10"/>
  <c r="AA324" i="10"/>
  <c r="AA326" i="10"/>
  <c r="AA330" i="10"/>
  <c r="AA334" i="10"/>
  <c r="AA337" i="10"/>
  <c r="AA339" i="10"/>
  <c r="AA342" i="10"/>
  <c r="AA344" i="10"/>
  <c r="AA346" i="10"/>
  <c r="AA348" i="10"/>
  <c r="AA350" i="10"/>
  <c r="AA352" i="10"/>
  <c r="AA358" i="10"/>
  <c r="AA362" i="10"/>
  <c r="AA364" i="10"/>
  <c r="AA370" i="10"/>
  <c r="AA375" i="10"/>
  <c r="AA377" i="10"/>
  <c r="AA379" i="10"/>
  <c r="AA383" i="10"/>
  <c r="AA388" i="10"/>
  <c r="AA389" i="10"/>
  <c r="AA393" i="10"/>
  <c r="AA394" i="10"/>
  <c r="AA395" i="10"/>
  <c r="AA407" i="10"/>
  <c r="AA409" i="10"/>
  <c r="AA412" i="10"/>
  <c r="AA419" i="10"/>
  <c r="Z56" i="10"/>
  <c r="Z67" i="10"/>
  <c r="Z280" i="10"/>
  <c r="Z283" i="10"/>
  <c r="Y118" i="10"/>
  <c r="Y121" i="10"/>
  <c r="Y253" i="10"/>
  <c r="Y334" i="10"/>
  <c r="Y422" i="10"/>
  <c r="Y429" i="10"/>
  <c r="R16" i="10"/>
  <c r="R64" i="10"/>
  <c r="R65" i="10"/>
  <c r="R66" i="10"/>
  <c r="R122" i="10"/>
  <c r="R369" i="10"/>
  <c r="R382" i="10"/>
  <c r="R384" i="10"/>
  <c r="S12" i="10"/>
  <c r="S54" i="10"/>
  <c r="S87" i="10"/>
  <c r="S100" i="10"/>
  <c r="S106" i="10"/>
  <c r="S126" i="10"/>
  <c r="S127" i="10"/>
  <c r="S128" i="10"/>
  <c r="S151" i="10"/>
  <c r="S207" i="10"/>
  <c r="S217" i="10"/>
  <c r="S218" i="10"/>
  <c r="S219" i="10"/>
  <c r="S226" i="10"/>
  <c r="S240" i="10"/>
  <c r="S249" i="10"/>
  <c r="S256" i="10"/>
  <c r="S259" i="10"/>
  <c r="S261" i="10"/>
  <c r="S308" i="10"/>
  <c r="S364" i="10"/>
  <c r="P35" i="10"/>
  <c r="P48" i="10"/>
  <c r="P116" i="10"/>
  <c r="P118" i="10"/>
  <c r="P174" i="10"/>
  <c r="P195" i="10"/>
  <c r="P282" i="10"/>
  <c r="P373" i="10"/>
  <c r="P391" i="10"/>
  <c r="FU376" i="2"/>
  <c r="FU354" i="2"/>
  <c r="FU383" i="2"/>
  <c r="FU350" i="2"/>
  <c r="FU18" i="2"/>
  <c r="FU137" i="2"/>
  <c r="FU285" i="2"/>
  <c r="FU11" i="2"/>
  <c r="FU13" i="2"/>
  <c r="FU14" i="2"/>
  <c r="FU22" i="2"/>
  <c r="FU25" i="2"/>
  <c r="FU26" i="2"/>
  <c r="FU32" i="2"/>
  <c r="FU51" i="2"/>
  <c r="FU55" i="2"/>
  <c r="FU130" i="2"/>
  <c r="FU253" i="2"/>
  <c r="FU300" i="2"/>
  <c r="FU303" i="2"/>
  <c r="FU344" i="2"/>
  <c r="AA347" i="10"/>
  <c r="AA382" i="10"/>
  <c r="AA386" i="10"/>
  <c r="AA396" i="10"/>
  <c r="AA399" i="10"/>
  <c r="Z8" i="10"/>
  <c r="Z43" i="10"/>
  <c r="Z63" i="10"/>
  <c r="Z172" i="10"/>
  <c r="Z197" i="10"/>
  <c r="Z199" i="10"/>
  <c r="Z203" i="10"/>
  <c r="Z205" i="10"/>
  <c r="Z209" i="10"/>
  <c r="Z212" i="10"/>
  <c r="Z222" i="10"/>
  <c r="Z301" i="10"/>
  <c r="Z305" i="10"/>
  <c r="Z312" i="10"/>
  <c r="Z380" i="10"/>
  <c r="Z383" i="10"/>
  <c r="Z384" i="10"/>
  <c r="Z400" i="10"/>
  <c r="Z413" i="10"/>
  <c r="Z436" i="10"/>
  <c r="Y86" i="10"/>
  <c r="Y90" i="10"/>
  <c r="Y107" i="10"/>
  <c r="Y190" i="10"/>
  <c r="Y224" i="10"/>
  <c r="Y272" i="10"/>
  <c r="Y280" i="10"/>
  <c r="Y347" i="10"/>
  <c r="Y359" i="10"/>
  <c r="Y361" i="10"/>
  <c r="Y362" i="10"/>
  <c r="Y379" i="10"/>
  <c r="R30" i="10"/>
  <c r="R79" i="10"/>
  <c r="R81" i="10"/>
  <c r="R95" i="10"/>
  <c r="R132" i="10"/>
  <c r="R134" i="10"/>
  <c r="R184" i="10"/>
  <c r="R228" i="10"/>
  <c r="R269" i="10"/>
  <c r="R284" i="10"/>
  <c r="R322" i="10"/>
  <c r="R358" i="10"/>
  <c r="S6" i="10"/>
  <c r="S10" i="10"/>
  <c r="S14" i="10"/>
  <c r="S18" i="10"/>
  <c r="S27" i="10"/>
  <c r="S89" i="10"/>
  <c r="S102" i="10"/>
  <c r="S114" i="10"/>
  <c r="S153" i="10"/>
  <c r="S162" i="10"/>
  <c r="S211" i="10"/>
  <c r="S213" i="10"/>
  <c r="S214" i="10"/>
  <c r="S216" i="10"/>
  <c r="S220" i="10"/>
  <c r="S222" i="10"/>
  <c r="S227" i="10"/>
  <c r="S233" i="10"/>
  <c r="S234" i="10"/>
  <c r="S241" i="10"/>
  <c r="S243" i="10"/>
  <c r="S255" i="10"/>
  <c r="S257" i="10"/>
  <c r="S258" i="10"/>
  <c r="S260" i="10"/>
  <c r="S298" i="10"/>
  <c r="S310" i="10"/>
  <c r="S332" i="10"/>
  <c r="S341" i="10"/>
  <c r="S361" i="10"/>
  <c r="S383" i="10"/>
  <c r="S398" i="10"/>
  <c r="S399" i="10"/>
  <c r="S404" i="10"/>
  <c r="S437" i="10"/>
  <c r="P8" i="10"/>
  <c r="P36" i="10"/>
  <c r="P45" i="10"/>
  <c r="P52" i="10"/>
  <c r="P64" i="10"/>
  <c r="P66" i="10"/>
  <c r="P88" i="10"/>
  <c r="P120" i="10"/>
  <c r="P152" i="10"/>
  <c r="P181" i="10"/>
  <c r="P223" i="10"/>
  <c r="P353" i="10"/>
  <c r="P387" i="10"/>
  <c r="FU384" i="2"/>
  <c r="FU389" i="2"/>
  <c r="FU387" i="2"/>
  <c r="FU356" i="2"/>
  <c r="FU386" i="2"/>
  <c r="FU7" i="2"/>
  <c r="FU15" i="2"/>
  <c r="FU19" i="2"/>
  <c r="FU24" i="2"/>
  <c r="FU78" i="2"/>
  <c r="FU138" i="2"/>
  <c r="FU284" i="2"/>
  <c r="FU12" i="2"/>
  <c r="FU21" i="2"/>
  <c r="FU28" i="2"/>
  <c r="FU31" i="2"/>
  <c r="FU59" i="2"/>
  <c r="FU155" i="2"/>
  <c r="H179" i="10"/>
  <c r="V12" i="3"/>
  <c r="V24" i="3"/>
  <c r="U9" i="3"/>
  <c r="G9" i="3"/>
  <c r="J8" i="3"/>
  <c r="H20" i="3"/>
  <c r="H24" i="3" s="1"/>
  <c r="J20" i="3"/>
  <c r="G10" i="3"/>
  <c r="F10" i="3" s="1"/>
  <c r="K20" i="3"/>
  <c r="Z261" i="10"/>
  <c r="Q262" i="2"/>
  <c r="H261" i="10" s="1"/>
  <c r="Q395" i="2"/>
  <c r="H394" i="10" s="1"/>
  <c r="P330" i="10"/>
  <c r="N8" i="3"/>
  <c r="Z421" i="10"/>
  <c r="Q422" i="2"/>
  <c r="H421" i="10" s="1"/>
  <c r="Q270" i="2"/>
  <c r="H269" i="10" s="1"/>
  <c r="Q246" i="2"/>
  <c r="H245" i="10" s="1"/>
  <c r="AA245" i="10"/>
  <c r="Q413" i="2"/>
  <c r="H412" i="10" s="1"/>
  <c r="Z386" i="10"/>
  <c r="Q387" i="2"/>
  <c r="H386" i="10" s="1"/>
  <c r="M21" i="3"/>
  <c r="L21" i="3" s="1"/>
  <c r="Q299" i="2"/>
  <c r="H298" i="10" s="1"/>
  <c r="AB298" i="10"/>
  <c r="Q256" i="2"/>
  <c r="H255" i="10" s="1"/>
  <c r="AB255" i="10"/>
  <c r="Q380" i="2"/>
  <c r="H379" i="10" s="1"/>
  <c r="Q403" i="2"/>
  <c r="H402" i="10" s="1"/>
  <c r="AA402" i="10"/>
  <c r="Q369" i="2"/>
  <c r="H368" i="10" s="1"/>
  <c r="AB368" i="10"/>
  <c r="S18" i="3"/>
  <c r="R18" i="3" s="1"/>
  <c r="Q356" i="2"/>
  <c r="H355" i="10" s="1"/>
  <c r="AB423" i="10"/>
  <c r="Q424" i="2"/>
  <c r="H423" i="10" s="1"/>
  <c r="Q409" i="2"/>
  <c r="H408" i="10" s="1"/>
  <c r="Q149" i="2"/>
  <c r="H148" i="10" s="1"/>
  <c r="N9" i="3"/>
  <c r="L9" i="3" s="1"/>
  <c r="P333" i="10"/>
  <c r="Q351" i="2"/>
  <c r="H350" i="10" s="1"/>
  <c r="AB350" i="10"/>
  <c r="Q297" i="2"/>
  <c r="H296" i="10" s="1"/>
  <c r="AB231" i="10"/>
  <c r="BA8" i="3"/>
  <c r="S330" i="10"/>
  <c r="N18" i="3"/>
  <c r="L18" i="3" s="1"/>
  <c r="M8" i="3"/>
  <c r="L8" i="3" s="1"/>
  <c r="AA392" i="10"/>
  <c r="Q393" i="2"/>
  <c r="H392" i="10" s="1"/>
  <c r="Q215" i="2"/>
  <c r="H214" i="10" s="1"/>
  <c r="AB214" i="10"/>
  <c r="Q194" i="2"/>
  <c r="H193" i="10" s="1"/>
  <c r="AB193" i="10"/>
  <c r="AI8" i="3"/>
  <c r="AB18" i="3"/>
  <c r="AB24" i="3" s="1"/>
  <c r="Z18" i="3"/>
  <c r="Y18" i="3"/>
  <c r="Q330" i="10"/>
  <c r="W8" i="3"/>
  <c r="Q389" i="2"/>
  <c r="H388" i="10" s="1"/>
  <c r="Q360" i="2"/>
  <c r="H359" i="10" s="1"/>
  <c r="Z359" i="10"/>
  <c r="Q209" i="2"/>
  <c r="H208" i="10" s="1"/>
  <c r="AB208" i="10"/>
  <c r="Q187" i="2"/>
  <c r="H186" i="10" s="1"/>
  <c r="AB186" i="10"/>
  <c r="Q142" i="2"/>
  <c r="H141" i="10" s="1"/>
  <c r="AB141" i="10"/>
  <c r="S435" i="10"/>
  <c r="AF23" i="3"/>
  <c r="AY7" i="3"/>
  <c r="AH10" i="3"/>
  <c r="AG10" i="3" s="1"/>
  <c r="S275" i="10"/>
  <c r="AB147" i="10"/>
  <c r="Z236" i="10"/>
  <c r="Q169" i="2"/>
  <c r="H168" i="10" s="1"/>
  <c r="P7" i="3"/>
  <c r="O7" i="3" s="1"/>
  <c r="Q431" i="2"/>
  <c r="H430" i="10" s="1"/>
  <c r="Y430" i="10"/>
  <c r="Q374" i="2"/>
  <c r="H373" i="10" s="1"/>
  <c r="AH8" i="3"/>
  <c r="AG8" i="3" s="1"/>
  <c r="S338" i="10"/>
  <c r="Y11" i="3"/>
  <c r="X11" i="3" s="1"/>
  <c r="Q277" i="2"/>
  <c r="H276" i="10" s="1"/>
  <c r="Q438" i="2"/>
  <c r="H437" i="10" s="1"/>
  <c r="AA437" i="10"/>
  <c r="Q402" i="2"/>
  <c r="H401" i="10" s="1"/>
  <c r="Q218" i="2"/>
  <c r="H217" i="10" s="1"/>
  <c r="Q263" i="2"/>
  <c r="H262" i="10" s="1"/>
  <c r="T10" i="3"/>
  <c r="Q392" i="2"/>
  <c r="H391" i="10" s="1"/>
  <c r="Q249" i="2"/>
  <c r="H248" i="10" s="1"/>
  <c r="AF7" i="3"/>
  <c r="AB128" i="10"/>
  <c r="Q428" i="2"/>
  <c r="H427" i="10" s="1"/>
  <c r="Q350" i="2"/>
  <c r="H349" i="10" s="1"/>
  <c r="AE7" i="3"/>
  <c r="N23" i="3"/>
  <c r="L23" i="3" s="1"/>
  <c r="Q398" i="2"/>
  <c r="H397" i="10" s="1"/>
  <c r="AB292" i="10"/>
  <c r="AB235" i="10"/>
  <c r="AB178" i="10"/>
  <c r="O397" i="10"/>
  <c r="Q243" i="2"/>
  <c r="H242" i="10" s="1"/>
  <c r="AB156" i="10"/>
  <c r="Q157" i="2"/>
  <c r="H156" i="10" s="1"/>
  <c r="Q287" i="2"/>
  <c r="H286" i="10" s="1"/>
  <c r="Z286" i="10"/>
  <c r="Q288" i="2"/>
  <c r="H287" i="10" s="1"/>
  <c r="AB459" i="10"/>
  <c r="Q460" i="2"/>
  <c r="H459" i="10" s="1"/>
  <c r="Q445" i="2"/>
  <c r="H444" i="10" s="1"/>
  <c r="Q406" i="2"/>
  <c r="H405" i="10" s="1"/>
  <c r="AB405" i="10"/>
  <c r="Q359" i="2"/>
  <c r="H358" i="10" s="1"/>
  <c r="Z10" i="9"/>
  <c r="Z20" i="3"/>
  <c r="X20" i="3" s="1"/>
  <c r="Q415" i="2"/>
  <c r="H414" i="10" s="1"/>
  <c r="Q295" i="2"/>
  <c r="H294" i="10" s="1"/>
  <c r="Z464" i="10"/>
  <c r="Q465" i="2"/>
  <c r="H464" i="10" s="1"/>
  <c r="Q397" i="2"/>
  <c r="H396" i="10" s="1"/>
  <c r="Q375" i="2"/>
  <c r="H374" i="10" s="1"/>
  <c r="Q210" i="2"/>
  <c r="H209" i="10" s="1"/>
  <c r="Q432" i="2"/>
  <c r="Q289" i="2"/>
  <c r="H288" i="10" s="1"/>
  <c r="AB447" i="10"/>
  <c r="Q448" i="2"/>
  <c r="H447" i="10" s="1"/>
  <c r="G20" i="3"/>
  <c r="Q451" i="2"/>
  <c r="H450" i="10" s="1"/>
  <c r="Y450" i="10"/>
  <c r="H9" i="3"/>
  <c r="H12" i="3" s="1"/>
  <c r="R250" i="10"/>
  <c r="Z396" i="10"/>
  <c r="AA169" i="10"/>
  <c r="Q170" i="2"/>
  <c r="AI9" i="3"/>
  <c r="AG9" i="3" s="1"/>
  <c r="P6" i="3"/>
  <c r="M6" i="3"/>
  <c r="AF11" i="3"/>
  <c r="AY11" i="3"/>
  <c r="AZ11" i="3"/>
  <c r="BA11" i="3"/>
  <c r="S239" i="10"/>
  <c r="Z8" i="3"/>
  <c r="R330" i="10"/>
  <c r="AB8" i="3"/>
  <c r="AC8" i="3"/>
  <c r="Y10" i="3"/>
  <c r="AC10" i="3"/>
  <c r="AA10" i="3" s="1"/>
  <c r="Q423" i="2"/>
  <c r="H422" i="10" s="1"/>
  <c r="AA422" i="10"/>
  <c r="AA406" i="10"/>
  <c r="Q407" i="2"/>
  <c r="H406" i="10" s="1"/>
  <c r="AA257" i="10"/>
  <c r="Q258" i="2"/>
  <c r="H257" i="10" s="1"/>
  <c r="S21" i="3"/>
  <c r="R21" i="3" s="1"/>
  <c r="Q209" i="10"/>
  <c r="Q309" i="10"/>
  <c r="Q380" i="10"/>
  <c r="Q403" i="10"/>
  <c r="AA416" i="10"/>
  <c r="AA423" i="10"/>
  <c r="AA427" i="10"/>
  <c r="AA429" i="10"/>
  <c r="AA434" i="10"/>
  <c r="Z5" i="10"/>
  <c r="Z7" i="10"/>
  <c r="Z10" i="10"/>
  <c r="Z12" i="10"/>
  <c r="Z14" i="10"/>
  <c r="Z16" i="10"/>
  <c r="Z18" i="10"/>
  <c r="Z20" i="10"/>
  <c r="Z22" i="10"/>
  <c r="Z24" i="10"/>
  <c r="Z27" i="10"/>
  <c r="Z29" i="10"/>
  <c r="Z31" i="10"/>
  <c r="Z33" i="10"/>
  <c r="Z35" i="10"/>
  <c r="Z37" i="10"/>
  <c r="Z39" i="10"/>
  <c r="Z41" i="10"/>
  <c r="Z46" i="10"/>
  <c r="Z48" i="10"/>
  <c r="Z50" i="10"/>
  <c r="Z52" i="10"/>
  <c r="Z55" i="10"/>
  <c r="Z57" i="10"/>
  <c r="Z59" i="10"/>
  <c r="Z62" i="10"/>
  <c r="Z65" i="10"/>
  <c r="Z68" i="10"/>
  <c r="Z72" i="10"/>
  <c r="Z74" i="10"/>
  <c r="Z76" i="10"/>
  <c r="Z78" i="10"/>
  <c r="Z82" i="10"/>
  <c r="Z84" i="10"/>
  <c r="Z86" i="10"/>
  <c r="Z88" i="10"/>
  <c r="Z90" i="10"/>
  <c r="Z92" i="10"/>
  <c r="Z94" i="10"/>
  <c r="Z96" i="10"/>
  <c r="Z98" i="10"/>
  <c r="Z100" i="10"/>
  <c r="Z102" i="10"/>
  <c r="Z104" i="10"/>
  <c r="Z106" i="10"/>
  <c r="Z108" i="10"/>
  <c r="Z110" i="10"/>
  <c r="Z112" i="10"/>
  <c r="Z114" i="10"/>
  <c r="Z116" i="10"/>
  <c r="Z118" i="10"/>
  <c r="Z120" i="10"/>
  <c r="Z122" i="10"/>
  <c r="Z124" i="10"/>
  <c r="Z126" i="10"/>
  <c r="Z128" i="10"/>
  <c r="Z130" i="10"/>
  <c r="Z132" i="10"/>
  <c r="Z135" i="10"/>
  <c r="Z137" i="10"/>
  <c r="Z139" i="10"/>
  <c r="Z141" i="10"/>
  <c r="Z143" i="10"/>
  <c r="Z145" i="10"/>
  <c r="Z147" i="10"/>
  <c r="Z149" i="10"/>
  <c r="Z151" i="10"/>
  <c r="Z153" i="10"/>
  <c r="Z155" i="10"/>
  <c r="Z157" i="10"/>
  <c r="Z159" i="10"/>
  <c r="Z161" i="10"/>
  <c r="Z163" i="10"/>
  <c r="Z165" i="10"/>
  <c r="Z167" i="10"/>
  <c r="Z169" i="10"/>
  <c r="Z171" i="10"/>
  <c r="Z174" i="10"/>
  <c r="Z177" i="10"/>
  <c r="Z181" i="10"/>
  <c r="Z183" i="10"/>
  <c r="Z185" i="10"/>
  <c r="Z187" i="10"/>
  <c r="Z190" i="10"/>
  <c r="Z193" i="10"/>
  <c r="Z195" i="10"/>
  <c r="Z198" i="10"/>
  <c r="Z201" i="10"/>
  <c r="Z204" i="10"/>
  <c r="Z207" i="10"/>
  <c r="Z210" i="10"/>
  <c r="Z214" i="10"/>
  <c r="Z216" i="10"/>
  <c r="Z218" i="10"/>
  <c r="Z220" i="10"/>
  <c r="Z224" i="10"/>
  <c r="Z226" i="10"/>
  <c r="Z228" i="10"/>
  <c r="Z230" i="10"/>
  <c r="Z232" i="10"/>
  <c r="Z234" i="10"/>
  <c r="Z238" i="10"/>
  <c r="Z240" i="10"/>
  <c r="Z243" i="10"/>
  <c r="Z245" i="10"/>
  <c r="Z247" i="10"/>
  <c r="Z249" i="10"/>
  <c r="Z251" i="10"/>
  <c r="Z253" i="10"/>
  <c r="Z255" i="10"/>
  <c r="Z259" i="10"/>
  <c r="Z263" i="10"/>
  <c r="Z266" i="10"/>
  <c r="Z268" i="10"/>
  <c r="Z270" i="10"/>
  <c r="Z273" i="10"/>
  <c r="Z276" i="10"/>
  <c r="Z288" i="10"/>
  <c r="Z290" i="10"/>
  <c r="Z292" i="10"/>
  <c r="Z294" i="10"/>
  <c r="Z296" i="10"/>
  <c r="Z298" i="10"/>
  <c r="Z302" i="10"/>
  <c r="Z306" i="10"/>
  <c r="Z308" i="10"/>
  <c r="Z311" i="10"/>
  <c r="Z314" i="10"/>
  <c r="Z317" i="10"/>
  <c r="Z320" i="10"/>
  <c r="Z322" i="10"/>
  <c r="Z324" i="10"/>
  <c r="Z328" i="10"/>
  <c r="Z330" i="10"/>
  <c r="Z332" i="10"/>
  <c r="Z334" i="10"/>
  <c r="Z337" i="10"/>
  <c r="Z340" i="10"/>
  <c r="Z343" i="10"/>
  <c r="Z345" i="10"/>
  <c r="Z348" i="10"/>
  <c r="Z350" i="10"/>
  <c r="Z352" i="10"/>
  <c r="Z354" i="10"/>
  <c r="Z357" i="10"/>
  <c r="Z361" i="10"/>
  <c r="Z363" i="10"/>
  <c r="Z365" i="10"/>
  <c r="Z367" i="10"/>
  <c r="Z369" i="10"/>
  <c r="Z372" i="10"/>
  <c r="Z374" i="10"/>
  <c r="Z377" i="10"/>
  <c r="Z379" i="10"/>
  <c r="Z389" i="10"/>
  <c r="Z394" i="10"/>
  <c r="Z401" i="10"/>
  <c r="Z404" i="10"/>
  <c r="Z407" i="10"/>
  <c r="Z409" i="10"/>
  <c r="Z411" i="10"/>
  <c r="Z415" i="10"/>
  <c r="Z424" i="10"/>
  <c r="Z426" i="10"/>
  <c r="Z428" i="10"/>
  <c r="Z430" i="10"/>
  <c r="Z435" i="10"/>
  <c r="Z438" i="10"/>
  <c r="Y4" i="10"/>
  <c r="Y5" i="10"/>
  <c r="Y9" i="10"/>
  <c r="Y11" i="10"/>
  <c r="Y13" i="10"/>
  <c r="Y15" i="10"/>
  <c r="Y18" i="10"/>
  <c r="Y20" i="10"/>
  <c r="Y22" i="10"/>
  <c r="Y24" i="10"/>
  <c r="Y26" i="10"/>
  <c r="Y28" i="10"/>
  <c r="Y31" i="10"/>
  <c r="Y34" i="10"/>
  <c r="Y38" i="10"/>
  <c r="Y40" i="10"/>
  <c r="Y42" i="10"/>
  <c r="Y44" i="10"/>
  <c r="Y46" i="10"/>
  <c r="Y49" i="10"/>
  <c r="Y53" i="10"/>
  <c r="Y55" i="10"/>
  <c r="Y57" i="10"/>
  <c r="Y59" i="10"/>
  <c r="Y61" i="10"/>
  <c r="Y63" i="10"/>
  <c r="Y65" i="10"/>
  <c r="Y67" i="10"/>
  <c r="Y69" i="10"/>
  <c r="Y71" i="10"/>
  <c r="Y73" i="10"/>
  <c r="Y75" i="10"/>
  <c r="Y77" i="10"/>
  <c r="Y79" i="10"/>
  <c r="Y81" i="10"/>
  <c r="Y85" i="10"/>
  <c r="Y88" i="10"/>
  <c r="Y92" i="10"/>
  <c r="Y94" i="10"/>
  <c r="Y96" i="10"/>
  <c r="Y98" i="10"/>
  <c r="Y100" i="10"/>
  <c r="Y102" i="10"/>
  <c r="Y105" i="10"/>
  <c r="Y108" i="10"/>
  <c r="Y110" i="10"/>
  <c r="Y112" i="10"/>
  <c r="Y114" i="10"/>
  <c r="Y116" i="10"/>
  <c r="Y120" i="10"/>
  <c r="Y125" i="10"/>
  <c r="Y127" i="10"/>
  <c r="Y129" i="10"/>
  <c r="Y131" i="10"/>
  <c r="Y133" i="10"/>
  <c r="Y135" i="10"/>
  <c r="Y137" i="10"/>
  <c r="Y139" i="10"/>
  <c r="Y141" i="10"/>
  <c r="Y143" i="10"/>
  <c r="Y145" i="10"/>
  <c r="Y147" i="10"/>
  <c r="Y149" i="10"/>
  <c r="Y151" i="10"/>
  <c r="Y153" i="10"/>
  <c r="Y155" i="10"/>
  <c r="Y157" i="10"/>
  <c r="Y159" i="10"/>
  <c r="Y161" i="10"/>
  <c r="Y163" i="10"/>
  <c r="Y165" i="10"/>
  <c r="Y167" i="10"/>
  <c r="Y169" i="10"/>
  <c r="Y171" i="10"/>
  <c r="Y173" i="10"/>
  <c r="Y175" i="10"/>
  <c r="Y177" i="10"/>
  <c r="Y179" i="10"/>
  <c r="Y181" i="10"/>
  <c r="Y183" i="10"/>
  <c r="Y185" i="10"/>
  <c r="Y187" i="10"/>
  <c r="Y189" i="10"/>
  <c r="Y192" i="10"/>
  <c r="Y194" i="10"/>
  <c r="Y196" i="10"/>
  <c r="Y198" i="10"/>
  <c r="Y200" i="10"/>
  <c r="Y202" i="10"/>
  <c r="Y204" i="10"/>
  <c r="Y206" i="10"/>
  <c r="Y208" i="10"/>
  <c r="Y210" i="10"/>
  <c r="Y212" i="10"/>
  <c r="Y214" i="10"/>
  <c r="Y216" i="10"/>
  <c r="Y218" i="10"/>
  <c r="Y220" i="10"/>
  <c r="Y222" i="10"/>
  <c r="Y225" i="10"/>
  <c r="Y227" i="10"/>
  <c r="Y229" i="10"/>
  <c r="Y231" i="10"/>
  <c r="Y233" i="10"/>
  <c r="Y235" i="10"/>
  <c r="Y237" i="10"/>
  <c r="Y239" i="10"/>
  <c r="Y241" i="10"/>
  <c r="Y243" i="10"/>
  <c r="Y245" i="10"/>
  <c r="Y247" i="10"/>
  <c r="Y250" i="10"/>
  <c r="Y252" i="10"/>
  <c r="Y255" i="10"/>
  <c r="Y257" i="10"/>
  <c r="Y259" i="10"/>
  <c r="Y261" i="10"/>
  <c r="Y265" i="10"/>
  <c r="Y267" i="10"/>
  <c r="Y269" i="10"/>
  <c r="Y271" i="10"/>
  <c r="Y274" i="10"/>
  <c r="Y276" i="10"/>
  <c r="Y278" i="10"/>
  <c r="Y281" i="10"/>
  <c r="Y284" i="10"/>
  <c r="Y286" i="10"/>
  <c r="Y288" i="10"/>
  <c r="Y290" i="10"/>
  <c r="Y292" i="10"/>
  <c r="Y294" i="10"/>
  <c r="Y296" i="10"/>
  <c r="Y298" i="10"/>
  <c r="Y300" i="10"/>
  <c r="Y302" i="10"/>
  <c r="Y304" i="10"/>
  <c r="Y306" i="10"/>
  <c r="Y308" i="10"/>
  <c r="Y310" i="10"/>
  <c r="Y312" i="10"/>
  <c r="Y315" i="10"/>
  <c r="Y317" i="10"/>
  <c r="Y319" i="10"/>
  <c r="Y321" i="10"/>
  <c r="Y323" i="10"/>
  <c r="Y325" i="10"/>
  <c r="Y327" i="10"/>
  <c r="Y329" i="10"/>
  <c r="Y331" i="10"/>
  <c r="Y333" i="10"/>
  <c r="Y338" i="10"/>
  <c r="Y340" i="10"/>
  <c r="Y342" i="10"/>
  <c r="Y348" i="10"/>
  <c r="Y350" i="10"/>
  <c r="Y352" i="10"/>
  <c r="Y354" i="10"/>
  <c r="Y356" i="10"/>
  <c r="Y366" i="10"/>
  <c r="Y368" i="10"/>
  <c r="Y370" i="10"/>
  <c r="Y372" i="10"/>
  <c r="Y374" i="10"/>
  <c r="Y376" i="10"/>
  <c r="Y381" i="10"/>
  <c r="Y384" i="10"/>
  <c r="Y386" i="10"/>
  <c r="Y388" i="10"/>
  <c r="Y390" i="10"/>
  <c r="Y392" i="10"/>
  <c r="Y394" i="10"/>
  <c r="Y396" i="10"/>
  <c r="Y398" i="10"/>
  <c r="Y400" i="10"/>
  <c r="Y402" i="10"/>
  <c r="Y404" i="10"/>
  <c r="Y406" i="10"/>
  <c r="Y408" i="10"/>
  <c r="Y410" i="10"/>
  <c r="Y412" i="10"/>
  <c r="Y414" i="10"/>
  <c r="Y416" i="10"/>
  <c r="Y418" i="10"/>
  <c r="Y420" i="10"/>
  <c r="Y423" i="10"/>
  <c r="Y425" i="10"/>
  <c r="Y427" i="10"/>
  <c r="Y435" i="10"/>
  <c r="Y437" i="10"/>
  <c r="R5" i="10"/>
  <c r="R7" i="10"/>
  <c r="R9" i="10"/>
  <c r="R11" i="10"/>
  <c r="R13" i="10"/>
  <c r="R15" i="10"/>
  <c r="R18" i="10"/>
  <c r="R20" i="10"/>
  <c r="R22" i="10"/>
  <c r="R24" i="10"/>
  <c r="R26" i="10"/>
  <c r="R28" i="10"/>
  <c r="R31" i="10"/>
  <c r="R33" i="10"/>
  <c r="R35" i="10"/>
  <c r="R37" i="10"/>
  <c r="R39" i="10"/>
  <c r="R41" i="10"/>
  <c r="R43" i="10"/>
  <c r="R45" i="10"/>
  <c r="R47" i="10"/>
  <c r="R49" i="10"/>
  <c r="R51" i="10"/>
  <c r="R53" i="10"/>
  <c r="R55" i="10"/>
  <c r="R57" i="10"/>
  <c r="R59" i="10"/>
  <c r="R61" i="10"/>
  <c r="R63" i="10"/>
  <c r="R68" i="10"/>
  <c r="R70" i="10"/>
  <c r="R72" i="10"/>
  <c r="R74" i="10"/>
  <c r="R76" i="10"/>
  <c r="R77" i="10"/>
  <c r="R80" i="10"/>
  <c r="R83" i="10"/>
  <c r="R85" i="10"/>
  <c r="R88" i="10"/>
  <c r="R90" i="10"/>
  <c r="R93" i="10"/>
  <c r="R96" i="10"/>
  <c r="R98" i="10"/>
  <c r="R100" i="10"/>
  <c r="R102" i="10"/>
  <c r="R104" i="10"/>
  <c r="R106" i="10"/>
  <c r="R108" i="10"/>
  <c r="R110" i="10"/>
  <c r="R112" i="10"/>
  <c r="R114" i="10"/>
  <c r="R116" i="10"/>
  <c r="R118" i="10"/>
  <c r="R120" i="10"/>
  <c r="R123" i="10"/>
  <c r="R125" i="10"/>
  <c r="R128" i="10"/>
  <c r="R130" i="10"/>
  <c r="R133" i="10"/>
  <c r="R136" i="10"/>
  <c r="R138" i="10"/>
  <c r="R140" i="10"/>
  <c r="R142" i="10"/>
  <c r="R144" i="10"/>
  <c r="R146" i="10"/>
  <c r="R148" i="10"/>
  <c r="R150" i="10"/>
  <c r="R153" i="10"/>
  <c r="R155" i="10"/>
  <c r="R157" i="10"/>
  <c r="R159" i="10"/>
  <c r="R161" i="10"/>
  <c r="R163" i="10"/>
  <c r="R165" i="10"/>
  <c r="R167" i="10"/>
  <c r="R169" i="10"/>
  <c r="R171" i="10"/>
  <c r="R173" i="10"/>
  <c r="R175" i="10"/>
  <c r="R177" i="10"/>
  <c r="R179" i="10"/>
  <c r="R181" i="10"/>
  <c r="R183" i="10"/>
  <c r="R186" i="10"/>
  <c r="R188" i="10"/>
  <c r="R190" i="10"/>
  <c r="R192" i="10"/>
  <c r="R194" i="10"/>
  <c r="R196" i="10"/>
  <c r="R198" i="10"/>
  <c r="R200" i="10"/>
  <c r="R202" i="10"/>
  <c r="R204" i="10"/>
  <c r="R206" i="10"/>
  <c r="R208" i="10"/>
  <c r="R211" i="10"/>
  <c r="R214" i="10"/>
  <c r="R216" i="10"/>
  <c r="R218" i="10"/>
  <c r="R221" i="10"/>
  <c r="R224" i="10"/>
  <c r="R226" i="10"/>
  <c r="R229" i="10"/>
  <c r="R232" i="10"/>
  <c r="R234" i="10"/>
  <c r="R236" i="10"/>
  <c r="R238" i="10"/>
  <c r="R240" i="10"/>
  <c r="R242" i="10"/>
  <c r="R244" i="10"/>
  <c r="R246" i="10"/>
  <c r="R248" i="10"/>
  <c r="R252" i="10"/>
  <c r="R254" i="10"/>
  <c r="R256" i="10"/>
  <c r="R258" i="10"/>
  <c r="R260" i="10"/>
  <c r="R262" i="10"/>
  <c r="R264" i="10"/>
  <c r="R266" i="10"/>
  <c r="R268" i="10"/>
  <c r="R272" i="10"/>
  <c r="R275" i="10"/>
  <c r="R278" i="10"/>
  <c r="R280" i="10"/>
  <c r="R283" i="10"/>
  <c r="R288" i="10"/>
  <c r="R291" i="10"/>
  <c r="R294" i="10"/>
  <c r="R301" i="10"/>
  <c r="R304" i="10"/>
  <c r="R307" i="10"/>
  <c r="R309" i="10"/>
  <c r="R311" i="10"/>
  <c r="R316" i="10"/>
  <c r="R319" i="10"/>
  <c r="R324" i="10"/>
  <c r="R327" i="10"/>
  <c r="R329" i="10"/>
  <c r="R332" i="10"/>
  <c r="R334" i="10"/>
  <c r="R336" i="10"/>
  <c r="R338" i="10"/>
  <c r="R341" i="10"/>
  <c r="R343" i="10"/>
  <c r="R345" i="10"/>
  <c r="R354" i="10"/>
  <c r="R356" i="10"/>
  <c r="R359" i="10"/>
  <c r="R361" i="10"/>
  <c r="R363" i="10"/>
  <c r="R365" i="10"/>
  <c r="R367" i="10"/>
  <c r="R370" i="10"/>
  <c r="R372" i="10"/>
  <c r="R374" i="10"/>
  <c r="R376" i="10"/>
  <c r="R378" i="10"/>
  <c r="R380" i="10"/>
  <c r="R386" i="10"/>
  <c r="R388" i="10"/>
  <c r="R390" i="10"/>
  <c r="R393" i="10"/>
  <c r="R395" i="10"/>
  <c r="R397" i="10"/>
  <c r="R400" i="10"/>
  <c r="R402" i="10"/>
  <c r="R404" i="10"/>
  <c r="R406" i="10"/>
  <c r="R408" i="10"/>
  <c r="R410" i="10"/>
  <c r="R412" i="10"/>
  <c r="R414" i="10"/>
  <c r="R416" i="10"/>
  <c r="R418" i="10"/>
  <c r="R420" i="10"/>
  <c r="R423" i="10"/>
  <c r="R425" i="10"/>
  <c r="R427" i="10"/>
  <c r="R429" i="10"/>
  <c r="R434" i="10"/>
  <c r="R436" i="10"/>
  <c r="R438" i="10"/>
  <c r="S4" i="10"/>
  <c r="S7" i="10"/>
  <c r="S11" i="10"/>
  <c r="S15" i="10"/>
  <c r="S17" i="10"/>
  <c r="S20" i="10"/>
  <c r="S22" i="10"/>
  <c r="S24" i="10"/>
  <c r="S28" i="10"/>
  <c r="S30" i="10"/>
  <c r="S32" i="10"/>
  <c r="S34" i="10"/>
  <c r="S36" i="10"/>
  <c r="S38" i="10"/>
  <c r="S41" i="10"/>
  <c r="S43" i="10"/>
  <c r="S46" i="10"/>
  <c r="S48" i="10"/>
  <c r="S50" i="10"/>
  <c r="S52" i="10"/>
  <c r="S56" i="10"/>
  <c r="S60" i="10"/>
  <c r="S63" i="10"/>
  <c r="S65" i="10"/>
  <c r="S67" i="10"/>
  <c r="S70" i="10"/>
  <c r="S72" i="10"/>
  <c r="S74" i="10"/>
  <c r="S76" i="10"/>
  <c r="S78" i="10"/>
  <c r="S81" i="10"/>
  <c r="S83" i="10"/>
  <c r="S85" i="10"/>
  <c r="S90" i="10"/>
  <c r="S92" i="10"/>
  <c r="S94" i="10"/>
  <c r="S96" i="10"/>
  <c r="S103" i="10"/>
  <c r="S105" i="10"/>
  <c r="S108" i="10"/>
  <c r="S110" i="10"/>
  <c r="S112" i="10"/>
  <c r="S115" i="10"/>
  <c r="S117" i="10"/>
  <c r="S119" i="10"/>
  <c r="S123" i="10"/>
  <c r="S129" i="10"/>
  <c r="S131" i="10"/>
  <c r="S133" i="10"/>
  <c r="S135" i="10"/>
  <c r="S137" i="10"/>
  <c r="S139" i="10"/>
  <c r="S141" i="10"/>
  <c r="S143" i="10"/>
  <c r="S145" i="10"/>
  <c r="S147" i="10"/>
  <c r="S149" i="10"/>
  <c r="S152" i="10"/>
  <c r="S155" i="10"/>
  <c r="S157" i="10"/>
  <c r="S159" i="10"/>
  <c r="S161" i="10"/>
  <c r="S164" i="10"/>
  <c r="S166" i="10"/>
  <c r="S169" i="10"/>
  <c r="S172" i="10"/>
  <c r="S174" i="10"/>
  <c r="S176" i="10"/>
  <c r="S178" i="10"/>
  <c r="S180" i="10"/>
  <c r="S182" i="10"/>
  <c r="S184" i="10"/>
  <c r="S186" i="10"/>
  <c r="S189" i="10"/>
  <c r="S191" i="10"/>
  <c r="S193" i="10"/>
  <c r="S195" i="10"/>
  <c r="S197" i="10"/>
  <c r="S199" i="10"/>
  <c r="S201" i="10"/>
  <c r="S203" i="10"/>
  <c r="S205" i="10"/>
  <c r="S236" i="10"/>
  <c r="S238" i="10"/>
  <c r="S246" i="10"/>
  <c r="S247" i="10"/>
  <c r="S265" i="10"/>
  <c r="S268" i="10"/>
  <c r="S271" i="10"/>
  <c r="S274" i="10"/>
  <c r="S276" i="10"/>
  <c r="S279" i="10"/>
  <c r="S283" i="10"/>
  <c r="S285" i="10"/>
  <c r="S287" i="10"/>
  <c r="S289" i="10"/>
  <c r="S292" i="10"/>
  <c r="S296" i="10"/>
  <c r="S304" i="10"/>
  <c r="S307" i="10"/>
  <c r="S311" i="10"/>
  <c r="S316" i="10"/>
  <c r="S319" i="10"/>
  <c r="S322" i="10"/>
  <c r="S324" i="10"/>
  <c r="S327" i="10"/>
  <c r="S329" i="10"/>
  <c r="S333" i="10"/>
  <c r="S335" i="10"/>
  <c r="S337" i="10"/>
  <c r="S340" i="10"/>
  <c r="S343" i="10"/>
  <c r="S345" i="10"/>
  <c r="S352" i="10"/>
  <c r="S354" i="10"/>
  <c r="S356" i="10"/>
  <c r="S358" i="10"/>
  <c r="S360" i="10"/>
  <c r="S366" i="10"/>
  <c r="S368" i="10"/>
  <c r="S370" i="10"/>
  <c r="S372" i="10"/>
  <c r="S374" i="10"/>
  <c r="S376" i="10"/>
  <c r="S378" i="10"/>
  <c r="S380" i="10"/>
  <c r="S382" i="10"/>
  <c r="S385" i="10"/>
  <c r="S387" i="10"/>
  <c r="S389" i="10"/>
  <c r="S391" i="10"/>
  <c r="S393" i="10"/>
  <c r="S395" i="10"/>
  <c r="S400" i="10"/>
  <c r="S401" i="10"/>
  <c r="S403" i="10"/>
  <c r="S406" i="10"/>
  <c r="S408" i="10"/>
  <c r="S410" i="10"/>
  <c r="S412" i="10"/>
  <c r="S414" i="10"/>
  <c r="S416" i="10"/>
  <c r="S418" i="10"/>
  <c r="S420" i="10"/>
  <c r="S422" i="10"/>
  <c r="S424" i="10"/>
  <c r="S426" i="10"/>
  <c r="S428" i="10"/>
  <c r="S430" i="10"/>
  <c r="S438" i="10"/>
  <c r="P5" i="10"/>
  <c r="P7" i="10"/>
  <c r="P9" i="10"/>
  <c r="P11" i="10"/>
  <c r="P13" i="10"/>
  <c r="P15" i="10"/>
  <c r="P17" i="10"/>
  <c r="P19" i="10"/>
  <c r="P21" i="10"/>
  <c r="P23" i="10"/>
  <c r="P25" i="10"/>
  <c r="P27" i="10"/>
  <c r="P29" i="10"/>
  <c r="P31" i="10"/>
  <c r="P33" i="10"/>
  <c r="P38" i="10"/>
  <c r="P40" i="10"/>
  <c r="P42" i="10"/>
  <c r="P44" i="10"/>
  <c r="P47" i="10"/>
  <c r="P50" i="10"/>
  <c r="P53" i="10"/>
  <c r="P55" i="10"/>
  <c r="P57" i="10"/>
  <c r="P60" i="10"/>
  <c r="P62" i="10"/>
  <c r="P65" i="10"/>
  <c r="P68" i="10"/>
  <c r="P70" i="10"/>
  <c r="P72" i="10"/>
  <c r="P75" i="10"/>
  <c r="P78" i="10"/>
  <c r="P80" i="10"/>
  <c r="P83" i="10"/>
  <c r="P85" i="10"/>
  <c r="P87" i="10"/>
  <c r="P90" i="10"/>
  <c r="P92" i="10"/>
  <c r="P95" i="10"/>
  <c r="P97" i="10"/>
  <c r="P99" i="10"/>
  <c r="P101" i="10"/>
  <c r="P103" i="10"/>
  <c r="P105" i="10"/>
  <c r="P107" i="10"/>
  <c r="P109" i="10"/>
  <c r="P111" i="10"/>
  <c r="P113" i="10"/>
  <c r="P115" i="10"/>
  <c r="P119" i="10"/>
  <c r="P122" i="10"/>
  <c r="P128" i="10"/>
  <c r="P130" i="10"/>
  <c r="P132" i="10"/>
  <c r="P134" i="10"/>
  <c r="P136" i="10"/>
  <c r="P138" i="10"/>
  <c r="P144" i="10"/>
  <c r="P146" i="10"/>
  <c r="P148" i="10"/>
  <c r="P150" i="10"/>
  <c r="P154" i="10"/>
  <c r="P156" i="10"/>
  <c r="P158" i="10"/>
  <c r="P160" i="10"/>
  <c r="P162" i="10"/>
  <c r="P164" i="10"/>
  <c r="P166" i="10"/>
  <c r="P168" i="10"/>
  <c r="P170" i="10"/>
  <c r="P173" i="10"/>
  <c r="P176" i="10"/>
  <c r="P178" i="10"/>
  <c r="P182" i="10"/>
  <c r="P184" i="10"/>
  <c r="P186" i="10"/>
  <c r="P188" i="10"/>
  <c r="P190" i="10"/>
  <c r="P192" i="10"/>
  <c r="P194" i="10"/>
  <c r="P197" i="10"/>
  <c r="P199" i="10"/>
  <c r="P202" i="10"/>
  <c r="P204" i="10"/>
  <c r="P206" i="10"/>
  <c r="P208" i="10"/>
  <c r="P210" i="10"/>
  <c r="P212" i="10"/>
  <c r="P214" i="10"/>
  <c r="P216" i="10"/>
  <c r="P218" i="10"/>
  <c r="P220" i="10"/>
  <c r="P222" i="10"/>
  <c r="P225" i="10"/>
  <c r="P227" i="10"/>
  <c r="P229" i="10"/>
  <c r="P232" i="10"/>
  <c r="P242" i="10"/>
  <c r="P264" i="10"/>
  <c r="P272" i="10"/>
  <c r="P285" i="10"/>
  <c r="P289" i="10"/>
  <c r="P309" i="10"/>
  <c r="P327" i="10"/>
  <c r="P365" i="10"/>
  <c r="P413" i="10"/>
  <c r="P418" i="10"/>
  <c r="H461" i="10"/>
  <c r="H166" i="10"/>
  <c r="Q140" i="10"/>
  <c r="Q162" i="10"/>
  <c r="Q240" i="10"/>
  <c r="Q390" i="10"/>
  <c r="AA424" i="10"/>
  <c r="AA428" i="10"/>
  <c r="AA430" i="10"/>
  <c r="AA435" i="10"/>
  <c r="Z4" i="10"/>
  <c r="Z6" i="10"/>
  <c r="Z9" i="10"/>
  <c r="Z11" i="10"/>
  <c r="Z13" i="10"/>
  <c r="Z15" i="10"/>
  <c r="Z17" i="10"/>
  <c r="Z19" i="10"/>
  <c r="Z21" i="10"/>
  <c r="Z23" i="10"/>
  <c r="Z25" i="10"/>
  <c r="Z28" i="10"/>
  <c r="Z30" i="10"/>
  <c r="Z32" i="10"/>
  <c r="Z34" i="10"/>
  <c r="Z36" i="10"/>
  <c r="Z38" i="10"/>
  <c r="Z40" i="10"/>
  <c r="Z42" i="10"/>
  <c r="Z45" i="10"/>
  <c r="Z47" i="10"/>
  <c r="Z49" i="10"/>
  <c r="Z51" i="10"/>
  <c r="Z53" i="10"/>
  <c r="Z58" i="10"/>
  <c r="Z60" i="10"/>
  <c r="Z64" i="10"/>
  <c r="Z66" i="10"/>
  <c r="Z71" i="10"/>
  <c r="Z73" i="10"/>
  <c r="Z75" i="10"/>
  <c r="Z77" i="10"/>
  <c r="Z80" i="10"/>
  <c r="Z83" i="10"/>
  <c r="Z85" i="10"/>
  <c r="Z87" i="10"/>
  <c r="Z89" i="10"/>
  <c r="Z91" i="10"/>
  <c r="Z93" i="10"/>
  <c r="Z95" i="10"/>
  <c r="Z97" i="10"/>
  <c r="Z99" i="10"/>
  <c r="Z101" i="10"/>
  <c r="Z103" i="10"/>
  <c r="Z105" i="10"/>
  <c r="Z107" i="10"/>
  <c r="Z109" i="10"/>
  <c r="Z111" i="10"/>
  <c r="Z113" i="10"/>
  <c r="Z115" i="10"/>
  <c r="Z117" i="10"/>
  <c r="Z119" i="10"/>
  <c r="Z121" i="10"/>
  <c r="Z123" i="10"/>
  <c r="Z125" i="10"/>
  <c r="Z127" i="10"/>
  <c r="Z129" i="10"/>
  <c r="Z131" i="10"/>
  <c r="Z134" i="10"/>
  <c r="Z136" i="10"/>
  <c r="Z138" i="10"/>
  <c r="Z140" i="10"/>
  <c r="Z142" i="10"/>
  <c r="Z144" i="10"/>
  <c r="Z146" i="10"/>
  <c r="Z148" i="10"/>
  <c r="Z150" i="10"/>
  <c r="Z152" i="10"/>
  <c r="Z154" i="10"/>
  <c r="Z156" i="10"/>
  <c r="Z158" i="10"/>
  <c r="Z160" i="10"/>
  <c r="Z162" i="10"/>
  <c r="Z164" i="10"/>
  <c r="Z166" i="10"/>
  <c r="Z168" i="10"/>
  <c r="Z170" i="10"/>
  <c r="Z175" i="10"/>
  <c r="Z176" i="10"/>
  <c r="Z178" i="10"/>
  <c r="Z180" i="10"/>
  <c r="Z182" i="10"/>
  <c r="Z184" i="10"/>
  <c r="Z186" i="10"/>
  <c r="Z188" i="10"/>
  <c r="Z192" i="10"/>
  <c r="Z194" i="10"/>
  <c r="Z196" i="10"/>
  <c r="Z200" i="10"/>
  <c r="Z202" i="10"/>
  <c r="Z206" i="10"/>
  <c r="Z208" i="10"/>
  <c r="Z211" i="10"/>
  <c r="Z213" i="10"/>
  <c r="Z215" i="10"/>
  <c r="Z217" i="10"/>
  <c r="Z219" i="10"/>
  <c r="Z221" i="10"/>
  <c r="Z223" i="10"/>
  <c r="Z225" i="10"/>
  <c r="Z227" i="10"/>
  <c r="Z229" i="10"/>
  <c r="Z231" i="10"/>
  <c r="Z233" i="10"/>
  <c r="Z235" i="10"/>
  <c r="Z237" i="10"/>
  <c r="Z239" i="10"/>
  <c r="Z242" i="10"/>
  <c r="Z244" i="10"/>
  <c r="Z246" i="10"/>
  <c r="Z248" i="10"/>
  <c r="Z250" i="10"/>
  <c r="Z252" i="10"/>
  <c r="Z254" i="10"/>
  <c r="Z256" i="10"/>
  <c r="Z258" i="10"/>
  <c r="Z260" i="10"/>
  <c r="Z262" i="10"/>
  <c r="Z264" i="10"/>
  <c r="Z267" i="10"/>
  <c r="Z269" i="10"/>
  <c r="Z271" i="10"/>
  <c r="Z274" i="10"/>
  <c r="Z287" i="10"/>
  <c r="Z289" i="10"/>
  <c r="Z291" i="10"/>
  <c r="Z293" i="10"/>
  <c r="Z295" i="10"/>
  <c r="Z297" i="10"/>
  <c r="Z300" i="10"/>
  <c r="Z303" i="10"/>
  <c r="Z304" i="10"/>
  <c r="Z307" i="10"/>
  <c r="Z309" i="10"/>
  <c r="Z313" i="10"/>
  <c r="Z316" i="10"/>
  <c r="Z318" i="10"/>
  <c r="Z321" i="10"/>
  <c r="Z323" i="10"/>
  <c r="Z325" i="10"/>
  <c r="Z327" i="10"/>
  <c r="Z329" i="10"/>
  <c r="Z331" i="10"/>
  <c r="Z333" i="10"/>
  <c r="Z336" i="10"/>
  <c r="Z338" i="10"/>
  <c r="Z342" i="10"/>
  <c r="Z344" i="10"/>
  <c r="Z347" i="10"/>
  <c r="Z349" i="10"/>
  <c r="Z351" i="10"/>
  <c r="Z353" i="10"/>
  <c r="Z358" i="10"/>
  <c r="Z360" i="10"/>
  <c r="Z362" i="10"/>
  <c r="Z364" i="10"/>
  <c r="Z366" i="10"/>
  <c r="Z368" i="10"/>
  <c r="Z371" i="10"/>
  <c r="Z373" i="10"/>
  <c r="Z375" i="10"/>
  <c r="Z378" i="10"/>
  <c r="Z385" i="10"/>
  <c r="Z388" i="10"/>
  <c r="Z390" i="10"/>
  <c r="Z392" i="10"/>
  <c r="Z395" i="10"/>
  <c r="Z397" i="10"/>
  <c r="Z399" i="10"/>
  <c r="Z403" i="10"/>
  <c r="Z406" i="10"/>
  <c r="Z408" i="10"/>
  <c r="Z410" i="10"/>
  <c r="Z412" i="10"/>
  <c r="Z416" i="10"/>
  <c r="Z418" i="10"/>
  <c r="Z420" i="10"/>
  <c r="Z423" i="10"/>
  <c r="Z425" i="10"/>
  <c r="Z427" i="10"/>
  <c r="Z429" i="10"/>
  <c r="Z434" i="10"/>
  <c r="Y6" i="10"/>
  <c r="Y7" i="10"/>
  <c r="Y10" i="10"/>
  <c r="Y12" i="10"/>
  <c r="Y14" i="10"/>
  <c r="Y17" i="10"/>
  <c r="Y19" i="10"/>
  <c r="Y21" i="10"/>
  <c r="Y27" i="10"/>
  <c r="Y30" i="10"/>
  <c r="Y32" i="10"/>
  <c r="Y36" i="10"/>
  <c r="Y39" i="10"/>
  <c r="Y41" i="10"/>
  <c r="Y43" i="10"/>
  <c r="Y45" i="10"/>
  <c r="Y48" i="10"/>
  <c r="Y50" i="10"/>
  <c r="Y52" i="10"/>
  <c r="Y54" i="10"/>
  <c r="Y56" i="10"/>
  <c r="Y58" i="10"/>
  <c r="Y60" i="10"/>
  <c r="Y62" i="10"/>
  <c r="Y64" i="10"/>
  <c r="Y66" i="10"/>
  <c r="Y68" i="10"/>
  <c r="Y70" i="10"/>
  <c r="Y72" i="10"/>
  <c r="Y74" i="10"/>
  <c r="Y76" i="10"/>
  <c r="Y78" i="10"/>
  <c r="Y80" i="10"/>
  <c r="Y83" i="10"/>
  <c r="Y87" i="10"/>
  <c r="Y89" i="10"/>
  <c r="Y91" i="10"/>
  <c r="Y93" i="10"/>
  <c r="Y95" i="10"/>
  <c r="Y97" i="10"/>
  <c r="Y99" i="10"/>
  <c r="Y101" i="10"/>
  <c r="Y103" i="10"/>
  <c r="Y106" i="10"/>
  <c r="Y109" i="10"/>
  <c r="Y111" i="10"/>
  <c r="Y113" i="10"/>
  <c r="Y115" i="10"/>
  <c r="Y117" i="10"/>
  <c r="Y119" i="10"/>
  <c r="Y122" i="10"/>
  <c r="Y124" i="10"/>
  <c r="Y126" i="10"/>
  <c r="Y128" i="10"/>
  <c r="Y130" i="10"/>
  <c r="Y132" i="10"/>
  <c r="Y134" i="10"/>
  <c r="Y136" i="10"/>
  <c r="Y138" i="10"/>
  <c r="Y140" i="10"/>
  <c r="Y142" i="10"/>
  <c r="Y144" i="10"/>
  <c r="Y148" i="10"/>
  <c r="Y150" i="10"/>
  <c r="Y152" i="10"/>
  <c r="Y154" i="10"/>
  <c r="Y156" i="10"/>
  <c r="Y158" i="10"/>
  <c r="Y160" i="10"/>
  <c r="Y162" i="10"/>
  <c r="Y164" i="10"/>
  <c r="Y166" i="10"/>
  <c r="Y168" i="10"/>
  <c r="Y170" i="10"/>
  <c r="Y172" i="10"/>
  <c r="Y174" i="10"/>
  <c r="Y176" i="10"/>
  <c r="Y178" i="10"/>
  <c r="Y180" i="10"/>
  <c r="Y182" i="10"/>
  <c r="Y184" i="10"/>
  <c r="Y186" i="10"/>
  <c r="Y188" i="10"/>
  <c r="Y191" i="10"/>
  <c r="Y193" i="10"/>
  <c r="Y195" i="10"/>
  <c r="Y197" i="10"/>
  <c r="Y199" i="10"/>
  <c r="Y201" i="10"/>
  <c r="Y203" i="10"/>
  <c r="Y205" i="10"/>
  <c r="Y207" i="10"/>
  <c r="Y209" i="10"/>
  <c r="Y211" i="10"/>
  <c r="Y213" i="10"/>
  <c r="Y215" i="10"/>
  <c r="Y217" i="10"/>
  <c r="Y219" i="10"/>
  <c r="Y221" i="10"/>
  <c r="Y223" i="10"/>
  <c r="Y226" i="10"/>
  <c r="Y228" i="10"/>
  <c r="Y230" i="10"/>
  <c r="Y232" i="10"/>
  <c r="Y234" i="10"/>
  <c r="Y236" i="10"/>
  <c r="Y238" i="10"/>
  <c r="Y240" i="10"/>
  <c r="Y242" i="10"/>
  <c r="Y244" i="10"/>
  <c r="Y246" i="10"/>
  <c r="Y248" i="10"/>
  <c r="Y251" i="10"/>
  <c r="Y254" i="10"/>
  <c r="Y256" i="10"/>
  <c r="Y258" i="10"/>
  <c r="Y260" i="10"/>
  <c r="Y262" i="10"/>
  <c r="Y264" i="10"/>
  <c r="Y266" i="10"/>
  <c r="Y268" i="10"/>
  <c r="Y270" i="10"/>
  <c r="Y273" i="10"/>
  <c r="Y275" i="10"/>
  <c r="Y277" i="10"/>
  <c r="Y279" i="10"/>
  <c r="Y283" i="10"/>
  <c r="Y285" i="10"/>
  <c r="Y287" i="10"/>
  <c r="Y289" i="10"/>
  <c r="Y291" i="10"/>
  <c r="Y293" i="10"/>
  <c r="Y295" i="10"/>
  <c r="Y297" i="10"/>
  <c r="Y299" i="10"/>
  <c r="Y301" i="10"/>
  <c r="Y303" i="10"/>
  <c r="Y305" i="10"/>
  <c r="Y307" i="10"/>
  <c r="Y309" i="10"/>
  <c r="Y311" i="10"/>
  <c r="Y313" i="10"/>
  <c r="Y316" i="10"/>
  <c r="Y318" i="10"/>
  <c r="Y320" i="10"/>
  <c r="Y322" i="10"/>
  <c r="Y324" i="10"/>
  <c r="Y326" i="10"/>
  <c r="Y328" i="10"/>
  <c r="Y330" i="10"/>
  <c r="Y332" i="10"/>
  <c r="Y337" i="10"/>
  <c r="Y339" i="10"/>
  <c r="Y341" i="10"/>
  <c r="Y343" i="10"/>
  <c r="Y346" i="10"/>
  <c r="Y349" i="10"/>
  <c r="Y351" i="10"/>
  <c r="Y353" i="10"/>
  <c r="Y355" i="10"/>
  <c r="Y357" i="10"/>
  <c r="Y367" i="10"/>
  <c r="Y369" i="10"/>
  <c r="Y371" i="10"/>
  <c r="Y373" i="10"/>
  <c r="Y375" i="10"/>
  <c r="Y377" i="10"/>
  <c r="Y380" i="10"/>
  <c r="Y382" i="10"/>
  <c r="Y385" i="10"/>
  <c r="Y387" i="10"/>
  <c r="Y389" i="10"/>
  <c r="Y391" i="10"/>
  <c r="Y393" i="10"/>
  <c r="Y395" i="10"/>
  <c r="Y397" i="10"/>
  <c r="Y399" i="10"/>
  <c r="Y401" i="10"/>
  <c r="Y403" i="10"/>
  <c r="Y405" i="10"/>
  <c r="Y407" i="10"/>
  <c r="Y409" i="10"/>
  <c r="Y411" i="10"/>
  <c r="Y413" i="10"/>
  <c r="Y415" i="10"/>
  <c r="Y417" i="10"/>
  <c r="Y419" i="10"/>
  <c r="Y421" i="10"/>
  <c r="Y424" i="10"/>
  <c r="Y426" i="10"/>
  <c r="Y428" i="10"/>
  <c r="Y434" i="10"/>
  <c r="Y436" i="10"/>
  <c r="Y438" i="10"/>
  <c r="R6" i="10"/>
  <c r="R8" i="10"/>
  <c r="R10" i="10"/>
  <c r="R12" i="10"/>
  <c r="R14" i="10"/>
  <c r="R17" i="10"/>
  <c r="R19" i="10"/>
  <c r="R21" i="10"/>
  <c r="R23" i="10"/>
  <c r="R25" i="10"/>
  <c r="R27" i="10"/>
  <c r="R29" i="10"/>
  <c r="R32" i="10"/>
  <c r="R34" i="10"/>
  <c r="R36" i="10"/>
  <c r="R38" i="10"/>
  <c r="R40" i="10"/>
  <c r="R42" i="10"/>
  <c r="R44" i="10"/>
  <c r="R46" i="10"/>
  <c r="R48" i="10"/>
  <c r="R50" i="10"/>
  <c r="R52" i="10"/>
  <c r="R56" i="10"/>
  <c r="R58" i="10"/>
  <c r="R60" i="10"/>
  <c r="R62" i="10"/>
  <c r="R67" i="10"/>
  <c r="R69" i="10"/>
  <c r="R71" i="10"/>
  <c r="R73" i="10"/>
  <c r="R75" i="10"/>
  <c r="R78" i="10"/>
  <c r="R82" i="10"/>
  <c r="R84" i="10"/>
  <c r="R86" i="10"/>
  <c r="R89" i="10"/>
  <c r="R92" i="10"/>
  <c r="R94" i="10"/>
  <c r="R97" i="10"/>
  <c r="R99" i="10"/>
  <c r="R101" i="10"/>
  <c r="R103" i="10"/>
  <c r="R105" i="10"/>
  <c r="R107" i="10"/>
  <c r="R109" i="10"/>
  <c r="R111" i="10"/>
  <c r="R113" i="10"/>
  <c r="R115" i="10"/>
  <c r="R117" i="10"/>
  <c r="R119" i="10"/>
  <c r="R121" i="10"/>
  <c r="R124" i="10"/>
  <c r="R127" i="10"/>
  <c r="R129" i="10"/>
  <c r="R131" i="10"/>
  <c r="R135" i="10"/>
  <c r="R137" i="10"/>
  <c r="R139" i="10"/>
  <c r="R141" i="10"/>
  <c r="R143" i="10"/>
  <c r="R145" i="10"/>
  <c r="R147" i="10"/>
  <c r="R149" i="10"/>
  <c r="R152" i="10"/>
  <c r="R154" i="10"/>
  <c r="R156" i="10"/>
  <c r="R158" i="10"/>
  <c r="R160" i="10"/>
  <c r="R162" i="10"/>
  <c r="R164" i="10"/>
  <c r="R166" i="10"/>
  <c r="R168" i="10"/>
  <c r="R170" i="10"/>
  <c r="R172" i="10"/>
  <c r="R174" i="10"/>
  <c r="R176" i="10"/>
  <c r="R178" i="10"/>
  <c r="R180" i="10"/>
  <c r="R182" i="10"/>
  <c r="R185" i="10"/>
  <c r="R187" i="10"/>
  <c r="R189" i="10"/>
  <c r="R191" i="10"/>
  <c r="R193" i="10"/>
  <c r="R195" i="10"/>
  <c r="R197" i="10"/>
  <c r="R199" i="10"/>
  <c r="R201" i="10"/>
  <c r="R203" i="10"/>
  <c r="R205" i="10"/>
  <c r="R207" i="10"/>
  <c r="R209" i="10"/>
  <c r="R213" i="10"/>
  <c r="R215" i="10"/>
  <c r="R217" i="10"/>
  <c r="R219" i="10"/>
  <c r="R223" i="10"/>
  <c r="R225" i="10"/>
  <c r="R227" i="10"/>
  <c r="R231" i="10"/>
  <c r="R233" i="10"/>
  <c r="R235" i="10"/>
  <c r="R237" i="10"/>
  <c r="R239" i="10"/>
  <c r="R241" i="10"/>
  <c r="R243" i="10"/>
  <c r="R245" i="10"/>
  <c r="R247" i="10"/>
  <c r="R249" i="10"/>
  <c r="R251" i="10"/>
  <c r="R253" i="10"/>
  <c r="R255" i="10"/>
  <c r="R257" i="10"/>
  <c r="R259" i="10"/>
  <c r="R261" i="10"/>
  <c r="R263" i="10"/>
  <c r="R265" i="10"/>
  <c r="R267" i="10"/>
  <c r="R271" i="10"/>
  <c r="R274" i="10"/>
  <c r="R276" i="10"/>
  <c r="R279" i="10"/>
  <c r="R282" i="10"/>
  <c r="R285" i="10"/>
  <c r="R287" i="10"/>
  <c r="R289" i="10"/>
  <c r="R292" i="10"/>
  <c r="R296" i="10"/>
  <c r="R298" i="10"/>
  <c r="R302" i="10"/>
  <c r="R305" i="10"/>
  <c r="R308" i="10"/>
  <c r="R310" i="10"/>
  <c r="R312" i="10"/>
  <c r="R317" i="10"/>
  <c r="R323" i="10"/>
  <c r="R325" i="10"/>
  <c r="R328" i="10"/>
  <c r="R333" i="10"/>
  <c r="R335" i="10"/>
  <c r="R337" i="10"/>
  <c r="R340" i="10"/>
  <c r="R342" i="10"/>
  <c r="R351" i="10"/>
  <c r="R355" i="10"/>
  <c r="R357" i="10"/>
  <c r="R360" i="10"/>
  <c r="R362" i="10"/>
  <c r="R364" i="10"/>
  <c r="R366" i="10"/>
  <c r="R368" i="10"/>
  <c r="R371" i="10"/>
  <c r="R373" i="10"/>
  <c r="R375" i="10"/>
  <c r="R377" i="10"/>
  <c r="R379" i="10"/>
  <c r="R381" i="10"/>
  <c r="R385" i="10"/>
  <c r="R387" i="10"/>
  <c r="R389" i="10"/>
  <c r="R391" i="10"/>
  <c r="R394" i="10"/>
  <c r="R396" i="10"/>
  <c r="R399" i="10"/>
  <c r="R401" i="10"/>
  <c r="R403" i="10"/>
  <c r="R405" i="10"/>
  <c r="R407" i="10"/>
  <c r="R409" i="10"/>
  <c r="R411" i="10"/>
  <c r="R413" i="10"/>
  <c r="R415" i="10"/>
  <c r="R417" i="10"/>
  <c r="R419" i="10"/>
  <c r="R422" i="10"/>
  <c r="R424" i="10"/>
  <c r="R426" i="10"/>
  <c r="R428" i="10"/>
  <c r="R430" i="10"/>
  <c r="R435" i="10"/>
  <c r="R437" i="10"/>
  <c r="R4" i="10"/>
  <c r="S5" i="10"/>
  <c r="S9" i="10"/>
  <c r="S13" i="10"/>
  <c r="S16" i="10"/>
  <c r="S19" i="10"/>
  <c r="S21" i="10"/>
  <c r="S23" i="10"/>
  <c r="S26" i="10"/>
  <c r="S29" i="10"/>
  <c r="S31" i="10"/>
  <c r="S33" i="10"/>
  <c r="S35" i="10"/>
  <c r="S37" i="10"/>
  <c r="S39" i="10"/>
  <c r="S42" i="10"/>
  <c r="S45" i="10"/>
  <c r="S47" i="10"/>
  <c r="S49" i="10"/>
  <c r="S51" i="10"/>
  <c r="S55" i="10"/>
  <c r="S57" i="10"/>
  <c r="S59" i="10"/>
  <c r="S61" i="10"/>
  <c r="S64" i="10"/>
  <c r="S66" i="10"/>
  <c r="S68" i="10"/>
  <c r="S71" i="10"/>
  <c r="S73" i="10"/>
  <c r="S75" i="10"/>
  <c r="S77" i="10"/>
  <c r="S80" i="10"/>
  <c r="S82" i="10"/>
  <c r="S84" i="10"/>
  <c r="S86" i="10"/>
  <c r="S88" i="10"/>
  <c r="S91" i="10"/>
  <c r="S93" i="10"/>
  <c r="S95" i="10"/>
  <c r="S97" i="10"/>
  <c r="S99" i="10"/>
  <c r="S101" i="10"/>
  <c r="S104" i="10"/>
  <c r="S107" i="10"/>
  <c r="S109" i="10"/>
  <c r="S111" i="10"/>
  <c r="S113" i="10"/>
  <c r="S116" i="10"/>
  <c r="S118" i="10"/>
  <c r="S120" i="10"/>
  <c r="S122" i="10"/>
  <c r="S124" i="10"/>
  <c r="S130" i="10"/>
  <c r="S132" i="10"/>
  <c r="S134" i="10"/>
  <c r="S136" i="10"/>
  <c r="S138" i="10"/>
  <c r="S140" i="10"/>
  <c r="S142" i="10"/>
  <c r="S144" i="10"/>
  <c r="S146" i="10"/>
  <c r="S148" i="10"/>
  <c r="S150" i="10"/>
  <c r="S154" i="10"/>
  <c r="S156" i="10"/>
  <c r="S158" i="10"/>
  <c r="S160" i="10"/>
  <c r="S163" i="10"/>
  <c r="S165" i="10"/>
  <c r="S167" i="10"/>
  <c r="S171" i="10"/>
  <c r="S173" i="10"/>
  <c r="S175" i="10"/>
  <c r="S177" i="10"/>
  <c r="S179" i="10"/>
  <c r="S183" i="10"/>
  <c r="S185" i="10"/>
  <c r="S187" i="10"/>
  <c r="S190" i="10"/>
  <c r="S192" i="10"/>
  <c r="S194" i="10"/>
  <c r="S196" i="10"/>
  <c r="S198" i="10"/>
  <c r="S200" i="10"/>
  <c r="S202" i="10"/>
  <c r="S204" i="10"/>
  <c r="S206" i="10"/>
  <c r="S248" i="10"/>
  <c r="S250" i="10"/>
  <c r="S254" i="10"/>
  <c r="S266" i="10"/>
  <c r="S269" i="10"/>
  <c r="S272" i="10"/>
  <c r="S278" i="10"/>
  <c r="S280" i="10"/>
  <c r="S284" i="10"/>
  <c r="S286" i="10"/>
  <c r="S288" i="10"/>
  <c r="S291" i="10"/>
  <c r="S294" i="10"/>
  <c r="S297" i="10"/>
  <c r="S301" i="10"/>
  <c r="S305" i="10"/>
  <c r="S309" i="10"/>
  <c r="S312" i="10"/>
  <c r="S317" i="10"/>
  <c r="S320" i="10"/>
  <c r="S323" i="10"/>
  <c r="S334" i="10"/>
  <c r="S336" i="10"/>
  <c r="S342" i="10"/>
  <c r="S351" i="10"/>
  <c r="S353" i="10"/>
  <c r="S355" i="10"/>
  <c r="S357" i="10"/>
  <c r="S359" i="10"/>
  <c r="S365" i="10"/>
  <c r="S367" i="10"/>
  <c r="S371" i="10"/>
  <c r="S373" i="10"/>
  <c r="S375" i="10"/>
  <c r="S377" i="10"/>
  <c r="S379" i="10"/>
  <c r="S381" i="10"/>
  <c r="S384" i="10"/>
  <c r="S386" i="10"/>
  <c r="S388" i="10"/>
  <c r="S390" i="10"/>
  <c r="S392" i="10"/>
  <c r="S396" i="10"/>
  <c r="S402" i="10"/>
  <c r="S405" i="10"/>
  <c r="S409" i="10"/>
  <c r="S411" i="10"/>
  <c r="S413" i="10"/>
  <c r="S415" i="10"/>
  <c r="S417" i="10"/>
  <c r="S419" i="10"/>
  <c r="S421" i="10"/>
  <c r="S423" i="10"/>
  <c r="S425" i="10"/>
  <c r="S427" i="10"/>
  <c r="S429" i="10"/>
  <c r="S434" i="10"/>
  <c r="P4" i="10"/>
  <c r="P6" i="10"/>
  <c r="P10" i="10"/>
  <c r="P12" i="10"/>
  <c r="P14" i="10"/>
  <c r="P16" i="10"/>
  <c r="P18" i="10"/>
  <c r="P20" i="10"/>
  <c r="P22" i="10"/>
  <c r="P24" i="10"/>
  <c r="P26" i="10"/>
  <c r="P28" i="10"/>
  <c r="P30" i="10"/>
  <c r="P32" i="10"/>
  <c r="P34" i="10"/>
  <c r="P39" i="10"/>
  <c r="P41" i="10"/>
  <c r="P43" i="10"/>
  <c r="P46" i="10"/>
  <c r="P49" i="10"/>
  <c r="P51" i="10"/>
  <c r="P54" i="10"/>
  <c r="P56" i="10"/>
  <c r="P59" i="10"/>
  <c r="P61" i="10"/>
  <c r="P63" i="10"/>
  <c r="P67" i="10"/>
  <c r="P69" i="10"/>
  <c r="P71" i="10"/>
  <c r="P73" i="10"/>
  <c r="P77" i="10"/>
  <c r="P79" i="10"/>
  <c r="P81" i="10"/>
  <c r="P84" i="10"/>
  <c r="P86" i="10"/>
  <c r="P89" i="10"/>
  <c r="P91" i="10"/>
  <c r="P93" i="10"/>
  <c r="P96" i="10"/>
  <c r="P98" i="10"/>
  <c r="P100" i="10"/>
  <c r="P102" i="10"/>
  <c r="P104" i="10"/>
  <c r="P106" i="10"/>
  <c r="P108" i="10"/>
  <c r="P110" i="10"/>
  <c r="P112" i="10"/>
  <c r="P114" i="10"/>
  <c r="P117" i="10"/>
  <c r="P121" i="10"/>
  <c r="P123" i="10"/>
  <c r="P125" i="10"/>
  <c r="P127" i="10"/>
  <c r="P129" i="10"/>
  <c r="P131" i="10"/>
  <c r="P133" i="10"/>
  <c r="P135" i="10"/>
  <c r="P137" i="10"/>
  <c r="P139" i="10"/>
  <c r="P141" i="10"/>
  <c r="P143" i="10"/>
  <c r="P145" i="10"/>
  <c r="P147" i="10"/>
  <c r="P149" i="10"/>
  <c r="P151" i="10"/>
  <c r="P153" i="10"/>
  <c r="P155" i="10"/>
  <c r="P157" i="10"/>
  <c r="P159" i="10"/>
  <c r="P161" i="10"/>
  <c r="P163" i="10"/>
  <c r="P165" i="10"/>
  <c r="P167" i="10"/>
  <c r="P169" i="10"/>
  <c r="P171" i="10"/>
  <c r="P175" i="10"/>
  <c r="P177" i="10"/>
  <c r="P180" i="10"/>
  <c r="P183" i="10"/>
  <c r="P185" i="10"/>
  <c r="P187" i="10"/>
  <c r="P189" i="10"/>
  <c r="P191" i="10"/>
  <c r="P193" i="10"/>
  <c r="P196" i="10"/>
  <c r="P198" i="10"/>
  <c r="P200" i="10"/>
  <c r="P203" i="10"/>
  <c r="P205" i="10"/>
  <c r="P207" i="10"/>
  <c r="P209" i="10"/>
  <c r="P211" i="10"/>
  <c r="P213" i="10"/>
  <c r="P215" i="10"/>
  <c r="P219" i="10"/>
  <c r="P221" i="10"/>
  <c r="P224" i="10"/>
  <c r="P226" i="10"/>
  <c r="P228" i="10"/>
  <c r="P230" i="10"/>
  <c r="P233" i="10"/>
  <c r="P237" i="10"/>
  <c r="P274" i="10"/>
  <c r="P276" i="10"/>
  <c r="P283" i="10"/>
  <c r="P288" i="10"/>
  <c r="P296" i="10"/>
  <c r="FU36" i="2"/>
  <c r="FU37" i="2"/>
  <c r="FU39" i="2"/>
  <c r="FU41" i="2"/>
  <c r="FU43" i="2"/>
  <c r="FU45" i="2"/>
  <c r="FU47" i="2"/>
  <c r="FU49" i="2"/>
  <c r="FU75" i="2"/>
  <c r="FU86" i="2"/>
  <c r="FU92" i="2"/>
  <c r="FU98" i="2"/>
  <c r="FU105" i="2"/>
  <c r="FU107" i="2"/>
  <c r="FU145" i="2"/>
  <c r="FU157" i="2"/>
  <c r="FU158" i="2"/>
  <c r="FU209" i="2"/>
  <c r="FU212" i="2"/>
  <c r="FU220" i="2"/>
  <c r="FU230" i="2"/>
  <c r="FU237" i="2"/>
  <c r="FU238" i="2"/>
  <c r="FU246" i="2"/>
  <c r="FU248" i="2"/>
  <c r="FU257" i="2"/>
  <c r="FU342" i="2"/>
  <c r="FU343" i="2"/>
  <c r="FU34" i="2"/>
  <c r="FU38" i="2"/>
  <c r="FU40" i="2"/>
  <c r="FU42" i="2"/>
  <c r="FU44" i="2"/>
  <c r="FU46" i="2"/>
  <c r="FU48" i="2"/>
  <c r="FU58" i="2"/>
  <c r="FU62" i="2"/>
  <c r="FU74" i="2"/>
  <c r="FU76" i="2"/>
  <c r="FU135" i="2"/>
  <c r="FU159" i="2"/>
  <c r="FU188" i="2"/>
  <c r="FU210" i="2"/>
  <c r="FU214" i="2"/>
  <c r="FU219" i="2"/>
  <c r="FU231" i="2"/>
  <c r="FU256" i="2"/>
  <c r="FU258" i="2"/>
  <c r="FU280" i="2"/>
  <c r="FU294" i="2"/>
  <c r="FU308" i="2"/>
  <c r="FU328" i="2"/>
  <c r="FU335" i="2"/>
  <c r="H292" i="10"/>
  <c r="H311" i="10"/>
  <c r="H330" i="10"/>
  <c r="H341" i="10"/>
  <c r="H317" i="10"/>
  <c r="AB311" i="10"/>
  <c r="Q310" i="2"/>
  <c r="H309" i="10" s="1"/>
  <c r="AB285" i="10"/>
  <c r="Q272" i="2"/>
  <c r="H271" i="10" s="1"/>
  <c r="Q280" i="2"/>
  <c r="H279" i="10" s="1"/>
  <c r="Q311" i="2"/>
  <c r="H310" i="10" s="1"/>
  <c r="Q324" i="2"/>
  <c r="H323" i="10" s="1"/>
  <c r="Q344" i="2"/>
  <c r="H343" i="10" s="1"/>
  <c r="AB341" i="10"/>
  <c r="AB317" i="10"/>
  <c r="AB308" i="10"/>
  <c r="Q309" i="2"/>
  <c r="H308" i="10" s="1"/>
  <c r="Q343" i="2"/>
  <c r="H342" i="10" s="1"/>
  <c r="AB330" i="10"/>
  <c r="Q435" i="2"/>
  <c r="AB434" i="10"/>
  <c r="AB410" i="10"/>
  <c r="Q306" i="2"/>
  <c r="H305" i="10" s="1"/>
  <c r="AB305" i="10"/>
  <c r="Q261" i="2"/>
  <c r="H260" i="10" s="1"/>
  <c r="AB260" i="10"/>
  <c r="Q136" i="2"/>
  <c r="H135" i="10" s="1"/>
  <c r="Q326" i="2"/>
  <c r="H325" i="10" s="1"/>
  <c r="AB325" i="10"/>
  <c r="AB340" i="10"/>
  <c r="Q341" i="2"/>
  <c r="H340" i="10" s="1"/>
  <c r="AB256" i="10"/>
  <c r="BC8" i="3"/>
  <c r="Q305" i="2"/>
  <c r="H304" i="10" s="1"/>
  <c r="AB304" i="10"/>
  <c r="AB284" i="10"/>
  <c r="Q285" i="2"/>
  <c r="H284" i="10" s="1"/>
  <c r="Q302" i="2"/>
  <c r="H301" i="10" s="1"/>
  <c r="AB301" i="10"/>
  <c r="AB280" i="10"/>
  <c r="Q281" i="2"/>
  <c r="H280" i="10" s="1"/>
  <c r="AB258" i="10"/>
  <c r="Q259" i="2"/>
  <c r="H258" i="10" s="1"/>
  <c r="R352" i="10"/>
  <c r="Z419" i="10"/>
  <c r="AB384" i="10"/>
  <c r="AB302" i="10"/>
  <c r="AA425" i="10"/>
  <c r="P394" i="10"/>
  <c r="M20" i="3"/>
  <c r="N20" i="3"/>
  <c r="AB297" i="10"/>
  <c r="Q298" i="2"/>
  <c r="H297" i="10" s="1"/>
  <c r="Q339" i="2"/>
  <c r="H338" i="10" s="1"/>
  <c r="AB338" i="10"/>
  <c r="AH7" i="3"/>
  <c r="Q338" i="2"/>
  <c r="H337" i="10" s="1"/>
  <c r="AB337" i="10"/>
  <c r="Q430" i="2"/>
  <c r="H429" i="10" s="1"/>
  <c r="Q429" i="2"/>
  <c r="H428" i="10" s="1"/>
  <c r="Q352" i="2"/>
  <c r="H351" i="10" s="1"/>
  <c r="Q437" i="2"/>
  <c r="H436" i="10" s="1"/>
  <c r="Q308" i="2"/>
  <c r="H307" i="10" s="1"/>
  <c r="AB307" i="10"/>
  <c r="Q313" i="2"/>
  <c r="H312" i="10" s="1"/>
  <c r="AE11" i="3"/>
  <c r="Q51" i="10"/>
  <c r="Q57" i="10"/>
  <c r="Q60" i="10"/>
  <c r="Q62" i="10"/>
  <c r="Q66" i="10"/>
  <c r="Q81" i="10"/>
  <c r="Q142" i="10"/>
  <c r="Q201" i="10"/>
  <c r="Q202" i="10"/>
  <c r="Q204" i="10"/>
  <c r="Q206" i="10"/>
  <c r="Q208" i="10"/>
  <c r="Q216" i="10"/>
  <c r="Q234" i="10"/>
  <c r="Q328" i="10"/>
  <c r="Q370" i="10"/>
  <c r="Q386" i="10"/>
  <c r="Q392" i="10"/>
  <c r="Q393" i="10"/>
  <c r="Q395" i="10"/>
  <c r="Q397" i="10"/>
  <c r="Q399" i="10"/>
  <c r="Q401" i="10"/>
  <c r="Q404" i="10"/>
  <c r="Q405" i="10"/>
  <c r="Q407" i="10"/>
  <c r="Q409" i="10"/>
  <c r="Q411" i="10"/>
  <c r="H420" i="10"/>
  <c r="CX3" i="2"/>
  <c r="S3" i="2"/>
  <c r="Q61" i="10"/>
  <c r="Q63" i="10"/>
  <c r="Q65" i="10"/>
  <c r="Q141" i="10"/>
  <c r="Q144" i="10"/>
  <c r="Q148" i="10"/>
  <c r="Q200" i="10"/>
  <c r="Q203" i="10"/>
  <c r="Q205" i="10"/>
  <c r="Q207" i="10"/>
  <c r="Q220" i="10"/>
  <c r="Q246" i="10"/>
  <c r="Q274" i="10"/>
  <c r="Q282" i="10"/>
  <c r="Q288" i="10"/>
  <c r="Q369" i="10"/>
  <c r="Q389" i="10"/>
  <c r="Q391" i="10"/>
  <c r="Q396" i="10"/>
  <c r="Q398" i="10"/>
  <c r="Q402" i="10"/>
  <c r="Q406" i="10"/>
  <c r="Q410" i="10"/>
  <c r="Q412" i="10"/>
  <c r="Q430" i="10"/>
  <c r="Q437" i="10"/>
  <c r="S23" i="3"/>
  <c r="Q242" i="2"/>
  <c r="H241" i="10" s="1"/>
  <c r="Q234" i="2"/>
  <c r="H233" i="10" s="1"/>
  <c r="AB233" i="10"/>
  <c r="AB211" i="10"/>
  <c r="Q212" i="2"/>
  <c r="H211" i="10" s="1"/>
  <c r="AB190" i="10"/>
  <c r="Q191" i="2"/>
  <c r="H190" i="10" s="1"/>
  <c r="F6" i="3"/>
  <c r="M388" i="10"/>
  <c r="N388" i="10" s="1"/>
  <c r="L344" i="10"/>
  <c r="N344" i="10" s="1"/>
  <c r="V3" i="2"/>
  <c r="AP149" i="10"/>
  <c r="HW3" i="2"/>
  <c r="CJ333" i="2"/>
  <c r="B6" i="5"/>
  <c r="M322" i="10"/>
  <c r="L333" i="10"/>
  <c r="L311" i="10"/>
  <c r="N311" i="10" s="1"/>
  <c r="L286" i="10"/>
  <c r="N286" i="10" s="1"/>
  <c r="L252" i="10"/>
  <c r="N252" i="10" s="1"/>
  <c r="M321" i="10"/>
  <c r="L332" i="10"/>
  <c r="L285" i="10"/>
  <c r="N285" i="10" s="1"/>
  <c r="L251" i="10"/>
  <c r="N251" i="10" s="1"/>
  <c r="M320" i="10"/>
  <c r="L331" i="10"/>
  <c r="L284" i="10"/>
  <c r="N284" i="10" s="1"/>
  <c r="L250" i="10"/>
  <c r="N250" i="10" s="1"/>
  <c r="L329" i="10"/>
  <c r="L306" i="10"/>
  <c r="N306" i="10" s="1"/>
  <c r="L282" i="10"/>
  <c r="L243" i="10"/>
  <c r="N243" i="10" s="1"/>
  <c r="L328" i="10"/>
  <c r="L305" i="10"/>
  <c r="N305" i="10" s="1"/>
  <c r="L242" i="10"/>
  <c r="N242" i="10" s="1"/>
  <c r="L280" i="10"/>
  <c r="N280" i="10" s="1"/>
  <c r="L335" i="10"/>
  <c r="L313" i="10"/>
  <c r="N313" i="10" s="1"/>
  <c r="L288" i="10"/>
  <c r="N288" i="10" s="1"/>
  <c r="L254" i="10"/>
  <c r="N254" i="10" s="1"/>
  <c r="L338" i="10"/>
  <c r="L316" i="10"/>
  <c r="N316" i="10" s="1"/>
  <c r="L291" i="10"/>
  <c r="N291" i="10" s="1"/>
  <c r="L257" i="10"/>
  <c r="N257" i="10" s="1"/>
  <c r="L267" i="10"/>
  <c r="N267" i="10" s="1"/>
  <c r="M326" i="10"/>
  <c r="L337" i="10"/>
  <c r="L315" i="10"/>
  <c r="N315" i="10" s="1"/>
  <c r="L290" i="10"/>
  <c r="N290" i="10" s="1"/>
  <c r="L256" i="10"/>
  <c r="N256" i="10" s="1"/>
  <c r="L266" i="10"/>
  <c r="N266" i="10" s="1"/>
  <c r="M325" i="10"/>
  <c r="L309" i="10"/>
  <c r="M319" i="10"/>
  <c r="L330" i="10"/>
  <c r="L307" i="10"/>
  <c r="N307" i="10" s="1"/>
  <c r="L283" i="10"/>
  <c r="N283" i="10" s="1"/>
  <c r="L245" i="10"/>
  <c r="N245" i="10" s="1"/>
  <c r="M340" i="10"/>
  <c r="N340" i="10" s="1"/>
  <c r="L261" i="10"/>
  <c r="N261" i="10" s="1"/>
  <c r="L334" i="10"/>
  <c r="L312" i="10"/>
  <c r="N312" i="10" s="1"/>
  <c r="L287" i="10"/>
  <c r="N287" i="10" s="1"/>
  <c r="L253" i="10"/>
  <c r="N253" i="10" s="1"/>
  <c r="M323" i="10"/>
  <c r="L310" i="10"/>
  <c r="N310" i="10" s="1"/>
  <c r="M332" i="10"/>
  <c r="N332" i="10" s="1"/>
  <c r="M282" i="10"/>
  <c r="N282" i="10" s="1"/>
  <c r="L321" i="10"/>
  <c r="L296" i="10"/>
  <c r="N296" i="10" s="1"/>
  <c r="L272" i="10"/>
  <c r="N272" i="10" s="1"/>
  <c r="M331" i="10"/>
  <c r="N331" i="10" s="1"/>
  <c r="L281" i="10"/>
  <c r="N281" i="10" s="1"/>
  <c r="L327" i="10"/>
  <c r="L304" i="10"/>
  <c r="N304" i="10" s="1"/>
  <c r="L241" i="10"/>
  <c r="N241" i="10" s="1"/>
  <c r="L325" i="10"/>
  <c r="L301" i="10"/>
  <c r="N301" i="10" s="1"/>
  <c r="L277" i="10"/>
  <c r="N277" i="10" s="1"/>
  <c r="L238" i="10"/>
  <c r="N238" i="10" s="1"/>
  <c r="L244" i="10"/>
  <c r="N244" i="10" s="1"/>
  <c r="M335" i="10"/>
  <c r="N335" i="10" s="1"/>
  <c r="L324" i="10"/>
  <c r="L300" i="10"/>
  <c r="N300" i="10" s="1"/>
  <c r="L276" i="10"/>
  <c r="N276" i="10" s="1"/>
  <c r="L237" i="10"/>
  <c r="N237" i="10" s="1"/>
  <c r="L249" i="10"/>
  <c r="N249" i="10" s="1"/>
  <c r="L343" i="10"/>
  <c r="L320" i="10"/>
  <c r="L295" i="10"/>
  <c r="N295" i="10" s="1"/>
  <c r="L271" i="10"/>
  <c r="N271" i="10" s="1"/>
  <c r="M330" i="10"/>
  <c r="N330" i="10" s="1"/>
  <c r="L336" i="10"/>
  <c r="L314" i="10"/>
  <c r="N314" i="10" s="1"/>
  <c r="L289" i="10"/>
  <c r="N289" i="10" s="1"/>
  <c r="L255" i="10"/>
  <c r="N255" i="10" s="1"/>
  <c r="L265" i="10"/>
  <c r="N265" i="10" s="1"/>
  <c r="M324" i="10"/>
  <c r="N324" i="10" s="1"/>
  <c r="L326" i="10"/>
  <c r="L303" i="10"/>
  <c r="N303" i="10" s="1"/>
  <c r="L279" i="10"/>
  <c r="N279" i="10" s="1"/>
  <c r="L240" i="10"/>
  <c r="N240" i="10" s="1"/>
  <c r="L298" i="10"/>
  <c r="N298" i="10" s="1"/>
  <c r="L236" i="10"/>
  <c r="N236" i="10" s="1"/>
  <c r="M329" i="10"/>
  <c r="N329" i="10" s="1"/>
  <c r="M334" i="10"/>
  <c r="N334" i="10" s="1"/>
  <c r="L323" i="10"/>
  <c r="L275" i="10"/>
  <c r="N275" i="10" s="1"/>
  <c r="L248" i="10"/>
  <c r="N248" i="10" s="1"/>
  <c r="M328" i="10"/>
  <c r="N328" i="10" s="1"/>
  <c r="M336" i="10"/>
  <c r="N336" i="10" s="1"/>
  <c r="M333" i="10"/>
  <c r="N333" i="10" s="1"/>
  <c r="L322" i="10"/>
  <c r="L297" i="10"/>
  <c r="N297" i="10" s="1"/>
  <c r="L273" i="10"/>
  <c r="N273" i="10" s="1"/>
  <c r="L342" i="10"/>
  <c r="L319" i="10"/>
  <c r="L294" i="10"/>
  <c r="N294" i="10" s="1"/>
  <c r="L270" i="10"/>
  <c r="N270" i="10" s="1"/>
  <c r="M318" i="10"/>
  <c r="L341" i="10"/>
  <c r="L318" i="10"/>
  <c r="L293" i="10"/>
  <c r="N293" i="10" s="1"/>
  <c r="L260" i="10"/>
  <c r="N260" i="10" s="1"/>
  <c r="M309" i="10"/>
  <c r="N309" i="10" s="1"/>
  <c r="L339" i="10"/>
  <c r="L317" i="10"/>
  <c r="N317" i="10" s="1"/>
  <c r="L292" i="10"/>
  <c r="N292" i="10" s="1"/>
  <c r="L258" i="10"/>
  <c r="N258" i="10" s="1"/>
  <c r="L268" i="10"/>
  <c r="N268" i="10" s="1"/>
  <c r="M327" i="10"/>
  <c r="N327" i="10" s="1"/>
  <c r="L239" i="10"/>
  <c r="N239" i="10" s="1"/>
  <c r="D6" i="5"/>
  <c r="CJ336" i="2"/>
  <c r="N424" i="10"/>
  <c r="CJ151" i="2"/>
  <c r="CJ327" i="2"/>
  <c r="CJ334" i="2"/>
  <c r="CP198" i="2"/>
  <c r="T198" i="2" s="1"/>
  <c r="CJ335" i="2"/>
  <c r="N215" i="10"/>
  <c r="N80" i="10"/>
  <c r="N167" i="10"/>
  <c r="N216" i="10"/>
  <c r="CJ346" i="2"/>
  <c r="N397" i="10"/>
  <c r="U148" i="2"/>
  <c r="K147" i="10" s="1"/>
  <c r="J147" i="10"/>
  <c r="N28" i="10"/>
  <c r="CP437" i="2"/>
  <c r="T437" i="2" s="1"/>
  <c r="W348" i="2"/>
  <c r="M347" i="10" s="1"/>
  <c r="N347" i="10" s="1"/>
  <c r="W408" i="2"/>
  <c r="M407" i="10" s="1"/>
  <c r="N407" i="10" s="1"/>
  <c r="CP183" i="2"/>
  <c r="T183" i="2" s="1"/>
  <c r="CP396" i="2"/>
  <c r="T396" i="2" s="1"/>
  <c r="N100" i="10"/>
  <c r="CJ324" i="2"/>
  <c r="CJ325" i="2"/>
  <c r="L22" i="3"/>
  <c r="CJ323" i="2"/>
  <c r="CJ326" i="2"/>
  <c r="W338" i="2"/>
  <c r="M337" i="10" s="1"/>
  <c r="N337" i="10" s="1"/>
  <c r="W340" i="2"/>
  <c r="M339" i="10" s="1"/>
  <c r="N339" i="10" s="1"/>
  <c r="J23" i="10"/>
  <c r="CP416" i="2"/>
  <c r="T416" i="2" s="1"/>
  <c r="FS129" i="2"/>
  <c r="FT129" i="2" s="1"/>
  <c r="FU129" i="2" s="1"/>
  <c r="AA351" i="2"/>
  <c r="J259" i="10"/>
  <c r="U202" i="2"/>
  <c r="K201" i="10" s="1"/>
  <c r="CP351" i="2"/>
  <c r="T351" i="2" s="1"/>
  <c r="U141" i="2"/>
  <c r="K140" i="10" s="1"/>
  <c r="J65" i="10"/>
  <c r="J215" i="10"/>
  <c r="AI349" i="2"/>
  <c r="CJ331" i="2"/>
  <c r="CJ283" i="2"/>
  <c r="CP337" i="2"/>
  <c r="T337" i="2" s="1"/>
  <c r="J87" i="10"/>
  <c r="J213" i="10"/>
  <c r="CJ133" i="2"/>
  <c r="CJ221" i="2"/>
  <c r="N38" i="10"/>
  <c r="CJ134" i="2"/>
  <c r="W339" i="2"/>
  <c r="M338" i="10" s="1"/>
  <c r="N338" i="10" s="1"/>
  <c r="N109" i="10"/>
  <c r="CJ439" i="2"/>
  <c r="N413" i="10"/>
  <c r="J167" i="10"/>
  <c r="U168" i="2"/>
  <c r="K167" i="10" s="1"/>
  <c r="U197" i="2"/>
  <c r="K196" i="10" s="1"/>
  <c r="J216" i="10"/>
  <c r="CJ321" i="2"/>
  <c r="U97" i="2"/>
  <c r="K96" i="10" s="1"/>
  <c r="CJ322" i="2"/>
  <c r="AL404" i="2"/>
  <c r="N143" i="10"/>
  <c r="CP417" i="2"/>
  <c r="T417" i="2" s="1"/>
  <c r="CJ398" i="2"/>
  <c r="AI403" i="2"/>
  <c r="FS163" i="2"/>
  <c r="FT163" i="2" s="1"/>
  <c r="FU163" i="2" s="1"/>
  <c r="W343" i="2"/>
  <c r="M342" i="10" s="1"/>
  <c r="N342" i="10" s="1"/>
  <c r="FS296" i="2"/>
  <c r="FT296" i="2" s="1"/>
  <c r="FU296" i="2" s="1"/>
  <c r="CJ330" i="2"/>
  <c r="AI351" i="2"/>
  <c r="CP350" i="2"/>
  <c r="T350" i="2" s="1"/>
  <c r="W344" i="2"/>
  <c r="M343" i="10" s="1"/>
  <c r="N343" i="10" s="1"/>
  <c r="FS211" i="2"/>
  <c r="FT211" i="2" s="1"/>
  <c r="FU211" i="2" s="1"/>
  <c r="CJ332" i="2"/>
  <c r="N18" i="10"/>
  <c r="J92" i="10"/>
  <c r="FS166" i="2"/>
  <c r="FT166" i="2" s="1"/>
  <c r="FU166" i="2" s="1"/>
  <c r="CP359" i="2"/>
  <c r="T359" i="2" s="1"/>
  <c r="N84" i="10"/>
  <c r="FS213" i="2"/>
  <c r="FT213" i="2" s="1"/>
  <c r="FU213" i="2" s="1"/>
  <c r="N36" i="10"/>
  <c r="AB98" i="10"/>
  <c r="FS221" i="2"/>
  <c r="FT221" i="2" s="1"/>
  <c r="FU221" i="2" s="1"/>
  <c r="N121" i="10"/>
  <c r="FS318" i="2"/>
  <c r="FT318" i="2" s="1"/>
  <c r="FU318" i="2" s="1"/>
  <c r="CP349" i="2"/>
  <c r="T349" i="2" s="1"/>
  <c r="CJ440" i="2"/>
  <c r="FS175" i="2"/>
  <c r="FT175" i="2" s="1"/>
  <c r="FU175" i="2" s="1"/>
  <c r="N119" i="10"/>
  <c r="N97" i="10"/>
  <c r="N7" i="10"/>
  <c r="J46" i="10"/>
  <c r="J231" i="10"/>
  <c r="AJ384" i="2"/>
  <c r="AH384" i="2" s="1"/>
  <c r="AK363" i="2"/>
  <c r="CP363" i="2"/>
  <c r="T363" i="2" s="1"/>
  <c r="CJ427" i="2"/>
  <c r="AJ363" i="2"/>
  <c r="FS177" i="2"/>
  <c r="FT177" i="2" s="1"/>
  <c r="FU177" i="2" s="1"/>
  <c r="FS192" i="2"/>
  <c r="FT192" i="2" s="1"/>
  <c r="FU192" i="2" s="1"/>
  <c r="CP175" i="2"/>
  <c r="T175" i="2" s="1"/>
  <c r="N140" i="10"/>
  <c r="J49" i="10"/>
  <c r="FS322" i="2"/>
  <c r="FT322" i="2" s="1"/>
  <c r="FU322" i="2" s="1"/>
  <c r="J256" i="10"/>
  <c r="FS183" i="2"/>
  <c r="FT183" i="2" s="1"/>
  <c r="FU183" i="2" s="1"/>
  <c r="N414" i="10"/>
  <c r="J107" i="10"/>
  <c r="U108" i="2"/>
  <c r="K107" i="10" s="1"/>
  <c r="J9" i="10"/>
  <c r="U10" i="2"/>
  <c r="K9" i="10" s="1"/>
  <c r="U58" i="2"/>
  <c r="K57" i="10" s="1"/>
  <c r="J57" i="10"/>
  <c r="W342" i="2"/>
  <c r="M341" i="10" s="1"/>
  <c r="N341" i="10" s="1"/>
  <c r="Q122" i="2"/>
  <c r="H121" i="10" s="1"/>
  <c r="AI421" i="2"/>
  <c r="CP75" i="2"/>
  <c r="T75" i="2" s="1"/>
  <c r="N116" i="10"/>
  <c r="AB79" i="10"/>
  <c r="N115" i="10"/>
  <c r="N93" i="10"/>
  <c r="U68" i="2"/>
  <c r="K67" i="10" s="1"/>
  <c r="J16" i="10"/>
  <c r="AB71" i="10"/>
  <c r="AL349" i="2"/>
  <c r="AJ422" i="2"/>
  <c r="AP8" i="3"/>
  <c r="FS200" i="2"/>
  <c r="FT200" i="2" s="1"/>
  <c r="N114" i="10"/>
  <c r="Q49" i="2"/>
  <c r="H48" i="10" s="1"/>
  <c r="AL422" i="2"/>
  <c r="N113" i="10"/>
  <c r="N74" i="10"/>
  <c r="N52" i="10"/>
  <c r="AB19" i="10"/>
  <c r="FS222" i="2"/>
  <c r="FT222" i="2" s="1"/>
  <c r="N105" i="10"/>
  <c r="N73" i="10"/>
  <c r="N164" i="10"/>
  <c r="AK403" i="2"/>
  <c r="AB158" i="10"/>
  <c r="CJ209" i="2"/>
  <c r="N169" i="10"/>
  <c r="N70" i="10"/>
  <c r="N48" i="10"/>
  <c r="Q323" i="2"/>
  <c r="W404" i="2"/>
  <c r="M403" i="10" s="1"/>
  <c r="N403" i="10" s="1"/>
  <c r="N82" i="10"/>
  <c r="N168" i="10"/>
  <c r="N69" i="10"/>
  <c r="J30" i="10"/>
  <c r="AL359" i="2"/>
  <c r="AH359" i="2" s="1"/>
  <c r="AL385" i="2"/>
  <c r="AI363" i="2"/>
  <c r="W373" i="2"/>
  <c r="M372" i="10" s="1"/>
  <c r="N372" i="10" s="1"/>
  <c r="Q134" i="2"/>
  <c r="FS198" i="2"/>
  <c r="FT198" i="2" s="1"/>
  <c r="Q266" i="2"/>
  <c r="H265" i="10" s="1"/>
  <c r="N65" i="10"/>
  <c r="Q340" i="2"/>
  <c r="H339" i="10" s="1"/>
  <c r="FS299" i="2"/>
  <c r="FT299" i="2" s="1"/>
  <c r="FU299" i="2" s="1"/>
  <c r="CJ386" i="2"/>
  <c r="AL400" i="2"/>
  <c r="W416" i="2"/>
  <c r="M415" i="10" s="1"/>
  <c r="N415" i="10" s="1"/>
  <c r="AA400" i="2"/>
  <c r="CP400" i="2" s="1"/>
  <c r="T400" i="2" s="1"/>
  <c r="CP211" i="2"/>
  <c r="T211" i="2" s="1"/>
  <c r="U212" i="2"/>
  <c r="K211" i="10" s="1"/>
  <c r="J117" i="10"/>
  <c r="J228" i="10"/>
  <c r="HX150" i="2"/>
  <c r="Q150" i="2" s="1"/>
  <c r="H149" i="10" s="1"/>
  <c r="W385" i="2"/>
  <c r="M384" i="10" s="1"/>
  <c r="N384" i="10" s="1"/>
  <c r="N151" i="10"/>
  <c r="N123" i="10"/>
  <c r="N19" i="10"/>
  <c r="J179" i="10"/>
  <c r="J142" i="10"/>
  <c r="AA399" i="2"/>
  <c r="CP399" i="2" s="1"/>
  <c r="T399" i="2" s="1"/>
  <c r="U29" i="2"/>
  <c r="K28" i="10" s="1"/>
  <c r="J28" i="10"/>
  <c r="AI406" i="2"/>
  <c r="W424" i="2"/>
  <c r="M423" i="10" s="1"/>
  <c r="N423" i="10" s="1"/>
  <c r="CJ424" i="2"/>
  <c r="AK356" i="2"/>
  <c r="CP356" i="2"/>
  <c r="T356" i="2" s="1"/>
  <c r="AJ356" i="2"/>
  <c r="N94" i="10"/>
  <c r="FS165" i="2"/>
  <c r="FT165" i="2" s="1"/>
  <c r="FU165" i="2" s="1"/>
  <c r="CJ216" i="2"/>
  <c r="N138" i="10"/>
  <c r="U124" i="2"/>
  <c r="K123" i="10" s="1"/>
  <c r="AJ390" i="2"/>
  <c r="CJ349" i="2"/>
  <c r="W349" i="2"/>
  <c r="M348" i="10" s="1"/>
  <c r="N348" i="10" s="1"/>
  <c r="AI390" i="2"/>
  <c r="AK410" i="2"/>
  <c r="CP410" i="2"/>
  <c r="T410" i="2" s="1"/>
  <c r="U100" i="2"/>
  <c r="K99" i="10" s="1"/>
  <c r="N230" i="10"/>
  <c r="CJ219" i="2"/>
  <c r="J38" i="10"/>
  <c r="FS176" i="2"/>
  <c r="FT176" i="2" s="1"/>
  <c r="FU176" i="2" s="1"/>
  <c r="Q160" i="2"/>
  <c r="H159" i="10" s="1"/>
  <c r="FS307" i="2"/>
  <c r="FT307" i="2" s="1"/>
  <c r="FU307" i="2" s="1"/>
  <c r="CJ217" i="2"/>
  <c r="FS178" i="2"/>
  <c r="FT178" i="2" s="1"/>
  <c r="FU178" i="2" s="1"/>
  <c r="CJ16" i="2"/>
  <c r="N23" i="10"/>
  <c r="U96" i="2"/>
  <c r="K95" i="10" s="1"/>
  <c r="AB123" i="10"/>
  <c r="AJ20" i="3"/>
  <c r="AJ24" i="3" s="1"/>
  <c r="E23" i="9" s="1"/>
  <c r="CP30" i="2"/>
  <c r="T30" i="2" s="1"/>
  <c r="FS164" i="2"/>
  <c r="FT164" i="2" s="1"/>
  <c r="FU164" i="2" s="1"/>
  <c r="CJ159" i="2"/>
  <c r="N220" i="10"/>
  <c r="AB113" i="10"/>
  <c r="W359" i="2"/>
  <c r="M358" i="10" s="1"/>
  <c r="N358" i="10" s="1"/>
  <c r="AA418" i="2"/>
  <c r="CP418" i="2" s="1"/>
  <c r="T418" i="2" s="1"/>
  <c r="CP221" i="2"/>
  <c r="T221" i="2" s="1"/>
  <c r="N152" i="10"/>
  <c r="N39" i="10"/>
  <c r="AL377" i="2"/>
  <c r="AK377" i="2"/>
  <c r="CP377" i="2"/>
  <c r="T377" i="2" s="1"/>
  <c r="AJ377" i="2"/>
  <c r="AI377" i="2"/>
  <c r="AH377" i="2" s="1"/>
  <c r="U164" i="2"/>
  <c r="K163" i="10" s="1"/>
  <c r="J163" i="10"/>
  <c r="U83" i="2"/>
  <c r="K82" i="10" s="1"/>
  <c r="W423" i="2"/>
  <c r="M422" i="10" s="1"/>
  <c r="N422" i="10" s="1"/>
  <c r="CJ204" i="2"/>
  <c r="CP379" i="2"/>
  <c r="T379" i="2" s="1"/>
  <c r="U67" i="2"/>
  <c r="K66" i="10" s="1"/>
  <c r="N81" i="10"/>
  <c r="U123" i="2"/>
  <c r="K122" i="10" s="1"/>
  <c r="J122" i="10"/>
  <c r="CJ205" i="2"/>
  <c r="AA405" i="2"/>
  <c r="CP405" i="2" s="1"/>
  <c r="T405" i="2" s="1"/>
  <c r="AJ405" i="2"/>
  <c r="U231" i="2"/>
  <c r="K230" i="10" s="1"/>
  <c r="J199" i="10"/>
  <c r="Q95" i="2"/>
  <c r="CJ377" i="2"/>
  <c r="U343" i="2"/>
  <c r="K342" i="10" s="1"/>
  <c r="U220" i="2"/>
  <c r="K219" i="10" s="1"/>
  <c r="U55" i="2"/>
  <c r="K54" i="10" s="1"/>
  <c r="Q92" i="2"/>
  <c r="H91" i="10" s="1"/>
  <c r="Q100" i="2"/>
  <c r="H99" i="10" s="1"/>
  <c r="AB99" i="10"/>
  <c r="Q267" i="2"/>
  <c r="H266" i="10" s="1"/>
  <c r="W383" i="2"/>
  <c r="M382" i="10" s="1"/>
  <c r="N382" i="10" s="1"/>
  <c r="AL406" i="2"/>
  <c r="N175" i="10"/>
  <c r="Q223" i="2"/>
  <c r="AL356" i="2"/>
  <c r="CJ425" i="2"/>
  <c r="AK20" i="3"/>
  <c r="CP352" i="2"/>
  <c r="T352" i="2" s="1"/>
  <c r="W384" i="2"/>
  <c r="M383" i="10" s="1"/>
  <c r="N383" i="10" s="1"/>
  <c r="AJ421" i="2"/>
  <c r="AI362" i="2"/>
  <c r="AL362" i="2"/>
  <c r="AB140" i="10"/>
  <c r="Q141" i="2"/>
  <c r="H140" i="10" s="1"/>
  <c r="CJ319" i="2"/>
  <c r="N51" i="10"/>
  <c r="CP354" i="2"/>
  <c r="T354" i="2" s="1"/>
  <c r="W387" i="2"/>
  <c r="M386" i="10" s="1"/>
  <c r="N386" i="10" s="1"/>
  <c r="AK400" i="2"/>
  <c r="AI400" i="2"/>
  <c r="U170" i="2"/>
  <c r="K169" i="10" s="1"/>
  <c r="W406" i="2"/>
  <c r="M405" i="10" s="1"/>
  <c r="N405" i="10" s="1"/>
  <c r="CJ406" i="2"/>
  <c r="AB162" i="10"/>
  <c r="Q163" i="2"/>
  <c r="H162" i="10" s="1"/>
  <c r="N192" i="10"/>
  <c r="N49" i="10"/>
  <c r="J8" i="10"/>
  <c r="U9" i="2"/>
  <c r="K8" i="10" s="1"/>
  <c r="J148" i="10"/>
  <c r="Q21" i="2"/>
  <c r="H20" i="10" s="1"/>
  <c r="Q328" i="2"/>
  <c r="H327" i="10" s="1"/>
  <c r="N426" i="10"/>
  <c r="W403" i="2"/>
  <c r="M402" i="10" s="1"/>
  <c r="N402" i="10" s="1"/>
  <c r="AK406" i="2"/>
  <c r="AA425" i="2"/>
  <c r="CP425" i="2" s="1"/>
  <c r="T425" i="2" s="1"/>
  <c r="AB204" i="10"/>
  <c r="AD22" i="3"/>
  <c r="AK23" i="3"/>
  <c r="BD18" i="3"/>
  <c r="N144" i="10"/>
  <c r="CP382" i="2"/>
  <c r="T382" i="2" s="1"/>
  <c r="AB192" i="10"/>
  <c r="W419" i="2"/>
  <c r="M418" i="10" s="1"/>
  <c r="N418" i="10" s="1"/>
  <c r="CP413" i="2"/>
  <c r="T413" i="2" s="1"/>
  <c r="BD19" i="3"/>
  <c r="U166" i="2"/>
  <c r="K165" i="10" s="1"/>
  <c r="J165" i="10"/>
  <c r="N186" i="10"/>
  <c r="N155" i="10"/>
  <c r="N208" i="10"/>
  <c r="Q105" i="2"/>
  <c r="H104" i="10" s="1"/>
  <c r="AB104" i="10"/>
  <c r="N30" i="10"/>
  <c r="N211" i="10"/>
  <c r="J90" i="10"/>
  <c r="J25" i="10"/>
  <c r="N163" i="10"/>
  <c r="Q171" i="2"/>
  <c r="H170" i="10" s="1"/>
  <c r="AL363" i="2"/>
  <c r="W390" i="2"/>
  <c r="M389" i="10" s="1"/>
  <c r="N389" i="10" s="1"/>
  <c r="AB201" i="10"/>
  <c r="Q202" i="2"/>
  <c r="H201" i="10" s="1"/>
  <c r="N27" i="10"/>
  <c r="N124" i="10"/>
  <c r="N29" i="10"/>
  <c r="CJ226" i="2"/>
  <c r="N171" i="10"/>
  <c r="J53" i="10"/>
  <c r="J39" i="10"/>
  <c r="J115" i="10"/>
  <c r="CJ411" i="2"/>
  <c r="W382" i="2"/>
  <c r="M381" i="10" s="1"/>
  <c r="N381" i="10" s="1"/>
  <c r="CJ350" i="2"/>
  <c r="W350" i="2"/>
  <c r="M349" i="10" s="1"/>
  <c r="N349" i="10" s="1"/>
  <c r="AB131" i="10"/>
  <c r="Q132" i="2"/>
  <c r="H131" i="10" s="1"/>
  <c r="W375" i="2"/>
  <c r="M374" i="10" s="1"/>
  <c r="N374" i="10" s="1"/>
  <c r="AB130" i="10"/>
  <c r="Q131" i="2"/>
  <c r="H130" i="10" s="1"/>
  <c r="CP77" i="2"/>
  <c r="T77" i="2" s="1"/>
  <c r="J85" i="10"/>
  <c r="J155" i="10"/>
  <c r="U156" i="2"/>
  <c r="K155" i="10" s="1"/>
  <c r="W361" i="2"/>
  <c r="M360" i="10" s="1"/>
  <c r="N360" i="10" s="1"/>
  <c r="CJ361" i="2"/>
  <c r="W402" i="2"/>
  <c r="M401" i="10" s="1"/>
  <c r="N401" i="10" s="1"/>
  <c r="CJ402" i="2"/>
  <c r="U205" i="2"/>
  <c r="K204" i="10" s="1"/>
  <c r="CJ414" i="2"/>
  <c r="AK383" i="2"/>
  <c r="CP383" i="2"/>
  <c r="T383" i="2" s="1"/>
  <c r="AI383" i="2"/>
  <c r="AL383" i="2"/>
  <c r="Q411" i="2"/>
  <c r="N33" i="10"/>
  <c r="Q206" i="2"/>
  <c r="H205" i="10" s="1"/>
  <c r="W206" i="2"/>
  <c r="M205" i="10" s="1"/>
  <c r="N205" i="10" s="1"/>
  <c r="U187" i="2"/>
  <c r="K186" i="10" s="1"/>
  <c r="J186" i="10"/>
  <c r="CJ379" i="2"/>
  <c r="W379" i="2"/>
  <c r="M378" i="10" s="1"/>
  <c r="N378" i="10" s="1"/>
  <c r="AB155" i="10"/>
  <c r="R22" i="3"/>
  <c r="N4" i="10"/>
  <c r="N122" i="10"/>
  <c r="U331" i="2"/>
  <c r="K330" i="10" s="1"/>
  <c r="CP192" i="2"/>
  <c r="T192" i="2" s="1"/>
  <c r="N204" i="10"/>
  <c r="AB89" i="10"/>
  <c r="N170" i="10"/>
  <c r="W354" i="2"/>
  <c r="M353" i="10" s="1"/>
  <c r="N353" i="10" s="1"/>
  <c r="AB152" i="10"/>
  <c r="BB21" i="3"/>
  <c r="CJ206" i="2"/>
  <c r="CJ222" i="2"/>
  <c r="N141" i="10"/>
  <c r="U199" i="2"/>
  <c r="K198" i="10" s="1"/>
  <c r="U71" i="2"/>
  <c r="K70" i="10" s="1"/>
  <c r="AJ396" i="2"/>
  <c r="AH396" i="2" s="1"/>
  <c r="AA421" i="2"/>
  <c r="CP421" i="2" s="1"/>
  <c r="T421" i="2" s="1"/>
  <c r="AL421" i="2"/>
  <c r="Q239" i="2"/>
  <c r="H238" i="10" s="1"/>
  <c r="AB219" i="10"/>
  <c r="CJ372" i="2"/>
  <c r="W372" i="2"/>
  <c r="M371" i="10" s="1"/>
  <c r="N371" i="10" s="1"/>
  <c r="AL418" i="2"/>
  <c r="AJ418" i="2"/>
  <c r="FS182" i="2"/>
  <c r="FT182" i="2" s="1"/>
  <c r="FU182" i="2" s="1"/>
  <c r="U52" i="2"/>
  <c r="K51" i="10" s="1"/>
  <c r="N61" i="10"/>
  <c r="J144" i="10"/>
  <c r="U145" i="2"/>
  <c r="K144" i="10" s="1"/>
  <c r="AB31" i="10"/>
  <c r="AA367" i="2"/>
  <c r="AL367" i="2"/>
  <c r="AK367" i="2"/>
  <c r="CP367" i="2"/>
  <c r="T367" i="2" s="1"/>
  <c r="AI367" i="2"/>
  <c r="AH367" i="2" s="1"/>
  <c r="CJ211" i="2"/>
  <c r="Q241" i="2"/>
  <c r="H240" i="10" s="1"/>
  <c r="U159" i="2"/>
  <c r="K158" i="10" s="1"/>
  <c r="J103" i="10"/>
  <c r="AJ374" i="2"/>
  <c r="AL374" i="2"/>
  <c r="CJ121" i="2"/>
  <c r="CP78" i="2"/>
  <c r="T78" i="2" s="1"/>
  <c r="N147" i="10"/>
  <c r="N92" i="10"/>
  <c r="N137" i="10"/>
  <c r="N222" i="10"/>
  <c r="U59" i="2"/>
  <c r="K58" i="10" s="1"/>
  <c r="J58" i="10"/>
  <c r="CJ103" i="2"/>
  <c r="CJ212" i="2"/>
  <c r="J138" i="10"/>
  <c r="CP320" i="2"/>
  <c r="T320" i="2" s="1"/>
  <c r="J18" i="10"/>
  <c r="J111" i="10"/>
  <c r="AB27" i="10"/>
  <c r="Q330" i="2"/>
  <c r="H329" i="10" s="1"/>
  <c r="AJ382" i="2"/>
  <c r="AH382" i="2" s="1"/>
  <c r="W374" i="2"/>
  <c r="M373" i="10" s="1"/>
  <c r="N373" i="10" s="1"/>
  <c r="CJ374" i="2"/>
  <c r="AJ415" i="2"/>
  <c r="AK415" i="2"/>
  <c r="CP415" i="2"/>
  <c r="T415" i="2" s="1"/>
  <c r="W437" i="2"/>
  <c r="M436" i="10" s="1"/>
  <c r="N436" i="10" s="1"/>
  <c r="CJ437" i="2"/>
  <c r="AB198" i="10"/>
  <c r="AB129" i="10"/>
  <c r="U121" i="2"/>
  <c r="K120" i="10" s="1"/>
  <c r="N117" i="10"/>
  <c r="J42" i="10"/>
  <c r="N91" i="10"/>
  <c r="Q329" i="2"/>
  <c r="H328" i="10" s="1"/>
  <c r="AJ403" i="2"/>
  <c r="AK391" i="2"/>
  <c r="AA391" i="2"/>
  <c r="CP391" i="2" s="1"/>
  <c r="T391" i="2" s="1"/>
  <c r="AA403" i="2"/>
  <c r="CP403" i="2" s="1"/>
  <c r="T403" i="2" s="1"/>
  <c r="AB163" i="10"/>
  <c r="Q164" i="2"/>
  <c r="H163" i="10" s="1"/>
  <c r="U23" i="2"/>
  <c r="K22" i="10" s="1"/>
  <c r="J31" i="10"/>
  <c r="AK418" i="2"/>
  <c r="Q373" i="2"/>
  <c r="H372" i="10" s="1"/>
  <c r="N139" i="10"/>
  <c r="W160" i="2"/>
  <c r="CJ160" i="2"/>
  <c r="AA362" i="2"/>
  <c r="AJ362" i="2"/>
  <c r="Q138" i="2"/>
  <c r="H137" i="10" s="1"/>
  <c r="AB137" i="10"/>
  <c r="AI419" i="2"/>
  <c r="AL419" i="2"/>
  <c r="AI370" i="2"/>
  <c r="AH370" i="2" s="1"/>
  <c r="CJ215" i="2"/>
  <c r="N166" i="10"/>
  <c r="CJ214" i="2"/>
  <c r="AB111" i="10"/>
  <c r="Q17" i="2"/>
  <c r="H16" i="10" s="1"/>
  <c r="U117" i="2"/>
  <c r="K116" i="10" s="1"/>
  <c r="AB7" i="10"/>
  <c r="AK362" i="2"/>
  <c r="CP362" i="2" s="1"/>
  <c r="T362" i="2" s="1"/>
  <c r="CP387" i="2"/>
  <c r="T387" i="2" s="1"/>
  <c r="AL391" i="2"/>
  <c r="AK404" i="2"/>
  <c r="AJ410" i="2"/>
  <c r="AA410" i="2"/>
  <c r="AL410" i="2"/>
  <c r="AB183" i="10"/>
  <c r="Q346" i="2"/>
  <c r="AP11" i="3"/>
  <c r="AB146" i="10"/>
  <c r="J435" i="10"/>
  <c r="AL386" i="2"/>
  <c r="AH386" i="2" s="1"/>
  <c r="AL402" i="2"/>
  <c r="AK402" i="2"/>
  <c r="BB18" i="3"/>
  <c r="I22" i="3"/>
  <c r="AJ385" i="2"/>
  <c r="AH385" i="2" s="1"/>
  <c r="AA385" i="2"/>
  <c r="Q414" i="2"/>
  <c r="H413" i="10" s="1"/>
  <c r="F22" i="3"/>
  <c r="CJ213" i="2"/>
  <c r="J284" i="10"/>
  <c r="J157" i="10"/>
  <c r="J139" i="10"/>
  <c r="N63" i="10"/>
  <c r="J102" i="10"/>
  <c r="Q25" i="2"/>
  <c r="H24" i="10" s="1"/>
  <c r="Q126" i="2"/>
  <c r="H125" i="10" s="1"/>
  <c r="FS199" i="2"/>
  <c r="FT199" i="2" s="1"/>
  <c r="FU199" i="2" s="1"/>
  <c r="CJ6" i="2"/>
  <c r="N62" i="10"/>
  <c r="N224" i="10"/>
  <c r="Q229" i="2"/>
  <c r="H228" i="10" s="1"/>
  <c r="AB228" i="10"/>
  <c r="AB234" i="10"/>
  <c r="N200" i="10"/>
  <c r="N57" i="10"/>
  <c r="N35" i="10"/>
  <c r="N13" i="10"/>
  <c r="N132" i="10"/>
  <c r="W352" i="2"/>
  <c r="M351" i="10" s="1"/>
  <c r="N351" i="10" s="1"/>
  <c r="CJ352" i="2"/>
  <c r="AA349" i="2"/>
  <c r="AJ349" i="2"/>
  <c r="Q203" i="2"/>
  <c r="H202" i="10" s="1"/>
  <c r="AB202" i="10"/>
  <c r="AB230" i="10"/>
  <c r="BC24" i="3"/>
  <c r="BD24" i="3" s="1"/>
  <c r="BD21" i="3"/>
  <c r="AM20" i="3"/>
  <c r="AM24" i="3" s="1"/>
  <c r="C23" i="9" s="1"/>
  <c r="AP9" i="3"/>
  <c r="Q404" i="2"/>
  <c r="H403" i="10" s="1"/>
  <c r="Q396" i="2"/>
  <c r="AL10" i="3"/>
  <c r="W208" i="2"/>
  <c r="M207" i="10" s="1"/>
  <c r="N207" i="10" s="1"/>
  <c r="CJ208" i="2"/>
  <c r="U115" i="2"/>
  <c r="K114" i="10" s="1"/>
  <c r="J114" i="10"/>
  <c r="J254" i="10"/>
  <c r="U255" i="2"/>
  <c r="K254" i="10" s="1"/>
  <c r="U13" i="2"/>
  <c r="K12" i="10" s="1"/>
  <c r="J12" i="10"/>
  <c r="U254" i="2"/>
  <c r="K253" i="10" s="1"/>
  <c r="J253" i="10"/>
  <c r="FS332" i="2"/>
  <c r="FT332" i="2" s="1"/>
  <c r="FU332" i="2" s="1"/>
  <c r="J195" i="10"/>
  <c r="FS304" i="2"/>
  <c r="FT304" i="2" s="1"/>
  <c r="FU304" i="2" s="1"/>
  <c r="CP213" i="2"/>
  <c r="T213" i="2" s="1"/>
  <c r="CP178" i="2"/>
  <c r="T178" i="2" s="1"/>
  <c r="J27" i="10"/>
  <c r="U28" i="2"/>
  <c r="K27" i="10" s="1"/>
  <c r="N199" i="10"/>
  <c r="J134" i="10"/>
  <c r="U135" i="2"/>
  <c r="K134" i="10" s="1"/>
  <c r="N226" i="10"/>
  <c r="J229" i="10"/>
  <c r="J194" i="10"/>
  <c r="J136" i="10"/>
  <c r="U137" i="2"/>
  <c r="K136" i="10" s="1"/>
  <c r="N145" i="10"/>
  <c r="N99" i="10"/>
  <c r="CP76" i="2"/>
  <c r="T76" i="2" s="1"/>
  <c r="J130" i="10"/>
  <c r="U131" i="2"/>
  <c r="K130" i="10" s="1"/>
  <c r="N59" i="10"/>
  <c r="Q10" i="2"/>
  <c r="H9" i="10" s="1"/>
  <c r="AB9" i="10"/>
  <c r="N8" i="10"/>
  <c r="N71" i="10"/>
  <c r="N148" i="10"/>
  <c r="U6" i="2"/>
  <c r="N229" i="10"/>
  <c r="U51" i="2"/>
  <c r="K50" i="10" s="1"/>
  <c r="J50" i="10"/>
  <c r="AB118" i="10"/>
  <c r="AB82" i="10"/>
  <c r="Q83" i="2"/>
  <c r="H82" i="10" s="1"/>
  <c r="CJ310" i="2"/>
  <c r="U157" i="2"/>
  <c r="K156" i="10" s="1"/>
  <c r="J133" i="10"/>
  <c r="N14" i="10"/>
  <c r="U94" i="2"/>
  <c r="K93" i="10" s="1"/>
  <c r="Q337" i="2"/>
  <c r="H336" i="10" s="1"/>
  <c r="J63" i="10"/>
  <c r="U64" i="2"/>
  <c r="K63" i="10" s="1"/>
  <c r="U222" i="2"/>
  <c r="K221" i="10" s="1"/>
  <c r="J221" i="10"/>
  <c r="N182" i="10"/>
  <c r="BB23" i="3"/>
  <c r="BD23" i="3"/>
  <c r="BD22" i="3"/>
  <c r="CJ203" i="2"/>
  <c r="N87" i="10"/>
  <c r="N179" i="10"/>
  <c r="N233" i="10"/>
  <c r="U189" i="2"/>
  <c r="K188" i="10" s="1"/>
  <c r="J188" i="10"/>
  <c r="AB122" i="10"/>
  <c r="AB124" i="10"/>
  <c r="Q125" i="2"/>
  <c r="H124" i="10" s="1"/>
  <c r="AB196" i="10"/>
  <c r="Q197" i="2"/>
  <c r="H196" i="10" s="1"/>
  <c r="Q154" i="2"/>
  <c r="H153" i="10" s="1"/>
  <c r="AB153" i="10"/>
  <c r="N103" i="10"/>
  <c r="U45" i="2"/>
  <c r="K44" i="10" s="1"/>
  <c r="N174" i="10"/>
  <c r="Q227" i="2"/>
  <c r="H226" i="10" s="1"/>
  <c r="J83" i="10"/>
  <c r="U101" i="2"/>
  <c r="K100" i="10" s="1"/>
  <c r="J100" i="10"/>
  <c r="J104" i="10"/>
  <c r="U218" i="2"/>
  <c r="K217" i="10" s="1"/>
  <c r="J217" i="10"/>
  <c r="AL435" i="2"/>
  <c r="AA435" i="2"/>
  <c r="N104" i="10"/>
  <c r="N201" i="10"/>
  <c r="J98" i="10"/>
  <c r="U99" i="2"/>
  <c r="K98" i="10" s="1"/>
  <c r="Q79" i="2"/>
  <c r="H78" i="10" s="1"/>
  <c r="AB78" i="10"/>
  <c r="L2" i="10"/>
  <c r="CJ399" i="2"/>
  <c r="W399" i="2"/>
  <c r="M398" i="10" s="1"/>
  <c r="N398" i="10" s="1"/>
  <c r="AK395" i="2"/>
  <c r="CP395" i="2"/>
  <c r="T395" i="2" s="1"/>
  <c r="AI395" i="2"/>
  <c r="AL395" i="2"/>
  <c r="AJ395" i="2"/>
  <c r="AL424" i="2"/>
  <c r="AA424" i="2"/>
  <c r="CP424" i="2" s="1"/>
  <c r="T424" i="2" s="1"/>
  <c r="AK424" i="2"/>
  <c r="AH424" i="2" s="1"/>
  <c r="CJ156" i="2"/>
  <c r="U89" i="2"/>
  <c r="K88" i="10" s="1"/>
  <c r="U37" i="2"/>
  <c r="K36" i="10" s="1"/>
  <c r="N213" i="10"/>
  <c r="J185" i="10"/>
  <c r="Q113" i="2"/>
  <c r="H112" i="10" s="1"/>
  <c r="AI378" i="2"/>
  <c r="AJ378" i="2"/>
  <c r="AA378" i="2"/>
  <c r="AL378" i="2"/>
  <c r="AK378" i="2"/>
  <c r="CP378" i="2"/>
  <c r="T378" i="2" s="1"/>
  <c r="W412" i="2"/>
  <c r="M411" i="10" s="1"/>
  <c r="N411" i="10" s="1"/>
  <c r="CJ412" i="2"/>
  <c r="U312" i="2"/>
  <c r="K311" i="10" s="1"/>
  <c r="J311" i="10"/>
  <c r="CJ157" i="2"/>
  <c r="N154" i="10"/>
  <c r="J20" i="10"/>
  <c r="U21" i="2"/>
  <c r="K20" i="10" s="1"/>
  <c r="U119" i="2"/>
  <c r="K118" i="10" s="1"/>
  <c r="J118" i="10"/>
  <c r="J184" i="10"/>
  <c r="AB80" i="10"/>
  <c r="W370" i="2"/>
  <c r="M369" i="10" s="1"/>
  <c r="N369" i="10" s="1"/>
  <c r="CJ370" i="2"/>
  <c r="N46" i="10"/>
  <c r="N195" i="10"/>
  <c r="AA376" i="2"/>
  <c r="AI376" i="2"/>
  <c r="AJ376" i="2"/>
  <c r="AK376" i="2"/>
  <c r="CP376" i="2"/>
  <c r="T376" i="2" s="1"/>
  <c r="N142" i="10"/>
  <c r="N202" i="10"/>
  <c r="U154" i="2"/>
  <c r="K153" i="10" s="1"/>
  <c r="J153" i="10"/>
  <c r="AB8" i="10"/>
  <c r="CJ368" i="2"/>
  <c r="W368" i="2"/>
  <c r="M367" i="10" s="1"/>
  <c r="N367" i="10" s="1"/>
  <c r="AJ375" i="2"/>
  <c r="AA375" i="2"/>
  <c r="AK375" i="2"/>
  <c r="CP375" i="2"/>
  <c r="T375" i="2" s="1"/>
  <c r="FS327" i="2"/>
  <c r="FT327" i="2" s="1"/>
  <c r="FU327" i="2" s="1"/>
  <c r="U147" i="2"/>
  <c r="K146" i="10" s="1"/>
  <c r="N130" i="10"/>
  <c r="U72" i="2"/>
  <c r="K71" i="10" s="1"/>
  <c r="J14" i="10"/>
  <c r="U15" i="2"/>
  <c r="K14" i="10" s="1"/>
  <c r="J180" i="10"/>
  <c r="U181" i="2"/>
  <c r="K180" i="10" s="1"/>
  <c r="U153" i="2"/>
  <c r="K152" i="10" s="1"/>
  <c r="J152" i="10"/>
  <c r="AB101" i="10"/>
  <c r="AB116" i="10"/>
  <c r="Q117" i="2"/>
  <c r="H116" i="10" s="1"/>
  <c r="AB44" i="10"/>
  <c r="Q45" i="2"/>
  <c r="H44" i="10" s="1"/>
  <c r="W367" i="2"/>
  <c r="M366" i="10" s="1"/>
  <c r="N366" i="10" s="1"/>
  <c r="CJ367" i="2"/>
  <c r="AI364" i="2"/>
  <c r="AK364" i="2"/>
  <c r="CP364" i="2"/>
  <c r="T364" i="2" s="1"/>
  <c r="AL364" i="2"/>
  <c r="AJ364" i="2"/>
  <c r="N67" i="10"/>
  <c r="N45" i="10"/>
  <c r="J151" i="10"/>
  <c r="U152" i="2"/>
  <c r="K151" i="10" s="1"/>
  <c r="N131" i="10"/>
  <c r="U256" i="2"/>
  <c r="K255" i="10" s="1"/>
  <c r="J302" i="10"/>
  <c r="U70" i="2"/>
  <c r="K69" i="10" s="1"/>
  <c r="N44" i="10"/>
  <c r="N227" i="10"/>
  <c r="U41" i="2"/>
  <c r="K40" i="10" s="1"/>
  <c r="J40" i="10"/>
  <c r="AB69" i="10"/>
  <c r="Q93" i="2"/>
  <c r="H92" i="10" s="1"/>
  <c r="AB92" i="10"/>
  <c r="Q66" i="2"/>
  <c r="H65" i="10" s="1"/>
  <c r="AB65" i="10"/>
  <c r="CJ355" i="2"/>
  <c r="CP265" i="2"/>
  <c r="T265" i="2" s="1"/>
  <c r="N98" i="10"/>
  <c r="N90" i="10"/>
  <c r="N127" i="10"/>
  <c r="N160" i="10"/>
  <c r="N43" i="10"/>
  <c r="J45" i="10"/>
  <c r="U46" i="2"/>
  <c r="K45" i="10" s="1"/>
  <c r="J178" i="10"/>
  <c r="AB54" i="10"/>
  <c r="Q42" i="2"/>
  <c r="H41" i="10" s="1"/>
  <c r="AB41" i="10"/>
  <c r="Q18" i="2"/>
  <c r="H17" i="10" s="1"/>
  <c r="AB17" i="10"/>
  <c r="AI365" i="2"/>
  <c r="AH365" i="2" s="1"/>
  <c r="U390" i="2"/>
  <c r="K389" i="10" s="1"/>
  <c r="J389" i="10"/>
  <c r="W426" i="2"/>
  <c r="M425" i="10" s="1"/>
  <c r="N425" i="10" s="1"/>
  <c r="CJ426" i="2"/>
  <c r="J200" i="10"/>
  <c r="U201" i="2"/>
  <c r="K200" i="10" s="1"/>
  <c r="AB96" i="10"/>
  <c r="N5" i="10"/>
  <c r="AJ435" i="2"/>
  <c r="N354" i="10"/>
  <c r="CJ388" i="2"/>
  <c r="W388" i="2"/>
  <c r="M387" i="10" s="1"/>
  <c r="N387" i="10" s="1"/>
  <c r="CP57" i="2"/>
  <c r="T57" i="2" s="1"/>
  <c r="N16" i="10"/>
  <c r="N106" i="10"/>
  <c r="N15" i="10"/>
  <c r="U14" i="2"/>
  <c r="K13" i="10" s="1"/>
  <c r="U82" i="2"/>
  <c r="K81" i="10" s="1"/>
  <c r="J81" i="10"/>
  <c r="U174" i="2"/>
  <c r="K173" i="10" s="1"/>
  <c r="J173" i="10"/>
  <c r="Q52" i="2"/>
  <c r="H51" i="10" s="1"/>
  <c r="Q40" i="2"/>
  <c r="H39" i="10" s="1"/>
  <c r="AB39" i="10"/>
  <c r="AB15" i="10"/>
  <c r="Q16" i="2"/>
  <c r="H15" i="10" s="1"/>
  <c r="N50" i="10"/>
  <c r="U25" i="2"/>
  <c r="K24" i="10" s="1"/>
  <c r="N24" i="10"/>
  <c r="U65" i="2"/>
  <c r="K64" i="10" s="1"/>
  <c r="N40" i="10"/>
  <c r="N235" i="10"/>
  <c r="Q47" i="2"/>
  <c r="H46" i="10" s="1"/>
  <c r="Q51" i="2"/>
  <c r="H50" i="10" s="1"/>
  <c r="AB110" i="10"/>
  <c r="Q111" i="2"/>
  <c r="H110" i="10" s="1"/>
  <c r="Q219" i="2"/>
  <c r="H218" i="10" s="1"/>
  <c r="CJ420" i="2"/>
  <c r="W420" i="2"/>
  <c r="M419" i="10" s="1"/>
  <c r="N419" i="10" s="1"/>
  <c r="N41" i="10"/>
  <c r="N88" i="10"/>
  <c r="N177" i="10"/>
  <c r="N153" i="10"/>
  <c r="N120" i="10"/>
  <c r="N17" i="10"/>
  <c r="AB60" i="10"/>
  <c r="Q61" i="2"/>
  <c r="H60" i="10" s="1"/>
  <c r="N157" i="10"/>
  <c r="N165" i="10"/>
  <c r="Q226" i="2"/>
  <c r="H225" i="10" s="1"/>
  <c r="W226" i="2"/>
  <c r="M225" i="10" s="1"/>
  <c r="N225" i="10" s="1"/>
  <c r="CP333" i="2"/>
  <c r="T333" i="2" s="1"/>
  <c r="N37" i="10"/>
  <c r="U160" i="2"/>
  <c r="K159" i="10" s="1"/>
  <c r="U12" i="2"/>
  <c r="K11" i="10" s="1"/>
  <c r="J131" i="10"/>
  <c r="U132" i="2"/>
  <c r="K131" i="10" s="1"/>
  <c r="Q43" i="2"/>
  <c r="H42" i="10" s="1"/>
  <c r="Q33" i="2"/>
  <c r="H32" i="10" s="1"/>
  <c r="N376" i="10"/>
  <c r="CJ415" i="2"/>
  <c r="N385" i="10"/>
  <c r="CJ391" i="2"/>
  <c r="W391" i="2"/>
  <c r="M390" i="10" s="1"/>
  <c r="N390" i="10" s="1"/>
  <c r="N189" i="10"/>
  <c r="J55" i="10"/>
  <c r="U56" i="2"/>
  <c r="K55" i="10" s="1"/>
  <c r="AI373" i="2"/>
  <c r="AL373" i="2"/>
  <c r="AC18" i="3"/>
  <c r="N101" i="10"/>
  <c r="N64" i="10"/>
  <c r="W410" i="2"/>
  <c r="M409" i="10" s="1"/>
  <c r="N409" i="10" s="1"/>
  <c r="CJ410" i="2"/>
  <c r="AA402" i="2"/>
  <c r="CP402" i="2" s="1"/>
  <c r="T402" i="2" s="1"/>
  <c r="N345" i="10"/>
  <c r="U63" i="2"/>
  <c r="K62" i="10" s="1"/>
  <c r="J62" i="10"/>
  <c r="AJ413" i="2"/>
  <c r="AI413" i="2"/>
  <c r="AH413" i="2" s="1"/>
  <c r="W436" i="2"/>
  <c r="M435" i="10" s="1"/>
  <c r="N435" i="10" s="1"/>
  <c r="CJ436" i="2"/>
  <c r="CJ353" i="2"/>
  <c r="W353" i="2"/>
  <c r="M352" i="10" s="1"/>
  <c r="N352" i="10" s="1"/>
  <c r="Q372" i="2"/>
  <c r="H371" i="10" s="1"/>
  <c r="AL351" i="2"/>
  <c r="AJ351" i="2"/>
  <c r="AK411" i="2"/>
  <c r="CP411" i="2"/>
  <c r="T411" i="2" s="1"/>
  <c r="AA411" i="2"/>
  <c r="AL411" i="2"/>
  <c r="N110" i="10"/>
  <c r="N34" i="10"/>
  <c r="N12" i="10"/>
  <c r="N214" i="10"/>
  <c r="Q240" i="2"/>
  <c r="H239" i="10" s="1"/>
  <c r="AL350" i="2"/>
  <c r="AJ350" i="2"/>
  <c r="AA350" i="2"/>
  <c r="AI350" i="2"/>
  <c r="AH350" i="2" s="1"/>
  <c r="Q370" i="2"/>
  <c r="W409" i="2"/>
  <c r="M408" i="10" s="1"/>
  <c r="N408" i="10" s="1"/>
  <c r="CJ409" i="2"/>
  <c r="AL360" i="2"/>
  <c r="AH360" i="2" s="1"/>
  <c r="CJ365" i="2"/>
  <c r="W365" i="2"/>
  <c r="M364" i="10" s="1"/>
  <c r="N364" i="10" s="1"/>
  <c r="AK381" i="2"/>
  <c r="CP381" i="2"/>
  <c r="T381" i="2" s="1"/>
  <c r="AJ381" i="2"/>
  <c r="AI381" i="2"/>
  <c r="AH381" i="2" s="1"/>
  <c r="AK397" i="2"/>
  <c r="AJ397" i="2"/>
  <c r="AH397" i="2" s="1"/>
  <c r="AA397" i="2"/>
  <c r="CP397" i="2" s="1"/>
  <c r="T397" i="2" s="1"/>
  <c r="AA409" i="2"/>
  <c r="AK409" i="2"/>
  <c r="CP409" i="2"/>
  <c r="T409" i="2" s="1"/>
  <c r="AL409" i="2"/>
  <c r="AJ409" i="2"/>
  <c r="AH409" i="2" s="1"/>
  <c r="AI402" i="2"/>
  <c r="CJ407" i="2"/>
  <c r="W407" i="2"/>
  <c r="M406" i="10" s="1"/>
  <c r="N406" i="10" s="1"/>
  <c r="AB237" i="10"/>
  <c r="Q216" i="2"/>
  <c r="H215" i="10" s="1"/>
  <c r="AB215" i="10"/>
  <c r="Q195" i="2"/>
  <c r="H194" i="10" s="1"/>
  <c r="AB194" i="10"/>
  <c r="Q174" i="2"/>
  <c r="H173" i="10" s="1"/>
  <c r="AB173" i="10"/>
  <c r="O22" i="3"/>
  <c r="O24" i="3" s="1"/>
  <c r="W405" i="2"/>
  <c r="M404" i="10" s="1"/>
  <c r="N404" i="10" s="1"/>
  <c r="CJ405" i="2"/>
  <c r="CP394" i="2"/>
  <c r="T394" i="2" s="1"/>
  <c r="CP388" i="2"/>
  <c r="T388" i="2" s="1"/>
  <c r="Q420" i="2"/>
  <c r="H419" i="10" s="1"/>
  <c r="CP393" i="2"/>
  <c r="T393" i="2" s="1"/>
  <c r="Q426" i="2"/>
  <c r="H425" i="10" s="1"/>
  <c r="CP428" i="2"/>
  <c r="T428" i="2" s="1"/>
  <c r="W401" i="2"/>
  <c r="M400" i="10" s="1"/>
  <c r="N400" i="10" s="1"/>
  <c r="CJ401" i="2"/>
  <c r="AB221" i="10"/>
  <c r="Q222" i="2"/>
  <c r="H221" i="10" s="1"/>
  <c r="Q201" i="2"/>
  <c r="H200" i="10" s="1"/>
  <c r="AB200" i="10"/>
  <c r="Q158" i="2"/>
  <c r="H157" i="10" s="1"/>
  <c r="AB157" i="10"/>
  <c r="Q133" i="2"/>
  <c r="H132" i="10" s="1"/>
  <c r="AB132" i="10"/>
  <c r="AA22" i="3"/>
  <c r="N190" i="10"/>
  <c r="AJ391" i="2"/>
  <c r="N370" i="10"/>
  <c r="AL7" i="3"/>
  <c r="AK7" i="3"/>
  <c r="AK12" i="3" s="1"/>
  <c r="Q348" i="2"/>
  <c r="AA357" i="2"/>
  <c r="AK390" i="2"/>
  <c r="AA390" i="2"/>
  <c r="Q367" i="2"/>
  <c r="H366" i="10" s="1"/>
  <c r="AA389" i="2"/>
  <c r="CP389" i="2" s="1"/>
  <c r="T389" i="2" s="1"/>
  <c r="AJ389" i="2"/>
  <c r="AK389" i="2"/>
  <c r="AL405" i="2"/>
  <c r="AK405" i="2"/>
  <c r="Q233" i="2"/>
  <c r="H232" i="10" s="1"/>
  <c r="AB232" i="10"/>
  <c r="W366" i="2"/>
  <c r="M365" i="10" s="1"/>
  <c r="N365" i="10" s="1"/>
  <c r="W347" i="2"/>
  <c r="AI389" i="2"/>
  <c r="AK420" i="2"/>
  <c r="AH420" i="2" s="1"/>
  <c r="AA356" i="2"/>
  <c r="AI356" i="2"/>
  <c r="AH356" i="2" s="1"/>
  <c r="AA419" i="2"/>
  <c r="CP419" i="2" s="1"/>
  <c r="T419" i="2" s="1"/>
  <c r="AB188" i="10"/>
  <c r="Q189" i="2"/>
  <c r="H188" i="10" s="1"/>
  <c r="N133" i="10"/>
  <c r="N410" i="10"/>
  <c r="Q166" i="2"/>
  <c r="H165" i="10" s="1"/>
  <c r="AB165" i="10"/>
  <c r="AL389" i="2"/>
  <c r="CJ362" i="2"/>
  <c r="W362" i="2"/>
  <c r="M361" i="10" s="1"/>
  <c r="N361" i="10" s="1"/>
  <c r="Q353" i="2"/>
  <c r="AA426" i="2"/>
  <c r="CP426" i="2" s="1"/>
  <c r="T426" i="2" s="1"/>
  <c r="AJ426" i="2"/>
  <c r="AH426" i="2" s="1"/>
  <c r="Q143" i="2"/>
  <c r="H142" i="10" s="1"/>
  <c r="AB142" i="10"/>
  <c r="Q336" i="2"/>
  <c r="H335" i="10" s="1"/>
  <c r="Q247" i="2"/>
  <c r="H246" i="10" s="1"/>
  <c r="Q357" i="2"/>
  <c r="H356" i="10" s="1"/>
  <c r="AG22" i="3"/>
  <c r="AG24" i="3" s="1"/>
  <c r="Q155" i="2"/>
  <c r="H154" i="10" s="1"/>
  <c r="AB154" i="10"/>
  <c r="X22" i="3"/>
  <c r="AY24" i="3"/>
  <c r="AB199" i="10"/>
  <c r="AB164" i="10"/>
  <c r="U22" i="3"/>
  <c r="Q204" i="2"/>
  <c r="H203" i="10" s="1"/>
  <c r="Q224" i="2"/>
  <c r="H223" i="10" s="1"/>
  <c r="U23" i="3"/>
  <c r="W398" i="10"/>
  <c r="W427" i="10"/>
  <c r="W429" i="10"/>
  <c r="W434" i="10"/>
  <c r="W437" i="10"/>
  <c r="W439" i="10"/>
  <c r="W355" i="10"/>
  <c r="Q439" i="10"/>
  <c r="V356" i="10"/>
  <c r="V361" i="10"/>
  <c r="V363" i="10"/>
  <c r="V366" i="10"/>
  <c r="V371" i="10"/>
  <c r="V374" i="10"/>
  <c r="V378" i="10"/>
  <c r="V381" i="10"/>
  <c r="V385" i="10"/>
  <c r="V388" i="10"/>
  <c r="V391" i="10"/>
  <c r="V394" i="10"/>
  <c r="V397" i="10"/>
  <c r="V401" i="10"/>
  <c r="V404" i="10"/>
  <c r="V409" i="10"/>
  <c r="V413" i="10"/>
  <c r="V420" i="10"/>
  <c r="V424" i="10"/>
  <c r="V430" i="10"/>
  <c r="V344" i="10"/>
  <c r="S347" i="10"/>
  <c r="R350" i="10"/>
  <c r="Q350" i="10"/>
  <c r="FU345" i="2"/>
  <c r="Q5" i="10"/>
  <c r="Q10" i="10"/>
  <c r="Q12" i="10"/>
  <c r="Q15" i="10"/>
  <c r="Q18" i="10"/>
  <c r="Q22" i="10"/>
  <c r="Q25" i="10"/>
  <c r="Q27" i="10"/>
  <c r="Q30" i="10"/>
  <c r="Q33" i="10"/>
  <c r="Q38" i="10"/>
  <c r="Q40" i="10"/>
  <c r="Q44" i="10"/>
  <c r="Q46" i="10"/>
  <c r="Q48" i="10"/>
  <c r="Q50" i="10"/>
  <c r="Q56" i="10"/>
  <c r="Q59" i="10"/>
  <c r="Q69" i="10"/>
  <c r="Q72" i="10"/>
  <c r="Q74" i="10"/>
  <c r="Q76" i="10"/>
  <c r="Q78" i="10"/>
  <c r="Q82" i="10"/>
  <c r="Q84" i="10"/>
  <c r="Q86" i="10"/>
  <c r="Q88" i="10"/>
  <c r="Q90" i="10"/>
  <c r="Q92" i="10"/>
  <c r="Q94" i="10"/>
  <c r="Q96" i="10"/>
  <c r="Q98" i="10"/>
  <c r="Q100" i="10"/>
  <c r="Q102" i="10"/>
  <c r="Q104" i="10"/>
  <c r="Q106" i="10"/>
  <c r="Q108" i="10"/>
  <c r="Q110" i="10"/>
  <c r="Q112" i="10"/>
  <c r="Q114" i="10"/>
  <c r="Q116" i="10"/>
  <c r="Q118" i="10"/>
  <c r="Q120" i="10"/>
  <c r="Q122" i="10"/>
  <c r="Q124" i="10"/>
  <c r="Q126" i="10"/>
  <c r="Q128" i="10"/>
  <c r="Q130" i="10"/>
  <c r="Q132" i="10"/>
  <c r="Q134" i="10"/>
  <c r="Q136" i="10"/>
  <c r="Q138" i="10"/>
  <c r="Q146" i="10"/>
  <c r="Q149" i="10"/>
  <c r="Q151" i="10"/>
  <c r="Q153" i="10"/>
  <c r="Q155" i="10"/>
  <c r="Q157" i="10"/>
  <c r="Q159" i="10"/>
  <c r="Q161" i="10"/>
  <c r="Q164" i="10"/>
  <c r="Q166" i="10"/>
  <c r="Q168" i="10"/>
  <c r="Q170" i="10"/>
  <c r="Q172" i="10"/>
  <c r="Q174" i="10"/>
  <c r="Q176" i="10"/>
  <c r="Q178" i="10"/>
  <c r="Q180" i="10"/>
  <c r="Q183" i="10"/>
  <c r="Q186" i="10"/>
  <c r="Q188" i="10"/>
  <c r="Q190" i="10"/>
  <c r="Q192" i="10"/>
  <c r="Q194" i="10"/>
  <c r="Q196" i="10"/>
  <c r="Q198" i="10"/>
  <c r="Q211" i="10"/>
  <c r="Q213" i="10"/>
  <c r="Q215" i="10"/>
  <c r="Q218" i="10"/>
  <c r="Q221" i="10"/>
  <c r="Q223" i="10"/>
  <c r="Q225" i="10"/>
  <c r="Q227" i="10"/>
  <c r="Q229" i="10"/>
  <c r="Q231" i="10"/>
  <c r="Q233" i="10"/>
  <c r="Q238" i="10"/>
  <c r="Q241" i="10"/>
  <c r="Q243" i="10"/>
  <c r="Q245" i="10"/>
  <c r="Q248" i="10"/>
  <c r="Q250" i="10"/>
  <c r="Q252" i="10"/>
  <c r="Q254" i="10"/>
  <c r="Q256" i="10"/>
  <c r="Q258" i="10"/>
  <c r="Q260" i="10"/>
  <c r="Q262" i="10"/>
  <c r="Q264" i="10"/>
  <c r="Q266" i="10"/>
  <c r="Q268" i="10"/>
  <c r="Q271" i="10"/>
  <c r="Q275" i="10"/>
  <c r="Q283" i="10"/>
  <c r="Q285" i="10"/>
  <c r="Q287" i="10"/>
  <c r="Q291" i="10"/>
  <c r="Q294" i="10"/>
  <c r="Q297" i="10"/>
  <c r="Q301" i="10"/>
  <c r="Q304" i="10"/>
  <c r="Q307" i="10"/>
  <c r="Q310" i="10"/>
  <c r="Q312" i="10"/>
  <c r="Q317" i="10"/>
  <c r="Q320" i="10"/>
  <c r="Q323" i="10"/>
  <c r="Q325" i="10"/>
  <c r="Q329" i="10"/>
  <c r="Q332" i="10"/>
  <c r="Q334" i="10"/>
  <c r="Q336" i="10"/>
  <c r="Q338" i="10"/>
  <c r="Q340" i="10"/>
  <c r="Q342" i="10"/>
  <c r="Q344" i="10"/>
  <c r="Q351" i="10"/>
  <c r="Q353" i="10"/>
  <c r="Q355" i="10"/>
  <c r="Q357" i="10"/>
  <c r="Q359" i="10"/>
  <c r="Q361" i="10"/>
  <c r="Q363" i="10"/>
  <c r="Q365" i="10"/>
  <c r="Q367" i="10"/>
  <c r="Q372" i="10"/>
  <c r="Q374" i="10"/>
  <c r="Q376" i="10"/>
  <c r="Q378" i="10"/>
  <c r="Q381" i="10"/>
  <c r="Q383" i="10"/>
  <c r="Q385" i="10"/>
  <c r="Q388" i="10"/>
  <c r="Q414" i="10"/>
  <c r="Q416" i="10"/>
  <c r="Q418" i="10"/>
  <c r="Q420" i="10"/>
  <c r="Q422" i="10"/>
  <c r="Q424" i="10"/>
  <c r="Q426" i="10"/>
  <c r="Q428" i="10"/>
  <c r="Q434" i="10"/>
  <c r="Q436" i="10"/>
  <c r="AB33" i="10"/>
  <c r="AB73" i="10"/>
  <c r="AB75" i="10"/>
  <c r="AB77" i="10"/>
  <c r="AB127" i="10"/>
  <c r="H128" i="10"/>
  <c r="AB134" i="10"/>
  <c r="H138" i="10"/>
  <c r="Q145" i="2"/>
  <c r="H144" i="10" s="1"/>
  <c r="AB145" i="10"/>
  <c r="AB148" i="10"/>
  <c r="H152" i="10"/>
  <c r="AB167" i="10"/>
  <c r="AB169" i="10"/>
  <c r="AB175" i="10"/>
  <c r="Q179" i="2"/>
  <c r="H178" i="10" s="1"/>
  <c r="AB180" i="10"/>
  <c r="AB182" i="10"/>
  <c r="AB184" i="10"/>
  <c r="Q193" i="2"/>
  <c r="H192" i="10" s="1"/>
  <c r="Q199" i="2"/>
  <c r="H198" i="10" s="1"/>
  <c r="AB205" i="10"/>
  <c r="AB209" i="10"/>
  <c r="AB213" i="10"/>
  <c r="AB217" i="10"/>
  <c r="Q220" i="2"/>
  <c r="H219" i="10" s="1"/>
  <c r="AB220" i="10"/>
  <c r="AB222" i="10"/>
  <c r="AB227" i="10"/>
  <c r="Q231" i="2"/>
  <c r="H230" i="10" s="1"/>
  <c r="Q232" i="2"/>
  <c r="H231" i="10" s="1"/>
  <c r="AB236" i="10"/>
  <c r="AB238" i="10"/>
  <c r="AB240" i="10"/>
  <c r="AB242" i="10"/>
  <c r="AB246" i="10"/>
  <c r="AB248" i="10"/>
  <c r="AB250" i="10"/>
  <c r="AB254" i="10"/>
  <c r="Q257" i="2"/>
  <c r="H256" i="10" s="1"/>
  <c r="AB262" i="10"/>
  <c r="AB265" i="10"/>
  <c r="P234" i="10"/>
  <c r="P235" i="10"/>
  <c r="P239" i="10"/>
  <c r="P240" i="10"/>
  <c r="P241" i="10"/>
  <c r="P244" i="10"/>
  <c r="P251" i="10"/>
  <c r="P253" i="10"/>
  <c r="P259" i="10"/>
  <c r="P262" i="10"/>
  <c r="P263" i="10"/>
  <c r="P269" i="10"/>
  <c r="P280" i="10"/>
  <c r="P284" i="10"/>
  <c r="P287" i="10"/>
  <c r="P292" i="10"/>
  <c r="P298" i="10"/>
  <c r="P302" i="10"/>
  <c r="P304" i="10"/>
  <c r="P305" i="10"/>
  <c r="P308" i="10"/>
  <c r="P310" i="10"/>
  <c r="P320" i="10"/>
  <c r="P323" i="10"/>
  <c r="P329" i="10"/>
  <c r="P335" i="10"/>
  <c r="P336" i="10"/>
  <c r="P338" i="10"/>
  <c r="P342" i="10"/>
  <c r="P343" i="10"/>
  <c r="P345" i="10"/>
  <c r="P352" i="10"/>
  <c r="P354" i="10"/>
  <c r="P361" i="10"/>
  <c r="P362" i="10"/>
  <c r="P364" i="10"/>
  <c r="P366" i="10"/>
  <c r="P371" i="10"/>
  <c r="P372" i="10"/>
  <c r="P378" i="10"/>
  <c r="P380" i="10"/>
  <c r="P383" i="10"/>
  <c r="P388" i="10"/>
  <c r="P390" i="10"/>
  <c r="P392" i="10"/>
  <c r="P395" i="10"/>
  <c r="P397" i="10"/>
  <c r="P404" i="10"/>
  <c r="P406" i="10"/>
  <c r="P409" i="10"/>
  <c r="P422" i="10"/>
  <c r="P424" i="10"/>
  <c r="P427" i="10"/>
  <c r="P429" i="10"/>
  <c r="FU428" i="2"/>
  <c r="FU429" i="2"/>
  <c r="FU431" i="2"/>
  <c r="FU393" i="2"/>
  <c r="FU347" i="2"/>
  <c r="FU352" i="2"/>
  <c r="FU357" i="2"/>
  <c r="FU359" i="2"/>
  <c r="FU361" i="2"/>
  <c r="FU364" i="2"/>
  <c r="FU367" i="2"/>
  <c r="FU371" i="2"/>
  <c r="FU373" i="2"/>
  <c r="FU377" i="2"/>
  <c r="FU388" i="2"/>
  <c r="FU391" i="2"/>
  <c r="FU436" i="2"/>
  <c r="FU438" i="2"/>
  <c r="FU414" i="2"/>
  <c r="FU423" i="2"/>
  <c r="FU425" i="2"/>
  <c r="FU396" i="2"/>
  <c r="FU398" i="2"/>
  <c r="FU400" i="2"/>
  <c r="FU402" i="2"/>
  <c r="FU405" i="2"/>
  <c r="FU407" i="2"/>
  <c r="FU368" i="2"/>
  <c r="FU275" i="2"/>
  <c r="FU286" i="2"/>
  <c r="FU287" i="2"/>
  <c r="FU323" i="2"/>
  <c r="FU88" i="2"/>
  <c r="FU94" i="2"/>
  <c r="FU117" i="2"/>
  <c r="FU122" i="2"/>
  <c r="FU128" i="2"/>
  <c r="FU144" i="2"/>
  <c r="FU168" i="2"/>
  <c r="FU169" i="2"/>
  <c r="FU171" i="2"/>
  <c r="FU172" i="2"/>
  <c r="FU179" i="2"/>
  <c r="FU180" i="2"/>
  <c r="FU181" i="2"/>
  <c r="FU184" i="2"/>
  <c r="FU185" i="2"/>
  <c r="FU186" i="2"/>
  <c r="FU187" i="2"/>
  <c r="FU189" i="2"/>
  <c r="FU228" i="2"/>
  <c r="FU244" i="2"/>
  <c r="FU245" i="2"/>
  <c r="FU250" i="2"/>
  <c r="FU254" i="2"/>
  <c r="FU263" i="2"/>
  <c r="FU265" i="2"/>
  <c r="FU267" i="2"/>
  <c r="FU269" i="2"/>
  <c r="FU290" i="2"/>
  <c r="FU297" i="2"/>
  <c r="FU302" i="2"/>
  <c r="FU306" i="2"/>
  <c r="FU309" i="2"/>
  <c r="FU312" i="2"/>
  <c r="FU313" i="2"/>
  <c r="FU324" i="2"/>
  <c r="FU330" i="2"/>
  <c r="FU337" i="2"/>
  <c r="FU341" i="2"/>
  <c r="Q9" i="2"/>
  <c r="H8" i="10" s="1"/>
  <c r="AB11" i="10"/>
  <c r="Q20" i="2"/>
  <c r="H19" i="10" s="1"/>
  <c r="AB24" i="10"/>
  <c r="Q28" i="2"/>
  <c r="H27" i="10" s="1"/>
  <c r="AB32" i="10"/>
  <c r="AB35" i="10"/>
  <c r="H47" i="10"/>
  <c r="AB50" i="10"/>
  <c r="H52" i="10"/>
  <c r="Q70" i="2"/>
  <c r="H69" i="10" s="1"/>
  <c r="Q81" i="2"/>
  <c r="H80" i="10" s="1"/>
  <c r="AB86" i="10"/>
  <c r="W426" i="10"/>
  <c r="W428" i="10"/>
  <c r="W436" i="10"/>
  <c r="W438" i="10"/>
  <c r="S439" i="10"/>
  <c r="V360" i="10"/>
  <c r="V365" i="10"/>
  <c r="V370" i="10"/>
  <c r="V373" i="10"/>
  <c r="V377" i="10"/>
  <c r="V380" i="10"/>
  <c r="V384" i="10"/>
  <c r="V387" i="10"/>
  <c r="V390" i="10"/>
  <c r="V393" i="10"/>
  <c r="V396" i="10"/>
  <c r="V400" i="10"/>
  <c r="V403" i="10"/>
  <c r="V408" i="10"/>
  <c r="V412" i="10"/>
  <c r="V419" i="10"/>
  <c r="V423" i="10"/>
  <c r="V428" i="10"/>
  <c r="V429" i="10"/>
  <c r="V438" i="10"/>
  <c r="S348" i="10"/>
  <c r="R349" i="10"/>
  <c r="Q349" i="10"/>
  <c r="Q4" i="10"/>
  <c r="Q9" i="10"/>
  <c r="Q14" i="10"/>
  <c r="Q17" i="10"/>
  <c r="Q21" i="10"/>
  <c r="Q24" i="10"/>
  <c r="Q29" i="10"/>
  <c r="Q32" i="10"/>
  <c r="Q37" i="10"/>
  <c r="Q39" i="10"/>
  <c r="Q54" i="10"/>
  <c r="Q55" i="10"/>
  <c r="Q58" i="10"/>
  <c r="Q67" i="10"/>
  <c r="Q68" i="10"/>
  <c r="Q71" i="10"/>
  <c r="Q73" i="10"/>
  <c r="Q75" i="10"/>
  <c r="Q77" i="10"/>
  <c r="Q80" i="10"/>
  <c r="Q83" i="10"/>
  <c r="Q85" i="10"/>
  <c r="Q87" i="10"/>
  <c r="Q89" i="10"/>
  <c r="Q91" i="10"/>
  <c r="Q93" i="10"/>
  <c r="Q95" i="10"/>
  <c r="Q97" i="10"/>
  <c r="Q99" i="10"/>
  <c r="Q101" i="10"/>
  <c r="Q103" i="10"/>
  <c r="Q105" i="10"/>
  <c r="Q107" i="10"/>
  <c r="Q109" i="10"/>
  <c r="Q111" i="10"/>
  <c r="Q113" i="10"/>
  <c r="Q115" i="10"/>
  <c r="Q117" i="10"/>
  <c r="Q119" i="10"/>
  <c r="Q121" i="10"/>
  <c r="Q123" i="10"/>
  <c r="Q125" i="10"/>
  <c r="Q127" i="10"/>
  <c r="Q129" i="10"/>
  <c r="Q131" i="10"/>
  <c r="Q133" i="10"/>
  <c r="Q135" i="10"/>
  <c r="Q137" i="10"/>
  <c r="Q139" i="10"/>
  <c r="Q145" i="10"/>
  <c r="Q147" i="10"/>
  <c r="Q150" i="10"/>
  <c r="Q152" i="10"/>
  <c r="Q154" i="10"/>
  <c r="Q156" i="10"/>
  <c r="Q158" i="10"/>
  <c r="Q160" i="10"/>
  <c r="Q163" i="10"/>
  <c r="Q165" i="10"/>
  <c r="Q167" i="10"/>
  <c r="Q169" i="10"/>
  <c r="Q171" i="10"/>
  <c r="Q173" i="10"/>
  <c r="Q175" i="10"/>
  <c r="Q177" i="10"/>
  <c r="Q179" i="10"/>
  <c r="Q181" i="10"/>
  <c r="Q185" i="10"/>
  <c r="Q187" i="10"/>
  <c r="Q189" i="10"/>
  <c r="Q191" i="10"/>
  <c r="Q193" i="10"/>
  <c r="Q195" i="10"/>
  <c r="Q197" i="10"/>
  <c r="Q199" i="10"/>
  <c r="Q210" i="10"/>
  <c r="Q212" i="10"/>
  <c r="Q214" i="10"/>
  <c r="Q217" i="10"/>
  <c r="Q219" i="10"/>
  <c r="Q222" i="10"/>
  <c r="Q224" i="10"/>
  <c r="Q226" i="10"/>
  <c r="Q228" i="10"/>
  <c r="Q230" i="10"/>
  <c r="Q232" i="10"/>
  <c r="Q235" i="10"/>
  <c r="Q237" i="10"/>
  <c r="Q239" i="10"/>
  <c r="Q242" i="10"/>
  <c r="Q244" i="10"/>
  <c r="Q247" i="10"/>
  <c r="Q249" i="10"/>
  <c r="Q251" i="10"/>
  <c r="Q253" i="10"/>
  <c r="Q255" i="10"/>
  <c r="Q257" i="10"/>
  <c r="Q259" i="10"/>
  <c r="Q261" i="10"/>
  <c r="Q263" i="10"/>
  <c r="Q265" i="10"/>
  <c r="Q269" i="10"/>
  <c r="Q272" i="10"/>
  <c r="Q276" i="10"/>
  <c r="Q280" i="10"/>
  <c r="Q284" i="10"/>
  <c r="Q286" i="10"/>
  <c r="Q289" i="10"/>
  <c r="Q292" i="10"/>
  <c r="Q296" i="10"/>
  <c r="Q298" i="10"/>
  <c r="Q302" i="10"/>
  <c r="Q305" i="10"/>
  <c r="Q308" i="10"/>
  <c r="Q311" i="10"/>
  <c r="Q316" i="10"/>
  <c r="Q319" i="10"/>
  <c r="Q322" i="10"/>
  <c r="Q327" i="10"/>
  <c r="Q333" i="10"/>
  <c r="Q335" i="10"/>
  <c r="Q339" i="10"/>
  <c r="Q341" i="10"/>
  <c r="Q343" i="10"/>
  <c r="Q345" i="10"/>
  <c r="Q352" i="10"/>
  <c r="Q354" i="10"/>
  <c r="Q356" i="10"/>
  <c r="Q358" i="10"/>
  <c r="Q360" i="10"/>
  <c r="Q362" i="10"/>
  <c r="Q364" i="10"/>
  <c r="Q366" i="10"/>
  <c r="Q368" i="10"/>
  <c r="Q371" i="10"/>
  <c r="Q373" i="10"/>
  <c r="Q375" i="10"/>
  <c r="Q377" i="10"/>
  <c r="Q379" i="10"/>
  <c r="Q382" i="10"/>
  <c r="Q384" i="10"/>
  <c r="Q387" i="10"/>
  <c r="Q413" i="10"/>
  <c r="Q415" i="10"/>
  <c r="Q417" i="10"/>
  <c r="Q419" i="10"/>
  <c r="Q421" i="10"/>
  <c r="Q423" i="10"/>
  <c r="Q425" i="10"/>
  <c r="Q427" i="10"/>
  <c r="Q429" i="10"/>
  <c r="Q435" i="10"/>
  <c r="AB56" i="10"/>
  <c r="AB74" i="10"/>
  <c r="AB76" i="10"/>
  <c r="AB125" i="10"/>
  <c r="H129" i="10"/>
  <c r="Q137" i="2"/>
  <c r="H136" i="10" s="1"/>
  <c r="AB139" i="10"/>
  <c r="Q147" i="2"/>
  <c r="H146" i="10" s="1"/>
  <c r="Q148" i="2"/>
  <c r="H147" i="10" s="1"/>
  <c r="Q156" i="2"/>
  <c r="H155" i="10" s="1"/>
  <c r="AB166" i="10"/>
  <c r="AB168" i="10"/>
  <c r="AB170" i="10"/>
  <c r="H171" i="10"/>
  <c r="AB174" i="10"/>
  <c r="AB176" i="10"/>
  <c r="AB179" i="10"/>
  <c r="AB181" i="10"/>
  <c r="Q184" i="2"/>
  <c r="H183" i="10" s="1"/>
  <c r="Q186" i="2"/>
  <c r="H185" i="10" s="1"/>
  <c r="AB197" i="10"/>
  <c r="Q200" i="2"/>
  <c r="H199" i="10" s="1"/>
  <c r="Q205" i="2"/>
  <c r="H204" i="10" s="1"/>
  <c r="Q207" i="2"/>
  <c r="H206" i="10" s="1"/>
  <c r="AB210" i="10"/>
  <c r="AB216" i="10"/>
  <c r="AB218" i="10"/>
  <c r="AB223" i="10"/>
  <c r="AB225" i="10"/>
  <c r="Q235" i="2"/>
  <c r="H234" i="10" s="1"/>
  <c r="Q236" i="2"/>
  <c r="H235" i="10" s="1"/>
  <c r="Q238" i="2"/>
  <c r="AB239" i="10"/>
  <c r="AB241" i="10"/>
  <c r="AB243" i="10"/>
  <c r="AB245" i="10"/>
  <c r="AB247" i="10"/>
  <c r="AB249" i="10"/>
  <c r="AB251" i="10"/>
  <c r="AB257" i="10"/>
  <c r="AB261" i="10"/>
  <c r="AB264" i="10"/>
  <c r="P238" i="10"/>
  <c r="P243" i="10"/>
  <c r="P245" i="10"/>
  <c r="P250" i="10"/>
  <c r="P252" i="10"/>
  <c r="P254" i="10"/>
  <c r="P257" i="10"/>
  <c r="P258" i="10"/>
  <c r="P260" i="10"/>
  <c r="P265" i="10"/>
  <c r="P267" i="10"/>
  <c r="P268" i="10"/>
  <c r="P271" i="10"/>
  <c r="P275" i="10"/>
  <c r="P301" i="10"/>
  <c r="P307" i="10"/>
  <c r="P317" i="10"/>
  <c r="P319" i="10"/>
  <c r="P322" i="10"/>
  <c r="P328" i="10"/>
  <c r="P332" i="10"/>
  <c r="P334" i="10"/>
  <c r="P337" i="10"/>
  <c r="P339" i="10"/>
  <c r="P344" i="10"/>
  <c r="P346" i="10"/>
  <c r="P349" i="10"/>
  <c r="P350" i="10"/>
  <c r="P363" i="10"/>
  <c r="P374" i="10"/>
  <c r="P379" i="10"/>
  <c r="P381" i="10"/>
  <c r="P384" i="10"/>
  <c r="P385" i="10"/>
  <c r="P386" i="10"/>
  <c r="P396" i="10"/>
  <c r="P398" i="10"/>
  <c r="P405" i="10"/>
  <c r="P412" i="10"/>
  <c r="P416" i="10"/>
  <c r="P419" i="10"/>
  <c r="P421" i="10"/>
  <c r="P423" i="10"/>
  <c r="P428" i="10"/>
  <c r="P430" i="10"/>
  <c r="P438" i="10"/>
  <c r="FU430" i="2"/>
  <c r="FU392" i="2"/>
  <c r="FU394" i="2"/>
  <c r="FU346" i="2"/>
  <c r="FU355" i="2"/>
  <c r="FU358" i="2"/>
  <c r="FU360" i="2"/>
  <c r="FU363" i="2"/>
  <c r="FU366" i="2"/>
  <c r="FU370" i="2"/>
  <c r="FU374" i="2"/>
  <c r="FU378" i="2"/>
  <c r="FU381" i="2"/>
  <c r="FU385" i="2"/>
  <c r="FU390" i="2"/>
  <c r="FU437" i="2"/>
  <c r="FU412" i="2"/>
  <c r="FU413" i="2"/>
  <c r="FU415" i="2"/>
  <c r="FU422" i="2"/>
  <c r="FU424" i="2"/>
  <c r="FU395" i="2"/>
  <c r="FU397" i="2"/>
  <c r="FU401" i="2"/>
  <c r="FU406" i="2"/>
  <c r="FU362" i="2"/>
  <c r="FU365" i="2"/>
  <c r="FU52" i="2"/>
  <c r="FU53" i="2"/>
  <c r="FU56" i="2"/>
  <c r="FU61" i="2"/>
  <c r="FU63" i="2"/>
  <c r="FU64" i="2"/>
  <c r="FU67" i="2"/>
  <c r="FU69" i="2"/>
  <c r="FU71" i="2"/>
  <c r="FU73" i="2"/>
  <c r="FU77" i="2"/>
  <c r="FU80" i="2"/>
  <c r="FU82" i="2"/>
  <c r="FU85" i="2"/>
  <c r="FU99" i="2"/>
  <c r="FU100" i="2"/>
  <c r="FU102" i="2"/>
  <c r="FU109" i="2"/>
  <c r="FU112" i="2"/>
  <c r="FU115" i="2"/>
  <c r="FU120" i="2"/>
  <c r="FU126" i="2"/>
  <c r="FU131" i="2"/>
  <c r="FU133" i="2"/>
  <c r="FU143" i="2"/>
  <c r="FU148" i="2"/>
  <c r="FU152" i="2"/>
  <c r="FU153" i="2"/>
  <c r="FU167" i="2"/>
  <c r="FU190" i="2"/>
  <c r="FU193" i="2"/>
  <c r="FU195" i="2"/>
  <c r="FU197" i="2"/>
  <c r="FU202" i="2"/>
  <c r="FU206" i="2"/>
  <c r="FU215" i="2"/>
  <c r="FU217" i="2"/>
  <c r="FU224" i="2"/>
  <c r="FU226" i="2"/>
  <c r="FU233" i="2"/>
  <c r="FU236" i="2"/>
  <c r="FU240" i="2"/>
  <c r="FU242" i="2"/>
  <c r="FU259" i="2"/>
  <c r="FU281" i="2"/>
  <c r="FU282" i="2"/>
  <c r="FU292" i="2"/>
  <c r="FU293" i="2"/>
  <c r="FU310" i="2"/>
  <c r="FU311" i="2"/>
  <c r="FU325" i="2"/>
  <c r="FU326" i="2"/>
  <c r="FU331" i="2"/>
  <c r="FU333" i="2"/>
  <c r="FU334" i="2"/>
  <c r="Q14" i="2"/>
  <c r="H13" i="10" s="1"/>
  <c r="AB14" i="10"/>
  <c r="H28" i="10"/>
  <c r="AB42" i="10"/>
  <c r="AB43" i="10"/>
  <c r="H53" i="10"/>
  <c r="Q55" i="2"/>
  <c r="H54" i="10" s="1"/>
  <c r="Q72" i="2"/>
  <c r="H71" i="10" s="1"/>
  <c r="H81" i="10"/>
  <c r="AB266" i="10"/>
  <c r="P236" i="10"/>
  <c r="P246" i="10"/>
  <c r="P247" i="10"/>
  <c r="P248" i="10"/>
  <c r="P249" i="10"/>
  <c r="P255" i="10"/>
  <c r="P256" i="10"/>
  <c r="P266" i="10"/>
  <c r="P278" i="10"/>
  <c r="P279" i="10"/>
  <c r="P286" i="10"/>
  <c r="P291" i="10"/>
  <c r="P297" i="10"/>
  <c r="P311" i="10"/>
  <c r="P312" i="10"/>
  <c r="P316" i="10"/>
  <c r="P340" i="10"/>
  <c r="P341" i="10"/>
  <c r="P347" i="10"/>
  <c r="P348" i="10"/>
  <c r="P355" i="10"/>
  <c r="P356" i="10"/>
  <c r="P357" i="10"/>
  <c r="P358" i="10"/>
  <c r="P359" i="10"/>
  <c r="P360" i="10"/>
  <c r="P367" i="10"/>
  <c r="P368" i="10"/>
  <c r="P369" i="10"/>
  <c r="P370" i="10"/>
  <c r="P375" i="10"/>
  <c r="P376" i="10"/>
  <c r="P377" i="10"/>
  <c r="P393" i="10"/>
  <c r="P399" i="10"/>
  <c r="P400" i="10"/>
  <c r="P401" i="10"/>
  <c r="P402" i="10"/>
  <c r="P403" i="10"/>
  <c r="P410" i="10"/>
  <c r="P411" i="10"/>
  <c r="P415" i="10"/>
  <c r="P420" i="10"/>
  <c r="P425" i="10"/>
  <c r="P426" i="10"/>
  <c r="P434" i="10"/>
  <c r="P435" i="10"/>
  <c r="P436" i="10"/>
  <c r="P437" i="10"/>
  <c r="FU348" i="2"/>
  <c r="FU380" i="2"/>
  <c r="FU439" i="2"/>
  <c r="FU408" i="2"/>
  <c r="FU409" i="2"/>
  <c r="FU410" i="2"/>
  <c r="FU411" i="2"/>
  <c r="FU416" i="2"/>
  <c r="FU417" i="2"/>
  <c r="FU418" i="2"/>
  <c r="FU419" i="2"/>
  <c r="FU420" i="2"/>
  <c r="FU421" i="2"/>
  <c r="FU426" i="2"/>
  <c r="FU427" i="2"/>
  <c r="FU403" i="2"/>
  <c r="FU404" i="2"/>
  <c r="FU139" i="2"/>
  <c r="FU161" i="2"/>
  <c r="FU272" i="2"/>
  <c r="FU283" i="2"/>
  <c r="FU319" i="2"/>
  <c r="FU5" i="2"/>
  <c r="FU50" i="2"/>
  <c r="FU54" i="2"/>
  <c r="FU57" i="2"/>
  <c r="FU60" i="2"/>
  <c r="FU66" i="2"/>
  <c r="FU68" i="2"/>
  <c r="FU70" i="2"/>
  <c r="FU72" i="2"/>
  <c r="FU79" i="2"/>
  <c r="FU81" i="2"/>
  <c r="FU83" i="2"/>
  <c r="FU84" i="2"/>
  <c r="FU87" i="2"/>
  <c r="FU89" i="2"/>
  <c r="FU90" i="2"/>
  <c r="FU91" i="2"/>
  <c r="FU93" i="2"/>
  <c r="FU95" i="2"/>
  <c r="FU96" i="2"/>
  <c r="FU97" i="2"/>
  <c r="FU101" i="2"/>
  <c r="FU104" i="2"/>
  <c r="FU106" i="2"/>
  <c r="FU108" i="2"/>
  <c r="FU110" i="2"/>
  <c r="FU111" i="2"/>
  <c r="FU113" i="2"/>
  <c r="FU114" i="2"/>
  <c r="FU116" i="2"/>
  <c r="FU118" i="2"/>
  <c r="FU119" i="2"/>
  <c r="FU121" i="2"/>
  <c r="FU123" i="2"/>
  <c r="FU124" i="2"/>
  <c r="FU125" i="2"/>
  <c r="FU127" i="2"/>
  <c r="FU132" i="2"/>
  <c r="FU134" i="2"/>
  <c r="FU142" i="2"/>
  <c r="FU146" i="2"/>
  <c r="FU147" i="2"/>
  <c r="FU149" i="2"/>
  <c r="FU150" i="2"/>
  <c r="FU151" i="2"/>
  <c r="FU154" i="2"/>
  <c r="FU156" i="2"/>
  <c r="FU173" i="2"/>
  <c r="FU174" i="2"/>
  <c r="FU191" i="2"/>
  <c r="FU194" i="2"/>
  <c r="FU196" i="2"/>
  <c r="FU201" i="2"/>
  <c r="FU205" i="2"/>
  <c r="FU207" i="2"/>
  <c r="FU216" i="2"/>
  <c r="FU218" i="2"/>
  <c r="FU223" i="2"/>
  <c r="FU227" i="2"/>
  <c r="FU229" i="2"/>
  <c r="FU232" i="2"/>
  <c r="FU234" i="2"/>
  <c r="FU235" i="2"/>
  <c r="FU239" i="2"/>
  <c r="FU241" i="2"/>
  <c r="FU243" i="2"/>
  <c r="FU247" i="2"/>
  <c r="FU249" i="2"/>
  <c r="FU251" i="2"/>
  <c r="FU255" i="2"/>
  <c r="FU260" i="2"/>
  <c r="FU261" i="2"/>
  <c r="FU262" i="2"/>
  <c r="FU264" i="2"/>
  <c r="FU266" i="2"/>
  <c r="FU270" i="2"/>
  <c r="FU288" i="2"/>
  <c r="FU289" i="2"/>
  <c r="FU291" i="2"/>
  <c r="FU295" i="2"/>
  <c r="FU298" i="2"/>
  <c r="FU301" i="2"/>
  <c r="FU305" i="2"/>
  <c r="FU314" i="2"/>
  <c r="FU315" i="2"/>
  <c r="FU316" i="2"/>
  <c r="FU317" i="2"/>
  <c r="FU329" i="2"/>
  <c r="FU336" i="2"/>
  <c r="FU338" i="2"/>
  <c r="FU339" i="2"/>
  <c r="FU340" i="2"/>
  <c r="Q135" i="2"/>
  <c r="H134" i="10" s="1"/>
  <c r="Q140" i="2"/>
  <c r="H139" i="10" s="1"/>
  <c r="Q250" i="2"/>
  <c r="Q217" i="2"/>
  <c r="H216" i="10" s="1"/>
  <c r="Q214" i="2"/>
  <c r="H213" i="10" s="1"/>
  <c r="AB171" i="10"/>
  <c r="AB206" i="10"/>
  <c r="Q44" i="2"/>
  <c r="H43" i="10" s="1"/>
  <c r="AB28" i="10"/>
  <c r="AB185" i="10"/>
  <c r="Q185" i="2"/>
  <c r="H184" i="10" s="1"/>
  <c r="Q228" i="2"/>
  <c r="H227" i="10" s="1"/>
  <c r="Q182" i="2"/>
  <c r="H181" i="10" s="1"/>
  <c r="Q284" i="2"/>
  <c r="H283" i="10" s="1"/>
  <c r="Q279" i="2"/>
  <c r="Q255" i="2"/>
  <c r="H254" i="10" s="1"/>
  <c r="BB11" i="3" l="1"/>
  <c r="J429" i="10"/>
  <c r="U430" i="2"/>
  <c r="K429" i="10" s="1"/>
  <c r="J391" i="10"/>
  <c r="U392" i="2"/>
  <c r="K391" i="10" s="1"/>
  <c r="J411" i="10"/>
  <c r="U412" i="2"/>
  <c r="K411" i="10" s="1"/>
  <c r="AH387" i="2"/>
  <c r="AH379" i="2"/>
  <c r="AH354" i="2"/>
  <c r="AH430" i="2"/>
  <c r="AH393" i="2"/>
  <c r="AH428" i="2"/>
  <c r="AH412" i="2"/>
  <c r="AH406" i="2"/>
  <c r="AH404" i="2"/>
  <c r="H164" i="10"/>
  <c r="K24" i="3"/>
  <c r="AD7" i="3"/>
  <c r="I11" i="3"/>
  <c r="AN10" i="9"/>
  <c r="AQ10" i="9"/>
  <c r="H384" i="10"/>
  <c r="G12" i="3"/>
  <c r="F9" i="3"/>
  <c r="F12" i="3" s="1"/>
  <c r="J12" i="3"/>
  <c r="I8" i="3"/>
  <c r="I12" i="3" s="1"/>
  <c r="J24" i="3"/>
  <c r="I20" i="3"/>
  <c r="I24" i="3" s="1"/>
  <c r="BA12" i="3"/>
  <c r="BB8" i="3"/>
  <c r="Y24" i="3"/>
  <c r="X18" i="3"/>
  <c r="X24" i="3" s="1"/>
  <c r="W12" i="3"/>
  <c r="U8" i="3"/>
  <c r="U12" i="3" s="1"/>
  <c r="AF24" i="3"/>
  <c r="AD23" i="3"/>
  <c r="AD24" i="3" s="1"/>
  <c r="T12" i="3"/>
  <c r="R10" i="3"/>
  <c r="R12" i="3" s="1"/>
  <c r="Z12" i="9"/>
  <c r="H431" i="10"/>
  <c r="G24" i="3"/>
  <c r="F20" i="3"/>
  <c r="F24" i="3" s="1"/>
  <c r="P12" i="3"/>
  <c r="O6" i="3"/>
  <c r="O12" i="3" s="1"/>
  <c r="L6" i="3"/>
  <c r="L12" i="3" s="1"/>
  <c r="M12" i="3"/>
  <c r="AZ12" i="3"/>
  <c r="BA13" i="3" s="1"/>
  <c r="BD11" i="3"/>
  <c r="Z12" i="3"/>
  <c r="X8" i="3"/>
  <c r="AA8" i="3"/>
  <c r="AA12" i="3" s="1"/>
  <c r="AB12" i="3"/>
  <c r="Y12" i="3"/>
  <c r="X10" i="3"/>
  <c r="N12" i="3"/>
  <c r="AI12" i="3"/>
  <c r="AC12" i="3"/>
  <c r="AF12" i="3"/>
  <c r="H169" i="10"/>
  <c r="H285" i="10"/>
  <c r="H302" i="10"/>
  <c r="N24" i="3"/>
  <c r="AY12" i="3"/>
  <c r="Z7" i="9"/>
  <c r="Z24" i="3"/>
  <c r="F4" i="9"/>
  <c r="E4" i="9"/>
  <c r="C16" i="9"/>
  <c r="Q4" i="9"/>
  <c r="J4" i="9"/>
  <c r="O4" i="9"/>
  <c r="E16" i="9" s="1"/>
  <c r="S4" i="9"/>
  <c r="P4" i="9"/>
  <c r="E23" i="3"/>
  <c r="G4" i="9"/>
  <c r="M4" i="9"/>
  <c r="N4" i="9"/>
  <c r="C4" i="9"/>
  <c r="K4" i="9"/>
  <c r="I4" i="9"/>
  <c r="R4" i="9"/>
  <c r="AK10" i="9"/>
  <c r="AK7" i="9" s="1"/>
  <c r="AQ12" i="9"/>
  <c r="AQ7" i="9" s="1"/>
  <c r="AN12" i="9"/>
  <c r="AN7" i="9" s="1"/>
  <c r="H4" i="9"/>
  <c r="D4" i="9"/>
  <c r="L4" i="9"/>
  <c r="H434" i="10"/>
  <c r="BC12" i="3"/>
  <c r="BD8" i="3"/>
  <c r="L20" i="3"/>
  <c r="L24" i="3" s="1"/>
  <c r="M24" i="3"/>
  <c r="AH12" i="3"/>
  <c r="AG7" i="3"/>
  <c r="AG12" i="3" s="1"/>
  <c r="AD11" i="3"/>
  <c r="AD12" i="3" s="1"/>
  <c r="AE12" i="3"/>
  <c r="S24" i="3"/>
  <c r="R23" i="3"/>
  <c r="R24" i="3" s="1"/>
  <c r="J197" i="10"/>
  <c r="U198" i="2"/>
  <c r="K197" i="10" s="1"/>
  <c r="J436" i="10"/>
  <c r="U437" i="2"/>
  <c r="K436" i="10" s="1"/>
  <c r="J182" i="10"/>
  <c r="U183" i="2"/>
  <c r="K182" i="10" s="1"/>
  <c r="J395" i="10"/>
  <c r="U396" i="2"/>
  <c r="K395" i="10" s="1"/>
  <c r="U416" i="2"/>
  <c r="K415" i="10" s="1"/>
  <c r="J415" i="10"/>
  <c r="J350" i="10"/>
  <c r="U351" i="2"/>
  <c r="K350" i="10" s="1"/>
  <c r="U337" i="2"/>
  <c r="K336" i="10" s="1"/>
  <c r="J336" i="10"/>
  <c r="J416" i="10"/>
  <c r="U417" i="2"/>
  <c r="K416" i="10" s="1"/>
  <c r="J349" i="10"/>
  <c r="U350" i="2"/>
  <c r="K349" i="10" s="1"/>
  <c r="U359" i="2"/>
  <c r="K358" i="10" s="1"/>
  <c r="J358" i="10"/>
  <c r="U349" i="2"/>
  <c r="K348" i="10" s="1"/>
  <c r="J348" i="10"/>
  <c r="U363" i="2"/>
  <c r="K362" i="10" s="1"/>
  <c r="J362" i="10"/>
  <c r="J174" i="10"/>
  <c r="U175" i="2"/>
  <c r="K174" i="10" s="1"/>
  <c r="J74" i="10"/>
  <c r="U75" i="2"/>
  <c r="K74" i="10" s="1"/>
  <c r="E4" i="5"/>
  <c r="H322" i="10"/>
  <c r="E8" i="3"/>
  <c r="E9" i="3"/>
  <c r="J399" i="10"/>
  <c r="U400" i="2"/>
  <c r="K399" i="10" s="1"/>
  <c r="U211" i="2"/>
  <c r="K210" i="10" s="1"/>
  <c r="J210" i="10"/>
  <c r="U399" i="2"/>
  <c r="K398" i="10" s="1"/>
  <c r="J398" i="10"/>
  <c r="J355" i="10"/>
  <c r="U356" i="2"/>
  <c r="K355" i="10" s="1"/>
  <c r="U410" i="2"/>
  <c r="K409" i="10" s="1"/>
  <c r="J409" i="10"/>
  <c r="T3" i="2"/>
  <c r="U30" i="2"/>
  <c r="K29" i="10" s="1"/>
  <c r="J29" i="10"/>
  <c r="J417" i="10"/>
  <c r="U418" i="2"/>
  <c r="K417" i="10" s="1"/>
  <c r="U221" i="2"/>
  <c r="K220" i="10" s="1"/>
  <c r="J220" i="10"/>
  <c r="U377" i="2"/>
  <c r="K376" i="10" s="1"/>
  <c r="J376" i="10"/>
  <c r="U379" i="2"/>
  <c r="K378" i="10" s="1"/>
  <c r="J378" i="10"/>
  <c r="J404" i="10"/>
  <c r="U405" i="2"/>
  <c r="K404" i="10" s="1"/>
  <c r="J351" i="10"/>
  <c r="U352" i="2"/>
  <c r="K351" i="10" s="1"/>
  <c r="U354" i="2"/>
  <c r="K353" i="10" s="1"/>
  <c r="J353" i="10"/>
  <c r="J424" i="10"/>
  <c r="U425" i="2"/>
  <c r="K424" i="10" s="1"/>
  <c r="U382" i="2"/>
  <c r="K381" i="10" s="1"/>
  <c r="J381" i="10"/>
  <c r="J412" i="10"/>
  <c r="U413" i="2"/>
  <c r="K412" i="10" s="1"/>
  <c r="J76" i="10"/>
  <c r="U77" i="2"/>
  <c r="K76" i="10" s="1"/>
  <c r="J382" i="10"/>
  <c r="U383" i="2"/>
  <c r="K382" i="10" s="1"/>
  <c r="E21" i="3"/>
  <c r="H410" i="10"/>
  <c r="U192" i="2"/>
  <c r="K191" i="10" s="1"/>
  <c r="J191" i="10"/>
  <c r="J420" i="10"/>
  <c r="U421" i="2"/>
  <c r="K420" i="10" s="1"/>
  <c r="J366" i="10"/>
  <c r="U367" i="2"/>
  <c r="K366" i="10" s="1"/>
  <c r="U78" i="2"/>
  <c r="K77" i="10" s="1"/>
  <c r="J77" i="10"/>
  <c r="U320" i="2"/>
  <c r="K319" i="10" s="1"/>
  <c r="J319" i="10"/>
  <c r="U415" i="2"/>
  <c r="K414" i="10" s="1"/>
  <c r="J414" i="10"/>
  <c r="U391" i="2"/>
  <c r="K390" i="10" s="1"/>
  <c r="U471" i="2"/>
  <c r="J390" i="10"/>
  <c r="J402" i="10"/>
  <c r="U403" i="2"/>
  <c r="K402" i="10" s="1"/>
  <c r="W3" i="2"/>
  <c r="W2" i="2" s="1"/>
  <c r="X3" i="2"/>
  <c r="M159" i="10"/>
  <c r="N159" i="10" s="1"/>
  <c r="U362" i="2"/>
  <c r="K361" i="10" s="1"/>
  <c r="J361" i="10"/>
  <c r="J386" i="10"/>
  <c r="U387" i="2"/>
  <c r="K386" i="10" s="1"/>
  <c r="F2" i="9"/>
  <c r="O2" i="9"/>
  <c r="E14" i="9" s="1"/>
  <c r="K2" i="9"/>
  <c r="C2" i="9"/>
  <c r="N2" i="9"/>
  <c r="W11" i="9"/>
  <c r="AL10" i="9"/>
  <c r="AR10" i="9"/>
  <c r="C14" i="9"/>
  <c r="H2" i="9"/>
  <c r="E2" i="9"/>
  <c r="P2" i="9"/>
  <c r="M2" i="9"/>
  <c r="AF12" i="9"/>
  <c r="AF7" i="9" s="1"/>
  <c r="D2" i="9"/>
  <c r="S2" i="9"/>
  <c r="D26" i="9"/>
  <c r="C27" i="9"/>
  <c r="Q2" i="9"/>
  <c r="AO10" i="9"/>
  <c r="L2" i="9"/>
  <c r="E18" i="3"/>
  <c r="G2" i="9"/>
  <c r="D28" i="9"/>
  <c r="E26" i="9" a="1"/>
  <c r="E27" i="9" a="1"/>
  <c r="R2" i="9"/>
  <c r="D27" i="9" a="1"/>
  <c r="C28" i="9"/>
  <c r="E28" i="9"/>
  <c r="J2" i="9"/>
  <c r="W6" i="9"/>
  <c r="I2" i="9"/>
  <c r="Y10" i="9"/>
  <c r="Y7" i="9" s="1"/>
  <c r="AB12" i="9"/>
  <c r="H345" i="10"/>
  <c r="H3" i="9"/>
  <c r="G3" i="9"/>
  <c r="E3" i="9"/>
  <c r="E20" i="3"/>
  <c r="AE10" i="9"/>
  <c r="C15" i="9"/>
  <c r="K3" i="9"/>
  <c r="R3" i="9"/>
  <c r="P3" i="9"/>
  <c r="Q3" i="9"/>
  <c r="I3" i="9"/>
  <c r="C3" i="9"/>
  <c r="F3" i="9"/>
  <c r="O3" i="9"/>
  <c r="E15" i="9" s="1"/>
  <c r="L3" i="9"/>
  <c r="AB10" i="9"/>
  <c r="J3" i="9"/>
  <c r="M3" i="9"/>
  <c r="N3" i="9"/>
  <c r="S3" i="9"/>
  <c r="D3" i="9"/>
  <c r="H395" i="10"/>
  <c r="U213" i="2"/>
  <c r="K212" i="10" s="1"/>
  <c r="J212" i="10"/>
  <c r="U178" i="2"/>
  <c r="K177" i="10" s="1"/>
  <c r="J177" i="10"/>
  <c r="U76" i="2"/>
  <c r="K75" i="10" s="1"/>
  <c r="J75" i="10"/>
  <c r="K5" i="10"/>
  <c r="AC2" i="10"/>
  <c r="AD2" i="10"/>
  <c r="U395" i="2"/>
  <c r="K394" i="10" s="1"/>
  <c r="J394" i="10"/>
  <c r="J423" i="10"/>
  <c r="U424" i="2"/>
  <c r="K423" i="10" s="1"/>
  <c r="U378" i="2"/>
  <c r="K377" i="10" s="1"/>
  <c r="J377" i="10"/>
  <c r="J375" i="10"/>
  <c r="U376" i="2"/>
  <c r="K375" i="10" s="1"/>
  <c r="U375" i="2"/>
  <c r="K374" i="10" s="1"/>
  <c r="J374" i="10"/>
  <c r="J363" i="10"/>
  <c r="U364" i="2"/>
  <c r="K363" i="10" s="1"/>
  <c r="U265" i="2"/>
  <c r="K264" i="10" s="1"/>
  <c r="J264" i="10"/>
  <c r="J56" i="10"/>
  <c r="U57" i="2"/>
  <c r="K56" i="10" s="1"/>
  <c r="U333" i="2"/>
  <c r="K332" i="10" s="1"/>
  <c r="J332" i="10"/>
  <c r="AA18" i="3"/>
  <c r="AA24" i="3" s="1"/>
  <c r="AC24" i="3"/>
  <c r="U402" i="2"/>
  <c r="K401" i="10" s="1"/>
  <c r="J401" i="10"/>
  <c r="J410" i="10"/>
  <c r="U411" i="2"/>
  <c r="K410" i="10" s="1"/>
  <c r="E19" i="3"/>
  <c r="H369" i="10"/>
  <c r="U381" i="2"/>
  <c r="K380" i="10" s="1"/>
  <c r="J380" i="10"/>
  <c r="J396" i="10"/>
  <c r="U397" i="2"/>
  <c r="K396" i="10" s="1"/>
  <c r="U409" i="2"/>
  <c r="K408" i="10" s="1"/>
  <c r="J408" i="10"/>
  <c r="J393" i="10"/>
  <c r="U394" i="2"/>
  <c r="K393" i="10" s="1"/>
  <c r="U388" i="2"/>
  <c r="K387" i="10" s="1"/>
  <c r="J387" i="10"/>
  <c r="J392" i="10"/>
  <c r="U393" i="2"/>
  <c r="K392" i="10" s="1"/>
  <c r="J427" i="10"/>
  <c r="U428" i="2"/>
  <c r="K427" i="10" s="1"/>
  <c r="Y12" i="9"/>
  <c r="AC12" i="9"/>
  <c r="AC7" i="9" s="1"/>
  <c r="H347" i="10"/>
  <c r="J388" i="10"/>
  <c r="U389" i="2"/>
  <c r="K388" i="10" s="1"/>
  <c r="C26" i="9"/>
  <c r="M346" i="10"/>
  <c r="N346" i="10" s="1"/>
  <c r="J418" i="10"/>
  <c r="U419" i="2"/>
  <c r="K418" i="10" s="1"/>
  <c r="AL12" i="9"/>
  <c r="AR12" i="9"/>
  <c r="AO12" i="9"/>
  <c r="AE12" i="9"/>
  <c r="H352" i="10"/>
  <c r="U426" i="2"/>
  <c r="K425" i="10" s="1"/>
  <c r="J425" i="10"/>
  <c r="N322" i="10"/>
  <c r="N321" i="10"/>
  <c r="N320" i="10"/>
  <c r="N326" i="10"/>
  <c r="N325" i="10"/>
  <c r="N319" i="10"/>
  <c r="N323" i="10"/>
  <c r="N318" i="10"/>
  <c r="AH349" i="2"/>
  <c r="AH403" i="2"/>
  <c r="AH351" i="2"/>
  <c r="AH421" i="2"/>
  <c r="AH422" i="2"/>
  <c r="AP12" i="3"/>
  <c r="AH383" i="2"/>
  <c r="AH418" i="2"/>
  <c r="AH374" i="2"/>
  <c r="AH415" i="2"/>
  <c r="AH419" i="2"/>
  <c r="AH410" i="2"/>
  <c r="AH405" i="2"/>
  <c r="AK24" i="3"/>
  <c r="D23" i="9" s="1"/>
  <c r="B23" i="9" s="1"/>
  <c r="AH362" i="2"/>
  <c r="AH400" i="2"/>
  <c r="AH435" i="2"/>
  <c r="AH373" i="2"/>
  <c r="AH411" i="2"/>
  <c r="AH402" i="2"/>
  <c r="AH391" i="2"/>
  <c r="AL12" i="3"/>
  <c r="AH389" i="2"/>
  <c r="U24" i="3"/>
  <c r="AH395" i="2"/>
  <c r="AH378" i="2"/>
  <c r="AH376" i="2"/>
  <c r="AH375" i="2"/>
  <c r="AH364" i="2"/>
  <c r="FU200" i="2"/>
  <c r="H133" i="10"/>
  <c r="H94" i="10"/>
  <c r="H222" i="10"/>
  <c r="FU222" i="2"/>
  <c r="FU198" i="2"/>
  <c r="AB149" i="10"/>
  <c r="AH363" i="2"/>
  <c r="AH390" i="2"/>
  <c r="CJ3" i="2"/>
  <c r="AA3" i="2"/>
  <c r="E11" i="3"/>
  <c r="H237" i="10"/>
  <c r="E10" i="3"/>
  <c r="X16" i="11"/>
  <c r="AB16" i="11"/>
  <c r="AF16" i="11"/>
  <c r="G5" i="5"/>
  <c r="G4" i="5"/>
  <c r="L16" i="11"/>
  <c r="G3" i="5"/>
  <c r="G6" i="5" s="1"/>
  <c r="H5" i="5"/>
  <c r="P16" i="11"/>
  <c r="E5" i="5"/>
  <c r="H249" i="10"/>
  <c r="T16" i="11"/>
  <c r="L20" i="11"/>
  <c r="H3" i="5"/>
  <c r="H4" i="5"/>
  <c r="E3" i="5"/>
  <c r="E6" i="5" s="1"/>
  <c r="E7" i="3"/>
  <c r="E6" i="3"/>
  <c r="H278" i="10"/>
  <c r="E12" i="3" l="1"/>
  <c r="X12" i="3"/>
  <c r="AL7" i="9"/>
  <c r="AR7" i="9"/>
  <c r="AO7" i="9"/>
  <c r="F16" i="9"/>
  <c r="D16" i="9"/>
  <c r="C17" i="9"/>
  <c r="E24" i="3"/>
  <c r="F14" i="9"/>
  <c r="AI12" i="9"/>
  <c r="E17" i="9"/>
  <c r="D14" i="9"/>
  <c r="B27" i="9"/>
  <c r="B28" i="9"/>
  <c r="AE7" i="9"/>
  <c r="F15" i="9"/>
  <c r="AB7" i="9"/>
  <c r="D15" i="9"/>
  <c r="U3" i="2"/>
  <c r="AI10" i="9"/>
  <c r="AH12" i="9"/>
  <c r="AH10" i="9"/>
  <c r="B26" i="9"/>
  <c r="H6" i="5"/>
  <c r="F17" i="9" l="1"/>
  <c r="D17" i="9"/>
  <c r="AH7" i="9"/>
  <c r="AI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nagaarga@gmail.com</author>
  </authors>
  <commentList>
    <comment ref="CE90" authorId="0" shapeId="0" xr:uid="{06E9DA9A-47F8-42DA-8378-97ED2B5CFADD}">
      <text>
        <r>
          <rPr>
            <b/>
            <sz val="9"/>
            <color indexed="81"/>
            <rFont val="Tahoma"/>
            <family val="2"/>
          </rPr>
          <t>HP:</t>
        </r>
        <r>
          <rPr>
            <sz val="9"/>
            <color indexed="81"/>
            <rFont val="Tahoma"/>
            <family val="2"/>
          </rPr>
          <t xml:space="preserve">
Ada perubahan jalur yang menyebabkan pipa berkurang dari survey mc-0</t>
        </r>
      </text>
    </comment>
    <comment ref="CE102" authorId="0" shapeId="0" xr:uid="{D4CAD034-A839-48BA-B90D-8A89E04F003D}">
      <text>
        <r>
          <rPr>
            <b/>
            <sz val="9"/>
            <color indexed="81"/>
            <rFont val="Tahoma"/>
            <family val="2"/>
          </rPr>
          <t>HP:</t>
        </r>
        <r>
          <rPr>
            <sz val="9"/>
            <color indexed="81"/>
            <rFont val="Tahoma"/>
            <family val="2"/>
          </rPr>
          <t xml:space="preserve">
Ada permasalahan dalam penggalian </t>
        </r>
      </text>
    </comment>
    <comment ref="CF266" authorId="1" shapeId="0" xr:uid="{DFBC970B-7D6B-4D3D-A148-6BEB32C52F98}">
      <text>
        <r>
          <rPr>
            <sz val="11"/>
            <color theme="1"/>
            <rFont val="Calibri"/>
            <family val="2"/>
            <scheme val="minor"/>
          </rPr>
          <t>Privat Area Cluster The East Pancoran dan warga perumahan menolak untuk dipasangan jaringan pipa</t>
        </r>
      </text>
    </comment>
    <comment ref="GT266" authorId="1" shapeId="0" xr:uid="{B2F78F00-A920-4436-941E-8FAB4FDEE6C9}">
      <text>
        <r>
          <rPr>
            <sz val="11"/>
            <color theme="1"/>
            <rFont val="Calibri"/>
            <family val="2"/>
            <scheme val="minor"/>
          </rPr>
          <t>Sudah dilakukan Hydrotest 2 segment 26 Feb 26 dari 6 segment</t>
        </r>
      </text>
    </comment>
    <comment ref="CF268" authorId="1" shapeId="0" xr:uid="{C0963215-5EAE-40B5-BDF8-5B4B517FC502}">
      <text>
        <r>
          <rPr>
            <sz val="11"/>
            <color theme="1"/>
            <rFont val="Calibri"/>
            <family val="2"/>
            <scheme val="minor"/>
          </rPr>
          <t>Terdapat penolakan privat area pipa dia. 63 mm di jalan Raya Rawa Jati Timur 2, Gang Porti RT. 002 RW. 02 sepanjang 72 m</t>
        </r>
      </text>
    </comment>
    <comment ref="CE274" authorId="1" shapeId="0" xr:uid="{2514ED72-FB74-4D25-B1E0-1CB5ECCE33FC}">
      <text>
        <r>
          <rPr>
            <sz val="11"/>
            <color theme="1"/>
            <rFont val="Calibri"/>
            <family val="2"/>
            <scheme val="minor"/>
          </rPr>
          <t>Warga tidak mengizinkan pemasangan pipa baru dikarenakan ingin membuat pondasi cakar ayam (Pembuatan Rumah)</t>
        </r>
      </text>
    </comment>
    <comment ref="CE282" authorId="1" shapeId="0" xr:uid="{20A3C2D6-6F08-4813-A52A-15FC6A570A1A}">
      <text>
        <r>
          <rPr>
            <sz val="11"/>
            <color theme="1"/>
            <rFont val="Calibri"/>
            <family val="2"/>
            <scheme val="minor"/>
          </rPr>
          <t>Note : Berdasarkan Vol DED bukan MC-0
Warga tidak mengizinkan untuk dilakukan penggalian dan pemasangan pipa baru</t>
        </r>
      </text>
    </comment>
    <comment ref="GT292" authorId="1" shapeId="0" xr:uid="{A282B5B1-61D7-4D7B-B7F5-402CA0B7D291}">
      <text>
        <r>
          <rPr>
            <sz val="11"/>
            <color theme="1"/>
            <rFont val="Calibri"/>
            <family val="2"/>
            <scheme val="minor"/>
          </rPr>
          <t>Hydrotest di lakukan 2 Segmen</t>
        </r>
      </text>
    </comment>
    <comment ref="HG305" authorId="1" shapeId="0" xr:uid="{CF3B52D1-42B9-4191-A771-F9A45B46FB17}">
      <text>
        <r>
          <rPr>
            <sz val="11"/>
            <color theme="1"/>
            <rFont val="Calibri"/>
            <family val="2"/>
            <scheme val="minor"/>
          </rPr>
          <t>Note:
19 Januari 2026 Sudah dilakukan tescom tetapi tidak lolos (1 unit strapot tidak uji fungsikan karena posisi centre valve miring / tidak center)
(Area Pemancingan). sudah dilaukan tindak lanjut pada tanggal 23 jan 2026</t>
        </r>
      </text>
    </comment>
    <comment ref="CE309" authorId="1" shapeId="0" xr:uid="{AD6EAB20-E37B-4FB0-B445-878328342403}">
      <text>
        <r>
          <rPr>
            <sz val="11"/>
            <color theme="1"/>
            <rFont val="Calibri"/>
            <family val="2"/>
            <scheme val="minor"/>
          </rPr>
          <t>Pipa HDPE Ø63mm di Jl. Anggrek Raya III sepanjang 103 m tidak dapat dilakukan pemasangan dikarenakan penolakan oleh warga.</t>
        </r>
      </text>
    </comment>
    <comment ref="CF309" authorId="1" shapeId="0" xr:uid="{B0E201EC-302B-405C-9CE9-FF430211501A}">
      <text>
        <r>
          <rPr>
            <sz val="11"/>
            <color theme="1"/>
            <rFont val="Calibri"/>
            <family val="2"/>
            <scheme val="minor"/>
          </rPr>
          <t>Pipa HDPE Ø63mm di Jl. Anggrek Raya sepanjang 37 m tidak dapat dilakukan pemasangan dikarenakan adanya rencana pemasangan septic tank oleh warga pada rencana jalur pemasangan pipa.
Pipa HDPE Ø63 mm di Jl. Krt Radjiman sepanjang 57 m tidak dapat dilakukan pemasangan karena private area.</t>
        </r>
      </text>
    </comment>
    <comment ref="DH387" authorId="1" shapeId="0" xr:uid="{3696343E-38D7-4508-A058-FAE1CBAE01B3}">
      <text>
        <r>
          <rPr>
            <sz val="11"/>
            <color theme="1"/>
            <rFont val="Calibri"/>
            <family val="2"/>
            <scheme val="minor"/>
          </rPr>
          <t>Note : Izin belom PO</t>
        </r>
      </text>
    </comment>
    <comment ref="DH391" authorId="1" shapeId="0" xr:uid="{1112501A-783F-4A4A-8B48-9FF77D8BCA88}">
      <text>
        <r>
          <rPr>
            <sz val="11"/>
            <color theme="1"/>
            <rFont val="Calibri"/>
            <family val="2"/>
            <scheme val="minor"/>
          </rPr>
          <t xml:space="preserve">nagaarga@gmail.com: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 Alfaroji</author>
  </authors>
  <commentList>
    <comment ref="AK97" authorId="0" shapeId="0" xr:uid="{48615009-642B-4293-A07C-382B80DAF5F7}">
      <text>
        <r>
          <rPr>
            <b/>
            <sz val="9"/>
            <color indexed="81"/>
            <rFont val="Tahoma"/>
            <family val="2"/>
          </rPr>
          <t>Andre Alfaroji:</t>
        </r>
        <r>
          <rPr>
            <sz val="9"/>
            <color indexed="81"/>
            <rFont val="Tahoma"/>
            <family val="2"/>
          </rPr>
          <t xml:space="preserve">
Reschedule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<sst xmlns="http://schemas.openxmlformats.org/spreadsheetml/2006/main" count="21666" uniqueCount="3782">
  <si>
    <t xml:space="preserve">   </t>
  </si>
  <si>
    <t>PC 070 KELURAHAN CAKUNG TIMUR, ROROTAN, UJUNG MENTENG KECAMATAN CAKUNG, CILINCING</t>
  </si>
  <si>
    <t>a</t>
  </si>
  <si>
    <t>"Volume
BA MC-0"</t>
  </si>
  <si>
    <t>Volume
BA MC-0
SUM -&gt;</t>
  </si>
  <si>
    <t>S.14 Progres : 20.762 m
S.17 Progres : 4.857 m</t>
  </si>
  <si>
    <t>Total Panjang Pipa Aktual
(Sum-&gt;)3</t>
  </si>
  <si>
    <t>A</t>
  </si>
  <si>
    <t xml:space="preserve">DATABASE PROJECT GREENFIELD </t>
  </si>
  <si>
    <t>Cut Off</t>
  </si>
  <si>
    <t>UPDATE 21/06/26</t>
  </si>
  <si>
    <t>*Pemasangan Pipa</t>
  </si>
  <si>
    <t>No</t>
  </si>
  <si>
    <t>No urut</t>
  </si>
  <si>
    <t>Proyek</t>
  </si>
  <si>
    <t>Kode Program</t>
  </si>
  <si>
    <t>Nama Program</t>
  </si>
  <si>
    <t>Jadwal TOK</t>
  </si>
  <si>
    <t>Schedule</t>
  </si>
  <si>
    <t>Sub-Proyek</t>
  </si>
  <si>
    <t>Status TOK</t>
  </si>
  <si>
    <t>Nama PM</t>
  </si>
  <si>
    <t>Kategori Pekerjaan</t>
  </si>
  <si>
    <t>Directorat</t>
  </si>
  <si>
    <t>Volume
(m)</t>
  </si>
  <si>
    <t>Satuan</t>
  </si>
  <si>
    <t>Status Target</t>
  </si>
  <si>
    <t>Status Aktual</t>
  </si>
  <si>
    <t>Column5</t>
  </si>
  <si>
    <t>Target Progres
(%)</t>
  </si>
  <si>
    <t>Progres Aktual
(%)</t>
  </si>
  <si>
    <t>Deviasi
(%)</t>
  </si>
  <si>
    <t>Volume
BA MC-0</t>
  </si>
  <si>
    <t>Total Panjang Pipa Aktual</t>
  </si>
  <si>
    <t>Lokasi, RAB dan Bobot</t>
  </si>
  <si>
    <t>Lokasi</t>
  </si>
  <si>
    <t>Nilai RAB Jaringan
(file pa aji)</t>
  </si>
  <si>
    <t>Kontrol Nilai RAB Jaringan
(Include Ppn)</t>
  </si>
  <si>
    <t>Nilai RAB Jaringan
(Exclude Ppn)</t>
  </si>
  <si>
    <t>RAB Kegiatan Umum</t>
  </si>
  <si>
    <t>RAB Pemasangan</t>
  </si>
  <si>
    <t>RAB Pengadaan</t>
  </si>
  <si>
    <t>RAB Perizinan</t>
  </si>
  <si>
    <t>Nilai RAB IOT</t>
  </si>
  <si>
    <t>Total Bobot</t>
  </si>
  <si>
    <t>Bobot Keg Umum</t>
  </si>
  <si>
    <t>Bobot Pemasangan</t>
  </si>
  <si>
    <t>Bobot Pengadaan</t>
  </si>
  <si>
    <t>Bobot Perizinan</t>
  </si>
  <si>
    <t>Aktual Pipa Terpasang</t>
  </si>
  <si>
    <t>Pipa 63 mm</t>
  </si>
  <si>
    <t>Pipa 90 mm</t>
  </si>
  <si>
    <t>Pipa 110 mm</t>
  </si>
  <si>
    <t>Pipa 160 mm</t>
  </si>
  <si>
    <t>Pipa 200 mm</t>
  </si>
  <si>
    <t>Pipa 250 mm</t>
  </si>
  <si>
    <t>Pipa 315 mm</t>
  </si>
  <si>
    <t>Pipa 350 mm</t>
  </si>
  <si>
    <t>Pipa 400 mm</t>
  </si>
  <si>
    <t>Pipa 500 mm</t>
  </si>
  <si>
    <t>Pipa 630 mm</t>
  </si>
  <si>
    <t>Pipa 700 mm</t>
  </si>
  <si>
    <t>Pipa 800 mm</t>
  </si>
  <si>
    <t>Pipa 900 mm</t>
  </si>
  <si>
    <t>Pipa 1,000 mm</t>
  </si>
  <si>
    <t>Pipa 1,200 mm</t>
  </si>
  <si>
    <t>Pipa 1,400 mm</t>
  </si>
  <si>
    <t>Pipa 1,500 mm</t>
  </si>
  <si>
    <t>Pipa 1,600 mm</t>
  </si>
  <si>
    <t>Pipa 1,800 mm</t>
  </si>
  <si>
    <t>Pipa 63 mm2</t>
  </si>
  <si>
    <t>Pipa 90 mm3</t>
  </si>
  <si>
    <t>Pipa 110 mm4</t>
  </si>
  <si>
    <t>Pipa 160 mm5</t>
  </si>
  <si>
    <t>Pipa 200 mm6</t>
  </si>
  <si>
    <t>Pipa 250 mm7</t>
  </si>
  <si>
    <t>Pipa 315 mm8</t>
  </si>
  <si>
    <t>Pipa 350 mm9</t>
  </si>
  <si>
    <t>Pipa 400 mm10</t>
  </si>
  <si>
    <t>Pipa 500 mm11</t>
  </si>
  <si>
    <t>Pipa 630 mm12</t>
  </si>
  <si>
    <t>Pipa 700 mm13</t>
  </si>
  <si>
    <t>Pipa 800 mm14</t>
  </si>
  <si>
    <t>Pipa 900 mm15</t>
  </si>
  <si>
    <t>Pipa 1,000 mm16</t>
  </si>
  <si>
    <t>Pipa 1,200 mm17</t>
  </si>
  <si>
    <t>Pipa 1,400 mm18</t>
  </si>
  <si>
    <t>Pipa 1,500 mm19</t>
  </si>
  <si>
    <t>Pipa 1,600 mm20</t>
  </si>
  <si>
    <t>Pipa 1,800 mm21</t>
  </si>
  <si>
    <t>Volume
Penolakan Warga</t>
  </si>
  <si>
    <t>Volume
Private Area</t>
  </si>
  <si>
    <t>Volume
Sudah ada eksisting</t>
  </si>
  <si>
    <t>Volume
Tidak sesuai DED</t>
  </si>
  <si>
    <t>Total Volume
tidak dapat dipasang</t>
  </si>
  <si>
    <t>Volume
Sisa Pekerjaan</t>
  </si>
  <si>
    <t>Progres dan VOWD - RNA</t>
  </si>
  <si>
    <t>Progres Keg. Umum
(%)</t>
  </si>
  <si>
    <t>Progres MOS
(%)</t>
  </si>
  <si>
    <t>Progres Pemasangan
(%)</t>
  </si>
  <si>
    <t>Progres Perizinan
(%)</t>
  </si>
  <si>
    <t>Progres Total Aktual
(%)</t>
  </si>
  <si>
    <t>VOWD Keg. Umum
(Rp)</t>
  </si>
  <si>
    <t>VOWD Pengadaan
(Rp)</t>
  </si>
  <si>
    <t>VOWD Pemasangan
(Rp)</t>
  </si>
  <si>
    <t>VOWD Perizinan
(Rp)</t>
  </si>
  <si>
    <t>VOWD (kolom bantu)</t>
  </si>
  <si>
    <t>VOWD Total
(Rp)</t>
  </si>
  <si>
    <t>Nilai RNA Update</t>
  </si>
  <si>
    <t>Kolom Bantu RNA Update</t>
  </si>
  <si>
    <t>PR-PO-MOS</t>
  </si>
  <si>
    <t>PLAN PR-PO ABJ
start</t>
  </si>
  <si>
    <t>PLAN PR-PO ABJ
finish</t>
  </si>
  <si>
    <t>PR Aktual
(tanggal)</t>
  </si>
  <si>
    <t>No PR</t>
  </si>
  <si>
    <t>Nilai PR + Perizinan
(Rp)</t>
  </si>
  <si>
    <t>Review PR ABJ</t>
  </si>
  <si>
    <t>PO Aktual
(tanggal)</t>
  </si>
  <si>
    <t>No PO</t>
  </si>
  <si>
    <t>Nilai PO ABJ
(Rp)</t>
  </si>
  <si>
    <t>Review PO ABJ</t>
  </si>
  <si>
    <t>PLAN PR-PO BPM Jasa
start</t>
  </si>
  <si>
    <t>PLAN PR-PO BPM Jasa
finish</t>
  </si>
  <si>
    <t>PR Jasa Aktual 
(tanggal)</t>
  </si>
  <si>
    <t>No PR Jasa</t>
  </si>
  <si>
    <t>Review PR Jasa BPM</t>
  </si>
  <si>
    <t>PO Jasa Aktual 
(tanggal)</t>
  </si>
  <si>
    <t>No PO Jasa</t>
  </si>
  <si>
    <t>Nama Vendor</t>
  </si>
  <si>
    <t>Review PO Jasa BPM</t>
  </si>
  <si>
    <t>PLAN PR-PO BPM Material
start</t>
  </si>
  <si>
    <t>Forecast PO
Start</t>
  </si>
  <si>
    <t>PLAN PR-PO BPM Material
finish</t>
  </si>
  <si>
    <t>Forecast PO
Finish</t>
  </si>
  <si>
    <t>PR Material Aktual 
(tanggal)</t>
  </si>
  <si>
    <t>No PR Material</t>
  </si>
  <si>
    <t>Line PR</t>
  </si>
  <si>
    <t>Line PR (kolom bantu)</t>
  </si>
  <si>
    <t>Review PR Material BPM</t>
  </si>
  <si>
    <t>Tanggal Selesai PO Material</t>
  </si>
  <si>
    <t>Line PO</t>
  </si>
  <si>
    <t>Line PO (kolom  bantu)2</t>
  </si>
  <si>
    <t>NO PO Material</t>
  </si>
  <si>
    <t>PO Material Aktual 
(%)</t>
  </si>
  <si>
    <t>UPDATE PO
(kolom bantu)</t>
  </si>
  <si>
    <t>Review PO Material BPM</t>
  </si>
  <si>
    <t>Review PO Material</t>
  </si>
  <si>
    <t>PLAN MOS
start</t>
  </si>
  <si>
    <t>Forecast MOS
Start</t>
  </si>
  <si>
    <t>PLAN MOS
finish</t>
  </si>
  <si>
    <t>Forecast MOS
Finish</t>
  </si>
  <si>
    <t>Tanggal Selesai MOS</t>
  </si>
  <si>
    <t>Line MOS</t>
  </si>
  <si>
    <t>Line MOS (kolom bantu)</t>
  </si>
  <si>
    <t>Progres MOS</t>
  </si>
  <si>
    <t>UPDATE MOS
(kolom bantu)</t>
  </si>
  <si>
    <t>Status MOS</t>
  </si>
  <si>
    <t>Review MOS</t>
  </si>
  <si>
    <t>PERMIT</t>
  </si>
  <si>
    <t>PLAN PERMIT
start</t>
  </si>
  <si>
    <t>Forecast Perizinan
Start</t>
  </si>
  <si>
    <t>PLAN PERMIT
finish</t>
  </si>
  <si>
    <t>Forecast Perizinan
Finish</t>
  </si>
  <si>
    <t>IPPJU</t>
  </si>
  <si>
    <t>IPPJU2</t>
  </si>
  <si>
    <t>Persiapan Dokumen</t>
  </si>
  <si>
    <t>Upload Jakevo</t>
  </si>
  <si>
    <t>Gambar Rekomtek</t>
  </si>
  <si>
    <t>Upload DBM</t>
  </si>
  <si>
    <t>Survey IPPJU</t>
  </si>
  <si>
    <t>Revisi Gambar Rekomtek</t>
  </si>
  <si>
    <t>Proses Rekomtek</t>
  </si>
  <si>
    <t>Rekomtek Terbit</t>
  </si>
  <si>
    <t>Proses Penerbitan Izin</t>
  </si>
  <si>
    <t>Izin Terbit</t>
  </si>
  <si>
    <t>Column2</t>
  </si>
  <si>
    <t>Tanggal Pengajuan Dokumen</t>
  </si>
  <si>
    <t>Column4</t>
  </si>
  <si>
    <t>Tanggal Terbit/ Target Izin Terbit</t>
  </si>
  <si>
    <t>Crossing Sungai</t>
  </si>
  <si>
    <t>Crossing Kereta</t>
  </si>
  <si>
    <t>Crossing Toll</t>
  </si>
  <si>
    <t>Status Perizinan</t>
  </si>
  <si>
    <t>Status Izin</t>
  </si>
  <si>
    <t>Remaining7</t>
  </si>
  <si>
    <t>Review14</t>
  </si>
  <si>
    <t>Remain7</t>
  </si>
  <si>
    <t>PLAN vs ACT</t>
  </si>
  <si>
    <t>PLAN Penyerahan DPPK</t>
  </si>
  <si>
    <t>Aktual DPPK</t>
  </si>
  <si>
    <t>Review</t>
  </si>
  <si>
    <t>PLAN PCM</t>
  </si>
  <si>
    <t>Tanggal Aktual PCM</t>
  </si>
  <si>
    <t>Review PCM</t>
  </si>
  <si>
    <t>PLAN Kick Off</t>
  </si>
  <si>
    <t>Tanggal Aktual Kick Off</t>
  </si>
  <si>
    <t>Review Kick Off</t>
  </si>
  <si>
    <t>PLAN MC-0
start</t>
  </si>
  <si>
    <t>PLAN MC-0
finish</t>
  </si>
  <si>
    <t>Tanggal Aktual MC-0</t>
  </si>
  <si>
    <t>Review MC-0</t>
  </si>
  <si>
    <t>PLAN KONSTRUKSI
start</t>
  </si>
  <si>
    <t>Forecast Konstruksi
Start</t>
  </si>
  <si>
    <t>PLAN KONSTRUKSI
finish</t>
  </si>
  <si>
    <t>Forecast Konstruksi
Finish
(s.d. Flushing)</t>
  </si>
  <si>
    <t>Aktual Selesai Konstruksi*
(tanggal)</t>
  </si>
  <si>
    <t>Review Konstruksi</t>
  </si>
  <si>
    <t>PLAN Hydro Tes
start</t>
  </si>
  <si>
    <t>PLAN Hydro Tes
finish</t>
  </si>
  <si>
    <t>Hydro Tes Actual
(tanggal)</t>
  </si>
  <si>
    <t>Status Hydro</t>
  </si>
  <si>
    <t>PLAN Interkoneksi
start</t>
  </si>
  <si>
    <t>PLAN Interkoneksi
finish</t>
  </si>
  <si>
    <t>Interkoneksi Actual
(tanggal)</t>
  </si>
  <si>
    <t>Status Interkoneksi</t>
  </si>
  <si>
    <t>PLAN Flushing
start</t>
  </si>
  <si>
    <t>PLAN Flushing
finish</t>
  </si>
  <si>
    <t>Flushing Actual
(tanggal)</t>
  </si>
  <si>
    <t>Status Flushing</t>
  </si>
  <si>
    <t>PLAN TC
start</t>
  </si>
  <si>
    <t>Forecast TC dan MC-100
Start</t>
  </si>
  <si>
    <t>PLAN TC
finish</t>
  </si>
  <si>
    <t>TC Aktual
(tanggal)</t>
  </si>
  <si>
    <t>Status TC</t>
  </si>
  <si>
    <t>PLAN Reinstatement
start</t>
  </si>
  <si>
    <t>PLAN Reinstatement
finish</t>
  </si>
  <si>
    <t>Reinstatement Aktual
(tanggal)</t>
  </si>
  <si>
    <t>Status Reinstatement</t>
  </si>
  <si>
    <t>PLAN MC-100
start</t>
  </si>
  <si>
    <t>PLAN MC-100
finish</t>
  </si>
  <si>
    <t>Forecast MC-100
Finish</t>
  </si>
  <si>
    <t>MC-100 (Pengukuran Lapangan)</t>
  </si>
  <si>
    <t>BA MC-100 Aktual
(Verifikasi)</t>
  </si>
  <si>
    <t>Review MC-100</t>
  </si>
  <si>
    <t>PLAN DPPP
start</t>
  </si>
  <si>
    <t>Forecast DPPP
Start</t>
  </si>
  <si>
    <t>PLAN DPPP
finish</t>
  </si>
  <si>
    <t>Forecast DPPP
Finish</t>
  </si>
  <si>
    <t>Aktual Submit DPPP
(tanggal)</t>
  </si>
  <si>
    <t>Review DPPP</t>
  </si>
  <si>
    <t>Issue dan Forecast</t>
  </si>
  <si>
    <t>Isu</t>
  </si>
  <si>
    <t>Isu2</t>
  </si>
  <si>
    <t>Durasi Kontrak (Month)</t>
  </si>
  <si>
    <t>SPAM Jatiluhur Hilir</t>
  </si>
  <si>
    <t>NPP23JTA A2.2.1a</t>
  </si>
  <si>
    <t>A2 - BKT DN1500 (Segmen 1.a BKT - Pondok Kopi)</t>
  </si>
  <si>
    <t>MS</t>
  </si>
  <si>
    <t>Trunk Main</t>
  </si>
  <si>
    <t>Muhrojin</t>
  </si>
  <si>
    <t>Pipa</t>
  </si>
  <si>
    <t>PMO 2</t>
  </si>
  <si>
    <t>m</t>
  </si>
  <si>
    <t>Jl. Basuki Rahmat, Bypass</t>
  </si>
  <si>
    <t>AJC/2023/11/Q800/362</t>
  </si>
  <si>
    <t>AJCPOV-2300148</t>
  </si>
  <si>
    <t>PR-UN/BPM/JTLBarat/2412/0366</t>
  </si>
  <si>
    <t>BPMPO-2405299</t>
  </si>
  <si>
    <t>PT. KMU Konstruksi Indonesia</t>
  </si>
  <si>
    <t>10.Izin Terbit</t>
  </si>
  <si>
    <t>Sudah</t>
  </si>
  <si>
    <t>-</t>
  </si>
  <si>
    <t>NPP23JTAA06</t>
  </si>
  <si>
    <t>A6 - Pondok Kopi DN1000</t>
  </si>
  <si>
    <t>Jl. Mawar Merah II, Kel. Pondok Kopi, Kec. Duren Sawit</t>
  </si>
  <si>
    <t>PR/BPM/JTLTimur/2312/0007</t>
  </si>
  <si>
    <t>BPMPO-2402410</t>
  </si>
  <si>
    <t>23ABJ.NRP095</t>
  </si>
  <si>
    <t>Dakota DN600</t>
  </si>
  <si>
    <t>PMO 1</t>
  </si>
  <si>
    <t>PC 095 Jl. Kemayoran Gempol &amp; Jl. Dakota Raya</t>
  </si>
  <si>
    <t>AJC/2023/08/Q800/246</t>
  </si>
  <si>
    <t>AJCPOV-2300133</t>
  </si>
  <si>
    <t>PR/BPM/JTLBarat/2310/0019</t>
  </si>
  <si>
    <t>PO/BPM-ABJ/XI/23/0781</t>
  </si>
  <si>
    <t>PT Djatipiring Jaya Abadi</t>
  </si>
  <si>
    <t>23ABJNINJT095.C01</t>
  </si>
  <si>
    <t>PC 095 Kebon Kosong Paket 1</t>
  </si>
  <si>
    <t>JDU+JDB+JDL</t>
  </si>
  <si>
    <t>Kebon Kosong - Paket 1 (RW 4)</t>
  </si>
  <si>
    <t>AJC/2023/08/Q800/237</t>
  </si>
  <si>
    <t>AJCPOV-2300087</t>
  </si>
  <si>
    <t>TIDAK PERLU</t>
  </si>
  <si>
    <t>SUDAH</t>
  </si>
  <si>
    <t>23ABJNINJT095.C02</t>
  </si>
  <si>
    <t>PC 095 Kebon Kosong Paket 2</t>
  </si>
  <si>
    <t>Kebon Kosong - Paket 2 (RW 5)</t>
  </si>
  <si>
    <t>AJC/2023/08/Q800/247</t>
  </si>
  <si>
    <t>AJCPOV-2300088</t>
  </si>
  <si>
    <t>23ABJ.NINJT073.01</t>
  </si>
  <si>
    <t>PC 073 Kebon Baru</t>
  </si>
  <si>
    <t>Jl. Kebon Baru RT 003 RW 010 Kel. Sempet Barat</t>
  </si>
  <si>
    <t xml:space="preserve"> </t>
  </si>
  <si>
    <t>AJC/2024/05/Q800/161</t>
  </si>
  <si>
    <t>AJCPOV-2400184</t>
  </si>
  <si>
    <t>PR/BPM/JTLBarat/2409/0252</t>
  </si>
  <si>
    <t>BPMPO-2403783</t>
  </si>
  <si>
    <t xml:space="preserve">PT.Shima Citra Selaras </t>
  </si>
  <si>
    <t>9.Proses Penerbitan Izin</t>
  </si>
  <si>
    <t>23ABJ.NINJT076.01</t>
  </si>
  <si>
    <t>PC 076 Kalibaru Barat RT005/RW015</t>
  </si>
  <si>
    <t>Jl. Kalibaru Barat RT 005 RW 015 Kel. Kalibaru</t>
  </si>
  <si>
    <t>AJC/2024/02/Q800/7</t>
  </si>
  <si>
    <t>AJCPOV-2400054</t>
  </si>
  <si>
    <t>23ABJ.NINJT092.01</t>
  </si>
  <si>
    <t>PC 092 Sunter Jaya</t>
  </si>
  <si>
    <t>Jl. Sunter Jaya RT 007 RW 009 Kel. Sunter</t>
  </si>
  <si>
    <t>23ABJ.NINKARB015.1JE</t>
  </si>
  <si>
    <t>B015 Perumahan BNI</t>
  </si>
  <si>
    <t>Pemukiman Dalam Perumahan BNI RT 01/04 Kel. Wijaya Kusuma</t>
  </si>
  <si>
    <t>PR/BPM/JTLBarat/2405/0101</t>
  </si>
  <si>
    <t>BPMPO-2400980</t>
  </si>
  <si>
    <t>PT Abhinaya Prima Enjinering</t>
  </si>
  <si>
    <t>23ABJ.NINJTP008.1JE</t>
  </si>
  <si>
    <t>P008 Pluit Raya</t>
  </si>
  <si>
    <t>Jl. Pluit Raya RT 09 / RW 07</t>
  </si>
  <si>
    <t>23ABJ.NINJT078.01</t>
  </si>
  <si>
    <t>PC 078 Mundari Gg. Mushola</t>
  </si>
  <si>
    <t>Jl. Mundari Gg. Mushola AL Kisof, Bendungan Melayu RT 005/002 Kel. Rawa Badak Selatan</t>
  </si>
  <si>
    <t>PR/BPM/JTLBarat/2404/0068</t>
  </si>
  <si>
    <t>BPMPO-2400950</t>
  </si>
  <si>
    <t>NPP23JTA A2.2.1b</t>
  </si>
  <si>
    <t>A2 - BKT DN1500 (Segmen 1.b Pondok Kopi- Rd Inten)</t>
  </si>
  <si>
    <t>PNA23JT003-C02.1</t>
  </si>
  <si>
    <t>CDC</t>
  </si>
  <si>
    <t>Pumping Station</t>
  </si>
  <si>
    <t>Pompa</t>
  </si>
  <si>
    <t>ls</t>
  </si>
  <si>
    <t>PR/BPM/JTLTimur/2407/0071</t>
  </si>
  <si>
    <t>BPMPO-2401243</t>
  </si>
  <si>
    <t>PT Jassa Santosa Mandiri</t>
  </si>
  <si>
    <t>PNA23JT003-C02.2</t>
  </si>
  <si>
    <t>CDC - C02.2</t>
  </si>
  <si>
    <t>PR/BPM/JTLTimur/2407/0075</t>
  </si>
  <si>
    <t>PNA23JT003-C02.3</t>
  </si>
  <si>
    <t>CDC - C02.3</t>
  </si>
  <si>
    <t>23ABJNINJT095.C03</t>
  </si>
  <si>
    <t>PC 095 Kebon Kosong Paket 3</t>
  </si>
  <si>
    <t>Kebon Kosong - Paket 3 (RW 6)</t>
  </si>
  <si>
    <t>24ABJ.NINJTS001.1JR</t>
  </si>
  <si>
    <t>S001 Townhouse Mahoni</t>
  </si>
  <si>
    <t>Jl. Masjid Al-Hidayah RT 05 RW 07</t>
  </si>
  <si>
    <t>PR/BPM/JTLBarat/2409/0242</t>
  </si>
  <si>
    <t>BPMPO-2403779</t>
  </si>
  <si>
    <t>PT Das Veda Teknologi</t>
  </si>
  <si>
    <t>24ABJ.NINJT086.1JR</t>
  </si>
  <si>
    <t>PC 086 Bakti RT 03 RW 13</t>
  </si>
  <si>
    <t>Jl. Bakti RT 03 RW 13</t>
  </si>
  <si>
    <t>PR/BPM/JTLBarat/2409/0244</t>
  </si>
  <si>
    <t>BPMPO-2403786</t>
  </si>
  <si>
    <t>24ABJ.NINJT080.1JR</t>
  </si>
  <si>
    <t>PC 080 Cipeucang</t>
  </si>
  <si>
    <t>Jl. Cipeucang II No 48 B RT 05 RT 13</t>
  </si>
  <si>
    <t>PR/BPM/JTLBarat/2409/0246</t>
  </si>
  <si>
    <t>BPMPO-2403775</t>
  </si>
  <si>
    <t>24ABJ.NINJTA095.6JR</t>
  </si>
  <si>
    <t>PC 095 Kebon Kosong (tambahan)</t>
  </si>
  <si>
    <t>Kebon Kosong RT 03, 04, 05 RW 04</t>
  </si>
  <si>
    <t>PR/BPM/JTLBarat/2410/0274</t>
  </si>
  <si>
    <t>BPMPO-2403859</t>
  </si>
  <si>
    <t>24ABJ.NINJTS001.2JR</t>
  </si>
  <si>
    <t>S001 Ampera Raya</t>
  </si>
  <si>
    <t>Jl. Ampera Raya Kav 4 No 129 RT 05 RW 10</t>
  </si>
  <si>
    <t>PR/BPM/JTLBarat/2511/0063</t>
  </si>
  <si>
    <t>BPMPO-2507685</t>
  </si>
  <si>
    <t>PT Cahaya Agung Dirgayasa</t>
  </si>
  <si>
    <t>24ABJ.NINJT055JREZ1</t>
  </si>
  <si>
    <t>PC 055 EZ 1</t>
  </si>
  <si>
    <t>PC 055 EZ 01 KELURAHAN CAKUNG TIMUR. KECAMATAN CAKUNG</t>
  </si>
  <si>
    <t>PR/BPM/JTLBarat/2407/0173</t>
  </si>
  <si>
    <t>BPMPO-2402325</t>
  </si>
  <si>
    <t>PT Buana Djaya Harapan</t>
  </si>
  <si>
    <t>24ABJ.NINJT055JREZ2</t>
  </si>
  <si>
    <t>PC 055 EZ 2</t>
  </si>
  <si>
    <t>PC 055 EZ 02 KELURAHAN UJUNG MENTENG. KECAMATAN CAKUNG</t>
  </si>
  <si>
    <t>PR/BPM/JTLBarat/2408/0204</t>
  </si>
  <si>
    <t>BPMPO-2402327</t>
  </si>
  <si>
    <t>24ABJ.NINJT055JREZ3</t>
  </si>
  <si>
    <t>PC 055 EZ 3</t>
  </si>
  <si>
    <t>PC 055 EZ 03 KELURAHAN PULO GEBANG. KECAMATAN CAKUNG</t>
  </si>
  <si>
    <t>PR/BPM/JTLBarat/2407/0175</t>
  </si>
  <si>
    <t>BPMPO-2402326</t>
  </si>
  <si>
    <t>24ABJ.NINJT055JREZ3C</t>
  </si>
  <si>
    <t xml:space="preserve">PC 055 EZ 3 Settlement Area </t>
  </si>
  <si>
    <t>PC 055 EZ 3C KELURAHAN PULO GEBANG. KECAMATAN CAKUNG - SETTLEMENT AREA</t>
  </si>
  <si>
    <t>PR/BPM/JTLBarat/2407/0177</t>
  </si>
  <si>
    <t>BPMPO-2402345</t>
  </si>
  <si>
    <t>24ABJ.NINJT055JREZ4</t>
  </si>
  <si>
    <t>PC 055 EZ 4</t>
  </si>
  <si>
    <t>BATAL / CANCEL</t>
  </si>
  <si>
    <t>PC 055 EZ 04 KELURAHAN UJUNG MENTENG. KECAMATAN CAKUNG</t>
  </si>
  <si>
    <t>PR/BPM/JTLBarat/2408/0199</t>
  </si>
  <si>
    <t>BPMPO-2402346</t>
  </si>
  <si>
    <t>24ABJ.NINJT055JREZ5</t>
  </si>
  <si>
    <t>PC 055 EZ 5</t>
  </si>
  <si>
    <t>PC 055 EZ 05 KELURAHAN PENGGILINGAN DAN PULOGEBANG. KECAMATAN CAKUNG</t>
  </si>
  <si>
    <t>PR/BPM/JTLBarat/2408/0180</t>
  </si>
  <si>
    <t>BPMPO-2403155</t>
  </si>
  <si>
    <t>24ABJ.NINJT055JREZ6</t>
  </si>
  <si>
    <t>PC 055 EZ 6</t>
  </si>
  <si>
    <t>PC 055 EZ 06 KELURAHAN PENGGILINGAN. KECAMATAN CAKUNG</t>
  </si>
  <si>
    <t>PR/BPM/JTLBarat/2408/0184</t>
  </si>
  <si>
    <t>BPMPO-2403156</t>
  </si>
  <si>
    <t>24ABJ.NINJT055JREZ7</t>
  </si>
  <si>
    <t>PC 055 EZ 7</t>
  </si>
  <si>
    <t>PC 055 EZ 07 KELURAHAN PULO GEBANG &amp; PANGGILINGAN. KECAMATAN CAKUNG</t>
  </si>
  <si>
    <t>PR/BPM/JTLBarat/2408/0206</t>
  </si>
  <si>
    <t>BPMPO-2403157</t>
  </si>
  <si>
    <t>24ABJ.NINJT055JREZ8</t>
  </si>
  <si>
    <t>PC 055 EZ 8</t>
  </si>
  <si>
    <t>PC 055 EZ 08 KELURAHAN CAKUNG BARAT. KECAMATAN CAKUNG</t>
  </si>
  <si>
    <t>PR/BPM/JTLBarat/2408/0186</t>
  </si>
  <si>
    <t>BPMPO-2403158</t>
  </si>
  <si>
    <t>24ABJ.NINJT055JREZ9</t>
  </si>
  <si>
    <t>PC 055 EZ 9</t>
  </si>
  <si>
    <t>PC 055 EZ 09 KELURAHAN PULO GEBANG, PENGGILINGAN, CAKUNG BARAT. KECAMATAN CAKUNG</t>
  </si>
  <si>
    <t>PR/BPM/JTLBarat/2408/0222</t>
  </si>
  <si>
    <t>BPMPO-2402553</t>
  </si>
  <si>
    <t>24ABJ.NINJT055JREZ10</t>
  </si>
  <si>
    <t>PC 055 EZ 10</t>
  </si>
  <si>
    <t>PC 055 EZ 10 KELURAHAN PENGGILINGAN &amp; PULO GEBANG. KECAMATAN CAKUNG</t>
  </si>
  <si>
    <t>PR/BPM/JTLBarat/2408/0208</t>
  </si>
  <si>
    <t>BPMPO-2402551</t>
  </si>
  <si>
    <t>24ABJ.NINJT055JREZ11</t>
  </si>
  <si>
    <t>PC 055 EZ 11</t>
  </si>
  <si>
    <t>PC 055 EZ 11 KELURAHAN PULO GEBANG. KECAMATAN CAKUNG</t>
  </si>
  <si>
    <t>PR/BPM/JTLBarat/2408/0188</t>
  </si>
  <si>
    <t>BPMPO-2402552</t>
  </si>
  <si>
    <t>24ABJ.NINJT055JREZ12</t>
  </si>
  <si>
    <t>PC 055 EZ 12</t>
  </si>
  <si>
    <t>PC 055 EZ 12 KELURAHAN PULO GEBANG. KECAMATAN CAKUNG</t>
  </si>
  <si>
    <t>PR/BPM/JTLBarat/2408/0190</t>
  </si>
  <si>
    <t>BPMPO-2402272</t>
  </si>
  <si>
    <t>PT Pancaputri Binabawana</t>
  </si>
  <si>
    <t>24ABJ.NINJT055JREZ13</t>
  </si>
  <si>
    <t>PC 055 EZ 13</t>
  </si>
  <si>
    <t>PC 055 EZ 13 KELURAHAN PULO GEBANG. KECAMATAN CAKUNG</t>
  </si>
  <si>
    <t>PR/BPM/JTLBarat/2408/0192</t>
  </si>
  <si>
    <t>BPMPO-2402274</t>
  </si>
  <si>
    <t>24ABJ.NINJT055JREZ14</t>
  </si>
  <si>
    <t>PC 055 EZ 14</t>
  </si>
  <si>
    <t>PC 055 EZ 14 KELURAHAN PULO GEBANG. KECAMATAN CAKUNG</t>
  </si>
  <si>
    <t>PR/BPM/JTLBarat/2408/0210</t>
  </si>
  <si>
    <t>BPMPO-2402275</t>
  </si>
  <si>
    <t>24ABJ.NINJT055JREZ15</t>
  </si>
  <si>
    <t>PC 055 EZ 15</t>
  </si>
  <si>
    <t>PC 055 EZ 15 KELURAHAN PULO GEBANG. KECAMATAN CAKUNG</t>
  </si>
  <si>
    <t>PR/BPM/JTLBarat/2408/0194</t>
  </si>
  <si>
    <t>BPMPO-2402276</t>
  </si>
  <si>
    <t>NIN23JTA147EZ1</t>
  </si>
  <si>
    <t>PC 147 EZ 1</t>
  </si>
  <si>
    <t>PC 147 EZ 01</t>
  </si>
  <si>
    <t>PR/BPM/JTLBarat/2406/0124</t>
  </si>
  <si>
    <t>BPMPO-2401279</t>
  </si>
  <si>
    <t>NIN23JTA147EZ2</t>
  </si>
  <si>
    <t>PC 147 EZ 2</t>
  </si>
  <si>
    <t>PC 147 EZ 02</t>
  </si>
  <si>
    <t>PR/BPM/JTLBarat/2406/0125</t>
  </si>
  <si>
    <t>BPMPO-2401280</t>
  </si>
  <si>
    <t>NIN23JTA147EZ3</t>
  </si>
  <si>
    <t>PC 147 EZ 3</t>
  </si>
  <si>
    <t>PC 147 EZ 03</t>
  </si>
  <si>
    <t>PR/BPM/JTLBarat/2407/0128</t>
  </si>
  <si>
    <t>BPMPO-2401281</t>
  </si>
  <si>
    <t>NIN23JTA147EZ4</t>
  </si>
  <si>
    <t>PC 147 EZ 4</t>
  </si>
  <si>
    <t>PC 147 EZ 04</t>
  </si>
  <si>
    <t>PR/BPM/JTLBarat/2407/0136</t>
  </si>
  <si>
    <t>BPMPO-2401297</t>
  </si>
  <si>
    <t>NIN23JTA147EZ5</t>
  </si>
  <si>
    <t>PC 147 EZ 5</t>
  </si>
  <si>
    <t>PC 147 EZ 05</t>
  </si>
  <si>
    <t>PR/BPM/JTLBarat/2407/0138</t>
  </si>
  <si>
    <t>BPMPO-2401541</t>
  </si>
  <si>
    <t>NIN23JTA147EZ6</t>
  </si>
  <si>
    <t>PC 147 EZ 6</t>
  </si>
  <si>
    <t>PC 147 EZ 06</t>
  </si>
  <si>
    <t>PR/BPM/JTLBarat/2407/0132</t>
  </si>
  <si>
    <t>BPMPO-2401282</t>
  </si>
  <si>
    <t>PT Spectra OdeliaÂ Shorai</t>
  </si>
  <si>
    <t>24ABJ.NINJT150JREZ1</t>
  </si>
  <si>
    <t>PC 150 EZ 1</t>
  </si>
  <si>
    <t>PC 150 EZ 01</t>
  </si>
  <si>
    <t>PR/BPM/JTLBarat/2407/0161</t>
  </si>
  <si>
    <t>BPMPO-2402055</t>
  </si>
  <si>
    <t>PT Dinara Arshan Sejahtera</t>
  </si>
  <si>
    <t>24ABJ.NINJT150JREZ2</t>
  </si>
  <si>
    <t>PC 150 EZ 2</t>
  </si>
  <si>
    <t>PC 150 EZ 02</t>
  </si>
  <si>
    <t>PR/BPM/JTLBarat/2407/0164</t>
  </si>
  <si>
    <t>BPMPO-2402080</t>
  </si>
  <si>
    <t>24ABJ.NINJT150JREZ3</t>
  </si>
  <si>
    <t>PC 150 EZ 3</t>
  </si>
  <si>
    <t>PC 150 EZ 03</t>
  </si>
  <si>
    <t>PR/BPM/JTLBarat/2408/0218</t>
  </si>
  <si>
    <t>BPMPO-2402641</t>
  </si>
  <si>
    <t>24ABJ.NINJT150JREZ4</t>
  </si>
  <si>
    <t>PC 150 EZ 4</t>
  </si>
  <si>
    <t>PC 150 EZ 04</t>
  </si>
  <si>
    <t>PR/BPM/JTLBarat/2407/0167</t>
  </si>
  <si>
    <t>BPMPO-2402081</t>
  </si>
  <si>
    <t>PT Cahaya Trisula Manunggal</t>
  </si>
  <si>
    <t>24ABJ.NINJT150JREZ5</t>
  </si>
  <si>
    <t>PC 150 EZ 5</t>
  </si>
  <si>
    <t>PC 150 EZ 05</t>
  </si>
  <si>
    <t>PR/BPM/JTLBarat/2407/0169</t>
  </si>
  <si>
    <t>BPMPO-2402056</t>
  </si>
  <si>
    <t>24ABJ.NINJT150JREZ6</t>
  </si>
  <si>
    <t>PC 150 EZ 6</t>
  </si>
  <si>
    <t>PC 150 EZ 06</t>
  </si>
  <si>
    <t>PR/BPM/JTLBarat/2407/0171</t>
  </si>
  <si>
    <t>BPMPO-2402057</t>
  </si>
  <si>
    <t>NIN23JTA151EZ1</t>
  </si>
  <si>
    <t>PC 151 EZ 1</t>
  </si>
  <si>
    <t>PC 151 EZ 01</t>
  </si>
  <si>
    <t>PR/BPM/JTLBarat/2407/0151</t>
  </si>
  <si>
    <t>BPMPO-2402029</t>
  </si>
  <si>
    <t>NIN23JTA151EZ2</t>
  </si>
  <si>
    <t>PC 151 EZ 2</t>
  </si>
  <si>
    <t>PC 151 EZ 02</t>
  </si>
  <si>
    <t>PR/BPM/JTLBarat/2408/0224</t>
  </si>
  <si>
    <t>BPMPO-2402069</t>
  </si>
  <si>
    <t>NIN23JTA151EZ3</t>
  </si>
  <si>
    <t>PC 151 EZ 3</t>
  </si>
  <si>
    <t>PC 151 EZ 03</t>
  </si>
  <si>
    <t>PR/BPM/JTLBarat/2407/0153</t>
  </si>
  <si>
    <t>BPMPO-2402095</t>
  </si>
  <si>
    <t>NIN23JTA151EZ4</t>
  </si>
  <si>
    <t>PC 151 EZ 4</t>
  </si>
  <si>
    <t>PC 151 EZ 04</t>
  </si>
  <si>
    <t>PR/BPM/JTLBarat/2407/0155</t>
  </si>
  <si>
    <t>BPMPO-2401660</t>
  </si>
  <si>
    <t>NIN23JTA151EZ5</t>
  </si>
  <si>
    <t>PC 151 EZ 5</t>
  </si>
  <si>
    <t>PC 151 EZ 05</t>
  </si>
  <si>
    <t>PR/BPM/JTLBarat/2408/0220</t>
  </si>
  <si>
    <t>BPMPO-2402268</t>
  </si>
  <si>
    <t>NIN23JTA151EZ6</t>
  </si>
  <si>
    <t>PC 151 EZ 6</t>
  </si>
  <si>
    <t>PC 151 EZ 06</t>
  </si>
  <si>
    <t>PR/BPM/JTLBarat/2407/0157</t>
  </si>
  <si>
    <t>BPMPO-2401661</t>
  </si>
  <si>
    <t>NIN23JTA153EZ1</t>
  </si>
  <si>
    <t>PC 153 EZ 1</t>
  </si>
  <si>
    <t>PC 153 EZ 01</t>
  </si>
  <si>
    <t>PR/BPM/JTLBarat/2407/0134</t>
  </si>
  <si>
    <t>BPMPO-2401323</t>
  </si>
  <si>
    <t>NIN23JTA153EZ2</t>
  </si>
  <si>
    <t>PC 153 EZ 2</t>
  </si>
  <si>
    <t>PC 153 EZ 02</t>
  </si>
  <si>
    <t>PR/BPM/JTLBarat/2407/0130</t>
  </si>
  <si>
    <t>NIN23JTA153EZ3</t>
  </si>
  <si>
    <t>PC 153 EZ 3</t>
  </si>
  <si>
    <t>PC 153 EZ 03</t>
  </si>
  <si>
    <t>PR/BPM/JTLBarat/2407/0140</t>
  </si>
  <si>
    <t>NIN23JTA153EZ4</t>
  </si>
  <si>
    <t>PC 153 EZ 4</t>
  </si>
  <si>
    <t>PC 153 EZ 04</t>
  </si>
  <si>
    <t>PR/BPM/JTLBarat/2407/0146</t>
  </si>
  <si>
    <t>BPMPO-2401349</t>
  </si>
  <si>
    <t>PT Karta Jaya Santosa</t>
  </si>
  <si>
    <t>NIN23JTA153EZ5</t>
  </si>
  <si>
    <t>PC 153 EZ 5</t>
  </si>
  <si>
    <t>PC 153 EZ 05</t>
  </si>
  <si>
    <t>PR/BPM/JTLBarat/2407/0142</t>
  </si>
  <si>
    <t>BPMPO-2401324</t>
  </si>
  <si>
    <t>NIN23JTA153EZ6</t>
  </si>
  <si>
    <t>PC 153 EZ 6</t>
  </si>
  <si>
    <t>PC 153 EZ 06</t>
  </si>
  <si>
    <t>PR/BPM/JTLBarat/2407/0144</t>
  </si>
  <si>
    <t>23ABJ.NINJT051.1JR</t>
  </si>
  <si>
    <t>PC 051 Kp Warung Jengkol</t>
  </si>
  <si>
    <t>Kp Warung Jengkol RT 05/02 Kel. Rawa Terate</t>
  </si>
  <si>
    <t>PR/BPM/JTLBarat/2409/0266</t>
  </si>
  <si>
    <t>BPMPO-2403780</t>
  </si>
  <si>
    <t>23ABJ.NINJT055.1JR</t>
  </si>
  <si>
    <t>PC 055 Rawa Bebek Gg. H Salim</t>
  </si>
  <si>
    <t>Jl. Rawa Bebek Gg. H Salim RT 05/01</t>
  </si>
  <si>
    <t>PR/BPM/JTLBarat/2409/0264</t>
  </si>
  <si>
    <t>BPMPO-2403778</t>
  </si>
  <si>
    <t>23ABJ.NINJT070.2JR</t>
  </si>
  <si>
    <t>PC 070 Green Garden</t>
  </si>
  <si>
    <t>Green Garden</t>
  </si>
  <si>
    <t>PR/BPM/JTLBarat/2412/0306</t>
  </si>
  <si>
    <t>BPMPO-2405255</t>
  </si>
  <si>
    <t>24ABJ.NINJT070.5JR</t>
  </si>
  <si>
    <t>PC 070 Al Fallah</t>
  </si>
  <si>
    <t>Jl. Al Fallah No. 242 A, B, C, D, E, F</t>
  </si>
  <si>
    <t>PR/BPM/JTLBarat/2409/0261</t>
  </si>
  <si>
    <t>BPMPO-2403774</t>
  </si>
  <si>
    <t>23ABJ.NINJT150.1JR</t>
  </si>
  <si>
    <t>PC 150 Kampung Bulak Timur 1</t>
  </si>
  <si>
    <t>Jl. Kampung Bulak Timur 1 (Samping Kelurahan)</t>
  </si>
  <si>
    <t>PR/BPM/JTLBarat/2412/0311</t>
  </si>
  <si>
    <t>BPMPO-2405263</t>
  </si>
  <si>
    <t>24ABJ.NINJTAS001.3</t>
  </si>
  <si>
    <t>S001 Redy Ferryanto</t>
  </si>
  <si>
    <t>Jl. Masjid Al Hidayah No 38E RT/RW 05/07</t>
  </si>
  <si>
    <t>PR/BPM/JTLBarat/2409/0258</t>
  </si>
  <si>
    <t>BPMPO-2403784</t>
  </si>
  <si>
    <t>23ABJ.NINJT054.3JR</t>
  </si>
  <si>
    <t>PC 054 Rawa Badung RT 08</t>
  </si>
  <si>
    <t>Jl. Rawa Badung RT 08</t>
  </si>
  <si>
    <t>23ABJ.NINJT054.4JR</t>
  </si>
  <si>
    <t>PC 054 Rawa Badung RT 11</t>
  </si>
  <si>
    <t>Jl. Rawa Badung RT 11</t>
  </si>
  <si>
    <t>23ABJ.NINJT054.2JR</t>
  </si>
  <si>
    <t>PC 054 Kp Jembatan</t>
  </si>
  <si>
    <t>Jl. Kp Jembatan RT 08/14</t>
  </si>
  <si>
    <t>23ABJ.NINJT070.1JR</t>
  </si>
  <si>
    <t>PC 070 Jl. Sungai Kendal + Jl. Sarang Bango + Jl. Malaka</t>
  </si>
  <si>
    <t>Jl. Sungai Kendal + Jl. Sarang Bango + Jl. Malaka</t>
  </si>
  <si>
    <t>PR/BPM/JTLBarat/2412/0305</t>
  </si>
  <si>
    <t>BPMPO-2405253</t>
  </si>
  <si>
    <t>23ABJ.NINJT070.3JR</t>
  </si>
  <si>
    <t>PC 070 KAV Barokah</t>
  </si>
  <si>
    <t>KAV Barokah Jl. Kayu Tinggi RT 08/12, Cakung Timur</t>
  </si>
  <si>
    <t>PR/BPM/JTLBarat/2412/0308</t>
  </si>
  <si>
    <t>BPMPO-2405262</t>
  </si>
  <si>
    <t>23ABJ.NINJT147.1JR</t>
  </si>
  <si>
    <t>PC 147 Kesehatan Gg. Swadaya</t>
  </si>
  <si>
    <t>Jl. Kesehatan Gg. Swadaya RT 02/05</t>
  </si>
  <si>
    <t>PR/BPM/JTLBarat/2412/0310</t>
  </si>
  <si>
    <t>BPMPO-2405252</t>
  </si>
  <si>
    <t>23ABJ.NINJT070.4JR</t>
  </si>
  <si>
    <t>PC 070 Kamp. Gempol Gg. Subur</t>
  </si>
  <si>
    <t>Kamp. Gempol Gg. Subur RT 07/01</t>
  </si>
  <si>
    <t>PR/BPM/JTLBarat/2412/0307</t>
  </si>
  <si>
    <t>BPMPO-2405256</t>
  </si>
  <si>
    <t>SPAM Buaran 3 Hilir</t>
  </si>
  <si>
    <t>24ABJ.NINBUR145.2JP</t>
  </si>
  <si>
    <t>PC 145 Kapin</t>
  </si>
  <si>
    <t>Puji Raharjo</t>
  </si>
  <si>
    <t>Jl. Kapin Raya, Gg Nuar</t>
  </si>
  <si>
    <t>PR/BPM/BRN3HLR/2406/017</t>
  </si>
  <si>
    <t>BPMPO-2400948</t>
  </si>
  <si>
    <t>23ABJ.NINJT145.1JR</t>
  </si>
  <si>
    <t>PC 145 Rambutan 3</t>
  </si>
  <si>
    <t>Jl. Rambutan 3</t>
  </si>
  <si>
    <t>PR/BPM/BRN3HLR/2406/018</t>
  </si>
  <si>
    <t>BPMPO-2400949</t>
  </si>
  <si>
    <t>NPP23BURP01</t>
  </si>
  <si>
    <t>P1 - Jl. Kalimalang - Jatiwaringin DN1800</t>
  </si>
  <si>
    <t>Jl. Raya Kalimalang - Jatiwaringin</t>
  </si>
  <si>
    <t>PR-UN/BPM/BRN3HLR/2412/207</t>
  </si>
  <si>
    <t>BPMPO-2405304</t>
  </si>
  <si>
    <t>PT Fastindo Wiratama</t>
  </si>
  <si>
    <t>NPP23BURP02</t>
  </si>
  <si>
    <t>P2 - Jatiwaringin - Pangkalan Jati DN1200</t>
  </si>
  <si>
    <t>Jl. Jati Waringin - Pangkalan Jati</t>
  </si>
  <si>
    <t>AJC/2023/11/Q800/373</t>
  </si>
  <si>
    <t>AJCPOV-2300162</t>
  </si>
  <si>
    <t>PR/BPM/BRN3HLR/2411/117</t>
  </si>
  <si>
    <t>BPMPO-2405032</t>
  </si>
  <si>
    <t>23ABJ.NINBUR159.1JP</t>
  </si>
  <si>
    <t>PC 159 EZ 02 (Jl. Dato Tonggara Rt 04,08,10,13 Kel. Kramat Jati)</t>
  </si>
  <si>
    <t>Jl. Dato Tonggara III RT 04, 08, 10, 13</t>
  </si>
  <si>
    <t>PR/BPM/BRN3HLR/2411/158</t>
  </si>
  <si>
    <t>BPMPO-2404937</t>
  </si>
  <si>
    <t>24ABJ.NINBUR161.2JP</t>
  </si>
  <si>
    <t>PC 161 Masjid Al-Khairot</t>
  </si>
  <si>
    <t>Jl. Masjid Al-Khairot</t>
  </si>
  <si>
    <t>24ABJ.NINBUR162.1JP</t>
  </si>
  <si>
    <t>PC 162 Bhexman (Cipayung)</t>
  </si>
  <si>
    <t>Jl. Bhexmas (Cipayung)</t>
  </si>
  <si>
    <t>23ABJ.NINBUR162.2JP</t>
  </si>
  <si>
    <t>PC 162 Manunggal 1A</t>
  </si>
  <si>
    <t>Jl. Manunggal 1A RT 13/02 Kel. Kelapa Dua Wetan</t>
  </si>
  <si>
    <t>23ABJ.NINBUR163.1JP</t>
  </si>
  <si>
    <t>PC 163 Inti Sari Raya</t>
  </si>
  <si>
    <t>Jl. Inti Sari Raya RT 01/09 Kel. Kalisari Kec. Pasar Rebo</t>
  </si>
  <si>
    <t>PR/BPM/BRN3HLR/2509/473</t>
  </si>
  <si>
    <t>BPMPO-2506206</t>
  </si>
  <si>
    <t>SPAM Karian Serpong Hilir</t>
  </si>
  <si>
    <t>NPP23KAB035</t>
  </si>
  <si>
    <t>P35 - Citra 8 &amp; Gombol Paya DN300</t>
  </si>
  <si>
    <t>Ervin Yanuar</t>
  </si>
  <si>
    <t>Citra 8 &amp; Gombol Paya</t>
  </si>
  <si>
    <t xml:space="preserve">- Segment 1 : 01/05/2024
- Segment 2 : 27/03/2024
- Segment 3 : 29/04/2024
- Segment 4 : 29/04/2024
- Segment 5 : </t>
  </si>
  <si>
    <t>23ABJ.NINKARB020.14</t>
  </si>
  <si>
    <t>Citra 8 - P35 (Tapping Citra 8)</t>
  </si>
  <si>
    <t>Non-MS</t>
  </si>
  <si>
    <t>Citra 8</t>
  </si>
  <si>
    <t>PR/BPM/KRN-HLR/2403/039</t>
  </si>
  <si>
    <t>BPMPO-2400445</t>
  </si>
  <si>
    <t>PT Kananga Citra Karya</t>
  </si>
  <si>
    <t>23ABJ.NINKARS006.02</t>
  </si>
  <si>
    <t>S006 PT Toyota Housing Indonesia</t>
  </si>
  <si>
    <t>Jl. Cidodol No. 62 RT 005 RW 11 Kel. Grogol Selatan</t>
  </si>
  <si>
    <t>PR/BPM/KRN-HLR/2404/048</t>
  </si>
  <si>
    <t>BPMPO-2400714</t>
  </si>
  <si>
    <t>23ABJ.NINKARB013.02</t>
  </si>
  <si>
    <t>B013 Permata Buana - Blok D5, Blok D6, Blok D7, Blok D7A, dan Blok 12</t>
  </si>
  <si>
    <t>Permata Buana Blok D5, D6, D7, D7A, D12</t>
  </si>
  <si>
    <t>PR/BPM/KRN-HLR/2405/078</t>
  </si>
  <si>
    <t>BPMPO-2400935</t>
  </si>
  <si>
    <t>PT Padma Panji Pratama</t>
  </si>
  <si>
    <t>23ABJ.NINKARB013.03</t>
  </si>
  <si>
    <t>B013 Permata Buana Blok L8</t>
  </si>
  <si>
    <t>Permata Buana Blok L8</t>
  </si>
  <si>
    <t>PR/BPM/KRN-HLR/2405/086</t>
  </si>
  <si>
    <t>23ABJ.NINKARB013.04</t>
  </si>
  <si>
    <t>B013 Permata Buana Blok H8</t>
  </si>
  <si>
    <t>Permata Buana Blok H8</t>
  </si>
  <si>
    <t>PR/BPM/KRN-HLR/2405/083</t>
  </si>
  <si>
    <t>23ABJ.NINKARB013.01</t>
  </si>
  <si>
    <t>B013 Permata Buana Blok O7 dan O8</t>
  </si>
  <si>
    <t>Permata Buana Blok O7, O8</t>
  </si>
  <si>
    <t>PR/BPM/KRN-HLR/2405/079</t>
  </si>
  <si>
    <t>24ABJ.NINKARB006.3JE</t>
  </si>
  <si>
    <t>B006 Pesing Koneng</t>
  </si>
  <si>
    <t>Jl. Pesing Koneng ,RT 03/01 Kel. Kedoya Utara</t>
  </si>
  <si>
    <t>PR-UN/BPM/KRN-HLR/2502/040</t>
  </si>
  <si>
    <t>BPMPO-2502837</t>
  </si>
  <si>
    <t>23ABJ.NINKARB006.2JE</t>
  </si>
  <si>
    <t>B006 Pilar 2</t>
  </si>
  <si>
    <t>Jl. Pilar 2 RT 08/03 Kel. Kedoya Selatan</t>
  </si>
  <si>
    <t>PR/BPM/KRN-HLR/2404/047</t>
  </si>
  <si>
    <t>23ABJ.NINKARB016.1JE</t>
  </si>
  <si>
    <t>B016 Vikamas Tengah 14</t>
  </si>
  <si>
    <t>Jl. Vikamas Tengah 14 RT 14/05 Kel. Kapuk Muara</t>
  </si>
  <si>
    <t>PR/BPM/KRN-HLR/2404/049</t>
  </si>
  <si>
    <t>04/07/2024
16/08/2024</t>
  </si>
  <si>
    <t>23ABJ.NINKARB019.4JE</t>
  </si>
  <si>
    <t>B019 Cluster AA8 Residence</t>
  </si>
  <si>
    <t>Cluster AA8 Residence Kel. Tegal Alur</t>
  </si>
  <si>
    <t>23ABJ.NINKARB006.1JE</t>
  </si>
  <si>
    <t>B006 Bahagia</t>
  </si>
  <si>
    <t>Jl. Bahagia III, V, VII, VIII, Kel. Kedoya Utara</t>
  </si>
  <si>
    <t>PR/BPM/KRN-HLR/2405/087</t>
  </si>
  <si>
    <t>23ABJ.NINKARB012.1JE</t>
  </si>
  <si>
    <t>B012 Klingkit Raya Residence</t>
  </si>
  <si>
    <t>Klingkit Raya Residence, RT 12/01Kel. Rawa Buaya</t>
  </si>
  <si>
    <t>PR/BPM/KRN-HLR/2405/082</t>
  </si>
  <si>
    <t>24ABJ.NINKARB007.1JE</t>
  </si>
  <si>
    <t>B007 Green Garden Residence &amp; Andrew Wijaya</t>
  </si>
  <si>
    <t>Jl. Green Garden Residence RT 05/04, Kel. Kembangan Utara</t>
  </si>
  <si>
    <t>PR/BPM/KRN-HLR/2406/113</t>
  </si>
  <si>
    <t>BPMPO-2401768</t>
  </si>
  <si>
    <t>23ABJ.NINKARB017.1JE</t>
  </si>
  <si>
    <t>B017 Ida Fitriyah</t>
  </si>
  <si>
    <t>Jl. Kapuk Kebon Jahe RT 18/03, Kel. Kapuk</t>
  </si>
  <si>
    <t>PR-UN/BPM/KRN-HLR/2410/004</t>
  </si>
  <si>
    <t>11/10/2024
14/10/2024</t>
  </si>
  <si>
    <t>NIN23KABB020.1</t>
  </si>
  <si>
    <t>B020 Citra 5</t>
  </si>
  <si>
    <t>Citra 5</t>
  </si>
  <si>
    <t>PR/BPM/KRN-HLR/2310/010</t>
  </si>
  <si>
    <t>PO/BPM-ABJ/X/23/0722</t>
  </si>
  <si>
    <t xml:space="preserve">13/09/2024
03/10/2024
18/10/2024
28/10/2024
07/11/2024
11/11/2024
19/11/2024
04/12/2024
09/12/2024
16/12/2024
20/12/2024
23/12/2024
03/01/2025
07/01/2025
10/01/2025
11/01/2025
</t>
  </si>
  <si>
    <t xml:space="preserve">19/11/2024
26/11/2024
24/01/2025
25/01/2025
31/01/2025
03/02/2025
</t>
  </si>
  <si>
    <t>NIN23KABB020.2</t>
  </si>
  <si>
    <t>B020 Gombol Paya</t>
  </si>
  <si>
    <t>Gombol Paya</t>
  </si>
  <si>
    <t>PR/BPM/KRN-HLR/2310/013</t>
  </si>
  <si>
    <t>BPMPO-2400403</t>
  </si>
  <si>
    <t xml:space="preserve">21/10/2024
18/12/2024
27/12/2024
28/12/2024
10/01/2025
</t>
  </si>
  <si>
    <t>23ABJ.NINKARB014.1JE</t>
  </si>
  <si>
    <t>B014 AMD Duri Kosambi</t>
  </si>
  <si>
    <t>Jl. AMD RW 8 Kel. Duri Kosambi</t>
  </si>
  <si>
    <t>PR/BPM/KRN-HLR/2409/202</t>
  </si>
  <si>
    <t>BPMPO-2403913</t>
  </si>
  <si>
    <t>PT Prima Artha Utama</t>
  </si>
  <si>
    <t>23ABJ.NINKARB020.13</t>
  </si>
  <si>
    <t>B020 Pergudangan 198</t>
  </si>
  <si>
    <t>Pergudangan 198 Kamal RW 09 Kel. Kamal</t>
  </si>
  <si>
    <t>PR/BPM/KRN-HLR/2405/084</t>
  </si>
  <si>
    <t>07/11/2024
09/12/2024</t>
  </si>
  <si>
    <t>23ABJ.NINKARB018.1JE</t>
  </si>
  <si>
    <t>B018 Palmasera</t>
  </si>
  <si>
    <t>Palmasera Kapuk Pedongkelan RT 11/13 Kel. Kapuk</t>
  </si>
  <si>
    <t>PR/BPM/KRN-HLR/2409/210</t>
  </si>
  <si>
    <t>BPMPO-2403675</t>
  </si>
  <si>
    <t>23ABJ.NINKARB009.1JE</t>
  </si>
  <si>
    <t>B009 Mutiara Kedoya</t>
  </si>
  <si>
    <t>Komplek Mutiara Kedoya RT 11/05 Kel. Kembangan Selatan</t>
  </si>
  <si>
    <t>PR/BPM/KRN-HLR/2405/081</t>
  </si>
  <si>
    <t>31/10/2024
11/11/2024
02/12/2024</t>
  </si>
  <si>
    <t>24ABJ.NINKARB019.6JE</t>
  </si>
  <si>
    <t>B019 RW 13 Tegal Alur</t>
  </si>
  <si>
    <t>RW 13 Tegal Alur, Jl. Raya Prepedan Kel. Tegal Alur</t>
  </si>
  <si>
    <t>PR/BPM/KRN-HLR/2409/191</t>
  </si>
  <si>
    <t>BPMPO-2403912</t>
  </si>
  <si>
    <t>PT Delima Anugrah Suplindo</t>
  </si>
  <si>
    <t>16/12/2024
19/12/2024
23/12/2024
27/12/2024</t>
  </si>
  <si>
    <t>24ABJ.NINKARB019.5JE</t>
  </si>
  <si>
    <t>B019 Kamal Muara RT 07 RW 11</t>
  </si>
  <si>
    <t>Jl. Kamal Muara RT 07 RW 11 Kel. Kamal Muara</t>
  </si>
  <si>
    <t>PR/BPM/KRN-HLR/2409/195</t>
  </si>
  <si>
    <t>BPMPO-2403911</t>
  </si>
  <si>
    <t>24ABJ.NINKARB016.3JE</t>
  </si>
  <si>
    <t>B016 Sumartini</t>
  </si>
  <si>
    <t>Jl. Vikamas RT 06/05, Kel. Kapuk Muara</t>
  </si>
  <si>
    <t>PR/BPM/KRN-HLR/2409/187</t>
  </si>
  <si>
    <t>BPMPO-2403668</t>
  </si>
  <si>
    <t>24ABJ.NINKARB006.2JE</t>
  </si>
  <si>
    <t>B006 Pesing Gadog</t>
  </si>
  <si>
    <t>Jl. Pesing Gadog RT 08/06, Kel. Kedoya Utara</t>
  </si>
  <si>
    <t>PR/BPM/KRN-HLR/2409/200</t>
  </si>
  <si>
    <t>BPMPO-2403802</t>
  </si>
  <si>
    <t>24ABJ.NINKARB013.6JE</t>
  </si>
  <si>
    <t>B013 Solite Townhouse</t>
  </si>
  <si>
    <t>Permata Buana Blok H1, Kel. Kembangan Utara</t>
  </si>
  <si>
    <t>PR/BPM/KRN-HLR/2409/240</t>
  </si>
  <si>
    <t>BPMPO-2403782</t>
  </si>
  <si>
    <t>24ABJ.NINKARB006.4JE</t>
  </si>
  <si>
    <t>B006 PT Multi Amerta Sinergi</t>
  </si>
  <si>
    <t>PT Multi Amerta Sinergi, Jl. Surya Utama Raya</t>
  </si>
  <si>
    <t>PR/BPM/KRN-HLR/2409/197</t>
  </si>
  <si>
    <t>BPMPO-2403801</t>
  </si>
  <si>
    <t>24ABJ.NINKARB014.5JE</t>
  </si>
  <si>
    <t>B014 Jl. Raya Duri Kosambi</t>
  </si>
  <si>
    <t>Jl. Raya Duri Kosambi</t>
  </si>
  <si>
    <t>PR/BPM/KRN-HLR/2409/201</t>
  </si>
  <si>
    <t>BPMPO-2403898</t>
  </si>
  <si>
    <t>24ABJ.NINKARS006.4JE</t>
  </si>
  <si>
    <t>S006 Masjid Al-Huda</t>
  </si>
  <si>
    <t>Jl. Masjid Al-Huda RW 05</t>
  </si>
  <si>
    <t>PR/BPM/KRN-HLR/2409/214</t>
  </si>
  <si>
    <t>BPMPO-2403773</t>
  </si>
  <si>
    <t>24ABJ.NINKARB014.6JE</t>
  </si>
  <si>
    <t>B014 Perumahan Aria Puri</t>
  </si>
  <si>
    <t>Jl. Kresek</t>
  </si>
  <si>
    <t>PR/BPM/KRN-HLR/2409/212</t>
  </si>
  <si>
    <t>BPMPO-2403909</t>
  </si>
  <si>
    <t>04/12/2024
13/12/2024</t>
  </si>
  <si>
    <t>24ABJ.NINKARS006.6JE</t>
  </si>
  <si>
    <t>S006 Green Permata</t>
  </si>
  <si>
    <t>Swadarma Raya</t>
  </si>
  <si>
    <t>PR/BPM/KRN-HLR/2409/206</t>
  </si>
  <si>
    <t>BPMPO-2403798</t>
  </si>
  <si>
    <t>22/12/2024
23/12/2024</t>
  </si>
  <si>
    <t>24ABJ.NINKARB019.11JE</t>
  </si>
  <si>
    <t>B019 Perumahan Taman Surya 5</t>
  </si>
  <si>
    <t>Perumahan Taman Surya 5 RT 01 RW 17 Pegadungan</t>
  </si>
  <si>
    <t>PR/BPM/SR/2509/121</t>
  </si>
  <si>
    <t>24ABJ.NINKARB014.71JE</t>
  </si>
  <si>
    <t>B014 Ruko Duri Kosambi</t>
  </si>
  <si>
    <t>PR/BPM/KRN-HLR/2409/213</t>
  </si>
  <si>
    <t>BPMPO-2403908</t>
  </si>
  <si>
    <t>23ABJ.NPPKAR037</t>
  </si>
  <si>
    <t>P37 - Semanan DN250</t>
  </si>
  <si>
    <t>Semanan</t>
  </si>
  <si>
    <t>PR/BPM/KRN-HLR/2408/171</t>
  </si>
  <si>
    <t>BPMPO-2404030</t>
  </si>
  <si>
    <t>03/09/2024
13/09/2024
19/09/2024
25/09/2024
27/09/2025</t>
  </si>
  <si>
    <t>24ABJ.NINKARB006.1JE</t>
  </si>
  <si>
    <t>B006 Arief Setiawan</t>
  </si>
  <si>
    <t>Jl. Surya Mutiara RT 09/02, Kel. Kedoya Selatan</t>
  </si>
  <si>
    <t>PR/BPM/KRN-HLR/2409/189</t>
  </si>
  <si>
    <t>BPMPO-2403797</t>
  </si>
  <si>
    <t>24ABJ.NINKARS006.5JE</t>
  </si>
  <si>
    <t>S006 Komplek Lemigas Blok A</t>
  </si>
  <si>
    <t>Jl. Panjang Cipulir RT 08 RW 09</t>
  </si>
  <si>
    <t>PR/BPM/KRN-HLR/2409/209</t>
  </si>
  <si>
    <t>BPMPO-2403772</t>
  </si>
  <si>
    <t>PT Das Vega Teknologi</t>
  </si>
  <si>
    <t>23ABJ.NINKARB020.12</t>
  </si>
  <si>
    <t>B20.12 Golden Palm</t>
  </si>
  <si>
    <t>Golden Palm</t>
  </si>
  <si>
    <t>PR/BPM/KRN-HLR/2403/040</t>
  </si>
  <si>
    <t>24ABJ.NINKARB016.6</t>
  </si>
  <si>
    <t>B016 Lucky Point 2</t>
  </si>
  <si>
    <t>SE Cluster Lucky Park II</t>
  </si>
  <si>
    <t>PR/BPM/KRN-HLR/2409/215</t>
  </si>
  <si>
    <t>BPMPO-2403673</t>
  </si>
  <si>
    <t>24ABJ.NINKARS002.3JE</t>
  </si>
  <si>
    <t>S002 SPBU Shell TB Simatupang</t>
  </si>
  <si>
    <t>Lwt apr25</t>
  </si>
  <si>
    <t>Jl. TB Simatupang No 10</t>
  </si>
  <si>
    <t>PR/BPM/KRN-HLR/2411/320</t>
  </si>
  <si>
    <t>BPMPO-2405276</t>
  </si>
  <si>
    <t>23ABJ.NINKARB013.5JE</t>
  </si>
  <si>
    <t>B013 Kembangan Raya</t>
  </si>
  <si>
    <t>Jl. Kembangan Raya RT 01/03 Kel. Kembangan Utara</t>
  </si>
  <si>
    <t>23ABJ.NINKARS002.2</t>
  </si>
  <si>
    <t>S002 Gaharu</t>
  </si>
  <si>
    <t>Jl. Gaharu VII RT 003 RT 11 Kel Cilandak Barat</t>
  </si>
  <si>
    <t>PR/BPM/KRN-HLR/2409/203</t>
  </si>
  <si>
    <t>BPMPO-2508317</t>
  </si>
  <si>
    <t>NPP23BURP03</t>
  </si>
  <si>
    <t>P3 - Pangkalan Jati - Jatiwaringin DN1600</t>
  </si>
  <si>
    <t>Selesai Fisik dan Dokumen</t>
  </si>
  <si>
    <t>JL.PANGKALAN JATI - JATI WARINGIN</t>
  </si>
  <si>
    <t>PR/BPM/BRN3HLR/2508/385</t>
  </si>
  <si>
    <t>BPMPO-2505281</t>
  </si>
  <si>
    <t>PR-UN/BPM/BRN3HLR/2503/295</t>
  </si>
  <si>
    <t>BPMPO-2503632</t>
  </si>
  <si>
    <t>16 Aug 2024</t>
  </si>
  <si>
    <t>NPP23BURP04</t>
  </si>
  <si>
    <t>P4 - Jatiwaringin - Halim DN1600</t>
  </si>
  <si>
    <t>Jati Waringin - Pondok Gede</t>
  </si>
  <si>
    <t>PR/BPM/BRN3HLR/2508/386</t>
  </si>
  <si>
    <t>PR/BPM/BRN3HLR/2510/500</t>
  </si>
  <si>
    <t>BPMPO-2507431</t>
  </si>
  <si>
    <t>NPP23BURP05</t>
  </si>
  <si>
    <t>P5 - Jl. Pondok Gede DN1600</t>
  </si>
  <si>
    <t>JL. PONDOK GEDE</t>
  </si>
  <si>
    <t>AJC/2024/03/Q800/85</t>
  </si>
  <si>
    <t>AJCPOV-2400151</t>
  </si>
  <si>
    <t>PR/BPM/BRN3HLR/2508/387</t>
  </si>
  <si>
    <t>PR/BPM/BRN3HLR/2510/498</t>
  </si>
  <si>
    <t>BPMPO-2506946</t>
  </si>
  <si>
    <t>NPP23BURS03</t>
  </si>
  <si>
    <t>S3 - HEK DN800</t>
  </si>
  <si>
    <t>JL. RAYA PONDOK GEDE</t>
  </si>
  <si>
    <t>AJC/2023/08/Q800/248</t>
  </si>
  <si>
    <t>AJCPOV-2400384</t>
  </si>
  <si>
    <t>PR/BPM/BRN3HLR/2511/566</t>
  </si>
  <si>
    <t>BPMPO-2508539</t>
  </si>
  <si>
    <t>CRCC11  Indonesia RespresentativeÂ Office</t>
  </si>
  <si>
    <t>PR-UN/BPM/BRN3HLR/2504/300</t>
  </si>
  <si>
    <t>BPMPO-2503437</t>
  </si>
  <si>
    <t>NIN23BUR152EZ1</t>
  </si>
  <si>
    <t>PC 152 - EZ 1</t>
  </si>
  <si>
    <t>Topan S</t>
  </si>
  <si>
    <t>PC 152 EZ 01 KELURAHAN HALIM PERDANAKUSUMA &amp; CIPINANG MELAYU KECAMATAN MAKASAR</t>
  </si>
  <si>
    <t>AJC/2024/08/Q800/480</t>
  </si>
  <si>
    <t>AJCPOV-2400401</t>
  </si>
  <si>
    <t>PR/BPM/BRN3HLR/2510/494</t>
  </si>
  <si>
    <t>BPMPO-2506693</t>
  </si>
  <si>
    <t>PR/BPM/BRN3HLR/2511/578</t>
  </si>
  <si>
    <t>BPMPO-2507625</t>
  </si>
  <si>
    <t>Menunggu Jadwal Survey</t>
  </si>
  <si>
    <t>NIN23BUR152EZ2</t>
  </si>
  <si>
    <t>PC 152 - EZ 2</t>
  </si>
  <si>
    <t>PC 152 EZ 02 KELURAHAN CIPINANG MELAYU &amp; HALIM PERDANAKUSUMA. KECAMATAN MAKASAR</t>
  </si>
  <si>
    <t>AJC/2024/08/Q800/481</t>
  </si>
  <si>
    <t>AJCPOV-2400400</t>
  </si>
  <si>
    <t>PR/BPM/BRN3HLR/2507/350</t>
  </si>
  <si>
    <t>BPMPO-2507048</t>
  </si>
  <si>
    <t>PR/BPM/BRN3HLR/2511/593</t>
  </si>
  <si>
    <t>BPMPO-2507823</t>
  </si>
  <si>
    <t>NIN23BUR152EZ2.1</t>
  </si>
  <si>
    <t>PC 152 - EZ 2.1</t>
  </si>
  <si>
    <t>AJC/2024/10/Q800/713</t>
  </si>
  <si>
    <t>AJCPOV-2400629</t>
  </si>
  <si>
    <t>PR/BPM/BRN3HLR/2505/316</t>
  </si>
  <si>
    <t>BPMPO-2503726</t>
  </si>
  <si>
    <t>PR/BPM/BRN3HLR/2511/574</t>
  </si>
  <si>
    <t>BPMPO-2507667</t>
  </si>
  <si>
    <t>NIN23BUR154EZ1</t>
  </si>
  <si>
    <t>PC 154 - EZ 1</t>
  </si>
  <si>
    <t>Lewat 90 hari</t>
  </si>
  <si>
    <t>DPPP</t>
  </si>
  <si>
    <t>PC 154 EZ 01 KELURAHAN CAWANG &amp; CILILITAN KECAMATAN KRAMATJATI</t>
  </si>
  <si>
    <t>AJC/2024/08/Q800/482</t>
  </si>
  <si>
    <t>AJCPOV-2400412</t>
  </si>
  <si>
    <t>PR/BPM/BRN3HLR/2411/121</t>
  </si>
  <si>
    <t>BPMPO-2404537</t>
  </si>
  <si>
    <t>PR/BPM/BRN3HLR/2511/587</t>
  </si>
  <si>
    <t>BPMPO-2507735</t>
  </si>
  <si>
    <t>NIN23BUR154EZ2</t>
  </si>
  <si>
    <t>PC 154 - EZ 2</t>
  </si>
  <si>
    <t>PC 154 EZ 02 KELURAHAN CILILITAN KECAMATAN KRAMATJATI</t>
  </si>
  <si>
    <t>AJC/2024/08/Q800/483</t>
  </si>
  <si>
    <t>AJCPOV-2400413</t>
  </si>
  <si>
    <t>PR/BPM/BRN3HLR/2510/506</t>
  </si>
  <si>
    <t>BPMPO-2506991</t>
  </si>
  <si>
    <t>PR/BPM/BRN3HLR/2511/592</t>
  </si>
  <si>
    <t>BPMPO-2507822</t>
  </si>
  <si>
    <t>NIN23BUR154EZ3</t>
  </si>
  <si>
    <t>PC 154 - EZ 3</t>
  </si>
  <si>
    <t>PC 154 EZ 03 KELURAHAN KEBONPALA KECAMATAN MAKASAR</t>
  </si>
  <si>
    <t>AJC/2024/08/Q800/484</t>
  </si>
  <si>
    <t>AJCPOV-2400398</t>
  </si>
  <si>
    <t>PR/BPM/BRN3HLR/2510/507</t>
  </si>
  <si>
    <t>BPMPO-2507003</t>
  </si>
  <si>
    <t>BPMPO-2507325</t>
  </si>
  <si>
    <t>NIN23BUR154EZ4</t>
  </si>
  <si>
    <t>PC 154 - EZ 4</t>
  </si>
  <si>
    <t>PC 154 EZ 04 KELURAHAN HALIMPERDANAKUSUMA KECAMATAN MAKASAR</t>
  </si>
  <si>
    <t>AJC/2024/08/Q800/485</t>
  </si>
  <si>
    <t>AJCPOV-2400411</t>
  </si>
  <si>
    <t>PR/BPM/BRN3HLR/2411/174</t>
  </si>
  <si>
    <t>BPMPO-2404965</t>
  </si>
  <si>
    <t>PR/BPM/BRN3HLR/2511/589</t>
  </si>
  <si>
    <t>BPMPO-2507777</t>
  </si>
  <si>
    <t>NIN23BUR154EZ5</t>
  </si>
  <si>
    <t>PC 154 - EZ 5</t>
  </si>
  <si>
    <t>PC 154 EZ 05 KELURAHAN KEBON PALA KECAMATAN MAKASAR</t>
  </si>
  <si>
    <t>AJC/2024/08/Q800/486</t>
  </si>
  <si>
    <t>AJCPOV-2400397</t>
  </si>
  <si>
    <t>PR/BPM/BRN3HLR/2510/508</t>
  </si>
  <si>
    <t>BPMPO-2506971</t>
  </si>
  <si>
    <t>PR/BPM/BRN3HLR/2511/559</t>
  </si>
  <si>
    <t>BPMPO-2507740</t>
  </si>
  <si>
    <t>NIN23BUR154EZ6</t>
  </si>
  <si>
    <t>PC 154 - EZ 6</t>
  </si>
  <si>
    <t>PC 154 EZ 06 KELURAHAN KEBONPALA KECAMATAN MAKASAR</t>
  </si>
  <si>
    <t>AJC/2024/08/Q800/487</t>
  </si>
  <si>
    <t>AJCPOV-2400399</t>
  </si>
  <si>
    <t>PR/BPM/BRN3HLR/2411/178</t>
  </si>
  <si>
    <t>BPMPO-2404927</t>
  </si>
  <si>
    <t>PR/BPM/BRN3HLR/2506/327</t>
  </si>
  <si>
    <t>BPMPO-2506999</t>
  </si>
  <si>
    <t>24ABJ.NINBUR159JPEZ1</t>
  </si>
  <si>
    <t>PC 159 - EZ 1</t>
  </si>
  <si>
    <t>PC 159 EZ 01 KELURAHAN KRAMAT JATI KECAMATAN KRAMAT JATI</t>
  </si>
  <si>
    <t>AJC/2024/09/Q800/544</t>
  </si>
  <si>
    <t>AJCPOV-2400476</t>
  </si>
  <si>
    <t>PR/BPM/BRN3HLR/2411/153</t>
  </si>
  <si>
    <t>BPMPO-2404936</t>
  </si>
  <si>
    <t>PR-UN/BPM/BRN3HLR/2502/268</t>
  </si>
  <si>
    <t>BPMPO-2503339</t>
  </si>
  <si>
    <t>24ABJ.NINBUR159JPEZ2</t>
  </si>
  <si>
    <t>PC 159 - EZ 2</t>
  </si>
  <si>
    <t>PC 159 EZ 02 KELURAHAN KRAMATJATI &amp; DUKUH KECAMATAN KRAMATJATI</t>
  </si>
  <si>
    <t>AJC/2024/09/Q800/546</t>
  </si>
  <si>
    <t>AJCPOV-2400471</t>
  </si>
  <si>
    <t>PR/BPM/SR/2509/109</t>
  </si>
  <si>
    <t>BPMPO-2506319</t>
  </si>
  <si>
    <t>24ABJ.NINBUR159JPEZ3</t>
  </si>
  <si>
    <t>PC 159 - EZ 3</t>
  </si>
  <si>
    <t>PC 159 EZ 03 KELURAHAN MAKASAR. KECAMATAN MAKASAR</t>
  </si>
  <si>
    <t>AJC/2024/09/Q800/547</t>
  </si>
  <si>
    <t>AJCPOV-2400473</t>
  </si>
  <si>
    <t>PR/BPM/BRN3HLR/2411/161</t>
  </si>
  <si>
    <t>BPMPO-2404938</t>
  </si>
  <si>
    <t>PR-UN/BPM/BRN3HLR/2512/574</t>
  </si>
  <si>
    <t>BPMPO-2507987</t>
  </si>
  <si>
    <t>24ABJ.NINBUR159JPEZ4</t>
  </si>
  <si>
    <t>PC 159 - EZ 4</t>
  </si>
  <si>
    <t>PC 159 EZ 04 KELURAHAN MAKASAR KECAMATAN MAKASAR</t>
  </si>
  <si>
    <t>AJC/2024/09/Q800/548</t>
  </si>
  <si>
    <t>AJCPOV-2400472</t>
  </si>
  <si>
    <t>PR/BPM/BRN3HLR/2411/166</t>
  </si>
  <si>
    <t>BPMPO-2404947</t>
  </si>
  <si>
    <t>PR/BPM/SR/2511/152</t>
  </si>
  <si>
    <t>BPMPO-2507173</t>
  </si>
  <si>
    <t>24ABJ.NINBUR159JPEZ5</t>
  </si>
  <si>
    <t>PC 159 - EZ 5</t>
  </si>
  <si>
    <t>PC 159 EZ 05 KELURAHAN HALIMPERDANAKUSUMA &amp; KEBONPALA KECAMATAN MAKASAR</t>
  </si>
  <si>
    <t>AJC/2024/09/Q800/549</t>
  </si>
  <si>
    <t>AJCPOV-2400470</t>
  </si>
  <si>
    <t>PR/BPM/BRN3HLR/2411/182</t>
  </si>
  <si>
    <t>BPMPO-2404951</t>
  </si>
  <si>
    <t>PR/BPM/BRN3HLR/2511/569</t>
  </si>
  <si>
    <t>BPMPO-2507663</t>
  </si>
  <si>
    <t>24ABJ.NINBUR159JPEZ6</t>
  </si>
  <si>
    <t>PC 159 - EZ 6</t>
  </si>
  <si>
    <t>PC 159 EZ 06 KELURAHAN PINANGRANTI KECAMATAN MAKASAR</t>
  </si>
  <si>
    <t>AJC/2024/09/Q800/550</t>
  </si>
  <si>
    <t>AJCPOV-2400474</t>
  </si>
  <si>
    <t>PR/BPM/BRN3HLR/2509/475</t>
  </si>
  <si>
    <t>BPMPO-2507036</t>
  </si>
  <si>
    <t>PR/BPM/BRN3HLR/2511/586</t>
  </si>
  <si>
    <t>BPMPO-2507767</t>
  </si>
  <si>
    <t>24ABJ.NINBUR159JPEZ7</t>
  </si>
  <si>
    <t>PC 159 - EZ 7</t>
  </si>
  <si>
    <t>PC 159 EZ 07 KELURAHAN HALIM PERDANA KUSUMA &amp; CIPINANG MELAYU. KECAMATAN MAKASAR</t>
  </si>
  <si>
    <t>AJC/2024/09/Q800/551</t>
  </si>
  <si>
    <t>AJCPOV-2400464</t>
  </si>
  <si>
    <t>PR/BPM/BRN3HLR/2411/170</t>
  </si>
  <si>
    <t>BPMPO-2405169</t>
  </si>
  <si>
    <t>PR/BPM/BRN3HLR/2511/599</t>
  </si>
  <si>
    <t>BPMPO-2507309</t>
  </si>
  <si>
    <t>24ABJ.NINBUR159JPEZ8</t>
  </si>
  <si>
    <t>PC 159 - EZ 8</t>
  </si>
  <si>
    <t>PC 159 EZ 08 KELURAHAN HALIMPERDANAKUSUMA KECAMATAN MAKASAR</t>
  </si>
  <si>
    <t>AJC/2024/09/Q800/552</t>
  </si>
  <si>
    <t>AJCPOV-2400465</t>
  </si>
  <si>
    <t>PR/BPM/BRN3HLR/2411/184</t>
  </si>
  <si>
    <t>BPMPO-2404953</t>
  </si>
  <si>
    <t>PR/BPM/BRN3HLR/2509/420</t>
  </si>
  <si>
    <t>BPMPO-2506181</t>
  </si>
  <si>
    <t>24ABJ.NINBUR161JPEZ5</t>
  </si>
  <si>
    <t>PC 161 - EZ 5</t>
  </si>
  <si>
    <t>PC 161 EZ 05 KELURAHAN BATU AMPAR. KECAMATAN KRAMATJATI</t>
  </si>
  <si>
    <t>AJC/2024/08/Q800/488</t>
  </si>
  <si>
    <t>AJCPOV-2400422</t>
  </si>
  <si>
    <t>PR/BPM/BRN3HLR/2410/105</t>
  </si>
  <si>
    <t>BPMPO-2404163</t>
  </si>
  <si>
    <t>PR/BPM/BRN3HLR/2511/584</t>
  </si>
  <si>
    <t>BPMPO-2507899</t>
  </si>
  <si>
    <t>24ABJ.NINBUR161JPEZ13</t>
  </si>
  <si>
    <t>PC 161 - EZ 13</t>
  </si>
  <si>
    <t>PC 161 EZ 13 KELURAHAN BATU AMPAR KECAMATAN KRAMAT JATI</t>
  </si>
  <si>
    <t>AJC/2024/08/Q800/489</t>
  </si>
  <si>
    <t>AJCPOV-2400423</t>
  </si>
  <si>
    <t>PR/BPM/BRN3HLR/2510/497</t>
  </si>
  <si>
    <t>BPMPO-2506780</t>
  </si>
  <si>
    <t>PR/BPM/BRN3HLR/2511/597</t>
  </si>
  <si>
    <t>24ABJ.NINBUR162.4JP</t>
  </si>
  <si>
    <t>PC 162 Lilis Rahayu</t>
  </si>
  <si>
    <t>Jl. H Baping Gg Pule 88 II RT 17 RW 09</t>
  </si>
  <si>
    <t>AJC/2024/11/Q800780</t>
  </si>
  <si>
    <t>AJCPOV-2400708</t>
  </si>
  <si>
    <t>PR/BPM/BRN3HLR/2412/212</t>
  </si>
  <si>
    <t>BPMPO-2500151</t>
  </si>
  <si>
    <t>PR/BPM/SR/2509/106</t>
  </si>
  <si>
    <t>BPMPO-2506036</t>
  </si>
  <si>
    <t>24ABJ.NINBUR162.5JP</t>
  </si>
  <si>
    <t>PC 162 Ukar</t>
  </si>
  <si>
    <t>Gg. Swadaya RT 02 / RW 09</t>
  </si>
  <si>
    <t>AJC/2024/12/Q800/818</t>
  </si>
  <si>
    <t>AJCPOV-2400747</t>
  </si>
  <si>
    <t>PR/BPM/BRN3HLR/2412/213</t>
  </si>
  <si>
    <t>BPMPO-2500387</t>
  </si>
  <si>
    <t>PR/BPM/SR/2503/025</t>
  </si>
  <si>
    <t>BPMPO-2503705</t>
  </si>
  <si>
    <t>24ABJ.NINBUR162.6JP</t>
  </si>
  <si>
    <t>PC 162 Aziz Zulkarnain</t>
  </si>
  <si>
    <t>Griya Usaha Residence Gg. Mekar RT/RW 005/009</t>
  </si>
  <si>
    <t>AJC/2025/05/Q800/162</t>
  </si>
  <si>
    <t>AJCPOV-2505035</t>
  </si>
  <si>
    <t>PR/BPM/BRN3HLR/2507/349</t>
  </si>
  <si>
    <t>BPMPO-2504992</t>
  </si>
  <si>
    <t>BPMPO-2505296</t>
  </si>
  <si>
    <t>25ABJ.NINBUR162.2JP</t>
  </si>
  <si>
    <t>PC 162 Nurhadi</t>
  </si>
  <si>
    <t>Jl. Pule Gg. H. Ishak RT. 013/ RW. 004</t>
  </si>
  <si>
    <t>AJC/2025/05/Q800/166</t>
  </si>
  <si>
    <t>AJCPOV-2505080</t>
  </si>
  <si>
    <t>PR/BPM/BRN3HLR/2507/342</t>
  </si>
  <si>
    <t>BPMPO-2504989</t>
  </si>
  <si>
    <t>BPMPO-2505298</t>
  </si>
  <si>
    <t>25ABJ.NINBUR162.3JP</t>
  </si>
  <si>
    <t>PC 162 Andi</t>
  </si>
  <si>
    <t>Gg. H. Nisin RT/RW 007/007, Ciracas</t>
  </si>
  <si>
    <t>AJC/2025/05/Q800/168</t>
  </si>
  <si>
    <t>AJCPOV-2505079</t>
  </si>
  <si>
    <t>PR/BPM/BRN3HLR/2507/344</t>
  </si>
  <si>
    <t>BPMPO-2504990</t>
  </si>
  <si>
    <t>BPMPO-2505297</t>
  </si>
  <si>
    <t>25ABJ.NINBUR162.4JP</t>
  </si>
  <si>
    <t>PC 162 H Muhammad Thamrin</t>
  </si>
  <si>
    <t>Jl H. Baping RT/RW 012/004, Susukan</t>
  </si>
  <si>
    <t>AJC/2025/05/Q800/170</t>
  </si>
  <si>
    <t>AJCPOV-2505043</t>
  </si>
  <si>
    <t>PR/BPM/BRN3HLR/2507/346</t>
  </si>
  <si>
    <t>BPMPO-2504991</t>
  </si>
  <si>
    <t>BPMPO-2505253</t>
  </si>
  <si>
    <t>24ABJ.NINBUR159JPEZ4.1</t>
  </si>
  <si>
    <t>PC 159 EZ 4 RT 007 RW 04</t>
  </si>
  <si>
    <t>RT 007 RW 04 JL.LINGKAR LUIAR BARAT KEL. MAKASAR &amp; PINANG RANTI, KEC. MAKASAR</t>
  </si>
  <si>
    <t>AJC/2025/04/Q800/89</t>
  </si>
  <si>
    <t>AJCPOV-2500093</t>
  </si>
  <si>
    <t>PR/BPM/BRN3HLR/2505/306</t>
  </si>
  <si>
    <t>BPMPO-2504053</t>
  </si>
  <si>
    <t>BPMPO-2506238</t>
  </si>
  <si>
    <t>8 Okt 2025</t>
  </si>
  <si>
    <t>NPP23JTA A2.2.2</t>
  </si>
  <si>
    <t>A2 - BKT DN1500 (Segmen 2 Pondok Kopi - DI Panjaitan)</t>
  </si>
  <si>
    <t>PR/BPM/JTLBARAT/2511/0303</t>
  </si>
  <si>
    <t>BPMPO-2507922</t>
  </si>
  <si>
    <t>26/08/2025, 27/08/2025, 03/09/2025, 12/09/2025, 22/09/2025, 24/09/2025</t>
  </si>
  <si>
    <t>NPP23JTA B01</t>
  </si>
  <si>
    <t>B1 - Pegangsaan Dua DN1000</t>
  </si>
  <si>
    <t>JL. PEGANGSAAN DUA, KEL. PEGANGSAAN DUA, KEC. KELAPA GADING</t>
  </si>
  <si>
    <t>PR/BPM/JTLBarat/2401/0019</t>
  </si>
  <si>
    <t>BPMPO-2402409</t>
  </si>
  <si>
    <t>PR/BPM/JTLTimur/2509/002</t>
  </si>
  <si>
    <t>BPMPO-2505516</t>
  </si>
  <si>
    <t>29/08/2025, 10/09/2025, 17/10/2025</t>
  </si>
  <si>
    <t>NPP23JTA B03</t>
  </si>
  <si>
    <t>B3 - Rawamangun DN1200</t>
  </si>
  <si>
    <t>JL. JATINEGARA KAUM - JL. RAWAMANGUN MUKA, KEL. RAWAMANGUN, KEC. PULOGADUNG</t>
  </si>
  <si>
    <t>AJC/2023/12/Q800/466</t>
  </si>
  <si>
    <t>AJCPOV-2300172</t>
  </si>
  <si>
    <t>PR/BPM/JTLBarat/2312/0038</t>
  </si>
  <si>
    <t>BPMPO-2506353</t>
  </si>
  <si>
    <t>09/08/2025, 06/09/2025, 17/09/2025, 22/09/2025, 27/09/2025</t>
  </si>
  <si>
    <t>24ABJ.NINJT70JR9</t>
  </si>
  <si>
    <t>Jl Rorotan 1 (Al-Wathoniyah) DN500</t>
  </si>
  <si>
    <t>Danny Leonardo</t>
  </si>
  <si>
    <t>KELURAHAN CAKUNG TIMUR, ROROTAN, UJUNG MENTENG KECAMATAN CAKUNG, CILINCING</t>
  </si>
  <si>
    <t>AJC/2024/12/Q800/820</t>
  </si>
  <si>
    <t>AJCPOV-2500008</t>
  </si>
  <si>
    <t>PR/BPM/JTLBarat/2502/0004</t>
  </si>
  <si>
    <t>BPMPO-2502333</t>
  </si>
  <si>
    <t>PR/BPM/JTLBarat/2508/0026</t>
  </si>
  <si>
    <t>BPMPO-2506014</t>
  </si>
  <si>
    <t>08/10/2025, 22/10/2025, 23/10/2025</t>
  </si>
  <si>
    <t>PNA23JT0003 - C01.1</t>
  </si>
  <si>
    <t>IBP Halim - Pekerjaan Mekanikal &amp; Pekerjaan Elektrikal</t>
  </si>
  <si>
    <t>IBP Halim</t>
  </si>
  <si>
    <t>AJC/2023/11/Q800/365</t>
  </si>
  <si>
    <t>AJCPOV-2300150</t>
  </si>
  <si>
    <t>PR/BPM/JTLBarat/2408/0183 ; PR/BPM/JTLBarat/2406/0122</t>
  </si>
  <si>
    <t>BPMPO-2400882</t>
  </si>
  <si>
    <t>PT Heksa Mandiri Utama</t>
  </si>
  <si>
    <t>PR/BPM/JTLBarat/2506/0110</t>
  </si>
  <si>
    <t>BPMPO-2504765</t>
  </si>
  <si>
    <t>PNA23JT0003 - C01.2</t>
  </si>
  <si>
    <t>IBP Halim - Pekerjaan Sipil</t>
  </si>
  <si>
    <t>AJC/2023/12/Q800/453</t>
  </si>
  <si>
    <t>AJCPOV-2300171</t>
  </si>
  <si>
    <t>PR/BPM/JTLBarat/2508/0027</t>
  </si>
  <si>
    <t>BPMPO-2506867</t>
  </si>
  <si>
    <t>PT Indoserako Sejahtera</t>
  </si>
  <si>
    <t>PR/BPM/JTLBarat/2502/0015</t>
  </si>
  <si>
    <t>BPMPO-2501265</t>
  </si>
  <si>
    <t>07/11/2024, 08/11/2024, 08/12/2024</t>
  </si>
  <si>
    <t>PNA23JT0003 - C01.3</t>
  </si>
  <si>
    <t>IBP Halim - Tambahan Pompa IBP Halim</t>
  </si>
  <si>
    <t>AJC/2024/10/Q800/709</t>
  </si>
  <si>
    <t>AJCPOV-2400603</t>
  </si>
  <si>
    <t>PR/BPM/JTLBarat/2506/0088</t>
  </si>
  <si>
    <t>BPMPO-2504995</t>
  </si>
  <si>
    <t>PT LAKSANA TEKNIK PERKASA</t>
  </si>
  <si>
    <t>PR/BPM/JTLBarat/2508/0031</t>
  </si>
  <si>
    <t>BPMPO-2507067</t>
  </si>
  <si>
    <t>PNA23JT0003 - C01.4</t>
  </si>
  <si>
    <t>IBP Halim - Pembangunan Ruang Trafo &amp; Infrastruktur</t>
  </si>
  <si>
    <t>AJC/2024/11/Q800/749</t>
  </si>
  <si>
    <t>AJCPOV-2400692</t>
  </si>
  <si>
    <t>PR/BPM/JTLBarat/2501/0003</t>
  </si>
  <si>
    <t>BPMPO-2500367</t>
  </si>
  <si>
    <t>CV SUMBER MAKMUR PRATAMA</t>
  </si>
  <si>
    <t>24ABJ.NBVJTA01</t>
  </si>
  <si>
    <t>Lodan DN400</t>
  </si>
  <si>
    <t>Koneksi BV</t>
  </si>
  <si>
    <t>BV</t>
  </si>
  <si>
    <t>unit</t>
  </si>
  <si>
    <t>Jembatan Lodan, DIP Diameter 400 mm</t>
  </si>
  <si>
    <t>AJC/2025/02/Q800/25</t>
  </si>
  <si>
    <t>AJCPOV-2500096</t>
  </si>
  <si>
    <t>PR/BPM/JTLBarat/2505/0041</t>
  </si>
  <si>
    <t>BPMPO-2503641</t>
  </si>
  <si>
    <t>PR/BPM/JTLBarat/2511/0074</t>
  </si>
  <si>
    <t>BPMPO-2507813</t>
  </si>
  <si>
    <t>24ABJ.NBVJTA02</t>
  </si>
  <si>
    <t>Kp Bandan DN400</t>
  </si>
  <si>
    <t>Jembatan Pipa Kp. Bandan, DIP Diameter 400 mm</t>
  </si>
  <si>
    <t>AJC/2025/02/Q800/26</t>
  </si>
  <si>
    <t>AJCPOV-2500052</t>
  </si>
  <si>
    <t>PR/BPM/JTLBarat/2504/143</t>
  </si>
  <si>
    <t>BPMPO-2503636</t>
  </si>
  <si>
    <t>PR/BPM/JTLBarat/2508/0004</t>
  </si>
  <si>
    <t>BPMPO-2508467</t>
  </si>
  <si>
    <t>24ABJ.NBVJTA07</t>
  </si>
  <si>
    <t>Kwitang 2 DN900</t>
  </si>
  <si>
    <t>Jembatan Pipa Kwitang 2 - DIP Diameter 800 mm</t>
  </si>
  <si>
    <t>AJC/2025/02/Q800/27</t>
  </si>
  <si>
    <t>AJCPOV-2500072</t>
  </si>
  <si>
    <t>PR/BPM/JTLBarat/2504/0148</t>
  </si>
  <si>
    <t>BPMPO-2503640</t>
  </si>
  <si>
    <t>PR/BPM/JTLBarat/2511/0071</t>
  </si>
  <si>
    <t>BPMPO-2507700</t>
  </si>
  <si>
    <t>24ABJ.NBVJTA08</t>
  </si>
  <si>
    <t>Diponegoro DN500</t>
  </si>
  <si>
    <t>JEMBATAN DIPONEGORO, DIP DIA. 500 MM</t>
  </si>
  <si>
    <t>AJC/2025/02/Q800/28</t>
  </si>
  <si>
    <t>AJCPOV-2500097</t>
  </si>
  <si>
    <t>PR/BPM/JTLBarat/2505/0045</t>
  </si>
  <si>
    <t>BPMPO-2503635</t>
  </si>
  <si>
    <t>PR/BPM/JTLBarat/2511/0073</t>
  </si>
  <si>
    <t>06/02/2026, 08/05/2026</t>
  </si>
  <si>
    <t>24ABJ.NBVJTA09</t>
  </si>
  <si>
    <t>Matraman DN600</t>
  </si>
  <si>
    <t>Jembatan Matraman  - DIP Diameter 600 mm</t>
  </si>
  <si>
    <t>AJC/2025/02/Q800/29</t>
  </si>
  <si>
    <t>AJCPOV-2500074</t>
  </si>
  <si>
    <t>PR/BPM/JTLBarat/2504/0149</t>
  </si>
  <si>
    <t>BPMPO-2503660</t>
  </si>
  <si>
    <t>PR/BPM/JTLBarat/2601/0144</t>
  </si>
  <si>
    <t>24ABJ.NBVJTA10</t>
  </si>
  <si>
    <t>Slamet Riyadi DN400</t>
  </si>
  <si>
    <t>Jembatan Slamet Riyadi - DIP Diameter 400 mm</t>
  </si>
  <si>
    <t>AJC/2025/02/Q800/30</t>
  </si>
  <si>
    <t>AJCPOV-2500098</t>
  </si>
  <si>
    <t>PR/BPM/JTLBarat/2505/0043</t>
  </si>
  <si>
    <t>BPMPO-2503652</t>
  </si>
  <si>
    <t>PR/BPM/JTLBarat/2505/0042</t>
  </si>
  <si>
    <t>BPMPO-2503576</t>
  </si>
  <si>
    <t>Tidak Perlu</t>
  </si>
  <si>
    <t>24ABJ.NBVJTA12</t>
  </si>
  <si>
    <t>MT Haryono DN1000</t>
  </si>
  <si>
    <t>Jembatan MT. Haryono, DIP Diameter 1000 mm</t>
  </si>
  <si>
    <t>AJC/2025/02/Q800/31</t>
  </si>
  <si>
    <t>AJCPOV-2500076</t>
  </si>
  <si>
    <t>PR/BPM/JTLBarat/2504/115</t>
  </si>
  <si>
    <t>BPMPO-2503659</t>
  </si>
  <si>
    <t>PR/BPM/JTLBarat/2601/0145</t>
  </si>
  <si>
    <t>23ABJ.NINJT146.1JR</t>
  </si>
  <si>
    <t>PC 146 Kav. Marinir (Bu Silvy)</t>
  </si>
  <si>
    <t>Kav. Marinir Pondok Kelapa (Bu Silvy)</t>
  </si>
  <si>
    <t>AJC/2024/10/Q800/639</t>
  </si>
  <si>
    <t>AJCPOV-2400577</t>
  </si>
  <si>
    <t>PR/BPM/JTLBarat/2412/0312</t>
  </si>
  <si>
    <t>BPMPO-2500370</t>
  </si>
  <si>
    <t>BPMPO-2502845</t>
  </si>
  <si>
    <t>18/03/2025</t>
  </si>
  <si>
    <t>14/03/2025</t>
  </si>
  <si>
    <t>28/03/2025</t>
  </si>
  <si>
    <t>24ABJ.NINJTP011.1JR</t>
  </si>
  <si>
    <t>P011 Bank Mas</t>
  </si>
  <si>
    <t>Jl. Tanah Abang</t>
  </si>
  <si>
    <t>PR/BPM/JTLBarat/2411/0288</t>
  </si>
  <si>
    <t>BPMPO-2405175</t>
  </si>
  <si>
    <t>26/05/2025</t>
  </si>
  <si>
    <t>24ABJ.NINJTP002.1JR</t>
  </si>
  <si>
    <t>P002 Dedy Cahyadi</t>
  </si>
  <si>
    <t>Jl. Kebon Sirih</t>
  </si>
  <si>
    <t>24ABJ.NINJTP010.1JR</t>
  </si>
  <si>
    <t>P010 Lilis Surjani (Warung Mie Aceh)</t>
  </si>
  <si>
    <t>Jl. Palmerah Utara</t>
  </si>
  <si>
    <t>24ABJ.NINJTP003.1JR</t>
  </si>
  <si>
    <t>P003 ⁠Lie Lindra Riady (Kopi Kenangan)</t>
  </si>
  <si>
    <t>Pecenongan</t>
  </si>
  <si>
    <t>24ABJ.NINJT068.1JR</t>
  </si>
  <si>
    <t>PC 068 Adi Ono</t>
  </si>
  <si>
    <t>Jl. Boulevard Sedayu Blok SCBB 03 Sedayu City</t>
  </si>
  <si>
    <t>AJC/2024/10/Q800/670</t>
  </si>
  <si>
    <t>AJCPOV-2400604</t>
  </si>
  <si>
    <t>PR/BPM/JTLBarat/2411/0282</t>
  </si>
  <si>
    <t>BPMPO-2405172</t>
  </si>
  <si>
    <t>PR/BPM/JTLBarat/2411/0281</t>
  </si>
  <si>
    <t>BPMPO-2505190</t>
  </si>
  <si>
    <t>24ABJ.NINJTS013.1JR</t>
  </si>
  <si>
    <t>S013 Arief Kurniawan</t>
  </si>
  <si>
    <t>Jl. Kemang Timur XVII</t>
  </si>
  <si>
    <t>AJC/2024/11/Q800/788</t>
  </si>
  <si>
    <t>AJCPOV-2400698</t>
  </si>
  <si>
    <t>PR/BPM/JTLBarat/2412/0302</t>
  </si>
  <si>
    <t>BPMPO-2404996</t>
  </si>
  <si>
    <t>PR/BPM/KRN-HLR/2409/190</t>
  </si>
  <si>
    <t>BPMPO-2507924</t>
  </si>
  <si>
    <t>24ABJ.NINJTP008.10JR</t>
  </si>
  <si>
    <t>P008 Nurhayati</t>
  </si>
  <si>
    <t>Jl. Mangga Dua VIII RT 11 RW 05</t>
  </si>
  <si>
    <t>AJC/2024/12/Q800/851</t>
  </si>
  <si>
    <t>AJCPOV-2500016</t>
  </si>
  <si>
    <t>PR/BPM/JTLBarat/2502/0008</t>
  </si>
  <si>
    <t>BPMPO-2501030</t>
  </si>
  <si>
    <t>PR/BPM/JTLBarat/2503/0007</t>
  </si>
  <si>
    <t>BPMPO-2600166</t>
  </si>
  <si>
    <t>23ABJ.NINJT095.C04</t>
  </si>
  <si>
    <t>PC 095 Kebon Kosong - Paket 4</t>
  </si>
  <si>
    <t>Kebon Kosong - Paket 4 (RW 7, 8, 9)</t>
  </si>
  <si>
    <t>AJC/2023/09/Q800/322</t>
  </si>
  <si>
    <t>AJCPOV-2300132</t>
  </si>
  <si>
    <t>PR/BPM/JTLBarat/2506/0055</t>
  </si>
  <si>
    <t>BPMPO-2505378</t>
  </si>
  <si>
    <t>PR/BPM/JTLBarat/2506/0056</t>
  </si>
  <si>
    <t>BPMPO-2600130</t>
  </si>
  <si>
    <t>Izin Dari PPKK</t>
  </si>
  <si>
    <t>23ABJ.NINJT054.1JR</t>
  </si>
  <si>
    <t>PC 054 Petukangan</t>
  </si>
  <si>
    <t>Petukangan RT 06/04 Kel. Rawa Terate</t>
  </si>
  <si>
    <t>AJC/2024/09/Q800/494</t>
  </si>
  <si>
    <t>AJCPOV-2400743</t>
  </si>
  <si>
    <t>23ABJ.PNAJT095</t>
  </si>
  <si>
    <t>Reservoir Kebon Kosong 200 m3</t>
  </si>
  <si>
    <t>Reservoir</t>
  </si>
  <si>
    <t>m3</t>
  </si>
  <si>
    <t>Kebon Kosong</t>
  </si>
  <si>
    <t>AJC/2024/11/Q800/751</t>
  </si>
  <si>
    <t>AJCPOV-2400704</t>
  </si>
  <si>
    <t>PR/BPM/JTLBarat/2503/0012</t>
  </si>
  <si>
    <t>BPMPO-2502713</t>
  </si>
  <si>
    <t>PT Jagat Konstruksi Abdipersada</t>
  </si>
  <si>
    <t>BPMPO-2603304</t>
  </si>
  <si>
    <t>24/09/2025, 21/11/2025</t>
  </si>
  <si>
    <t>25ABJ.NINJT095.1JR</t>
  </si>
  <si>
    <t>PC 095 Kebon Kosong RT 07 &amp; 08 RW06</t>
  </si>
  <si>
    <t>Jl. Kemayoran Gempol Rt 007 &amp; 008 Rw 006 Kel. Kebon Kosong Kec. Kemayoran</t>
  </si>
  <si>
    <t>AJC/2025/03/Q800/38</t>
  </si>
  <si>
    <t>AJCPOV-2500048</t>
  </si>
  <si>
    <t>PR/BPM/JTLBarat/2504/0011</t>
  </si>
  <si>
    <t>BPMPO-2502523</t>
  </si>
  <si>
    <t>PR/BPM/JTLBarat/2504/0008</t>
  </si>
  <si>
    <t>BPMPO-2600097</t>
  </si>
  <si>
    <t>17 Mar 2025, 20 Mar 2025</t>
  </si>
  <si>
    <t>17 Mar 2025, 24 Mar 2025</t>
  </si>
  <si>
    <t>25ABJ.NINJT054.2JR</t>
  </si>
  <si>
    <t>PC 054 H. Syahroni (DPRD DKI Jakarta)</t>
  </si>
  <si>
    <t>Jl. Kalibuaran RT.010 RW.007 Kelurahan Penggilingan Kecamatan Cakung Jakarta Timur</t>
  </si>
  <si>
    <t>AJC/2025/03/Q800/40</t>
  </si>
  <si>
    <t>AJCPOV-2500047</t>
  </si>
  <si>
    <t>PR/BPM/JTLBarat/2506/0061</t>
  </si>
  <si>
    <t>BPMPO-2504865</t>
  </si>
  <si>
    <t>PR/BPM/JTLBarat/2503/0010</t>
  </si>
  <si>
    <t>BPMPO-2508268</t>
  </si>
  <si>
    <t>16 May 2025</t>
  </si>
  <si>
    <t>24ABJ.NINJT066.1JR</t>
  </si>
  <si>
    <t>Master Meter Supadi</t>
  </si>
  <si>
    <t>Jl. Pegangsaan 2</t>
  </si>
  <si>
    <t>AJC/2025/04/Q800/80</t>
  </si>
  <si>
    <t>AJCPOV-2500090</t>
  </si>
  <si>
    <t>PR/BPM/JTLBarat/2505/0033</t>
  </si>
  <si>
    <t>BPMPO-2504873</t>
  </si>
  <si>
    <t>PR/BPM/JTLBarat/2505/0032</t>
  </si>
  <si>
    <t>BPMPO-2503213</t>
  </si>
  <si>
    <t>18/06/2025</t>
  </si>
  <si>
    <t>24ABJ.NINJT087.2JR</t>
  </si>
  <si>
    <t>Master Meter Basri</t>
  </si>
  <si>
    <t>Jl. Agung Karya VI Kel. Papanggo</t>
  </si>
  <si>
    <t>AJC/2025/04/Q800/78</t>
  </si>
  <si>
    <t>AJCPOV-2500088</t>
  </si>
  <si>
    <t>PR/BPM/JTLBarat/2503/0028</t>
  </si>
  <si>
    <t>BPMPO-2503628</t>
  </si>
  <si>
    <t>PR/BPM/JTLBarat/2512/0092</t>
  </si>
  <si>
    <t>24ABJ.NINJT088.3JR</t>
  </si>
  <si>
    <t>Master Meter Eddy</t>
  </si>
  <si>
    <t>Jl. Warakas I Gg. 26</t>
  </si>
  <si>
    <t>AJC/2025/04/Q800/97</t>
  </si>
  <si>
    <t>AJCPOV-2500101</t>
  </si>
  <si>
    <t>PR/BPM/JTLBarat/2503/0030</t>
  </si>
  <si>
    <t>BPMPO-2503629</t>
  </si>
  <si>
    <t>PR/BPM/JTLBarat/2503/0029</t>
  </si>
  <si>
    <t>BPMPO-2503205</t>
  </si>
  <si>
    <t>26/07/2025</t>
  </si>
  <si>
    <t>24ABJ.NINJT065.1JR</t>
  </si>
  <si>
    <t>Master Meter Usman</t>
  </si>
  <si>
    <t>Jl. Perintis Kemerdekaan</t>
  </si>
  <si>
    <t>AJC/2025/04/Q800/75</t>
  </si>
  <si>
    <t>AJCPOV-2500087</t>
  </si>
  <si>
    <t>PR/BPM/JTLBarat/2503/0026</t>
  </si>
  <si>
    <t>BPMPO-2504608</t>
  </si>
  <si>
    <t>PR/BPM/JTLBarat/2512/0113</t>
  </si>
  <si>
    <t>24ABJ.NINJT088.2JR</t>
  </si>
  <si>
    <t>Master Meter Supriyanto dan Wargono</t>
  </si>
  <si>
    <t>Jl. Muara Bahari Ujung RT/RW 11/06 Kel. Papanggo Kec. Tanjung Priok</t>
  </si>
  <si>
    <t>AJC/2025/04/Q800/85</t>
  </si>
  <si>
    <t>AJCPOV-2505004</t>
  </si>
  <si>
    <t>PR/BPM/JTLBarat/2505/0047</t>
  </si>
  <si>
    <t>BPMPO-2503630</t>
  </si>
  <si>
    <t>PR/BPM/JTLBarat/2505/0046</t>
  </si>
  <si>
    <t>BPMPO-2600131</t>
  </si>
  <si>
    <t>24ABJ.NINJT088.1JR</t>
  </si>
  <si>
    <t>Master Meter Anas</t>
  </si>
  <si>
    <t>Jl. Kampung Muara Bahari</t>
  </si>
  <si>
    <t>AJC/2025/03/Q800/66</t>
  </si>
  <si>
    <t>AJCPOV-2500086</t>
  </si>
  <si>
    <t>PR/BPM/JTLBarat/2503/0024</t>
  </si>
  <si>
    <t>BPMPO-2503627</t>
  </si>
  <si>
    <t>24ABJ.NINJTP008.8JR</t>
  </si>
  <si>
    <t>Master Meter Misyanto</t>
  </si>
  <si>
    <t>Gg. Elektro, Muara Baru</t>
  </si>
  <si>
    <t>AJC/2025/04/Q800/93</t>
  </si>
  <si>
    <t>AJCPOV-2500106</t>
  </si>
  <si>
    <t>PR/BPM/JTLBarat/2505/0038</t>
  </si>
  <si>
    <t>BPMPO-2503514</t>
  </si>
  <si>
    <t>PR/BPM/JTLBarat/2505/0037</t>
  </si>
  <si>
    <t>BPMPO-2603002</t>
  </si>
  <si>
    <t>24ABJ.NINJTP011.2JR</t>
  </si>
  <si>
    <t>Master Meter Jembatan Besi</t>
  </si>
  <si>
    <t>Jl. Jembatan Besi 1 RT 06 / RW 04</t>
  </si>
  <si>
    <t>AJC/2025/04/Q800/95</t>
  </si>
  <si>
    <t>AJCPOV-2500099</t>
  </si>
  <si>
    <t>PR/BPM/JTLBarat/2503/0032</t>
  </si>
  <si>
    <t>BPMPO-2503524</t>
  </si>
  <si>
    <t>PR/BPM/JTLBarat/2503/0031</t>
  </si>
  <si>
    <t>BPMPO-2503207</t>
  </si>
  <si>
    <t>24ABJ.NINJTP008.2JR</t>
  </si>
  <si>
    <t>Master Meter CBO (Rawa Bebek)</t>
  </si>
  <si>
    <t>Jl. Rawa Bebek, Kel. Penjaringan</t>
  </si>
  <si>
    <t>AJC/2025/04/Q800/87</t>
  </si>
  <si>
    <t>AJCPOV-2505011</t>
  </si>
  <si>
    <t>PR/BPM/JTLBarat/2506/0049</t>
  </si>
  <si>
    <t>BPMPO-2504895</t>
  </si>
  <si>
    <t>PR/BPM/JTLBarat/2506/0048</t>
  </si>
  <si>
    <t>24ABJ.NINJT051.1JR</t>
  </si>
  <si>
    <t>Master Meter Binton Silaen</t>
  </si>
  <si>
    <t>Jl. Warung Jengkol RT 06 / RW 02</t>
  </si>
  <si>
    <t>AJC/2025/04/Q800/90</t>
  </si>
  <si>
    <t>AJCPOV-2500104</t>
  </si>
  <si>
    <t>PR/BPM/JTLBarat/2505/0036</t>
  </si>
  <si>
    <t>BPMPO-2504615</t>
  </si>
  <si>
    <t>PR/BPM/JTLBarat/2505/0035</t>
  </si>
  <si>
    <t>24ABJNINJT095.1JR</t>
  </si>
  <si>
    <t>Kebon Kosong RW 04 RT 04</t>
  </si>
  <si>
    <t>Jl. Kemayoran Gempol RW 04</t>
  </si>
  <si>
    <t>AJC/2025/05/Q800/112</t>
  </si>
  <si>
    <t>AJCPOV-2505007</t>
  </si>
  <si>
    <t>PR/BPM/JTLBarat/2506/0053</t>
  </si>
  <si>
    <t>BPMPO-2503752</t>
  </si>
  <si>
    <t>PR/BPM/JTLBarat/2506/0052</t>
  </si>
  <si>
    <t>BPMPO-2508220</t>
  </si>
  <si>
    <t>24ABJNINJT095.2JR</t>
  </si>
  <si>
    <t>Kebon Kosong (Gg Sejahtera)</t>
  </si>
  <si>
    <t>Jl. Kemayoran Gempol RW 05</t>
  </si>
  <si>
    <t>AJC/2025/05/Q800/114</t>
  </si>
  <si>
    <t>AJCPOV-2505084</t>
  </si>
  <si>
    <t>PR/BPM/JTLBarat/2506/0092</t>
  </si>
  <si>
    <t>BPMPO-2504898</t>
  </si>
  <si>
    <t>24ABJ.NINJT095.3JR</t>
  </si>
  <si>
    <t>Kebon Kosong (Kandang Kambing)</t>
  </si>
  <si>
    <t>Jl. E Raya (Kebon Kosong) Kandang Kambing</t>
  </si>
  <si>
    <t>AJC/2025/05/Q800/134</t>
  </si>
  <si>
    <t>AJCPOV-2505012</t>
  </si>
  <si>
    <t>PR/BPM/JTLBarat/2506/0073</t>
  </si>
  <si>
    <t>BPMPO-2504904</t>
  </si>
  <si>
    <t>PR/BPM/JTLBarat/2506/0072</t>
  </si>
  <si>
    <t>BPMPO-2508217</t>
  </si>
  <si>
    <t>24ABJ.NINJT095.4JR</t>
  </si>
  <si>
    <t>Kebon Kosong (Bend Jago)</t>
  </si>
  <si>
    <t>Jl. Kebon Kosong RW 05 Sunter Bendungan Jago</t>
  </si>
  <si>
    <t>AJC/2025/05/Q800/136</t>
  </si>
  <si>
    <t>AJCPOV-2505066</t>
  </si>
  <si>
    <t>PR/BPM/JTLBarat/2506/0058</t>
  </si>
  <si>
    <t>BPMPO-2504897</t>
  </si>
  <si>
    <t>PR/BPM/JTLBarat/2506/0057</t>
  </si>
  <si>
    <t>BPMPO-2505238</t>
  </si>
  <si>
    <t>15 Sep 2025, 16 Sep 2025</t>
  </si>
  <si>
    <t>24ABJ.NINJTS013.2JR</t>
  </si>
  <si>
    <t>S013 Isyana Sarasvati</t>
  </si>
  <si>
    <t>Jl. Wijaya Timur Dalam No 15B RT 015 RW 02</t>
  </si>
  <si>
    <t>AJC/2025/05/Q800/116</t>
  </si>
  <si>
    <t>AJCPOV-2505023</t>
  </si>
  <si>
    <t>PR/BPM/JTLBarat/2506/0079</t>
  </si>
  <si>
    <t>BPMPO-2505074</t>
  </si>
  <si>
    <t>PR/BPM/JTLBarat/2506/0078</t>
  </si>
  <si>
    <t>BPMPO-2600125</t>
  </si>
  <si>
    <t>25ABJ.NINJT070.1JR</t>
  </si>
  <si>
    <t>PC 070 Dian Darusalam</t>
  </si>
  <si>
    <t>Jl. Satria RT/RW 002/002 Ujung Menteng</t>
  </si>
  <si>
    <t>AJC/2025/05/Q800/146</t>
  </si>
  <si>
    <t>AJCPOV-2505032</t>
  </si>
  <si>
    <t>PR/BPM/JTLBarat/2506/0081</t>
  </si>
  <si>
    <t>BPMPO-2504858</t>
  </si>
  <si>
    <t>PR/BPM/JTLBarat/2506/0080</t>
  </si>
  <si>
    <t>BPMPO-2600159</t>
  </si>
  <si>
    <t>24ABJ.NPPKARPSG01JE</t>
  </si>
  <si>
    <t>Trunk Main Pesanggrahan - TMPS-1 (DN1000)</t>
  </si>
  <si>
    <t>Fabianus</t>
  </si>
  <si>
    <t>IPA Pesanggrahan - Jl. Deplu Raya</t>
  </si>
  <si>
    <t>AJC/2024/10/Q800/655</t>
  </si>
  <si>
    <t>AJCPOV-2400601</t>
  </si>
  <si>
    <t>PR/BPM/KRN-HLR/2504/055</t>
  </si>
  <si>
    <t>BPMPO-2503251</t>
  </si>
  <si>
    <t>PR/BPM/KRN-HLR/2511/190</t>
  </si>
  <si>
    <t>BPMPO-2507480</t>
  </si>
  <si>
    <t>- 01/11/2025
- 29/11/2025
- 02/12/2025
- 10/12/2025</t>
  </si>
  <si>
    <t>24ABJ.NPPKARPSG02JE</t>
  </si>
  <si>
    <t>Trunk Main Pesanggrahan - TMPS-2 (DN800)</t>
  </si>
  <si>
    <t>JL. KESEHATAN RAYA - JL. BINTARO UTARA</t>
  </si>
  <si>
    <t>AJC/2024/10/Q800/657</t>
  </si>
  <si>
    <t>AJCPOV-2505015</t>
  </si>
  <si>
    <t>PR/BPM/KRN-HLR/2601/002</t>
  </si>
  <si>
    <t>BPMPO-2600587</t>
  </si>
  <si>
    <t>PR/BPM/KRN-HLR/2512/241</t>
  </si>
  <si>
    <t>BPMPO-2600282</t>
  </si>
  <si>
    <t>24ABJ.NPPKARPSG02AJE</t>
  </si>
  <si>
    <t>Trunk Main Pesanggrahan - TMPS-2A (DN300)</t>
  </si>
  <si>
    <t>Jl. Veteran Raya</t>
  </si>
  <si>
    <t>AJC/2024/10/Q800/663</t>
  </si>
  <si>
    <t>AJCPOV-2400575</t>
  </si>
  <si>
    <t>PR/BPM/KRN-HLR/2504/053</t>
  </si>
  <si>
    <t>BPMPO-2502871</t>
  </si>
  <si>
    <t xml:space="preserve">PT Shima Citra Selaras </t>
  </si>
  <si>
    <t>PR/BPM/KRN-HLR/2504/054</t>
  </si>
  <si>
    <t>BPMPO-2507210</t>
  </si>
  <si>
    <t>24ABJ.NPPKARPSG04JE</t>
  </si>
  <si>
    <t>Trunk Main Pesanggrahan - TMPS-4 (DN300)</t>
  </si>
  <si>
    <t>JL. BINTARO PERMAI - JL. CILEDUG RAYA</t>
  </si>
  <si>
    <t>AJC/2024/10/Q800/669</t>
  </si>
  <si>
    <t>AJCPOV-2505016</t>
  </si>
  <si>
    <t>PR/BPM/KRN-HLR/2505/066</t>
  </si>
  <si>
    <t>BPMPO-2503718</t>
  </si>
  <si>
    <t>PR-UN/BPM/KRN-HLR/2512/073</t>
  </si>
  <si>
    <t>24ABJ.NPPKARPSG08JE</t>
  </si>
  <si>
    <t>Trunk Main Pesanggrahan - TMPS-8 (DN800)</t>
  </si>
  <si>
    <t>JL. ULUJAMI RAYA</t>
  </si>
  <si>
    <t>AJC/2024/10/Q800/673</t>
  </si>
  <si>
    <t>AJCPOV-2505014</t>
  </si>
  <si>
    <t>PR/BPM/KRN-HLR/2601/001</t>
  </si>
  <si>
    <t>BPMPO-2600586</t>
  </si>
  <si>
    <t>PR/BPM/KRN-HLR/2601/010</t>
  </si>
  <si>
    <t>BPMPO-2600104</t>
  </si>
  <si>
    <t>NIN23KABB020.3</t>
  </si>
  <si>
    <t>B020 Citra 8</t>
  </si>
  <si>
    <t>AJC/2023/09/Q800/278</t>
  </si>
  <si>
    <t>AJCPOV-2300186</t>
  </si>
  <si>
    <t>PR/BPM/KRN-HLR/2406/126</t>
  </si>
  <si>
    <t>BPMPO-2401212</t>
  </si>
  <si>
    <t>PR/BPM/KRN-HLR/2508/126</t>
  </si>
  <si>
    <t>BPMPO-2504611</t>
  </si>
  <si>
    <t>NIN23KABB020.4</t>
  </si>
  <si>
    <t>B020 Citra 2 Ext</t>
  </si>
  <si>
    <t>Citra 2 Ext</t>
  </si>
  <si>
    <t>AJC/2023/09/Q800/288</t>
  </si>
  <si>
    <t>AJCPOV-2300103</t>
  </si>
  <si>
    <t>PR/BPM/KRN-HLR/2409/241</t>
  </si>
  <si>
    <t>BPMPO-2500392</t>
  </si>
  <si>
    <t>PR/BPM/KRN-HLR/2601/009</t>
  </si>
  <si>
    <t>NIN23KABB020.5</t>
  </si>
  <si>
    <t>B020 Citra 2</t>
  </si>
  <si>
    <t>Citra 2</t>
  </si>
  <si>
    <t>AJC/2023/09/Q800/289</t>
  </si>
  <si>
    <t>AJCPOV-2300104</t>
  </si>
  <si>
    <t>PR/BPM/KRN-HLR/2411/294</t>
  </si>
  <si>
    <t>BPMPO-2404817</t>
  </si>
  <si>
    <t>PR/BPM/KRN-HLR/2601/0043</t>
  </si>
  <si>
    <t>- Segment 1 : 12/09/2025
- Segment 2 : 07/10/2025
- Segment 3 : 10/10/2025
- Segment 4 : 22/10/2025
- Segment 5 : 05/11/2025
- Segment 9 : 03/12/2025</t>
  </si>
  <si>
    <t>NIN23KABB014.1</t>
  </si>
  <si>
    <t>B014 Green Royale</t>
  </si>
  <si>
    <t>Green Royale</t>
  </si>
  <si>
    <t>AJC/2024/08/Q800/472</t>
  </si>
  <si>
    <t>AJCPOV-2400407</t>
  </si>
  <si>
    <t>8.Rekomtek Terbit</t>
  </si>
  <si>
    <t>23ABJ.NINKARS002.1</t>
  </si>
  <si>
    <t>S002 Bonavista Residence</t>
  </si>
  <si>
    <t>Jl. Bonavista Raya Kel. Lebak Bulus</t>
  </si>
  <si>
    <t>AJC/2024/11/Q800/753</t>
  </si>
  <si>
    <t>AJCPOV-2400713</t>
  </si>
  <si>
    <t>PR/BPM/KRN-HLR/2502/018</t>
  </si>
  <si>
    <t>BPMPO-2501152</t>
  </si>
  <si>
    <t>PR/BPM/KRN-HLR/2502/019</t>
  </si>
  <si>
    <t>BPMPO-2503857</t>
  </si>
  <si>
    <t>- Segment 1 : 10/07/2025
- Segment 2 : 29/08/2025</t>
  </si>
  <si>
    <t>23ABJ.NINKARS006.1JE</t>
  </si>
  <si>
    <t>S006 PT Talanoa Oase Mulia</t>
  </si>
  <si>
    <t>Jl. Rawa Simprug 1 RT 009 RW 10 Kel. Grogol Selatan</t>
  </si>
  <si>
    <t>AJC/2024/11/Q800/755</t>
  </si>
  <si>
    <t>AJCPOV-2400716</t>
  </si>
  <si>
    <t>24ABJ.NINKARB020.15JE</t>
  </si>
  <si>
    <t>B020 Puri Permata Mediterania</t>
  </si>
  <si>
    <t>Puri Permata Mediterania RT 08/14 Kel. Pegadungan</t>
  </si>
  <si>
    <t>AJC/2024/10/Q800/619</t>
  </si>
  <si>
    <t>AJCPOV-2400553</t>
  </si>
  <si>
    <t>PR/BPM/KRN-HLR/2411/303</t>
  </si>
  <si>
    <t>BPMPO-2404984</t>
  </si>
  <si>
    <t>PR/BPM/KRN-HLR/2411/322</t>
  </si>
  <si>
    <t>BPMPO-2503008</t>
  </si>
  <si>
    <t>03/02/2025
02/05/2025</t>
  </si>
  <si>
    <t>23ABJ.NINKARB020.6JE</t>
  </si>
  <si>
    <t>B020 Premier Pavilion</t>
  </si>
  <si>
    <t>Premier Pavilion RT 01/01 Kel. Pegadungan</t>
  </si>
  <si>
    <t>AJC/2024/10/Q800/720</t>
  </si>
  <si>
    <t>AJCPOV-2400622</t>
  </si>
  <si>
    <t>PR/BPM/KRN-HLR/2502/016</t>
  </si>
  <si>
    <t>BPMPO-2501240</t>
  </si>
  <si>
    <t>PR/BPM/KRN-HLR/2502/017</t>
  </si>
  <si>
    <t>BPMPO-2503582</t>
  </si>
  <si>
    <t xml:space="preserve">- Segment 1 : 03/06/2025
- Segment 2 : 10/06/2025
</t>
  </si>
  <si>
    <t>- 12 Sep 2025
- 30 Sep 2025</t>
  </si>
  <si>
    <t>24ABJ.NINKARB020.17JE</t>
  </si>
  <si>
    <t>B020 Kumbang</t>
  </si>
  <si>
    <t>Jl. Kumbang Raya, RT00/RW001, Kel. Pegadungan</t>
  </si>
  <si>
    <t>AJC/2024/11/Q800/773</t>
  </si>
  <si>
    <t>AJCPOV-2400726</t>
  </si>
  <si>
    <t>PR/BPM/KRN-HLR/2502/026</t>
  </si>
  <si>
    <t>BPMPO-2501108</t>
  </si>
  <si>
    <t>PR/BPM/KRN-HLR/2502/027</t>
  </si>
  <si>
    <t>BPMPO-2502614</t>
  </si>
  <si>
    <t>- Segment 2 : 23/05/2025
- Segment 4 : 28/05/2025
- Segment 3 : 28/05/2025
- Segment 5 : 03/06/2025</t>
  </si>
  <si>
    <t>- 04 Jun 2025
- 14 Jun 2025</t>
  </si>
  <si>
    <t>24ABJ.NINKARB019.7JE</t>
  </si>
  <si>
    <t>B019 Kayu Besar</t>
  </si>
  <si>
    <t>Jl. Kayu Besar RT00/RW000, Kel. Tegal Alur</t>
  </si>
  <si>
    <t>AJC/2024/11/Q800/757</t>
  </si>
  <si>
    <t>AJCPOV-2400709</t>
  </si>
  <si>
    <t>PR/BPM/KRN-HLR/2501/007</t>
  </si>
  <si>
    <t>BPMPO-2501243</t>
  </si>
  <si>
    <t>BPMPO-2500972</t>
  </si>
  <si>
    <t>24ABJ.NINKARB019.8JE</t>
  </si>
  <si>
    <t>B019 Perumahan Taman Surya 6 PALM CLUSTER BLOSSOM</t>
  </si>
  <si>
    <t>Perumahan Taman Surya 6 PALM CLUSTER BLOSSOM</t>
  </si>
  <si>
    <t>AJC/2024/10/Q800/627</t>
  </si>
  <si>
    <t>AJCPOV-2400550</t>
  </si>
  <si>
    <t>PR/BPM/KRN-HLR/2411/302</t>
  </si>
  <si>
    <t>BPMPO-2405275</t>
  </si>
  <si>
    <t>24ABJ.NINKARB004.1JE</t>
  </si>
  <si>
    <t>B004 SPBU BP AKR</t>
  </si>
  <si>
    <t>Jl. Meruya Utara No 26 RT 01 RW 05</t>
  </si>
  <si>
    <t>AJC/2024/12/Q800/825</t>
  </si>
  <si>
    <t>AJCPOV-2400777</t>
  </si>
  <si>
    <t>PR/BPM/KRN-HLR/2502/029</t>
  </si>
  <si>
    <t>BPMPO-2501811</t>
  </si>
  <si>
    <t>PR/BPM/KRN-HLR/2502/030</t>
  </si>
  <si>
    <t>BPMPO-2501994</t>
  </si>
  <si>
    <t>24ABJ.NINKARB019.10JE</t>
  </si>
  <si>
    <t>B019 Perumahan SUTASA</t>
  </si>
  <si>
    <t>Jl. Keluraham, Kamal, Kec. Kalideres</t>
  </si>
  <si>
    <t>AJC/2024/11/Q800/759</t>
  </si>
  <si>
    <t>AJCPOV-2400711</t>
  </si>
  <si>
    <t>PR/BPM/KRN-HLR/2502/020</t>
  </si>
  <si>
    <t>BPMPO-2501327</t>
  </si>
  <si>
    <t>PT Desra Banyu Enjinering</t>
  </si>
  <si>
    <t>PR/BPM/KRN-HLR/2502/021</t>
  </si>
  <si>
    <t>BPMPO-2501081</t>
  </si>
  <si>
    <t>24ABJ.NINKARB016.5JE</t>
  </si>
  <si>
    <t>B016 PT Trans Elektric</t>
  </si>
  <si>
    <t>Jl. Peternakan 1, Pergudangan Ruko No C9 RT 05 RW 01</t>
  </si>
  <si>
    <t>AJC/2024/11/Q800/793</t>
  </si>
  <si>
    <t>AJCPOV-2400729</t>
  </si>
  <si>
    <t>23ABJ.NINKARB019.2JE</t>
  </si>
  <si>
    <t xml:space="preserve">B019 Mutiara Taman Palem Blok A </t>
  </si>
  <si>
    <t>Mutiara Taman Palem Blok A, Blok B, Blok E, Kel. Cengkareng Timur</t>
  </si>
  <si>
    <t>AJC/2024/09/Q800/578</t>
  </si>
  <si>
    <t>AJCPOV-2400524</t>
  </si>
  <si>
    <t>PR/BPM/KRN-HLR/2411/300</t>
  </si>
  <si>
    <t>BPMPO-2404983</t>
  </si>
  <si>
    <t>- Segment 1 : 09/07/2025
- Segment 2 : 01/08/2025</t>
  </si>
  <si>
    <t>24ABJ.NINKARS006PSG.13JE</t>
  </si>
  <si>
    <t>S006 Pesanggrahan - EZ 13</t>
  </si>
  <si>
    <t>PA S006 - 13 KELURAHAN BINTARO KECAMATAN PESANGGRAHAN</t>
  </si>
  <si>
    <t>AJC/2024/10/Q800/682</t>
  </si>
  <si>
    <t>AJCPOV-2400588</t>
  </si>
  <si>
    <t>PR/BPM/KRN-HLR/2502/045</t>
  </si>
  <si>
    <t>BPMPO-2501992</t>
  </si>
  <si>
    <t>PR/BPM/KRN-HLR/2512/232</t>
  </si>
  <si>
    <t>- Segment 1 : 27/08/2025
- Segment 2 : 29/08/2025
- Segment 3 : 23/09/2025
- Segment 4 : 12/09/2025
- Segment 5 : 26/09/2025
- Segment 7 : 26/09/2025</t>
  </si>
  <si>
    <t>24ABJ.NINKARS006PSG.14JE</t>
  </si>
  <si>
    <t>S006 Pesanggrahan - EZ 14</t>
  </si>
  <si>
    <t>PA S006 - 14 KELURAHAN BINTARO KECAMATAN PESANGGRAHAN</t>
  </si>
  <si>
    <t>AJC/2024/10/Q800/686</t>
  </si>
  <si>
    <t>AJCPOV-2400590</t>
  </si>
  <si>
    <t>PR/BPM/KRN-HLR/2502/033</t>
  </si>
  <si>
    <t>BPMPO-2502332</t>
  </si>
  <si>
    <t>PR/BPM/KRN-HLR/2502/032</t>
  </si>
  <si>
    <t>BPMPO-2502315</t>
  </si>
  <si>
    <t>- Segment 1 : 14/11/2025
- Segment 2 : 14/11/2025</t>
  </si>
  <si>
    <t>24ABJ.NINKARS006PSG.15JE</t>
  </si>
  <si>
    <t>S006 Pesanggrahan - EZ 15</t>
  </si>
  <si>
    <t>PA S006 - 15 KELURAHAN BINTARO KECAMATAN PESANGGRAHAN</t>
  </si>
  <si>
    <t>AJC/2024/10/Q800/690</t>
  </si>
  <si>
    <t>AJCPOV-2400596</t>
  </si>
  <si>
    <t>PR/BPM/KRN-HLR/2502/035</t>
  </si>
  <si>
    <t>BPMPO-2502000</t>
  </si>
  <si>
    <t>PR/BPM/KRN-HLR/2506/080</t>
  </si>
  <si>
    <t>BPMPO-2506514</t>
  </si>
  <si>
    <t>24ABJ.NINKARS006PSG.16JE</t>
  </si>
  <si>
    <t>S006 Pesanggrahan - EZ 16</t>
  </si>
  <si>
    <t>PA S006 - 16 KELURAHAN BINTARO KECAMATAN PESANGGRAHAN</t>
  </si>
  <si>
    <t>AJC/2024/10/Q800/697</t>
  </si>
  <si>
    <t>AJCPOV-2400602</t>
  </si>
  <si>
    <t>PR/BPM/KRN-HLR/2502/037</t>
  </si>
  <si>
    <t>BPMPO-2501903</t>
  </si>
  <si>
    <t>PR/BPM/KRN-HLR/2506/079</t>
  </si>
  <si>
    <t>BPMPO-2504167</t>
  </si>
  <si>
    <t>- Segment 1 : 27/08/2025 
- Segment 2 : 27/08/2025
- Segment 4 : 17/10/2025
- Segment 4 : 14/11/2025</t>
  </si>
  <si>
    <t>24ABJ.NINKARS006PSG.17JE</t>
  </si>
  <si>
    <t>S006 Pesanggrahan - EZ 17</t>
  </si>
  <si>
    <t>PA S006 - 17 KELURAHAN BINTARO KECAMATAN PESANGGRAHAN</t>
  </si>
  <si>
    <t>AJC/2024/10/Q800/701</t>
  </si>
  <si>
    <t>AJCPOV-2400621</t>
  </si>
  <si>
    <t>PR/BPM/KRN-HLR/2502/039</t>
  </si>
  <si>
    <t>BPMPO-2501906</t>
  </si>
  <si>
    <t>PR/BPM/KRN-HLR/2502/040</t>
  </si>
  <si>
    <t>BPMPO-2501210</t>
  </si>
  <si>
    <t>- Segment 1 : 17/09/2025
- Segment 2 : 22/10/2025
- Segment 3 : 05/11/2025</t>
  </si>
  <si>
    <t>24ABJ.NINKARS006PSG.18JE</t>
  </si>
  <si>
    <t>S006 Pesanggrahan - EZ 18</t>
  </si>
  <si>
    <t>PA S006 - 18 KELURAHAN BINTARO KECAMATAN PESANGGRAHAN</t>
  </si>
  <si>
    <t>AJC/2024/10/Q800/705</t>
  </si>
  <si>
    <t>AJCPOV-2400651</t>
  </si>
  <si>
    <t>PR/BPM/KRN-HLR/2502/041</t>
  </si>
  <si>
    <t>BPMPO-2501911</t>
  </si>
  <si>
    <t>PR/BPM/KRN-HLR/2512/233</t>
  </si>
  <si>
    <t>- Segment 1 : 04/08/2025
- Segment 2 : 09/09/2025
- Segment 3 : 22/09/2025
- Segment 5 : 07/10/2025</t>
  </si>
  <si>
    <t>24ABJ.NINKARB007.3JE</t>
  </si>
  <si>
    <t>B007 Kampung Basmol</t>
  </si>
  <si>
    <t>Kampung Basmol RT 01/06 Kel. Kembangan Utara</t>
  </si>
  <si>
    <t>AJC/2024/10/Q800/623</t>
  </si>
  <si>
    <t>AJCPOV-2400551</t>
  </si>
  <si>
    <t>PR/BPM/KRN-HLR/2411/297</t>
  </si>
  <si>
    <t>BPMPO-2405270</t>
  </si>
  <si>
    <t>PR/BPM/KRN-HLR/2411/298</t>
  </si>
  <si>
    <t>BPMPO-2501418</t>
  </si>
  <si>
    <t>- Segment 1 : 28/04/2025
- Segment 2 : 28/04/2025
- Segment 3 : 28/04/2025</t>
  </si>
  <si>
    <t>24ABJ.NINKARB006.8JE</t>
  </si>
  <si>
    <t>B006 PT Pesta Pora</t>
  </si>
  <si>
    <t>Jl. Panjang</t>
  </si>
  <si>
    <t>AJC/2024/10/Q800/635</t>
  </si>
  <si>
    <t>AJCPOV-2400543</t>
  </si>
  <si>
    <t>PR/BPM/KRN-HLR/2411/296</t>
  </si>
  <si>
    <t>BPMPO-2405269</t>
  </si>
  <si>
    <t>PR/BPM/KRN-HLR/2411/295</t>
  </si>
  <si>
    <t>24ABJ.NINKARB020.20JE</t>
  </si>
  <si>
    <t>B020 Gombol Paya (tambahan)</t>
  </si>
  <si>
    <t>Kp Gombol Paya RW 13</t>
  </si>
  <si>
    <t>AJC/2024/11/Q800/797</t>
  </si>
  <si>
    <t>AJCPOV-2400707</t>
  </si>
  <si>
    <t>PR/BPM/KRN-HLR/2310/009</t>
  </si>
  <si>
    <t>BPMPO-2501627</t>
  </si>
  <si>
    <t>- Segment 1 : 14/05/2025
- Segment 2 : 14/05/2025
- Segment 3 : 26/05/2025
- Segment 4 : 26/05/2025
- Segment 6 : 04/08/2025</t>
  </si>
  <si>
    <t xml:space="preserve">- 23/04/2025
- 04/05/2025
- 17/05/2025
- </t>
  </si>
  <si>
    <t>24ABJ.NINKARB019.14JE</t>
  </si>
  <si>
    <t>B019 Pergudangan Ecopark</t>
  </si>
  <si>
    <t>Jl. Kapuk Kayu Besar</t>
  </si>
  <si>
    <t>AJC/2024/12/Q800/846</t>
  </si>
  <si>
    <t>AJCPOV-2500002</t>
  </si>
  <si>
    <t>PR/BPM/KRN-HLR/2502/024</t>
  </si>
  <si>
    <t>BPMPO-2501245</t>
  </si>
  <si>
    <t>PR/BPM/KRN-HLR/2502/025</t>
  </si>
  <si>
    <t>BPMPO-2502615</t>
  </si>
  <si>
    <t>24ABJ.NINKARB012.1JE</t>
  </si>
  <si>
    <t>Master Meter Telaga Bojong</t>
  </si>
  <si>
    <t>Jl. Telaga Bojong</t>
  </si>
  <si>
    <t>AJC/2025/04/Q800/82</t>
  </si>
  <si>
    <t>AJCPOV-2500089</t>
  </si>
  <si>
    <t>PR/BPM/KRN-HLR/2504/060</t>
  </si>
  <si>
    <t>BPMPO-2505003</t>
  </si>
  <si>
    <t>PR/BPM/KRN-HLR/2504/061</t>
  </si>
  <si>
    <t>BPMPO-2508035</t>
  </si>
  <si>
    <t>24ABJ.NINKARB019.16JE</t>
  </si>
  <si>
    <t>B019 Seafood Bakaran</t>
  </si>
  <si>
    <t>Jl. Satu Maret No. 1A</t>
  </si>
  <si>
    <t>AJC/2025/05/Q800/174</t>
  </si>
  <si>
    <t>AJCPOV-2505025</t>
  </si>
  <si>
    <t>PR/BPM/KRN-HLR/2506/066</t>
  </si>
  <si>
    <t>BPMPO-2504221</t>
  </si>
  <si>
    <t>PR/BPM/KRN-HLR/2506/067</t>
  </si>
  <si>
    <t>BPMPO-2501351</t>
  </si>
  <si>
    <t>25ABJ.NINKARS002.2JE</t>
  </si>
  <si>
    <t>S002 Sekda DKI Jakarta</t>
  </si>
  <si>
    <t>Jl. Mandala II No.124 RT. 04/RW. 02, Kel. Cilandak barat, Kec. Cilandak, Kota Jakarta Selatan</t>
  </si>
  <si>
    <t>AJC/2025/05/Q800/117</t>
  </si>
  <si>
    <t>AJCPOV-2505042</t>
  </si>
  <si>
    <t>PR/BPM/KRN-HLR/2506/064</t>
  </si>
  <si>
    <t>BPMPO-2503481</t>
  </si>
  <si>
    <t>PR/BPM/KRN-HLR/2506/065</t>
  </si>
  <si>
    <t>BPMPO-2604545</t>
  </si>
  <si>
    <t>25ABJ.NINKARSN01.2JE</t>
  </si>
  <si>
    <t>SN01 Rumah Gubernur</t>
  </si>
  <si>
    <t>Jl. Haji Ambas No. 18, Cipete Selatan, Jakarta Selatan</t>
  </si>
  <si>
    <t>AJC/2025/05/Q800/192</t>
  </si>
  <si>
    <t>AJCPOV-2506018</t>
  </si>
  <si>
    <t>PR/BPM/KRN-HLR/2506/071</t>
  </si>
  <si>
    <t>BPMPO-2504318</t>
  </si>
  <si>
    <t>PR/BPM/KRN-HLR/2506/072</t>
  </si>
  <si>
    <t>BPMPO-2600149</t>
  </si>
  <si>
    <t>NPP23BURP01A</t>
  </si>
  <si>
    <t>P1A - Jl Pahlawan Revolusi DN600</t>
  </si>
  <si>
    <t>TOK +90 Hari</t>
  </si>
  <si>
    <t>MC-100</t>
  </si>
  <si>
    <t>JL. PAHLAWAN REVOLUSI</t>
  </si>
  <si>
    <t> </t>
  </si>
  <si>
    <t>AJC/2025/04/Q800/105</t>
  </si>
  <si>
    <t>AJCPOV-2505003</t>
  </si>
  <si>
    <t>PR/BPM/BRN3HLR/2508/377</t>
  </si>
  <si>
    <t>BPMPO-2505326</t>
  </si>
  <si>
    <t>KJA</t>
  </si>
  <si>
    <t>PR/BPM/BRN3HLR/2402/006</t>
  </si>
  <si>
    <t>NPP23BURP06</t>
  </si>
  <si>
    <t>P6 - Jl Taman Mini I DN1600</t>
  </si>
  <si>
    <t>Bisa TOK</t>
  </si>
  <si>
    <t>Jl Taman Mini I</t>
  </si>
  <si>
    <t>AJC/2024/03/Q800/86</t>
  </si>
  <si>
    <t>AJCPOV-2400163</t>
  </si>
  <si>
    <t>PR/BPM/BRN3HLR/2506/321</t>
  </si>
  <si>
    <t>BPMPO-2506092</t>
  </si>
  <si>
    <t>KMU/CRCC</t>
  </si>
  <si>
    <t>PR/BPM/BRN3HLR/2509/426</t>
  </si>
  <si>
    <t>BPMPO-2600852</t>
  </si>
  <si>
    <t>NPP23BURP11</t>
  </si>
  <si>
    <t>P11 - Jl Raya Mabes Hankam DN1200</t>
  </si>
  <si>
    <t>Jl Raya Mabes Hankam</t>
  </si>
  <si>
    <t>AJC/2025/04/Q800/101</t>
  </si>
  <si>
    <t>AJCPOV-2505021</t>
  </si>
  <si>
    <t>PR/BPM/BRN3HLR/2507/347</t>
  </si>
  <si>
    <t>BPMPO-2504398</t>
  </si>
  <si>
    <t>PR/BPM/BRN3HLR/2509/429</t>
  </si>
  <si>
    <t>BPMPO-2603541</t>
  </si>
  <si>
    <t>NPP23BURP12</t>
  </si>
  <si>
    <t>P12 - Ps Rebo DN1000</t>
  </si>
  <si>
    <t>Pasar Rebo</t>
  </si>
  <si>
    <t>AJC/2025/04/Q800/102</t>
  </si>
  <si>
    <t>AJCPOV-2505002</t>
  </si>
  <si>
    <t>PR/BPM/BRN3HLR/2506/322</t>
  </si>
  <si>
    <t>PR/BPM/BRN3HLR/2509/454</t>
  </si>
  <si>
    <t>Rekomtek terbit</t>
  </si>
  <si>
    <t>NPP23BURS02</t>
  </si>
  <si>
    <t>S2 - Jl Mabes Hankam DN500</t>
  </si>
  <si>
    <t>TMII- JL. PAGELARANG</t>
  </si>
  <si>
    <t>AJC/2025/08/Q800/330</t>
  </si>
  <si>
    <t>AJCPOV-2508022</t>
  </si>
  <si>
    <t>PR/BPM/BRN3HLR/2509/405</t>
  </si>
  <si>
    <t>BPMPO-2506555</t>
  </si>
  <si>
    <t>PT Persada Priyatna</t>
  </si>
  <si>
    <t>PR/BPM/BRN3HLR/2509/408</t>
  </si>
  <si>
    <t>24ABJ.NINBUR145</t>
  </si>
  <si>
    <t>PC 145</t>
  </si>
  <si>
    <t>PC 145 KELURAHAN CIPINANG MELAYU, PONDOK KELAPA, KECMATAN DUREN SAWIT, MAKASAR</t>
  </si>
  <si>
    <t>AJC/2025/06/Q800/201</t>
  </si>
  <si>
    <t>AJCPOV-2506012</t>
  </si>
  <si>
    <t>PR/BPM/BRN3HLR/2509/456</t>
  </si>
  <si>
    <t>BPMPO-2506809</t>
  </si>
  <si>
    <t>DJA</t>
  </si>
  <si>
    <t>PR/BPM/BRN3HLR/2509/410</t>
  </si>
  <si>
    <t>24ABJ.NINBUR156</t>
  </si>
  <si>
    <t>PC 156</t>
  </si>
  <si>
    <t>PC 156, KELURAHAN CAWANG, KECAMATAN KERAMAT JATI</t>
  </si>
  <si>
    <t>AJC/2025/08/Q800/335</t>
  </si>
  <si>
    <t>AJCPOV-2508053</t>
  </si>
  <si>
    <t>PR/BPM/BRN3HLR/2509/457</t>
  </si>
  <si>
    <t>BPMPO-2506451</t>
  </si>
  <si>
    <t>PR/BPM/BRN3HLR/2509/428</t>
  </si>
  <si>
    <t>BPMPO-2508093</t>
  </si>
  <si>
    <t>Ada permintaan dari RW tersebut agar semua wilayah RW dapat dipasang pipa dan terlayani, namun melebihi scope yang ada di DED. Warga mengizinkan pekerjaan dilakukan setelah libur lebaran.</t>
  </si>
  <si>
    <t>24ABJ.NINBUR161JPEZ1</t>
  </si>
  <si>
    <t>PC 161 - EZ 1</t>
  </si>
  <si>
    <t>PC 161 EZ 01 KELURAHAN CILILITAN. KECAMATAN KRAMATJATI</t>
  </si>
  <si>
    <t>AJC/2025/06/Q800/205</t>
  </si>
  <si>
    <t>AJCPOV-2506013</t>
  </si>
  <si>
    <t>PR/BPM/BRN3HLR/2509/411</t>
  </si>
  <si>
    <t>BPMPO-2506472</t>
  </si>
  <si>
    <t>PT. Persada Priyatna</t>
  </si>
  <si>
    <t>PR/BPM/BRN3HLR/2509/412</t>
  </si>
  <si>
    <t>BPMPO-2508153</t>
  </si>
  <si>
    <t>Pemasangan pipa kurang 700 meter, rencana selesai pemasangan pipa tanggal 3 Maret 2026</t>
  </si>
  <si>
    <t>24ABJ.NINBUR161JPEZ2</t>
  </si>
  <si>
    <t>PC 161 - EZ 2</t>
  </si>
  <si>
    <t>PC 161 EZ 02 KELURAHAN BALEKAMBANG &amp; CILILITAN. KECAMATAN KRAMATJATI</t>
  </si>
  <si>
    <t>AJC/2025/10/Q800/499</t>
  </si>
  <si>
    <t>AJCPOV-2511003</t>
  </si>
  <si>
    <t>PR/BPM/BRN3HLR/2509/413</t>
  </si>
  <si>
    <t>BPMPO-2507229</t>
  </si>
  <si>
    <t>PR/BPM/BRN3HLR/2509/414</t>
  </si>
  <si>
    <t>24ABJ.NINBUR161JPEZ3</t>
  </si>
  <si>
    <t>PC 161 - EZ 3</t>
  </si>
  <si>
    <t>PC 161 EZ 3, KELURAHAN BATU AMPAR, KECAMATAN KRAMAT JATI</t>
  </si>
  <si>
    <t>AJC/2025/06/Q800/246</t>
  </si>
  <si>
    <t>AJCPOV-2506057</t>
  </si>
  <si>
    <t>PR/BPM/BRN3HLR/2509/458</t>
  </si>
  <si>
    <t>BPMPO-2506204</t>
  </si>
  <si>
    <t>CRCC</t>
  </si>
  <si>
    <t>PR/BPM/BRN3HLR/2509/450</t>
  </si>
  <si>
    <t>24ABJ.NINBUR161JPEZ4</t>
  </si>
  <si>
    <t>PC 161 - EZ 4</t>
  </si>
  <si>
    <t>PC 161 EZ 4 KELURAHAN BATU AMPAR KECAMATAN KRAMAT JATI</t>
  </si>
  <si>
    <t>AJC/2025/10/Q800/416</t>
  </si>
  <si>
    <t>AJCPOV-2511004</t>
  </si>
  <si>
    <t>PR/BPM/BRN3HLR/2509/465</t>
  </si>
  <si>
    <t>BPMPO-2506244</t>
  </si>
  <si>
    <t xml:space="preserve">KJS &amp; Parma </t>
  </si>
  <si>
    <t>PR/BPM/BRN3HLR/2509/435</t>
  </si>
  <si>
    <t>24ABJ.NINBUR161JPEZ6</t>
  </si>
  <si>
    <t>PC 161 - EZ 6</t>
  </si>
  <si>
    <t>PA 161 EZ 6 KEL. BALEKAMBANG, KEC. KRAMAT JATI</t>
  </si>
  <si>
    <t>AJC/2025/07/Q800/273</t>
  </si>
  <si>
    <t>AJCPOV-2507017</t>
  </si>
  <si>
    <t>PR/BPM/BRN3HLR/2509/466</t>
  </si>
  <si>
    <t>BPMPO-2506805</t>
  </si>
  <si>
    <t>PR/BPM/BRN3HLR/2509/394</t>
  </si>
  <si>
    <t>BPMPO-2508126</t>
  </si>
  <si>
    <t>24ABJ.NINBUR161JPEZ7</t>
  </si>
  <si>
    <t>PC 161 - EZ 7</t>
  </si>
  <si>
    <t>PC 161 EZ 7, KELURAHAN BATU AMPAR, KECAMATAN KRAMAT JATI</t>
  </si>
  <si>
    <t>AJC/2025/08/Q800/327</t>
  </si>
  <si>
    <t>AJCPOV-2508029</t>
  </si>
  <si>
    <t>PR/BPM/BRN3HLR/2509/459</t>
  </si>
  <si>
    <t>BPMPO-2506016</t>
  </si>
  <si>
    <t>Abhinaya</t>
  </si>
  <si>
    <t>PR/BPM/BRN3HLR/2509/438</t>
  </si>
  <si>
    <t>24ABJ.NINBUR161JPEZ8</t>
  </si>
  <si>
    <t>PC 161 - EZ 8</t>
  </si>
  <si>
    <t>PC 161 EZ 8, KELURAHAN BALE KAMBANG, KECAMATAN KRAMAT JATI</t>
  </si>
  <si>
    <t>AJC/2025/06/Q800/248</t>
  </si>
  <si>
    <t>AJCPOV-2506059</t>
  </si>
  <si>
    <t>PR/BPM/BRN3HLR/2509/404</t>
  </si>
  <si>
    <t>BPMPO-2506205</t>
  </si>
  <si>
    <t>PR/BPM/BRN3HLR/2509/409</t>
  </si>
  <si>
    <t>24ABJ.NINBUR161JPEZ11</t>
  </si>
  <si>
    <t>PC 161 - EZ 11</t>
  </si>
  <si>
    <t>PC 161 EZ 11, KELURAHAN KAMPUNG TENGAH, KECAMATAN KRAMAT JATI</t>
  </si>
  <si>
    <t>AJC/2025/06/Q800/224</t>
  </si>
  <si>
    <t>AJCPOV-2506037</t>
  </si>
  <si>
    <t>PR/BPM/BRN3HLR/2509/460</t>
  </si>
  <si>
    <t>BPMPO-2506288</t>
  </si>
  <si>
    <t>PT INDO REKAELKA SINERGI</t>
  </si>
  <si>
    <t>PR/BPM/BRN3HLR/2509/437</t>
  </si>
  <si>
    <t>24ABJ.NINBUR161JPEZ12</t>
  </si>
  <si>
    <t>PC 161 - EZ 12</t>
  </si>
  <si>
    <t>PC 161 EZ 12, KELURAHAN GEDONG, KECAMATAN PASAR REBO</t>
  </si>
  <si>
    <t>AJC/2025/08/Q800/325</t>
  </si>
  <si>
    <t>AJCPOV-2508024</t>
  </si>
  <si>
    <t>PR/BPM/BRN3HLR/2509/406</t>
  </si>
  <si>
    <t>BPMPO-2506017</t>
  </si>
  <si>
    <t>PR/BPM/BRN3HLR/2509/407</t>
  </si>
  <si>
    <t>24ABJ.NPPBUR161JP</t>
  </si>
  <si>
    <t>PC 161 - JDU</t>
  </si>
  <si>
    <t>PC 161 JL. BATU AMPAR 1&amp;3 - JL. BATU WEDAS - JL. MASJID CONDET - JL. RAYA TENGAH - JL. H. ALI - JL. CONDET RAYA</t>
  </si>
  <si>
    <t>AJC/2025/08/Q800/351</t>
  </si>
  <si>
    <t>AJCPOV-2509002</t>
  </si>
  <si>
    <t>PR/BPM/BRN3HLR/2510/502</t>
  </si>
  <si>
    <t>BPMPO-2506927</t>
  </si>
  <si>
    <t>PR/BPM/BRN3HLR/2510/488</t>
  </si>
  <si>
    <t>25ABJ.NINBUR162.11JP</t>
  </si>
  <si>
    <t>PC 162 The Riscon Hills</t>
  </si>
  <si>
    <t>JL. BAMBU HITAM RT.011/RW.001 KEL.BAMBU APUS, KEC CIPAYUNG</t>
  </si>
  <si>
    <t>AJC/2025/09/Q800/386</t>
  </si>
  <si>
    <t>AJCPOV-2509007</t>
  </si>
  <si>
    <t>PR/BPM/BRN3HLR/2509/451</t>
  </si>
  <si>
    <t>BPMPO-2506022</t>
  </si>
  <si>
    <t>CAD</t>
  </si>
  <si>
    <t>PR/BPM/BRN3HLR/2509/452</t>
  </si>
  <si>
    <t>BPMPO-2507983</t>
  </si>
  <si>
    <t>Sudah HT : 15/10/25</t>
  </si>
  <si>
    <t>24ABJ.NINBUR162.2JP</t>
  </si>
  <si>
    <t>PC 162 Jl. Mustika Ratu</t>
  </si>
  <si>
    <t>Jl. Mustika Ratu Gg Ikhlas / GG X2</t>
  </si>
  <si>
    <t>AJC/2025/05/Q800/158</t>
  </si>
  <si>
    <t>AJCPOV-2505013</t>
  </si>
  <si>
    <t>PR/BPM/BRN3HLR/2507/358</t>
  </si>
  <si>
    <t>BPMPO-2504920</t>
  </si>
  <si>
    <t>PR/BPM/BRN3HLR/2507/357</t>
  </si>
  <si>
    <t>BPMPO-2508156</t>
  </si>
  <si>
    <t>24ABJ.NINBUR162.3JP</t>
  </si>
  <si>
    <t>PC 162 Jl. Pendidikan</t>
  </si>
  <si>
    <t>Jl. Pendidikan RT/RW 07/06</t>
  </si>
  <si>
    <t>AJC/2025/09/Q800/405</t>
  </si>
  <si>
    <t>AJCPOV-2510012</t>
  </si>
  <si>
    <t>PR/BPM/BRN3HLR/2507/369</t>
  </si>
  <si>
    <t>BPMPO-2504921</t>
  </si>
  <si>
    <t>PR/BPM/BRN3HLR/2507/370</t>
  </si>
  <si>
    <t>BPMPO-2508100</t>
  </si>
  <si>
    <t>25ABJ.NINBUR163.1JR</t>
  </si>
  <si>
    <t>PC 163 Mulyanto (RT 01/RW 09)</t>
  </si>
  <si>
    <t>Jl. Jatisari RT. 011/ RW. 009, Kel. Kalisari, Kec. Pasar Rebo</t>
  </si>
  <si>
    <t>AJC/2025/05/Q800/172</t>
  </si>
  <si>
    <t>AJCPOV-2505037</t>
  </si>
  <si>
    <t>PR/BPM/BRN3HLR/2507/366</t>
  </si>
  <si>
    <t>BPMPO-2504936</t>
  </si>
  <si>
    <t>PR/BPM/BRN3HLR/2507/365</t>
  </si>
  <si>
    <t>BPMPO-2600141</t>
  </si>
  <si>
    <t>23ABJ.NINBUR163.2JP</t>
  </si>
  <si>
    <t>PC 163 Kalisari (Pak Endriartono)</t>
  </si>
  <si>
    <t>Jl. Kalisari RW 010 dari RT 01 s.d RT 09 (Pak Endriartono)</t>
  </si>
  <si>
    <t>AJC/2025/05/Q800/164</t>
  </si>
  <si>
    <t>AJCPOV-2505022</t>
  </si>
  <si>
    <t>PR/BPM/BRN3HLR/2507/360</t>
  </si>
  <si>
    <t>BPMPO-2504948</t>
  </si>
  <si>
    <t>PR/BPM/BRN3HLR/2507/359</t>
  </si>
  <si>
    <t>24ABJ.NINBUR163.3JP</t>
  </si>
  <si>
    <t>PC 163 Muhammad Al Fatih</t>
  </si>
  <si>
    <t>Jl. Intisari Raya RT / RW 001 / 009</t>
  </si>
  <si>
    <t>AJC/2025/08/Q800/334</t>
  </si>
  <si>
    <t>AJCPOV-2508036</t>
  </si>
  <si>
    <t>PR/BPM/BRN3HLR/2509/464</t>
  </si>
  <si>
    <t>BPMPO-2506764</t>
  </si>
  <si>
    <t>25ABJ.NINBUR161.1JP</t>
  </si>
  <si>
    <t>PC 161 Anwar Burhanudin</t>
  </si>
  <si>
    <t>Jl. Masjid Al Barkah Gg. Masjid IV RT/RW 005/001</t>
  </si>
  <si>
    <t>AJC/2025/08/Q800/332</t>
  </si>
  <si>
    <t>AJCPOV-2510004</t>
  </si>
  <si>
    <t>PR/BPM/BRN3HLR/2510/492</t>
  </si>
  <si>
    <t>BPMPO-2506457</t>
  </si>
  <si>
    <t>PR/BPM/BRN3HLR/2510/487</t>
  </si>
  <si>
    <t>BPMPO-2508237</t>
  </si>
  <si>
    <t>25ABJ.NINJT069R1</t>
  </si>
  <si>
    <t>CDC Cilincing (DN800)</t>
  </si>
  <si>
    <t>CDC Cilincing</t>
  </si>
  <si>
    <t>AJC/2025/07/Q800/281</t>
  </si>
  <si>
    <t>AJCPOV-2507020</t>
  </si>
  <si>
    <t>PR/BPM/JTLBarat/2508/0272</t>
  </si>
  <si>
    <t>BPMPO-2505560</t>
  </si>
  <si>
    <t>PT. Kalirandoe Jaya Abadi</t>
  </si>
  <si>
    <t>PR/BPM/JTLBarat/2508/0274</t>
  </si>
  <si>
    <t>BPMPO-2507382</t>
  </si>
  <si>
    <t>19/12/2025, 29/12/2025</t>
  </si>
  <si>
    <t>24ABJ.NPPJTCLW010JR</t>
  </si>
  <si>
    <t>TMCL-10</t>
  </si>
  <si>
    <t>Jl. Rajawati Timur - Jl. Rawa Jati Barat - Jl. TMP Kalibata</t>
  </si>
  <si>
    <t>AJC/2025/03/Q800/48</t>
  </si>
  <si>
    <t>AJCPOV-2500068</t>
  </si>
  <si>
    <t>PR/BPM/JTLBarat/2504/0015</t>
  </si>
  <si>
    <t>BPMPO-2505056</t>
  </si>
  <si>
    <t>PR/BPM/JTLBarat/2504/0014</t>
  </si>
  <si>
    <t>5/4/2026,
6/3/2026,
6/17/2026,
6/22/2026</t>
  </si>
  <si>
    <t>1. Area jalan kemuning dalam &amp; jalan kemuning dalam 1, Permintaan PAM jangan dikerjakan terlebih dahulu dikarenakan jalan tersebut untuk lalulintas kendaraan project WTP Ciliwung, estimasi dari PAM pekerjaan pipa baru bisa mulai di minggu ke-4 Maret 2026.
2. Jalur pipa melewati kantor BIN, permintaan dari kecamatan harus bersurat ke BIN. Saat ini surat sedang proses sirkuler tanda tangan Direksi PAM
3. Setelah dilakukan survey pada tanggal 6 Februari 2026, terdapat penambahan material reducer &amp; bend DCI dia. 600 x 400 untuk interkoneksi ke existing.</t>
  </si>
  <si>
    <t>24ABJ.NPPJTCLW011JR</t>
  </si>
  <si>
    <t>TMCL-11</t>
  </si>
  <si>
    <t>Jl. Kalibata Timur - Jl. Raya Pasar Minggu</t>
  </si>
  <si>
    <t>AJC/2025/03/Q800/50</t>
  </si>
  <si>
    <t>AJCPOV-2500070</t>
  </si>
  <si>
    <t>PR/BPM/JTLBarat/2504/123</t>
  </si>
  <si>
    <t>BPMPO-2503975</t>
  </si>
  <si>
    <t>PR/BPM/JTLBarat/2504/124</t>
  </si>
  <si>
    <t>24ABJ.NPPJTCLW010.1JR</t>
  </si>
  <si>
    <t>TMCL-10.1 (Interkoneksi Pipa SPAM Ciliwung Hilir - Pipa Eksisting)</t>
  </si>
  <si>
    <t>Jl. Rajawati Timur</t>
  </si>
  <si>
    <t>AJC/2025/05/Q800/177</t>
  </si>
  <si>
    <t>AJCPOV-2505078</t>
  </si>
  <si>
    <t>PR/BPM/JTLBarat/2506/0102</t>
  </si>
  <si>
    <t>PR/BPM/JTLBarat/2506/0101</t>
  </si>
  <si>
    <t>Mengikuti TMCL-10 karena satu area</t>
  </si>
  <si>
    <t>24ABJ.NPPJTCLW010.2JR</t>
  </si>
  <si>
    <t>TMCL-10.2 (Pipa Input PA S001.04)</t>
  </si>
  <si>
    <t>AJC/2025/06/Q800/208</t>
  </si>
  <si>
    <t>AJCPOV-2506028</t>
  </si>
  <si>
    <t>PR/BPM/JTLBarat/2506/0111</t>
  </si>
  <si>
    <t>BPMPO-2505381</t>
  </si>
  <si>
    <t>PR/BPM/JTLBarat/2506/0109</t>
  </si>
  <si>
    <t>24ABJ.NINJTS011CLW.01JR</t>
  </si>
  <si>
    <t>PA S011.01</t>
  </si>
  <si>
    <t>S011-1 KELURAHAN PANCORAN, DUREN TIGA, CIKOKO, PANGADEGAN. KECAMATAN PANCORAN</t>
  </si>
  <si>
    <t>AJC/2025/03/Q800/52</t>
  </si>
  <si>
    <t>AJCPOV-2500060</t>
  </si>
  <si>
    <t>PR/BPM/JTLBarat/2504/0054</t>
  </si>
  <si>
    <t>BPMPO-2504219</t>
  </si>
  <si>
    <t>Shima</t>
  </si>
  <si>
    <t>PR/BPM/JTLBarat/2504/0023</t>
  </si>
  <si>
    <t>Pemenuhan Data</t>
  </si>
  <si>
    <t>26/2/2026, 
14/3/2026, 
24/3/2026</t>
  </si>
  <si>
    <t>24ABJ.NINJTS011CLW.02JR</t>
  </si>
  <si>
    <t>PA S011.02</t>
  </si>
  <si>
    <t>S011-2 KELURAHAN KALIBATA, RAJAWATI. KECAMATAN PANCORAN</t>
  </si>
  <si>
    <t>AJC/2025/03/Q800/55</t>
  </si>
  <si>
    <t>AJCPOV-2500066</t>
  </si>
  <si>
    <t>PR/BPM/JTLBarat/2504/0034</t>
  </si>
  <si>
    <t>BPMPO-2503974</t>
  </si>
  <si>
    <t>PR/BPM/JTLBarat/2504/0013</t>
  </si>
  <si>
    <t>27/4/2026
18/5/2026
23/5/2026
30/5/2026</t>
  </si>
  <si>
    <t>24ABJ.NINJTS011CLW.03JR</t>
  </si>
  <si>
    <t>PA S011.03</t>
  </si>
  <si>
    <t>S011-3 KELURAHAN RAWAJATI, PANGADEGAN, CIKOKO KECAMATAN PANCORAN</t>
  </si>
  <si>
    <t>AJC/2025/03/Q800/57</t>
  </si>
  <si>
    <t>AJCPOV-2500061</t>
  </si>
  <si>
    <t>PR/BPM/JTLBarat/2504/0047</t>
  </si>
  <si>
    <t>BPMPO-2503986</t>
  </si>
  <si>
    <t>PR/BPM/JTLBarat/2504/0052</t>
  </si>
  <si>
    <t>17/3/2026
11/5/2026
26/5/2026</t>
  </si>
  <si>
    <t>24ABJ.NINJTS011CLW.04JR</t>
  </si>
  <si>
    <t>PA S011.04</t>
  </si>
  <si>
    <t>S011-4 KELURAHAN PEJATEN TIMUR. KECAMATAN PANCORAN</t>
  </si>
  <si>
    <t>AJC/2025/03/Q800/59</t>
  </si>
  <si>
    <t>AJCPOV-2500067</t>
  </si>
  <si>
    <t>PR/BPM/JTLBarat/2504/0017</t>
  </si>
  <si>
    <t>BPMPO-2504076</t>
  </si>
  <si>
    <t>PR/BPM/JTLBarat/2504/0012</t>
  </si>
  <si>
    <t>13/5/2026,
17/6/2026</t>
  </si>
  <si>
    <t>24ABJ.NINJTS001CLW.04JR</t>
  </si>
  <si>
    <t>PA S001.04</t>
  </si>
  <si>
    <t>S001.4 KELURAHAN PEJATEN TIMUR &amp; PASAR MINGGU. KECAMATAN PASAR MINGGU</t>
  </si>
  <si>
    <t>AJC/2025/03/Q800/61</t>
  </si>
  <si>
    <t>AJCPOV-2500062</t>
  </si>
  <si>
    <t>PR/BPM/JTLBarat/2504/0075</t>
  </si>
  <si>
    <t>BPMPO-2503988</t>
  </si>
  <si>
    <t>PR/BPM/JTLBarat/2504/0078</t>
  </si>
  <si>
    <t>BPMPO-2508076</t>
  </si>
  <si>
    <t>6/11/2026,
6/17/2026</t>
  </si>
  <si>
    <t>24ABJ.NINJT087.1JR</t>
  </si>
  <si>
    <t>Master Meter Lis</t>
  </si>
  <si>
    <t>Jl. Papanggo 1 D Kel. Papanggo Kec. Tanjung Priok</t>
  </si>
  <si>
    <t>AJC/2025/05/Q800/194</t>
  </si>
  <si>
    <t>AJCPOV-2506026</t>
  </si>
  <si>
    <t>PR/BPM/JTLBarat/2506/0117</t>
  </si>
  <si>
    <t>BPMPO-2504951</t>
  </si>
  <si>
    <t>PR/BPM/JTLBarat/2506/0116</t>
  </si>
  <si>
    <t>Cancel Karena Izin</t>
  </si>
  <si>
    <t>Izin Pemilik Master Meter</t>
  </si>
  <si>
    <t>24ABJ.NINJTS001.5JR</t>
  </si>
  <si>
    <t>S001 PT. Pesta Pora Abadi (Ampera)</t>
  </si>
  <si>
    <t>Jl. Ampera Raya RT/RW 04/03</t>
  </si>
  <si>
    <t>AJC/2025/05/Q800/120</t>
  </si>
  <si>
    <t>AJCPOV-2505067</t>
  </si>
  <si>
    <t>PR/BPM/JTLBarat/2506/0063</t>
  </si>
  <si>
    <t>BPMPO-2503955</t>
  </si>
  <si>
    <t>PR/BPM/JTLBarat/2506/0062</t>
  </si>
  <si>
    <t>BPMPO-2500858</t>
  </si>
  <si>
    <t>24ABJ.NINJTS001.4JR</t>
  </si>
  <si>
    <t>S001 Perumahan Tanjung Mas Raya</t>
  </si>
  <si>
    <t>Jl. Tanjung Mas Utara</t>
  </si>
  <si>
    <t>AJC/2025/05/Q800/122</t>
  </si>
  <si>
    <t>AJCPOV-2505041</t>
  </si>
  <si>
    <t>PR/BPM/JTLBarat/2506/0077</t>
  </si>
  <si>
    <t>BPMPO-2503737</t>
  </si>
  <si>
    <t>PR/BPM/JTLBarat/2506/0075</t>
  </si>
  <si>
    <t>BPMPO-2600160</t>
  </si>
  <si>
    <t>8 Agu 2025, 15 Agu 2025, 2025 22 Agu 2025, 29 Agu 2025, 2 September 2025</t>
  </si>
  <si>
    <t>24ABJ.NINJT068.3JR</t>
  </si>
  <si>
    <t>PC 068 Kramayudha Gg Hj Kentur</t>
  </si>
  <si>
    <t>Kramayudha Gg Hj Kentur RT 07/05 Kel Rawa Terate Kec Cakung</t>
  </si>
  <si>
    <t>AJC/2025/05/Q800/124</t>
  </si>
  <si>
    <t>AJCPOV-2505006</t>
  </si>
  <si>
    <t>PR/BPM/JTLBarat/2506/0051</t>
  </si>
  <si>
    <t>BPMPO-2504888</t>
  </si>
  <si>
    <t>PR/BPM/JTLBarat/2506/0050</t>
  </si>
  <si>
    <t>Penolakan Warga</t>
  </si>
  <si>
    <t>24ABJ.NINJT068.4JR</t>
  </si>
  <si>
    <t>PC 068 Swadaya IV</t>
  </si>
  <si>
    <t>Swadaya IV Gg Puskesmas RT 02/05 Kel Rawa Terate Kec Cakung</t>
  </si>
  <si>
    <t>AJC/2025/05/Q800/126</t>
  </si>
  <si>
    <t>AJCPOV-2505020</t>
  </si>
  <si>
    <t>PR/BPM/JTLBarat/2506/0076</t>
  </si>
  <si>
    <t>BPMPO-2503966</t>
  </si>
  <si>
    <t>PR/BPM/JTLBarat/2506/0074</t>
  </si>
  <si>
    <t>BPMPO-2600161</t>
  </si>
  <si>
    <t>24ABJ.NINJTS012.1JR</t>
  </si>
  <si>
    <t>S012 Tebet Utara 1 RW 10</t>
  </si>
  <si>
    <t>Jl. Tebet Dalam</t>
  </si>
  <si>
    <t>AJC/2025/05/Q800/128</t>
  </si>
  <si>
    <t>AJCPOV-2506004</t>
  </si>
  <si>
    <t>PR/BPM/JTLBarat/2506/0100</t>
  </si>
  <si>
    <t>BPMPO-2505149</t>
  </si>
  <si>
    <t>PR/BPM/JTLBarat/2506/0099</t>
  </si>
  <si>
    <t>24ABJ.NINJTS001.8JR</t>
  </si>
  <si>
    <t>S001 McD Jati Padang (PT Resko National Food)</t>
  </si>
  <si>
    <t>Karang Pola VI No B6 RT 003 RW 03 Jati Padang</t>
  </si>
  <si>
    <t>AJC/2025/05/Q800/154</t>
  </si>
  <si>
    <t>AJCPOV-2505087</t>
  </si>
  <si>
    <t>PR/BPM/JTLBarat/2506/0090</t>
  </si>
  <si>
    <t>BPMPO-2507597</t>
  </si>
  <si>
    <t>PR/BPM/JTLBarat/2506/0089</t>
  </si>
  <si>
    <t>3/7/2026,
6/19/2026</t>
  </si>
  <si>
    <t>Perlu rekomendasi dari PAM Jaya terkait crossing sungai meggunakan ramset, jembatan atau HDD</t>
  </si>
  <si>
    <t>24ABJ.NINJTP002.2JR</t>
  </si>
  <si>
    <t>P002 Jl. Anyer RT 06 RW 09</t>
  </si>
  <si>
    <t>Jl. Anyer 16 RT06/RW09 Kel. Menteng</t>
  </si>
  <si>
    <t>AJC/2025/05/Q800/130</t>
  </si>
  <si>
    <t>AJCPOV-2506003</t>
  </si>
  <si>
    <t>PR/BPM/JTLBarat/2506/0098</t>
  </si>
  <si>
    <t>BPMPO-2505150</t>
  </si>
  <si>
    <t>PR/BPM/JTLBarat/2506/0097</t>
  </si>
  <si>
    <t>Sudah terpasang pipa jaringan &amp; SR</t>
  </si>
  <si>
    <t>24ABJ.NINJTP001.1JR</t>
  </si>
  <si>
    <t>P001 Ruswandi</t>
  </si>
  <si>
    <t>Jl. Prof Dr Satrio Kav. 6, Kel. Karet Kuningan</t>
  </si>
  <si>
    <t>AJC/2025/05/Q800/132</t>
  </si>
  <si>
    <t>AJCPOV-2505065</t>
  </si>
  <si>
    <t>PR/BPM/JTLBarat/2506/0071</t>
  </si>
  <si>
    <t>BPMPO-2504859</t>
  </si>
  <si>
    <t>PR/BPM/JTLBarat/2506/0070</t>
  </si>
  <si>
    <t>BPMPO-2508063</t>
  </si>
  <si>
    <t>24ABJ.NINJT076.01JR</t>
  </si>
  <si>
    <t>PC 076 Kalibaru Barat RT 11 RW 7</t>
  </si>
  <si>
    <t>Jl. Kalibaru Barat RT 10 - 11 RW 7</t>
  </si>
  <si>
    <t>AJC/2025/05/Q800/138</t>
  </si>
  <si>
    <t>AJCPOV-2505085</t>
  </si>
  <si>
    <t>PR/BPM/JTLBarat/2506/0085</t>
  </si>
  <si>
    <t>BPMPO-2504860</t>
  </si>
  <si>
    <t>PR/BPM/JTLBarat/2506/0084</t>
  </si>
  <si>
    <t>RT &amp; RW setempat baru mengijinkan pekerjaan dimulai setelah libur lebaran</t>
  </si>
  <si>
    <t>24ABJ.NINJT068.5JR</t>
  </si>
  <si>
    <t>PC 068 Sukapura Barat</t>
  </si>
  <si>
    <t>Jl. Sukapura Barat 1K RT 07 RW 10 Kel Sukapura Kec Cilincing</t>
  </si>
  <si>
    <t>AJC/2025/05/Q800/140</t>
  </si>
  <si>
    <t>AJCPOV-2505028</t>
  </si>
  <si>
    <t>PR/BPM/JTLBarat/2506/0068</t>
  </si>
  <si>
    <t>BPMPO-2504857</t>
  </si>
  <si>
    <t>PR/BPM/JTLBarat/2506/0069</t>
  </si>
  <si>
    <t>BPMPO-2508064</t>
  </si>
  <si>
    <t>24ABJ.NINJT069.1JR</t>
  </si>
  <si>
    <t>PC 069 Gg Salon</t>
  </si>
  <si>
    <t>Gg Salon RT 02 03</t>
  </si>
  <si>
    <t>AJC/2025/05/Q800/142</t>
  </si>
  <si>
    <t>AJCPOV-2505064</t>
  </si>
  <si>
    <t>PR/BPM/JTLBarat/2506/0067</t>
  </si>
  <si>
    <t>BPMPO-2504864</t>
  </si>
  <si>
    <t>PR/BPM/JTLBarat/2506/0066</t>
  </si>
  <si>
    <t>24ABJ.NINJT068.6JR</t>
  </si>
  <si>
    <t>PC 068 GOR Cakung Barat</t>
  </si>
  <si>
    <t>Jl. Tipar Cakung Pool PPD</t>
  </si>
  <si>
    <t>AJC/2025/05/Q800/144</t>
  </si>
  <si>
    <t>AJCPOV-2505030</t>
  </si>
  <si>
    <t>PR/BPM/JTLBarat/2506/0065</t>
  </si>
  <si>
    <t>BPMPO-2504852</t>
  </si>
  <si>
    <t>PR/BPM/JTLBarat/2506/0064</t>
  </si>
  <si>
    <t>24ABJ.NINJTP008.11JR</t>
  </si>
  <si>
    <t>P008 PT Honor Decoration International</t>
  </si>
  <si>
    <t>Jl. Muara Baru No. 2 RT 15 RW 17</t>
  </si>
  <si>
    <t>AJC/2025/05/Q800/148</t>
  </si>
  <si>
    <t>AJCPOV-2505086</t>
  </si>
  <si>
    <t>PR/BPM/JTLBarat/2506/0083</t>
  </si>
  <si>
    <t>BPMPO-2504867</t>
  </si>
  <si>
    <t>PR/BPM/JTLBarat/2506/0082</t>
  </si>
  <si>
    <t>25ABJ.NINJT049.1JR</t>
  </si>
  <si>
    <t>PC 049 Cluster Amare Living</t>
  </si>
  <si>
    <t>Jl Pratekan 12-14 RT04 RW03</t>
  </si>
  <si>
    <t>AJC/2025/05/Q800/150</t>
  </si>
  <si>
    <t>AJCPOV-2505027</t>
  </si>
  <si>
    <t>PR/BPM/JTLBarat/2506/0096</t>
  </si>
  <si>
    <t>BPMPO-2504862</t>
  </si>
  <si>
    <t>PR/BPM/JTLBarat/2506/0095</t>
  </si>
  <si>
    <t>BPMPO-2600156</t>
  </si>
  <si>
    <t>25ABJ.NINJT054.1JR</t>
  </si>
  <si>
    <t>PC 054 H.Sutiyo</t>
  </si>
  <si>
    <t>Jl Raya Penggilingan RT 03 RW06 Kel. Penggilingan Kec. Gambir</t>
  </si>
  <si>
    <t>AJC/2025/05/Q800/152</t>
  </si>
  <si>
    <t>AJCPOV-2505036</t>
  </si>
  <si>
    <t>PR/BPM/JTLBarat/2506/0094</t>
  </si>
  <si>
    <t>BPMPO-2504863</t>
  </si>
  <si>
    <t>PR/BPM/JTLBarat/2506/0093</t>
  </si>
  <si>
    <t>BPMPO-2600157</t>
  </si>
  <si>
    <t>25ABJ.NINJTB003.1JE</t>
  </si>
  <si>
    <t>B003 Dedy Rahyansyah</t>
  </si>
  <si>
    <t>Gg. Samudra Barat RT008 RW009, Kebon Jeruk</t>
  </si>
  <si>
    <t>AJC/2025/05/Q800/156</t>
  </si>
  <si>
    <t>AJCPOV-2505033</t>
  </si>
  <si>
    <t>PR/BPM/JTLBarat/2506/0060</t>
  </si>
  <si>
    <t>25ABJ.NINJT073.1JR</t>
  </si>
  <si>
    <t>PC 073 Kampung Beting</t>
  </si>
  <si>
    <t>Jl Beting Remaja RT 5, 7, 12 RW 19</t>
  </si>
  <si>
    <t>AJC/2025/06/Q800/218</t>
  </si>
  <si>
    <t>AJCPOV-2506030</t>
  </si>
  <si>
    <t>PR/BPM/JTLBarat/2506/0108</t>
  </si>
  <si>
    <t>BPMPO-2504937</t>
  </si>
  <si>
    <t>PR/BPM/JTLBarat/2506/0107</t>
  </si>
  <si>
    <t>BPMPO-2604204</t>
  </si>
  <si>
    <t>09/01/2026, 11/01/2026, 07/03/2026</t>
  </si>
  <si>
    <t>1/11/2026, 07/03/2026</t>
  </si>
  <si>
    <t>24ABJ.NINJT096.1JR</t>
  </si>
  <si>
    <t>Master Meter Syamsudin</t>
  </si>
  <si>
    <t>Jl. Cempaka RT 17 RW 13</t>
  </si>
  <si>
    <t>AJC/2025/06/Q800/220</t>
  </si>
  <si>
    <t>AJCPOV-2506019</t>
  </si>
  <si>
    <t>PR/BPM/JTLBarat/2506/0115</t>
  </si>
  <si>
    <t>BPMPO-2505801</t>
  </si>
  <si>
    <t>PR/BPM/JTLBarat/2506/0114</t>
  </si>
  <si>
    <t>5/22/2026,
6/15/2026</t>
  </si>
  <si>
    <t>24ABJ.NINJT096.1.1JR</t>
  </si>
  <si>
    <t>Master Meter Syamsudin - Reinforcement</t>
  </si>
  <si>
    <t>AJC/2025/06/Q800/222</t>
  </si>
  <si>
    <t>AJCPOV-2506021</t>
  </si>
  <si>
    <t>PR/BPM/JTLBarat/2506/0113</t>
  </si>
  <si>
    <t>BPMPO-2505808</t>
  </si>
  <si>
    <t>PR/BPM/JTLBarat/2506/0112</t>
  </si>
  <si>
    <t>24ABJ.NINJT095.5JR</t>
  </si>
  <si>
    <t>Master Meter Sardi KSM Pesanggrahan</t>
  </si>
  <si>
    <t>Jl. Pademangan VIII Gg Pesanggrahan 9 No 76 RT/RW 007/012 Pademangan</t>
  </si>
  <si>
    <t>AJC/2025/06/Q800/226</t>
  </si>
  <si>
    <t>AJCPOV-2506029</t>
  </si>
  <si>
    <t>PR/BPM/JTLBarat/2506/0104</t>
  </si>
  <si>
    <t>BPMPO-2505151</t>
  </si>
  <si>
    <t>PR/BPM/JTLBarat/2506/0103</t>
  </si>
  <si>
    <t>Izin PPKK</t>
  </si>
  <si>
    <t>24ABJ.NINJT076.02JR</t>
  </si>
  <si>
    <t>Master Meter Hasnawati, Kalo, dan Sudirman</t>
  </si>
  <si>
    <t>Jl. Kalibaru Timur</t>
  </si>
  <si>
    <t>AJC/2025/06/Q800/228</t>
  </si>
  <si>
    <t>AJCPOV-2507019</t>
  </si>
  <si>
    <t>PR/BPM/JTLBarat/2508/00070</t>
  </si>
  <si>
    <t>BPMPO-2506724</t>
  </si>
  <si>
    <t>PT PRAKASA ENVIRO INDONESIA</t>
  </si>
  <si>
    <t>PR/BPM/JTLBarat/2508/00069</t>
  </si>
  <si>
    <t>BPMPO-2508157</t>
  </si>
  <si>
    <t>28/2/2026, 02/3/2026</t>
  </si>
  <si>
    <t>s.d saat ini masih mencari pipa existing untuk interkoneksi</t>
  </si>
  <si>
    <t>24ABJ.NINJT076.02.1JR</t>
  </si>
  <si>
    <t>Master Meter Hasnawati, Kalo, dan Sudirman - Reinforcement</t>
  </si>
  <si>
    <t>AJC/2025/06/Q800/230</t>
  </si>
  <si>
    <t>AJCPOV-2506048</t>
  </si>
  <si>
    <t>PR/BPM/JTLBarat/2506/0106</t>
  </si>
  <si>
    <t>BPMPO-2504950</t>
  </si>
  <si>
    <t>PR/BPM/JTLBarat/2506/0105</t>
  </si>
  <si>
    <t>BPMPO-2508053</t>
  </si>
  <si>
    <t xml:space="preserve">14 Okt 25, 28/02/2026, 02/03/2026, 07/03/2026, </t>
  </si>
  <si>
    <t>24ABJ.NINJTP008.4JR</t>
  </si>
  <si>
    <t>P008 Toilet Disabilitas</t>
  </si>
  <si>
    <t>Jl. Ketumbar 1</t>
  </si>
  <si>
    <t>AJC/2025/07/Q800/283</t>
  </si>
  <si>
    <t>AJCPOV-2507022</t>
  </si>
  <si>
    <t>PR/BPM/JTLBarat/2510/0029</t>
  </si>
  <si>
    <t>BPMPO-2506672</t>
  </si>
  <si>
    <t>PR/BPM/JTLBarat/2510/0030</t>
  </si>
  <si>
    <t>24ABJ.NINJT068.2JR</t>
  </si>
  <si>
    <t>PC 068 Tipar Cakung</t>
  </si>
  <si>
    <t>Jl. Tipar Cakung Kel Cakung Barat Kec Cakung</t>
  </si>
  <si>
    <t>AJC/2025/07/Q800/285</t>
  </si>
  <si>
    <t>AJCPOV-2507024</t>
  </si>
  <si>
    <t>PR/BPM/JTLBarat/2510/0031</t>
  </si>
  <si>
    <t>BPMPO-2506768</t>
  </si>
  <si>
    <t>PR/BPM/JTLBarat/2510/0032</t>
  </si>
  <si>
    <t>24ABJ.NINJTP008.14JR</t>
  </si>
  <si>
    <t>P008 HokBen</t>
  </si>
  <si>
    <t>Jl. Lada Stand Stasiun Kota Pintu Utara</t>
  </si>
  <si>
    <t>25ABJ.NINJTS010.1JR</t>
  </si>
  <si>
    <t>S010 Pancoran Barat VIB</t>
  </si>
  <si>
    <t>Jl Pancoran Barat VI B</t>
  </si>
  <si>
    <t>AJC/2025/07/Q800/289</t>
  </si>
  <si>
    <t>AJCPOV-2507018</t>
  </si>
  <si>
    <t>PR/BPM/JTLBarat/2510/0035</t>
  </si>
  <si>
    <t>BPMPO-2506790</t>
  </si>
  <si>
    <t>PR/BPM/JTLBarat/2510/0036</t>
  </si>
  <si>
    <t>BPMPO-2508231</t>
  </si>
  <si>
    <t>25ABJ.NINJT076.1JR</t>
  </si>
  <si>
    <t>PC 076 Gg Batagor</t>
  </si>
  <si>
    <t>Jl Kalibaru Barat 11 Gg Batagor RT -5/15</t>
  </si>
  <si>
    <t>AJC/2025/07/Q800/291</t>
  </si>
  <si>
    <t>AJCPOV-2507029</t>
  </si>
  <si>
    <t>PR/BPM/JTLBarat/2510/0033</t>
  </si>
  <si>
    <t>BPMPO-2506674</t>
  </si>
  <si>
    <t>PR/BPM/JTLBarat/2510/0034</t>
  </si>
  <si>
    <t>BPMPO-2508040</t>
  </si>
  <si>
    <t>25ABJ.NINJT078.1JR</t>
  </si>
  <si>
    <t>PC 078 Gg Bougenville RT.05 (Tanah Merah),Gg Mawar 3, Gg Anggrek, Gg Teratai, Gg Dahlia</t>
  </si>
  <si>
    <t>Gg Bougenville, Gg Mawar, Gg Anggrek, Gg Teratai, Gg Dahlia, RKel Rawabadak Selatan Kec.Koja</t>
  </si>
  <si>
    <t>AJC/2025/07/Q800/293</t>
  </si>
  <si>
    <t>AJCPOV-2508030</t>
  </si>
  <si>
    <t>PR/BPM/JTLBarat/2508/0016</t>
  </si>
  <si>
    <t>BPMPO-2506627</t>
  </si>
  <si>
    <t>PR/BPM/JTLBarat/2508/0017</t>
  </si>
  <si>
    <t>BPMPO-2604400</t>
  </si>
  <si>
    <t>25ABJ.NINJT068.1JR</t>
  </si>
  <si>
    <t>PC 068 RT 03/RW04 Sukapura</t>
  </si>
  <si>
    <t>RT 03/RW04 Sukapura &amp; RT 05/RW010 Sukapura</t>
  </si>
  <si>
    <t>AJC/2025/07/Q800/295</t>
  </si>
  <si>
    <t>AJCPOV-2508013</t>
  </si>
  <si>
    <t>PR/BPM/JTLBarat/2508/00068</t>
  </si>
  <si>
    <t>BPMPO-2507049</t>
  </si>
  <si>
    <t>25ABJ.NINJT069.1JR</t>
  </si>
  <si>
    <t>PC 069 RT 04/RW 03 Sukapura</t>
  </si>
  <si>
    <t>GG Salon Ujung RT/RW 004/003 Sukapura</t>
  </si>
  <si>
    <t>AJC/2025/07/Q800/297</t>
  </si>
  <si>
    <t>AJCPOV-2508026</t>
  </si>
  <si>
    <t>PR/BPM/JTLBarat/2510/0037</t>
  </si>
  <si>
    <t>BPMPO-2507052</t>
  </si>
  <si>
    <t>24ABJ.NINJT049.1JR</t>
  </si>
  <si>
    <t>PC 049 Cluster Alexandria</t>
  </si>
  <si>
    <t>Jl. Pulomas Barat Daya RT. 007 RW. 009 Kelurahan Kayu Putih, Kecamatan Pulogadung, Jakarta Timur</t>
  </si>
  <si>
    <t>AJC/2025/10/Q800/418</t>
  </si>
  <si>
    <t>AJCPOV-2510028</t>
  </si>
  <si>
    <t>PR/BPM/JTLBarat/2511/0054</t>
  </si>
  <si>
    <t>PR/BPM/JTLBarat/2511/0055</t>
  </si>
  <si>
    <t>BPMPO-2502601</t>
  </si>
  <si>
    <t>25ABJ.NINJT054.3JR</t>
  </si>
  <si>
    <t>PC 054 Cahya</t>
  </si>
  <si>
    <t>Kamp Pulo Jahe GG H Cahya 2</t>
  </si>
  <si>
    <t>AJC/2025/07/Q800/300</t>
  </si>
  <si>
    <t>AJCPOV-2508027</t>
  </si>
  <si>
    <t>PR/BPM/JTLBarat/2510/0003</t>
  </si>
  <si>
    <t>BPMPO-2506445</t>
  </si>
  <si>
    <t>PR/BPM/JTLBarat/2510/0004</t>
  </si>
  <si>
    <t>BPMPO-2507949</t>
  </si>
  <si>
    <t>25ABJ.NINJT054.4JR</t>
  </si>
  <si>
    <t>PC 054 Perumahan Jatinegara Indah</t>
  </si>
  <si>
    <t>Jl. Gunung Dempo RT/RW 007/009</t>
  </si>
  <si>
    <t>AJC/2025/07/Q800/303</t>
  </si>
  <si>
    <t>AJCPOV-2508056</t>
  </si>
  <si>
    <t>PR/BPM/JTLBarat/2510/0012</t>
  </si>
  <si>
    <t>BPMPO-2506605</t>
  </si>
  <si>
    <t>PR/BPM/JTLBarat/2510/0013</t>
  </si>
  <si>
    <t>25ABJ.NINJT054.5JR</t>
  </si>
  <si>
    <t>PC 054 Rawa Badung RW 07</t>
  </si>
  <si>
    <t>Jl. Kp. Rawa Badung RT/RW 011/007</t>
  </si>
  <si>
    <t>AJC/2025/07/Q800/305</t>
  </si>
  <si>
    <t>AJCPOV-2509040</t>
  </si>
  <si>
    <t>PR/BPM/JTLBarat/2510/0023</t>
  </si>
  <si>
    <t>BPMPO-2506589</t>
  </si>
  <si>
    <t>PR/BPM/JTLBarat/2510/0024</t>
  </si>
  <si>
    <t>BPMPO-2508125</t>
  </si>
  <si>
    <t>18/12/2025. 22/12/2025</t>
  </si>
  <si>
    <t>25ABJ.NINJT054.6JR</t>
  </si>
  <si>
    <t>PC 054 Oran Danarsio</t>
  </si>
  <si>
    <t>RT. 003 RW. 05 Kelurahan Jatinegara, Kecamatan Cakung , Jakarta Timur</t>
  </si>
  <si>
    <t>AJC/2025/07/Q800/307</t>
  </si>
  <si>
    <t>AJCPOV-2508041</t>
  </si>
  <si>
    <t>PR/BPM/JTLBarat/2508/0007</t>
  </si>
  <si>
    <t>BPMPO-2506598</t>
  </si>
  <si>
    <t>PR/BPM/JTLBarat/2508/0008</t>
  </si>
  <si>
    <t>BPMPO-2507952</t>
  </si>
  <si>
    <t>25ABJ.NINJT067.1JR</t>
  </si>
  <si>
    <t>PC 067 CPT Angkasa Panca Bersaudara</t>
  </si>
  <si>
    <t>Jl. Gading Kirana 7</t>
  </si>
  <si>
    <t>AJC/2025/07/Q800/313</t>
  </si>
  <si>
    <t>AJCPOV-2508057</t>
  </si>
  <si>
    <t>PR/BPM/JTLBarat/2510/0005</t>
  </si>
  <si>
    <t>BPMPO-2506793</t>
  </si>
  <si>
    <t>PR/BPM/JTLBarat/2510/0006</t>
  </si>
  <si>
    <t>Akan dikerjakan PAM Jaya</t>
  </si>
  <si>
    <t>24ABJ.NINJT070.6JR</t>
  </si>
  <si>
    <t>PC 070  Kawasan JGC</t>
  </si>
  <si>
    <t>Jl. Boulevard Jakarta Garden City</t>
  </si>
  <si>
    <t>AJC/2025/07/Q800/309</t>
  </si>
  <si>
    <t>AJCPOV-2509039</t>
  </si>
  <si>
    <t>PR/BPM/JTLBarat/2510/0025</t>
  </si>
  <si>
    <t>BPMPO-2507023</t>
  </si>
  <si>
    <t>PR/BPM/JTLBarat/2510/0026</t>
  </si>
  <si>
    <t>25ABJ.NINJT054.14JR</t>
  </si>
  <si>
    <t>PC 054 Solikhun</t>
  </si>
  <si>
    <t>AJC/2025/10/Q800/417</t>
  </si>
  <si>
    <t>AJCPOV-2510023</t>
  </si>
  <si>
    <t>PR/BPM/JTLBarat/2511/0060</t>
  </si>
  <si>
    <t>BPMPO-2507050</t>
  </si>
  <si>
    <t>PR/BPM/JTLBarat/2511/0061</t>
  </si>
  <si>
    <t>BPMPO-2508288</t>
  </si>
  <si>
    <t>25ABJ.NINJT070.2JR</t>
  </si>
  <si>
    <t>PC 070  Jl. Inspeksi Kirana</t>
  </si>
  <si>
    <t>Jl. Inspeksi Kirana RT/RW 002/005</t>
  </si>
  <si>
    <t>AJC/2025/07/Q800/315</t>
  </si>
  <si>
    <t>AJCPOV-2508047</t>
  </si>
  <si>
    <t>PR/BPM/JTLBarat/2510/0014</t>
  </si>
  <si>
    <t>BPMPO-2506678</t>
  </si>
  <si>
    <t>PR/BPM/JTLBarat/2510/0015</t>
  </si>
  <si>
    <t>BPMPO-2508121</t>
  </si>
  <si>
    <t>25ABJ.NINJT068.2JR</t>
  </si>
  <si>
    <t>PC 068 Jl. Rawa Indah</t>
  </si>
  <si>
    <t>Jl. Rawa Indah RT/RW 003/003</t>
  </si>
  <si>
    <t>AJC/2025/07/Q800/318</t>
  </si>
  <si>
    <t>AJCPOV-2508042</t>
  </si>
  <si>
    <t>PR/BPM/JTLBarat/2510/0016</t>
  </si>
  <si>
    <t>BPMPO-2506677</t>
  </si>
  <si>
    <t>PR/BPM/JTLBarat/2510/0017</t>
  </si>
  <si>
    <t>BPMPO-2604399</t>
  </si>
  <si>
    <t>25ABJ.NINJT071.1JR</t>
  </si>
  <si>
    <t>PC 071 Gereja Tugu Raya</t>
  </si>
  <si>
    <t>Gereja Tugu Raya Jl. Tugu Raya Kel Semper Kec Cilincing</t>
  </si>
  <si>
    <t>AJC/2025/07/Q800/320</t>
  </si>
  <si>
    <t>AJCPOV-2508043</t>
  </si>
  <si>
    <t>PR/BPM/JTLBarat/2510/0018</t>
  </si>
  <si>
    <t>BPMPO-2506676</t>
  </si>
  <si>
    <t>PR/BPM/JTLBarat/2510/0019</t>
  </si>
  <si>
    <t>BPMPO-2604398</t>
  </si>
  <si>
    <t>25ABJ.NINJTS010.2JR</t>
  </si>
  <si>
    <t>S010 Kos Yanti</t>
  </si>
  <si>
    <t>JL KEMANG TIMUR V NO. 7</t>
  </si>
  <si>
    <t>AJC/2025/08/Q800/348</t>
  </si>
  <si>
    <t>AJCPOV-2508058</t>
  </si>
  <si>
    <t>PR/BPM/JTLBarat/2508/0009</t>
  </si>
  <si>
    <t>BPMPO-2505566</t>
  </si>
  <si>
    <t>PR/BPM/JTLBarat/2508/0010</t>
  </si>
  <si>
    <t>BPMPO-2604173</t>
  </si>
  <si>
    <t>24ABJ.NINJTP008.9JR</t>
  </si>
  <si>
    <t>P008 Kebon Bawang</t>
  </si>
  <si>
    <t>Jl. Bakti RT 03 RW 12</t>
  </si>
  <si>
    <t>AJC/2025/10/Q800/421</t>
  </si>
  <si>
    <t>AJCPOV-2510031</t>
  </si>
  <si>
    <t>PR/BPM/JTLBarat/2511/0056</t>
  </si>
  <si>
    <t>BPMPO-2507181</t>
  </si>
  <si>
    <t>PR/BPM/JTLBarat/2511/0057</t>
  </si>
  <si>
    <t>24ABJ.NINJT080.2JR</t>
  </si>
  <si>
    <t>PC 080 Henny Lasmaida Simbolon</t>
  </si>
  <si>
    <t>Jl. Kampung Walang No 61, RT 10/03</t>
  </si>
  <si>
    <t>AJC/2025/09/Q800/391</t>
  </si>
  <si>
    <t>AJCPOV-2509047</t>
  </si>
  <si>
    <t>PR/BPM/JTLBarat/2510/0027</t>
  </si>
  <si>
    <t>BPMPO-2507432</t>
  </si>
  <si>
    <t>PR/BPM/JTLBarat/2510/0028</t>
  </si>
  <si>
    <t>24ABJ.NINJT089.1JR</t>
  </si>
  <si>
    <t>PC 089 Ningsih</t>
  </si>
  <si>
    <t>Jl. Enggano No 53 RT/RW 06/016</t>
  </si>
  <si>
    <t>AJC/2025/10/Q800/422</t>
  </si>
  <si>
    <t>AJCPOV-2510027</t>
  </si>
  <si>
    <t>PR/BPM/JTLBarat/2511/0058</t>
  </si>
  <si>
    <t>BPMPO-2507180</t>
  </si>
  <si>
    <t>PR/BPM/JTLBarat/2511/0059</t>
  </si>
  <si>
    <t>25ABJ.NINJTP004.1JR</t>
  </si>
  <si>
    <t>P004 Jl Tomang Pulo RT 002 RW 05</t>
  </si>
  <si>
    <t>Jl Tomang Pulo RT 002 RW 05</t>
  </si>
  <si>
    <t>AJC/2025/10/Q800/413</t>
  </si>
  <si>
    <t>AJCPOV-2510015</t>
  </si>
  <si>
    <t>PR/BPM/JTLBarat/2508/0018</t>
  </si>
  <si>
    <t>BPMPO-2506144</t>
  </si>
  <si>
    <t>PR/BPM/JTLBarat/2508/0019</t>
  </si>
  <si>
    <t>11/7/2025,
6/5/2026</t>
  </si>
  <si>
    <t>11/12/2025,
6/5/2026</t>
  </si>
  <si>
    <t>Pekerjaan sisa 129 meter, PAM jaya harus bersurat terlebih dahulu ke Dinas PERKIM.</t>
  </si>
  <si>
    <t>25ABJ.NINJT078.6JR</t>
  </si>
  <si>
    <t>PC 078 Jl. Perjuangan</t>
  </si>
  <si>
    <t>Jl. Perjuangan RT 001-009 RW 010 Kel. Rawa Badak Selatan</t>
  </si>
  <si>
    <t>AJC/2025/10/Q800/420</t>
  </si>
  <si>
    <t>AJCPOV-2510024</t>
  </si>
  <si>
    <t>PR/BPM/JTLBarat/2508/0024</t>
  </si>
  <si>
    <t>BPMPO-2506342</t>
  </si>
  <si>
    <t>PR/BPM/JTLBarat/2508/0025</t>
  </si>
  <si>
    <t>BPMPO-2604730</t>
  </si>
  <si>
    <t>15 Nov 25, 7 Des 25</t>
  </si>
  <si>
    <t>24ABJ.NINKARB016.JE</t>
  </si>
  <si>
    <t>B016 PT Lucky Point Asaba</t>
  </si>
  <si>
    <t>Kapuk Raya Blok 1 Kav 1 &amp; 3 Kel. Kapuk Muara RT 07/03</t>
  </si>
  <si>
    <t>AJC/2025/05/Q800/183</t>
  </si>
  <si>
    <t>AJCPOV-2505102</t>
  </si>
  <si>
    <t>PR/BPM/KRN-HLR/2507/095</t>
  </si>
  <si>
    <t>BPMPO-2506533</t>
  </si>
  <si>
    <t>PR/BPM/KRN-HLR/2507/096</t>
  </si>
  <si>
    <t>24ABJ.NINKARS002.1JE</t>
  </si>
  <si>
    <t>S002 Terogong Raya</t>
  </si>
  <si>
    <t>Terogong Raya No. 88</t>
  </si>
  <si>
    <t>AJC/2025/05/Q800/182</t>
  </si>
  <si>
    <t>AJCPOV-2505074</t>
  </si>
  <si>
    <t>PR/BPM/KRN-HLR/2507/093</t>
  </si>
  <si>
    <t>BPMPO-2506908</t>
  </si>
  <si>
    <t>PR/BPM/KRN-HLR/2507/094</t>
  </si>
  <si>
    <t>24ABJ.NINKARB006.10JE</t>
  </si>
  <si>
    <t>B006 Ibu Elly</t>
  </si>
  <si>
    <t>Jl. Surya Muatiara 3 RT/02 RW/02</t>
  </si>
  <si>
    <t>AJC/2025/05/Q800/185</t>
  </si>
  <si>
    <t>AJCPOV-2505077</t>
  </si>
  <si>
    <t>PR/BPM/KRN-HLR/2507/118</t>
  </si>
  <si>
    <t>BPMPO-2506334</t>
  </si>
  <si>
    <t>PR/BPM/KRN-HLR/2507/122</t>
  </si>
  <si>
    <t>1. GIS PAM tidak sesuai dengan lapangan. Sehingga perlu penambahan pipa tarikan untuk connect ke existing.
2. Material belum MOS semua
3, Belum dikerjakan karena panjang pipa pendek sehingga menunggu material lengkap terlebih dahulu</t>
  </si>
  <si>
    <t>25ABJ.NINKARS017.1JR</t>
  </si>
  <si>
    <t>S017 Cluster Taman Aries</t>
  </si>
  <si>
    <t>Jl. Perumahan Taman Arie Blok G7</t>
  </si>
  <si>
    <t>AJC/2025/05/Q800/187</t>
  </si>
  <si>
    <t>AJCPOV-2505101</t>
  </si>
  <si>
    <t>PR/BPM/KRN-HLR/2507/120</t>
  </si>
  <si>
    <t>BPMPO-2506542</t>
  </si>
  <si>
    <t>PR/BPM/KRN-HLR/2508/127</t>
  </si>
  <si>
    <t>24ABJ.NINKARBN00.1JE</t>
  </si>
  <si>
    <t>BN00 PT Lumas Jaya Industri &amp; PT Honda Mugen</t>
  </si>
  <si>
    <t>Jl. Outer Ring Road RT 005/001, Kel. Kembangan Utara</t>
  </si>
  <si>
    <t>AJC/2025/05/Q800/189</t>
  </si>
  <si>
    <t>AJCPOV-2505075</t>
  </si>
  <si>
    <t>PR/BPM/KRN-HLR/2507/089</t>
  </si>
  <si>
    <t>BPMPO-2505187</t>
  </si>
  <si>
    <t>PR/BPM/KRN-HLR/2507/090</t>
  </si>
  <si>
    <t>Segmen 1
20/05/2026
Segmen 2
8/06/2026</t>
  </si>
  <si>
    <t>1. Lokasi galian ada di jalan raya, belum bisa dikerjakan karena ijin IPPJU belum terbit.</t>
  </si>
  <si>
    <t>24ABJ.NINKARBN02.1JE</t>
  </si>
  <si>
    <t>BN02 PT Artha Citra Hutama</t>
  </si>
  <si>
    <t>Jl. Pantai Indah Selatan, Komp Pergudangan Sentra Industri</t>
  </si>
  <si>
    <t>AJC/2025/05/Q800/180</t>
  </si>
  <si>
    <t>AJCPOV-2505076</t>
  </si>
  <si>
    <t>PR/BPM/KRN-HLR/2507/091</t>
  </si>
  <si>
    <t>BPMPO-2505189</t>
  </si>
  <si>
    <t>PR/BPM/KRN-HLR/2507/092</t>
  </si>
  <si>
    <t>23ABJ.NPPKAR036JE</t>
  </si>
  <si>
    <t>P36 Daan Mogot (DN500)</t>
  </si>
  <si>
    <t>Daan Mogot</t>
  </si>
  <si>
    <t>AJC/2025/05/Q800/111</t>
  </si>
  <si>
    <t>AJCPOV-2505096</t>
  </si>
  <si>
    <t>PR/BPM/KRN-HLR/2506/068</t>
  </si>
  <si>
    <t>BPMPO-2504036</t>
  </si>
  <si>
    <t>PR/BPM/KRN-HLR/2506/070</t>
  </si>
  <si>
    <t>25ABJ.NINKARB020.4JE</t>
  </si>
  <si>
    <t>B020 Citra 5 Tambahan</t>
  </si>
  <si>
    <t>AJC/2025/06/Q800/216</t>
  </si>
  <si>
    <t>AJCPOV-2506044</t>
  </si>
  <si>
    <t>PR/BPM/KRN-HLR/2507/105</t>
  </si>
  <si>
    <t>BPMPO-2505019</t>
  </si>
  <si>
    <t>PR/BPM/KRN-HLR/2507/106</t>
  </si>
  <si>
    <t>BPMPO-2604211</t>
  </si>
  <si>
    <t>25ABJ.NINKARB020.1JE</t>
  </si>
  <si>
    <t>B020 Bitz Park</t>
  </si>
  <si>
    <t>AJC/2025/06/Q800/232</t>
  </si>
  <si>
    <t>AJCPOV-2506039</t>
  </si>
  <si>
    <t>PR/BPM/KRN-HLR/2507/121</t>
  </si>
  <si>
    <t>BPMPO-2505791</t>
  </si>
  <si>
    <t>PR/BPM/KRN-HLR/2508/128</t>
  </si>
  <si>
    <t>25ABJ.NINKARB020.2JE</t>
  </si>
  <si>
    <t>B020 Distribusi Daan Mogot</t>
  </si>
  <si>
    <t>AJC/2025/06/Q800/234</t>
  </si>
  <si>
    <t>AJCPOV-2506046</t>
  </si>
  <si>
    <t>PR/BPM/KRN-HLR/2507/110</t>
  </si>
  <si>
    <t>BPMPO-2506341</t>
  </si>
  <si>
    <t>PR/BPM/KRN-HLR/2507/109</t>
  </si>
  <si>
    <t>1. Lokasi galian ada di jalan raya, belum bisa dikerjakan karena ijin IPPJU belum terbit.
2. Ada perubahan metode pekerjaan dari manual boring menjadi HDD</t>
  </si>
  <si>
    <t>25ABJ.NINKARB020.3JE</t>
  </si>
  <si>
    <t>B020 Tanjung Pura</t>
  </si>
  <si>
    <t>Tanjung Pura</t>
  </si>
  <si>
    <t>AJC/2025/10/Q800/471</t>
  </si>
  <si>
    <t>AJCPOV-2511039</t>
  </si>
  <si>
    <t>PR/BPM/KRN-HLR/2507/114</t>
  </si>
  <si>
    <t>BPMPO-2505806</t>
  </si>
  <si>
    <t>PR/BPM/KRN-HLR/2507/108</t>
  </si>
  <si>
    <t>24ABJ.NINKARB006.6JE</t>
  </si>
  <si>
    <t>B006 CV Jakarta Mall Expressindo</t>
  </si>
  <si>
    <t>Jl. Kedoya Raya No.59 RT 01/RW 05</t>
  </si>
  <si>
    <t>AJC/2025/09/Q800/363</t>
  </si>
  <si>
    <t>AJCPOV-2509021</t>
  </si>
  <si>
    <t>PR/BPM/KRN-HLR/2510/163</t>
  </si>
  <si>
    <t>BPMPO-2506609</t>
  </si>
  <si>
    <t>PR/BPM/KRN-HLR/2510/164</t>
  </si>
  <si>
    <t>24ABJ.NINKARB016.7JE</t>
  </si>
  <si>
    <t>B016 PT Porto Indonesia</t>
  </si>
  <si>
    <t>Jl. Vikamas Selatan 1</t>
  </si>
  <si>
    <t>AJC/2025/09/Q800/371</t>
  </si>
  <si>
    <t>AJCPOV-2509014</t>
  </si>
  <si>
    <t>PR/BPM/KRN-HLR/2510/157</t>
  </si>
  <si>
    <t>BPMPO-2506907</t>
  </si>
  <si>
    <t>PR/BPM/KRN-HLR/2510/159</t>
  </si>
  <si>
    <t>BPMPO-2604390</t>
  </si>
  <si>
    <t>24ABJ.NINKARB020.19JE</t>
  </si>
  <si>
    <t>B020 Perumahan Kalideres Permai</t>
  </si>
  <si>
    <t>Jl. Kalideres Permai</t>
  </si>
  <si>
    <t>AJC/2025/09/Q800/373</t>
  </si>
  <si>
    <t>AJCPOV-2509008</t>
  </si>
  <si>
    <t>PR/BPM/KRN-HLR/2510/167</t>
  </si>
  <si>
    <t>BPMPO-2506593</t>
  </si>
  <si>
    <t>PR/BPM/KRN-HLR/2510/168</t>
  </si>
  <si>
    <t>24ABJ.NINKARB019.17JE</t>
  </si>
  <si>
    <t>B019 Satpol PP Jakarta</t>
  </si>
  <si>
    <t>Jl. Rusun Flamboyan RT 01 RW 10</t>
  </si>
  <si>
    <t>AJC/2025/09/Q800/375</t>
  </si>
  <si>
    <t>AJCPOV-2509009</t>
  </si>
  <si>
    <t>PR/BPM/KRN-HLR/2510/178</t>
  </si>
  <si>
    <t>BPMPO-2507024</t>
  </si>
  <si>
    <t>PR/BPM/KRN-HLR/2510/179</t>
  </si>
  <si>
    <t>25ABJ.NINKARB006.1JE</t>
  </si>
  <si>
    <t>B006 Charles Kurniawan</t>
  </si>
  <si>
    <t>Komplek Green Garden Residence, Kedoya utara, Kebon Jeruk</t>
  </si>
  <si>
    <t>AJC/2025/09/Q800/377</t>
  </si>
  <si>
    <t>AJCPOV-2509010</t>
  </si>
  <si>
    <t>PR/BPM/KRN-HLR/2510/155</t>
  </si>
  <si>
    <t>BPMPO-2506546</t>
  </si>
  <si>
    <t>PR/BPM/KRN-HLR/2510/156</t>
  </si>
  <si>
    <t>BPMPO-2506760</t>
  </si>
  <si>
    <t>25ABJ.NINKARS006.1JE</t>
  </si>
  <si>
    <t>S006 Jiban</t>
  </si>
  <si>
    <t>Jl. Jiban No. 6 RT/RW 014/01</t>
  </si>
  <si>
    <t>AJC/2025/09/Q800/380</t>
  </si>
  <si>
    <t>AJCPOV-2509033</t>
  </si>
  <si>
    <t>PR/BPM/KRN-HLR/2510/165</t>
  </si>
  <si>
    <t>BPMPO-2507030</t>
  </si>
  <si>
    <t>PR/BPM/KRN-HLR/2510/166</t>
  </si>
  <si>
    <t>BPMPO-2508031</t>
  </si>
  <si>
    <t>Volume pekerjaan 52 meter, saat ini blm mulai Konstruksi karena pipa pendek sehingga menunggu material onsite semua.</t>
  </si>
  <si>
    <t>25ABJ.NINKARSN01.1JE</t>
  </si>
  <si>
    <t>SN01 Benda Raya &amp; Kemang Fight Gym</t>
  </si>
  <si>
    <t>Jl. Benda Raya No.20 RT/RW 011/004</t>
  </si>
  <si>
    <t>AJC/2025/09/Q800/365</t>
  </si>
  <si>
    <t>AJCPOV-2509019</t>
  </si>
  <si>
    <t>PR/BPM/KRN-HLR/2510/160</t>
  </si>
  <si>
    <t>BPMPO-2506592</t>
  </si>
  <si>
    <t>PR/BPM/KRN-HLR/2510/162</t>
  </si>
  <si>
    <t>1. Belum mulai pekerjaan karena IPPJU &amp; Crossing sungai belum keluar, pekerjaan bisa mulai jika IPPJU sudah terbit</t>
  </si>
  <si>
    <t>23ABJ.NPPKAR036JE.1</t>
  </si>
  <si>
    <t>P36 Daan Mogot (DN500) Pemasangan EFM dan RTU</t>
  </si>
  <si>
    <t>AJC/2025/08/Q800/342</t>
  </si>
  <si>
    <t>AJCPOV-2509031</t>
  </si>
  <si>
    <t>PR/BPM/KRN-HLR/2508/134</t>
  </si>
  <si>
    <t>1. Pekerjaan bisa dilakukan jika pekerjaan P36 Daat Mogot (DN500) selesai</t>
  </si>
  <si>
    <t>25ABJ.NINKARSN02.3JE</t>
  </si>
  <si>
    <t>SN02 Rumah Wagub DKJ</t>
  </si>
  <si>
    <t>JL.KARANG ASRI VII NO.1A BLOK C6 RT.013/RW.003 KEL. LEBAK BULUS, KEC. CILANDAK</t>
  </si>
  <si>
    <t>AJC/2025/08/Q800/341</t>
  </si>
  <si>
    <t>AJCPOV-2509030</t>
  </si>
  <si>
    <t>PR/BPM/KRN-HLR/2509/146</t>
  </si>
  <si>
    <t>BPMPO-2506523</t>
  </si>
  <si>
    <t>PR/BPM/KRN-HLR/2509/147</t>
  </si>
  <si>
    <t>BPMPO-2507207</t>
  </si>
  <si>
    <t>24ABJ.NINKARS017.1JE</t>
  </si>
  <si>
    <t>S017 Copylast Blok K Cluster Lavender</t>
  </si>
  <si>
    <t>Jl. Jeruk Barat</t>
  </si>
  <si>
    <t>AJC/2025/09/Q800/366</t>
  </si>
  <si>
    <t>AJCPOV-2509023</t>
  </si>
  <si>
    <t>PR/BPM/KRN-HLR/2509/149</t>
  </si>
  <si>
    <t>BPMPO-2506548</t>
  </si>
  <si>
    <t>PR/BPM/KRN-HLR/2509/150</t>
  </si>
  <si>
    <t>BPMPO-2501516</t>
  </si>
  <si>
    <t>25ABJ.NINKARS002.1JE</t>
  </si>
  <si>
    <t>S002 PT Eka Boga Inti</t>
  </si>
  <si>
    <t>Jl. RS Fatmawati No 37F</t>
  </si>
  <si>
    <t>AJC/2025/09/Q800/369</t>
  </si>
  <si>
    <t>AJCPOV-2509015</t>
  </si>
  <si>
    <t>PR/BPM/KRN-HLR/2510/153</t>
  </si>
  <si>
    <t>BPMPO-2507054</t>
  </si>
  <si>
    <t>PR/BPM/KRN-HLR/2510/154</t>
  </si>
  <si>
    <t>1. GIS PAM tidak sesuai dengan lapangan. Sehingga perlu penambahan pipa tarikan untuk connect ke existing.
2, Belum dikerjakan karena menunggu izin keluar
3. Material belum MOS semua</t>
  </si>
  <si>
    <t>25ABJ.NINKARB020.18JE</t>
  </si>
  <si>
    <t>B020 Jl.Cendrawasih 7</t>
  </si>
  <si>
    <t>Jl. Cendrawasih 7 RT/RW 006/06</t>
  </si>
  <si>
    <t>AJC/2025/08/Q800/344</t>
  </si>
  <si>
    <t>AJCPOV-2509020</t>
  </si>
  <si>
    <t>PR/BPM/KRN-HLR/2509/142</t>
  </si>
  <si>
    <t>BPMPO-2506147</t>
  </si>
  <si>
    <t>PR/BPM/KRN-HLR/2509/143</t>
  </si>
  <si>
    <t>BPMPO-2508146</t>
  </si>
  <si>
    <t>25ABJ.NINKARB018.1JE</t>
  </si>
  <si>
    <t>B018 Jl. Puspa 5</t>
  </si>
  <si>
    <t>Jl. Puspa 5 RT 011 RW 012, Kelurahan Cengkareng Timur</t>
  </si>
  <si>
    <t>AJC/2025/08/Q800/346</t>
  </si>
  <si>
    <t>AJCPOV-2509018</t>
  </si>
  <si>
    <t>PR/BPM/KRN-HLR/2509/137</t>
  </si>
  <si>
    <t>BPMPO-2506157</t>
  </si>
  <si>
    <t>PR/BPM/KRN-HLR/2509/139</t>
  </si>
  <si>
    <t>25ABJ.NINKARS017.3JE</t>
  </si>
  <si>
    <t>S017 Arman Setiawan Tanudjaja</t>
  </si>
  <si>
    <t>JL.KEMBANG KENCANA NO.165 166 167, KELURAHAN MERUYA UTARA, KECAMATAN KEMBANGAN</t>
  </si>
  <si>
    <t>AJC/2025/09/Q800383</t>
  </si>
  <si>
    <t>AJCPOV-2509022</t>
  </si>
  <si>
    <t>PR/BPM/KRN-HLR/2509/140</t>
  </si>
  <si>
    <t>BPMPO-2506151</t>
  </si>
  <si>
    <t>PR/BPM/KRN-HLR/2509/141</t>
  </si>
  <si>
    <t>BPMPO-2508223</t>
  </si>
  <si>
    <t>25ABJ.NINKARB014.1JE</t>
  </si>
  <si>
    <t>Infil B014 PT Pacific Ixintraco</t>
  </si>
  <si>
    <t xml:space="preserve"> Jl. Balongan Baru Utara RT.009 Rw.03 Semanan RW.14, Kalideres</t>
  </si>
  <si>
    <t>AJC/2025/09/Q800/400</t>
  </si>
  <si>
    <t>AJCPOV-2510014</t>
  </si>
  <si>
    <t>PR/BPM/KRN-HLR/2509/136</t>
  </si>
  <si>
    <t>BPMPO-2506476</t>
  </si>
  <si>
    <t>PR/BPM/KRN-HLR/2509/138</t>
  </si>
  <si>
    <t>BPMPO-2508225</t>
  </si>
  <si>
    <t>NPP23JTA B02</t>
  </si>
  <si>
    <t>B2 - Ancol DN800</t>
  </si>
  <si>
    <t>Jl. Lodan Raya, Kel. Ancol, Kec. Pademangan</t>
  </si>
  <si>
    <t>AJC/2025/07/Q800/260</t>
  </si>
  <si>
    <t>AJCPOV-2507014</t>
  </si>
  <si>
    <t>PR/BPM/JTLBarat/2401/0005</t>
  </si>
  <si>
    <t>sudah</t>
  </si>
  <si>
    <t>PR/BPM/JTLBarat/2312/0053</t>
  </si>
  <si>
    <t>7.Proses Rekomtek</t>
  </si>
  <si>
    <t>24ABJ.PNAJT151JR1</t>
  </si>
  <si>
    <t>IBP Basura</t>
  </si>
  <si>
    <t>lps</t>
  </si>
  <si>
    <t>JL. JEND. BASUKI RACHMAT</t>
  </si>
  <si>
    <t>AJC/2025/11/Q800/507</t>
  </si>
  <si>
    <t>AJCPOV-2512021</t>
  </si>
  <si>
    <t>PR/BPM/TM/2604/0001</t>
  </si>
  <si>
    <t>BPMPO-2605432</t>
  </si>
  <si>
    <t>PR/BPM/JTLBARAT/2602/0001</t>
  </si>
  <si>
    <t>0.Tidak diperlukan Izin IPPJU</t>
  </si>
  <si>
    <t>1.Persiapan Dokumen</t>
  </si>
  <si>
    <t>Menunggu Jadwal Expose/Survey</t>
  </si>
  <si>
    <t>24ABJ.NBVJTA03</t>
  </si>
  <si>
    <t>Mangga Dua DN400</t>
  </si>
  <si>
    <t>Jembatan Mangga Dua , Diameter 400 mm</t>
  </si>
  <si>
    <t>AJC/2026/02/Q800/88</t>
  </si>
  <si>
    <t>AJCPOV-2603008</t>
  </si>
  <si>
    <t>PR/BPM/JTLBarat/2603/0252</t>
  </si>
  <si>
    <t>BPMPO-2605705</t>
  </si>
  <si>
    <t>PR/BPM/JTLBarat/2603/0253</t>
  </si>
  <si>
    <t>24ABJ.NBVJTA04</t>
  </si>
  <si>
    <t>Mangga Besar DN300</t>
  </si>
  <si>
    <t>Jembatan Mangga Besar, Diameter 300 mm</t>
  </si>
  <si>
    <t>AJC/2026/02/Q800/91</t>
  </si>
  <si>
    <t>AJCPOV-2603031</t>
  </si>
  <si>
    <t>BPMPO-2605703</t>
  </si>
  <si>
    <t>PR/BPM/JTLBarat/2604/0262</t>
  </si>
  <si>
    <t>24ABJ.NBVJTA05</t>
  </si>
  <si>
    <t>Samanhudi DN400</t>
  </si>
  <si>
    <t>Jembatan Jln KH Samanhudi</t>
  </si>
  <si>
    <t>AJC/2026/02/Q800/93</t>
  </si>
  <si>
    <t>AJCPOV-2603015</t>
  </si>
  <si>
    <t>PR/BPM/JTLBarat/2604/0263</t>
  </si>
  <si>
    <t>BPMPO-2506706</t>
  </si>
  <si>
    <t>PR/BPM/JTLBarat/2604/0264</t>
  </si>
  <si>
    <t>24ABJ.NBVJTA06</t>
  </si>
  <si>
    <t>Kwitang 1 DN400</t>
  </si>
  <si>
    <t>Jembatan Kwitang 1, Diameter 400 mm</t>
  </si>
  <si>
    <t>AJC/2026/02/Q800/95</t>
  </si>
  <si>
    <t>AJCPOV-2603016</t>
  </si>
  <si>
    <t>PR/BPM/JTLBarat/2604/0265</t>
  </si>
  <si>
    <t>BPMPO-2605707</t>
  </si>
  <si>
    <t>PR/BPM/JTLBarat/2604/0266</t>
  </si>
  <si>
    <t>24ABJ.NBVJTA11</t>
  </si>
  <si>
    <t>Kp Melayu Besar DN400</t>
  </si>
  <si>
    <t>Jembatan Kampung Melayu, Diameter 600 mm</t>
  </si>
  <si>
    <t>AJC/2026/02/Q800/97</t>
  </si>
  <si>
    <t>AJCPOV-2603021</t>
  </si>
  <si>
    <t>PR/BPM/JTLBarat/2604/0281</t>
  </si>
  <si>
    <t>BPMPO-2605704</t>
  </si>
  <si>
    <t>24ABJ.NINJT051</t>
  </si>
  <si>
    <t>PC 051</t>
  </si>
  <si>
    <t>KELURAHAN RAWE TERATE, KECAMATAN CAKUNG</t>
  </si>
  <si>
    <t>AJC/2025/10/Q800/429</t>
  </si>
  <si>
    <t>AJCPOV-2510029</t>
  </si>
  <si>
    <t>PR/BPM/KRN-HLR/2601/0052</t>
  </si>
  <si>
    <t>PR/BPM/KRN-HLR/2601/0053</t>
  </si>
  <si>
    <t>3.Gambar Rekomtek</t>
  </si>
  <si>
    <t>24ABJ.NINJT054</t>
  </si>
  <si>
    <t>PC 054</t>
  </si>
  <si>
    <t>PC 054 KELURAHAN JATINEGARA, PENGGILINGAN, RAWATERATE, CAKUNG BARAT KECAMATAN CAKUNG</t>
  </si>
  <si>
    <t>AJC/2025/10/Q800/436</t>
  </si>
  <si>
    <t>AJCPOV-2511013</t>
  </si>
  <si>
    <t>PR/BPM/JTLBarat/2512/0105</t>
  </si>
  <si>
    <t>PR/BPM/JTLBarat/2512/0106</t>
  </si>
  <si>
    <t>24ABJ.NINJT069</t>
  </si>
  <si>
    <t>PC 069</t>
  </si>
  <si>
    <t>PC 069 KELURAHAN CAKUNG BARAT, SUKAPURA, KECAMATAN CAKUNG, CILINCING</t>
  </si>
  <si>
    <t>AJC/2025/10/Q800/433</t>
  </si>
  <si>
    <t>AJCPOV-2510039</t>
  </si>
  <si>
    <t>PR/BPM/JTLBarat/2512/0123</t>
  </si>
  <si>
    <t>BPMPO-2601182</t>
  </si>
  <si>
    <t>PR/BPM/JTLBarat/2512/0122</t>
  </si>
  <si>
    <t>24ABJ.NINJT070</t>
  </si>
  <si>
    <t>PC 070 Paket Pertama</t>
  </si>
  <si>
    <t>AJC/2025/10/Q800/437</t>
  </si>
  <si>
    <t>AJCPOV-2510038</t>
  </si>
  <si>
    <t>PR/BPM/JTLBarat/2601/0146</t>
  </si>
  <si>
    <t>PR/BPM/JTLBarat/2601/0147</t>
  </si>
  <si>
    <t>24ABJ.NINJT070.1</t>
  </si>
  <si>
    <t>PC 070 Paket Kedua</t>
  </si>
  <si>
    <t>AJC/2025/12/Q800/606</t>
  </si>
  <si>
    <t>AJCPOV-2512061</t>
  </si>
  <si>
    <t>PR/BPM/JTLBarat/2601/0176</t>
  </si>
  <si>
    <t>PR/BPM/JTLBarat/2601/0177</t>
  </si>
  <si>
    <t>24ABJ.NPPJT70JR.1</t>
  </si>
  <si>
    <t>Jl. Malaka 1, Jl. Malaka 2, Jl. Malaka 3, &amp; Jl. Rorotan 11</t>
  </si>
  <si>
    <t>JL. MALAKA 1, JL. MALAKA II, JL. MALAKA III, &amp; JL. ROROTAN XI</t>
  </si>
  <si>
    <t>AJC/2025/12/Q800/614</t>
  </si>
  <si>
    <t>AJCPOV-2512058</t>
  </si>
  <si>
    <t>PR/BPM/JTLBarat/2601/0178</t>
  </si>
  <si>
    <t>PR/BPM/JTLBarat/2601/0179</t>
  </si>
  <si>
    <t>24ABJ.NPPJT70JR4</t>
  </si>
  <si>
    <t>Jl. Rorotan 9</t>
  </si>
  <si>
    <t>JL. ROROTAN IX</t>
  </si>
  <si>
    <t>AJC/2025/12/Q800/608</t>
  </si>
  <si>
    <t>AJCPOV-2512060</t>
  </si>
  <si>
    <t>PR/BPM/JTLBarat/2602/0206</t>
  </si>
  <si>
    <t>PR/BPM/JTLBarat/2602/0207</t>
  </si>
  <si>
    <t>24ABJ.NPPJT70JR6</t>
  </si>
  <si>
    <t>Menteng Metropolitan - Tambun Rengas</t>
  </si>
  <si>
    <t>Menteng Metropolitan Ke Tambun Rengas (Connect dgn JGC)</t>
  </si>
  <si>
    <t>AJC/2025/12/Q800/644</t>
  </si>
  <si>
    <t>AJCPOV-2601035</t>
  </si>
  <si>
    <t>PR/BPM/JTLBarat/2602/0214</t>
  </si>
  <si>
    <t>BPMPO-2601183</t>
  </si>
  <si>
    <t>PR/BPM/JTLBarat/2602/0215</t>
  </si>
  <si>
    <t>24ABJ.NINJT073</t>
  </si>
  <si>
    <t>PC 073</t>
  </si>
  <si>
    <t>PC 073 KELURAHAN SEMPER BARAT, TUGU UTARA, KECAMATAN CILINCING</t>
  </si>
  <si>
    <t>AJC/2025/10/Q800/439</t>
  </si>
  <si>
    <t>AJCPOV-2511041</t>
  </si>
  <si>
    <t>PR/BPM/JTLBarat/2602/0204</t>
  </si>
  <si>
    <t>PR/BPM/JTLBarat/2602/0205</t>
  </si>
  <si>
    <t>24ABJ.NINJT074</t>
  </si>
  <si>
    <t>PC 074</t>
  </si>
  <si>
    <t>Kelurahan Semper Timur &amp; Cilincing Kecamatan Cilincing</t>
  </si>
  <si>
    <t>AJC/2025/10/Q800/456</t>
  </si>
  <si>
    <t>AJCPOV-2511010</t>
  </si>
  <si>
    <t>PR/BPM/JTLBarat/2601/0180</t>
  </si>
  <si>
    <t>BPMPO-1603184</t>
  </si>
  <si>
    <t>PR/BPM/JTLBarat/2601/0181</t>
  </si>
  <si>
    <t>24ABJ.NINJT075</t>
  </si>
  <si>
    <t>PC 075</t>
  </si>
  <si>
    <t>PC 075 KELURAHAN SEMPER TIMUR KECAMATAN CILINCING</t>
  </si>
  <si>
    <t>AJC/2025/10/Q800/487</t>
  </si>
  <si>
    <t>AJCPOV-2512035</t>
  </si>
  <si>
    <t>PR/BPM/JTLBarat/2601/0182</t>
  </si>
  <si>
    <t>PR/BPM/JTLBarat/2601/0183</t>
  </si>
  <si>
    <t>24ABJ.NINJT077</t>
  </si>
  <si>
    <t>PC 077</t>
  </si>
  <si>
    <t>PC 077 KELURAHAN MARUNDA, CILINCING KECAMATAN CILINCING</t>
  </si>
  <si>
    <t>1369,.3</t>
  </si>
  <si>
    <t>AJC/2025/10/Q800/491</t>
  </si>
  <si>
    <t>AJCPOV-2511015</t>
  </si>
  <si>
    <t>PR/BPM/JTLBarat/2601/0185</t>
  </si>
  <si>
    <t>PR/BPM/JTLBarat/2601/0186</t>
  </si>
  <si>
    <t>24ABJ.NINJT146</t>
  </si>
  <si>
    <t>PC 146</t>
  </si>
  <si>
    <t>PC 146 KELURAHAN PONDOK KELAPA, PONDOK KOPI, MALAKASARI, MALAKAJAYA, KECAMATAN DUREN SAWIT</t>
  </si>
  <si>
    <t>AJC/2025/10/Q800/493</t>
  </si>
  <si>
    <t>AJCPOV-2511014</t>
  </si>
  <si>
    <t>PR/BPM/KRN-HLR/2601/0056</t>
  </si>
  <si>
    <t>BPMPO-2601099</t>
  </si>
  <si>
    <t>PT RAJAWALI NUSAPERSADA INDONESIA</t>
  </si>
  <si>
    <t>PR/BPM/KRN-HLR/2601/0057</t>
  </si>
  <si>
    <t>24ABJ.NINJT148</t>
  </si>
  <si>
    <t>PC 148</t>
  </si>
  <si>
    <t>PC 148 KELURAHAN MALAKASARI, MALAKAJAYA KECAMATAN DUREN SAWIT</t>
  </si>
  <si>
    <t>AJC/2025/11/Q800/509</t>
  </si>
  <si>
    <t>AJCPOV-2511055</t>
  </si>
  <si>
    <t>PR/BPM/KRN-HLR/2601/0054</t>
  </si>
  <si>
    <t>PR/BPM/KRN-HLR/2601/0055</t>
  </si>
  <si>
    <t>24ABJ.NINJT149</t>
  </si>
  <si>
    <t>PC 149</t>
  </si>
  <si>
    <t>KELURAHAN PONDOK KOPI KECAMATAN DUREN SAWIT</t>
  </si>
  <si>
    <t>AJC/2025/11/Q800/512</t>
  </si>
  <si>
    <t>AJCPOV-2512002</t>
  </si>
  <si>
    <t>PR/BPM/KRN-HLR/2601/0058</t>
  </si>
  <si>
    <t>PR/BPM/KRN-HLR/2601/0059</t>
  </si>
  <si>
    <t>24ABJ.NINJTS011</t>
  </si>
  <si>
    <t>S011</t>
  </si>
  <si>
    <t>PA S011, KELURAHAN RAJAWALI, KECAMATAN PANCORAN</t>
  </si>
  <si>
    <t>AJC/2025/11/Q800/514</t>
  </si>
  <si>
    <t>AJCPOV-2512001</t>
  </si>
  <si>
    <t>PR/BPM/JTLBarat/2601/0174</t>
  </si>
  <si>
    <t>PR/BPM/JTLBarat/2601/0175</t>
  </si>
  <si>
    <t>24ABJ.NINJTS012</t>
  </si>
  <si>
    <t>S012</t>
  </si>
  <si>
    <t>PC S012 KELURAHAN MANGGARAI, MANGGARAI SELATAN, BUKITDURI, MENTENG DALAM, TEBET BARAT, TEBET TIMUR, KEBON BARU, KECAMATAN TEBET.</t>
  </si>
  <si>
    <t>AJC/2025/11/Q800/516</t>
  </si>
  <si>
    <t>AJCPOV-2511056</t>
  </si>
  <si>
    <t>PR/BPM/JTLBarat/2601/0187</t>
  </si>
  <si>
    <t>PT Kalirandoe Jaya Abadi</t>
  </si>
  <si>
    <t>PR/BPM/JTLBarat/2601/0188</t>
  </si>
  <si>
    <t>25ABJ.NINJT081.1JR</t>
  </si>
  <si>
    <t>PC 081 Kalibaru Barat 13 A Gg Sadar</t>
  </si>
  <si>
    <t>Jl Kalibaru Barat 13 A Gg Sadar</t>
  </si>
  <si>
    <t>AJC/2025/11/Q800/519</t>
  </si>
  <si>
    <t>AJCPOV-2511065</t>
  </si>
  <si>
    <t>PR/BPM/JTLBarat/2512/0124</t>
  </si>
  <si>
    <t>BPMPO-1603075</t>
  </si>
  <si>
    <t>PR/BPM/JTLBarat/2512/0125</t>
  </si>
  <si>
    <t>25ABJ.NINJTP006.1JR</t>
  </si>
  <si>
    <t>P006 Jl. Bakti</t>
  </si>
  <si>
    <t>Jl. Bakti RT 5/RW 07</t>
  </si>
  <si>
    <t>AJC/2025/11/Q800/521</t>
  </si>
  <si>
    <t>AJCPOV-2511054</t>
  </si>
  <si>
    <t>PR/BPM/JTLBarat/2601/0148</t>
  </si>
  <si>
    <t>BPMPO-1603071</t>
  </si>
  <si>
    <t>PR/BPM/JTLBarat/2601/0149</t>
  </si>
  <si>
    <t>24ABJ.NINJTP008.12JR</t>
  </si>
  <si>
    <t>P008 Sri Devvi Heni Naomi</t>
  </si>
  <si>
    <t>Jl. Fajar VII No. 60C RT 01 RW 08</t>
  </si>
  <si>
    <t>AJC/2025/11/Q800/523</t>
  </si>
  <si>
    <t>AJCPOV-2511071</t>
  </si>
  <si>
    <t>PR/BPM/JTLBarat/2512/0126</t>
  </si>
  <si>
    <t>BPMPO-1603069</t>
  </si>
  <si>
    <t>PR/BPM/JTLBarat/2512/0127</t>
  </si>
  <si>
    <t>24ABJ.NINJTS010.1JR</t>
  </si>
  <si>
    <t>S010 PT. Falah Inovasi Teknologi</t>
  </si>
  <si>
    <t>Jl. Mampang Prapatan XII No 1 RT 008 RW 01</t>
  </si>
  <si>
    <t>AJC/2025/11/Q800/525</t>
  </si>
  <si>
    <t>AJCPOV-2511068</t>
  </si>
  <si>
    <t>PR/BPM/JTLBarat/2512/0128</t>
  </si>
  <si>
    <t>PR/BPM/JTLBarat/2512/0129</t>
  </si>
  <si>
    <t>5.Survey (IPPJU) / Expose (Non Ippju)</t>
  </si>
  <si>
    <t>25ABJ.NINJT078.2JR</t>
  </si>
  <si>
    <t>PC 078 Aprilliana Picauly</t>
  </si>
  <si>
    <t>Jl Rawa Sengon Gg Beo &amp; Betet (Tanah Merah)</t>
  </si>
  <si>
    <t>AJC/2025/11/Q800/527</t>
  </si>
  <si>
    <t>AJCPOV-2511070</t>
  </si>
  <si>
    <t>PR/BPM/JTLBarat/2601/0152</t>
  </si>
  <si>
    <t>BPMPO-1603175</t>
  </si>
  <si>
    <t>PR/BPM/JTLBarat/2601/0153</t>
  </si>
  <si>
    <t>25ABJ.NINJT078.3JR</t>
  </si>
  <si>
    <t>PC 078 Sungkun Sianturi</t>
  </si>
  <si>
    <t>Jl Bendungan Melayu No 35 RT 06/01</t>
  </si>
  <si>
    <t>AJC/2025/11/Q800/529</t>
  </si>
  <si>
    <t>AJCPOV-2512022</t>
  </si>
  <si>
    <t>PR/BPM/JTLBarat/2601/0150</t>
  </si>
  <si>
    <t>BPMPO-1603176</t>
  </si>
  <si>
    <t>PR/BPM/JTLBarat/2601/0151</t>
  </si>
  <si>
    <t>25ABJ.NINJT078.5JR</t>
  </si>
  <si>
    <t>PC 078 Sutarno</t>
  </si>
  <si>
    <t>Gg Masjid Al Istiqomah RT 12 RW 05 Kel. Tugu Selatan Kec. Koja</t>
  </si>
  <si>
    <t>AJC/2025/11/Q800/531</t>
  </si>
  <si>
    <t>AJCPOV-2511069</t>
  </si>
  <si>
    <t>PR/BPM/JTLBarat/2601/0154</t>
  </si>
  <si>
    <t>BPMPO-1603177</t>
  </si>
  <si>
    <t>PR/BPM/JTLBarat/2601/0155</t>
  </si>
  <si>
    <t>24ABJ.NINJT082.1JR</t>
  </si>
  <si>
    <t>PC 082 Asmawi</t>
  </si>
  <si>
    <t>Jl. Inspeksi Kali Sunter RT 03 RW 04</t>
  </si>
  <si>
    <t>AJC/2025/11/Q800/537</t>
  </si>
  <si>
    <t>AJCPOV-2511072</t>
  </si>
  <si>
    <t>PR/BPM/JTLBarat/2601/0156</t>
  </si>
  <si>
    <t>BPMPO-1603174</t>
  </si>
  <si>
    <t>PR/BPM/JTLBarat/2601/0157</t>
  </si>
  <si>
    <t>24ABJ.NINJTP003.2JR</t>
  </si>
  <si>
    <t>P003 M Andi Bharta</t>
  </si>
  <si>
    <t>Kartini IX Dalam No 32 F</t>
  </si>
  <si>
    <t>AJC/2025/11/Q800/539</t>
  </si>
  <si>
    <t>AJCPOV-2512007</t>
  </si>
  <si>
    <t>PR/BPM/JTLBarat/2602/0202</t>
  </si>
  <si>
    <t>PR/BPM/JTLBarat/2602/0203</t>
  </si>
  <si>
    <t>24ABJ.NINJTP008.3JR</t>
  </si>
  <si>
    <t>P008 PT Phrada</t>
  </si>
  <si>
    <t>Pluit Karang Indah Timur Blok C &amp; D</t>
  </si>
  <si>
    <t>AJC/2025/11/Q800/541</t>
  </si>
  <si>
    <t>AJCPOV-2512023</t>
  </si>
  <si>
    <t>PR/BPM/JTLBarat/2601/0158</t>
  </si>
  <si>
    <t>PR/BPM/JTLBarat/2601/0159</t>
  </si>
  <si>
    <t>24ABJ.NINJTP008.5JR</t>
  </si>
  <si>
    <t>P008 Pergudangan Jembatan III, Lin Chi Chen, Lie Sie Tiat, PT Total Bangun Persada</t>
  </si>
  <si>
    <t>Jl. Blok D 7A RT/RW 22/08, Jl. Blok F No. 9 RT/RW 22/08</t>
  </si>
  <si>
    <t>AJC/2025/11/Q800/543</t>
  </si>
  <si>
    <t>AJCPOV-2511079</t>
  </si>
  <si>
    <t>PR/BPM/JTLBarat/2602/0210</t>
  </si>
  <si>
    <t>BPMPO-1603074</t>
  </si>
  <si>
    <t>PR/BPM/JTLBarat/2602/0211</t>
  </si>
  <si>
    <t>25ABJ.NINJTS008.1JR</t>
  </si>
  <si>
    <t>S008 Puskesmas Mampang Prapatan</t>
  </si>
  <si>
    <t>Jl Liliana C24-24 RT 10/11</t>
  </si>
  <si>
    <t>AJC/2025/11/Q800/548</t>
  </si>
  <si>
    <t>AJCPOV-2511080</t>
  </si>
  <si>
    <t>PR/BPM/JTLBarat/2601/0160</t>
  </si>
  <si>
    <t>BPMPO-2601284</t>
  </si>
  <si>
    <t>PR/BPM/JTLBarat/2601/0161</t>
  </si>
  <si>
    <t>25ABJ.NINJTS010.3JR</t>
  </si>
  <si>
    <t>S010 Puskesmas Pembantu Mampang Prapatan</t>
  </si>
  <si>
    <t>Jl Tegal Parang utara 2 RT 11/04</t>
  </si>
  <si>
    <t>AJC/2025/11/Q800/550</t>
  </si>
  <si>
    <t>AJCPOV-2512025</t>
  </si>
  <si>
    <t>PR/BPM/JTLBarat/2601/0162</t>
  </si>
  <si>
    <t>PR/BPM/JTLBarat/2601/0163</t>
  </si>
  <si>
    <t>25ABJ.NINJTS013.1JR</t>
  </si>
  <si>
    <t>S013 Puskesmas Pembantu Bangka</t>
  </si>
  <si>
    <t>Jl Kemang Dalam 3 RT 04/03</t>
  </si>
  <si>
    <t>AJC/2025/11/Q800/551</t>
  </si>
  <si>
    <t>AJCPOV-2512024</t>
  </si>
  <si>
    <t>PR/BPM/JTLBarat/2601/0164</t>
  </si>
  <si>
    <t>BPMPO-2601286</t>
  </si>
  <si>
    <t>PR/BPM/JTLBarat/2601/0165</t>
  </si>
  <si>
    <t>25ABJ.NINJT060.1JR</t>
  </si>
  <si>
    <t>PC 060 Jl. Kalibaru Timur 7</t>
  </si>
  <si>
    <t>Jl. Kalibaru Timur 7 RT.05 RW.08 Kel. Utan Panjang</t>
  </si>
  <si>
    <t>AJC/2025/11/Q800/581</t>
  </si>
  <si>
    <t>AJCPOV-2512028</t>
  </si>
  <si>
    <t>PR/BPM/JTLBarat/2601/0166</t>
  </si>
  <si>
    <t>PR/BPM/JTLBarat/2601/0167</t>
  </si>
  <si>
    <t>25ABJ.NINJTS001.3JR</t>
  </si>
  <si>
    <t>S001 RW 06 Pejaten Timur</t>
  </si>
  <si>
    <t>Jl. Kemuning Raya</t>
  </si>
  <si>
    <t>AJC/2025/11/Q800/577</t>
  </si>
  <si>
    <t>AJCPOV-2512027</t>
  </si>
  <si>
    <t>PR/BPM/JTLBarat/2601/0168</t>
  </si>
  <si>
    <t>PR/BPM/JTLBarat/2601/0169</t>
  </si>
  <si>
    <t>25ABJ.NINJTP002.4JR</t>
  </si>
  <si>
    <t>P002 Kantin Koperasi KEMENDAGRI</t>
  </si>
  <si>
    <t>Jl. Veteran Utara II (Jl. Medan Utara No.7, Jakarta 10110)</t>
  </si>
  <si>
    <t>AJC/2025/11/Q800/579</t>
  </si>
  <si>
    <t>AJCPOV-2512029</t>
  </si>
  <si>
    <t>PR/BPM/JTLBarat/2601/0170</t>
  </si>
  <si>
    <t>PR/BPM/JTLBarat/2601/0171</t>
  </si>
  <si>
    <t>25ABJ.NINJTP008.4JR</t>
  </si>
  <si>
    <t>P008 Irsan Widjaja</t>
  </si>
  <si>
    <t>Jl. Pakin Raya No 8 RT 002/ RW 04 Kel penjaringan 14440</t>
  </si>
  <si>
    <t>AJC/2025/11/Q800/585</t>
  </si>
  <si>
    <t>AJCPOV-2512062</t>
  </si>
  <si>
    <t>PR/BPM/JTLBarat/2601/0172</t>
  </si>
  <si>
    <t>PR/BPM/JTLBarat/2601/0173</t>
  </si>
  <si>
    <t>25ABJ.NINJTS001.2JR</t>
  </si>
  <si>
    <t>S001 Perumahan Rawa Bambu</t>
  </si>
  <si>
    <t>Jl. Rawa Bambu, Pasar Minggu, Jakarta Selatan</t>
  </si>
  <si>
    <t>AJC/2025/12/Q800/628</t>
  </si>
  <si>
    <t>AJCPOV-2601005</t>
  </si>
  <si>
    <t>PR/BPM/JTLBarat/2602/0212</t>
  </si>
  <si>
    <t>BPMPO-1603181</t>
  </si>
  <si>
    <t>PR/BPM/JTLBarat/2602/0213</t>
  </si>
  <si>
    <t>25ABJ.NINJTP004.2JR</t>
  </si>
  <si>
    <t>P004 Jl Kota Bambu Utara IV</t>
  </si>
  <si>
    <t>Jl. Kota Bambu Utara IV no. 10 RT 003 RW 06</t>
  </si>
  <si>
    <t>AJC/2026/01/Q800/3</t>
  </si>
  <si>
    <t>AJCPOV-2601015</t>
  </si>
  <si>
    <t>PR/BPM/JTLBarat/2602/0195</t>
  </si>
  <si>
    <t>PR/BPM/JTLBarat/2602/0196</t>
  </si>
  <si>
    <t>24ABJ.NINJTP008.8JR.1</t>
  </si>
  <si>
    <t>Master Meter Misyanto (tambahan)</t>
  </si>
  <si>
    <t>AJC/2026/01/Q800/5</t>
  </si>
  <si>
    <t>AJCPOV-2601006</t>
  </si>
  <si>
    <t>PR/BPM/JTLBarat/2602/0191</t>
  </si>
  <si>
    <t>PR/BPM/JTLBarat/2602/0192</t>
  </si>
  <si>
    <t>BPMPO-2600831</t>
  </si>
  <si>
    <t>25ABJ.NINJTS009.1JR</t>
  </si>
  <si>
    <t>S009 PT Grha Provisioner Bersama</t>
  </si>
  <si>
    <t>Jl. Widya Chandra X No 7 RT007 RW01</t>
  </si>
  <si>
    <t>AJC/2026/01/Q800/7</t>
  </si>
  <si>
    <t>AJCPOV-2601014</t>
  </si>
  <si>
    <t>PR/BPM/JTLBarat/2602/0193</t>
  </si>
  <si>
    <t>BPMPO-2600457</t>
  </si>
  <si>
    <t>PR/BPM/JTLBarat/2602/0194</t>
  </si>
  <si>
    <t>24ABJ.NINJTS001.4JR.1</t>
  </si>
  <si>
    <t>S001 Perumahan Tanjung Mas Raya (tambahan)</t>
  </si>
  <si>
    <t>Jl. Tanjung Barat Raya</t>
  </si>
  <si>
    <t>AJC/2026/01/Q800/21</t>
  </si>
  <si>
    <t>AJCPOV-2601037</t>
  </si>
  <si>
    <t xml:space="preserve">           1,000,939,980.00</t>
  </si>
  <si>
    <t>PR/BPM/JTLBarat/2602/0200</t>
  </si>
  <si>
    <t>PR/BPM/JTLBarat/2602/0201</t>
  </si>
  <si>
    <t>25ABJ.NINJT054.7JR</t>
  </si>
  <si>
    <t>PC 054 Dinda Ariestia (Cluster Griya Kintamani 2)</t>
  </si>
  <si>
    <t>Jl.Gunung Lawu Ujung RT/RW 007/09 KelurahanJatinegara, KecamatanCakung, Jakarta Timur</t>
  </si>
  <si>
    <t>1,011,338,357</t>
  </si>
  <si>
    <t>AJC/2026/01/Q800/41</t>
  </si>
  <si>
    <t>AJCPOV-2602023</t>
  </si>
  <si>
    <t>PR/BPM/JTLBarat/2602/0224</t>
  </si>
  <si>
    <t>PR/BPM/JTLBarat/2602/0225</t>
  </si>
  <si>
    <t>25ABJ.NINJT056.1JR</t>
  </si>
  <si>
    <t>PC 056 Jl Pulo Gundul</t>
  </si>
  <si>
    <t>Jl. Pulo Gundul RT 013 RW 01, Kelurahan Johar Baru, Kecamatan Johar Baru, Jakarta Pusat</t>
  </si>
  <si>
    <t>143,518,985</t>
  </si>
  <si>
    <t>AJC/2026/01/Q800/51</t>
  </si>
  <si>
    <t>AJCPOV-2602022</t>
  </si>
  <si>
    <t>PR/BPM/JTLBarat/2602/0222</t>
  </si>
  <si>
    <t>PR/BPM/JTLBarat/2602/0223</t>
  </si>
  <si>
    <t>BPMPO-2600817</t>
  </si>
  <si>
    <t>25ABJ.NINJT078.6JR.1</t>
  </si>
  <si>
    <t>PC 078 Jl. Perjuangan (tambahan)</t>
  </si>
  <si>
    <t>JL. Perjuangan RT.001-009/RW.010 Kel. Rawa Badak Selatan, Kec. Koja</t>
  </si>
  <si>
    <t>3,781,807,025</t>
  </si>
  <si>
    <t>AJC/2025/12/Q800/602</t>
  </si>
  <si>
    <t>AJCPOV-2512059</t>
  </si>
  <si>
    <t>PR/BPM/JTLBarat/2602/0208</t>
  </si>
  <si>
    <t>PR/BPM/JTLBarat/2602/0209</t>
  </si>
  <si>
    <t>24ABJ.NPPKARPSG03JE</t>
  </si>
  <si>
    <t>TMPSG-03</t>
  </si>
  <si>
    <t>Jl Bintaro Permai Raya - Jl M Saidi Raya</t>
  </si>
  <si>
    <t>AJC/2025/11/Q800/559</t>
  </si>
  <si>
    <t>AJCPOV-2512033</t>
  </si>
  <si>
    <t>PR/BPM/KRN-HLR/2601/024</t>
  </si>
  <si>
    <t>BPMPO-2601271</t>
  </si>
  <si>
    <t>PR/BPM/KRN-HLR/2601/004</t>
  </si>
  <si>
    <t>24ABJ.NPPKARPSG05JE</t>
  </si>
  <si>
    <t>TMPSG-05</t>
  </si>
  <si>
    <t>Jl. Bintaro Permai - Jl. Ciledug Raya</t>
  </si>
  <si>
    <t>AJC/2025/10/Q800/495</t>
  </si>
  <si>
    <t>AJCPOV-2512031</t>
  </si>
  <si>
    <t>PR/BPM/KRN-HLR/2601/025</t>
  </si>
  <si>
    <t>PR/BPM/KRN-HLR/2501/002</t>
  </si>
  <si>
    <t>24ABJ.NINKARS006PSG.04JE</t>
  </si>
  <si>
    <t>S006 Pesanggrahan - EZ 4</t>
  </si>
  <si>
    <t>PESANGGRAHAN</t>
  </si>
  <si>
    <t>AJC/2025/10/Q800/442</t>
  </si>
  <si>
    <t>AJCPOV-2511020</t>
  </si>
  <si>
    <t>PR/BPM/KRN-HLR/2601/034</t>
  </si>
  <si>
    <t>BPMPO-2600488</t>
  </si>
  <si>
    <t>PR/BPM/KRN-HLR/2601/033</t>
  </si>
  <si>
    <t>24ABJ.NINKARS006PSG.05JE</t>
  </si>
  <si>
    <t>S006 Pesanggrahan - EZ 5</t>
  </si>
  <si>
    <t>AJC/2025/10/Q800/444</t>
  </si>
  <si>
    <t>AJCPOV-2510035</t>
  </si>
  <si>
    <t>PR/BPM/KRN-HLR/2601/036</t>
  </si>
  <si>
    <t>BPMPO-2600490</t>
  </si>
  <si>
    <t>PR/BPM/KRN-HLR/2601/035</t>
  </si>
  <si>
    <t>24ABJ.NINKARS006PSG.06JE</t>
  </si>
  <si>
    <t>S006 Pesanggrahan - EZ 6</t>
  </si>
  <si>
    <t>AJC/2025/10/Q800/446</t>
  </si>
  <si>
    <t>AJCPOV-2510037</t>
  </si>
  <si>
    <t>PR/BPM/KRN-HLR/2601/038</t>
  </si>
  <si>
    <t>BPMPO-2600491</t>
  </si>
  <si>
    <t>PR/BPM/KRN-HLR/2601/037</t>
  </si>
  <si>
    <t>24ABJ.NINKARS006PSG.07JE</t>
  </si>
  <si>
    <t>S006 Pesanggrahan - EZ 7</t>
  </si>
  <si>
    <t>AJC/2025/10/Q800/449</t>
  </si>
  <si>
    <t>AJCPOV-2510036</t>
  </si>
  <si>
    <t>PR/BPM/KRN-HLR/2601/026</t>
  </si>
  <si>
    <t>BPMPO-2601272</t>
  </si>
  <si>
    <t>PR/BPM/KRN-HLR/2601/031</t>
  </si>
  <si>
    <t>24ABJ.NINKARS006PSG.08JE</t>
  </si>
  <si>
    <t>S006 Pesanggrahan - EZ 8</t>
  </si>
  <si>
    <t>AJC/2025/10/Q800/451</t>
  </si>
  <si>
    <t>AJCPOV-2512012</t>
  </si>
  <si>
    <t>PR/BPM/KRN-HLR/2601/027</t>
  </si>
  <si>
    <t>PR/BPM/KRN-HLR/2601/032</t>
  </si>
  <si>
    <t>24ABJ.NINKARS006PSG.09JE</t>
  </si>
  <si>
    <t>S006 Pesanggrahan - EZ 9</t>
  </si>
  <si>
    <t>AJC/2025/10/Q800/453</t>
  </si>
  <si>
    <t>AJCPOV-2511008</t>
  </si>
  <si>
    <t>PR/BPM/KRN-HLR/2601/0064</t>
  </si>
  <si>
    <t>BPMPO-2601273</t>
  </si>
  <si>
    <t>PT Citramasjaya Teknikmandiri</t>
  </si>
  <si>
    <t>PR/BPM/KRN-HLR/2601/0068</t>
  </si>
  <si>
    <t>BPMPO-2605548</t>
  </si>
  <si>
    <t>24ABJ.NINKARS006PSG.10JE</t>
  </si>
  <si>
    <t>S006 Pesanggrahan - EZ 10</t>
  </si>
  <si>
    <t>AJC/2025/10/Q800/460</t>
  </si>
  <si>
    <t>AJCPOV-2511026</t>
  </si>
  <si>
    <t>PR/BPM/KRN-HLR/2601/0063</t>
  </si>
  <si>
    <t>PR/BPM/KRN-HLR/2601/0069</t>
  </si>
  <si>
    <t>24ABJ.NINKARS006PSG.11JE</t>
  </si>
  <si>
    <t>S006 Pesanggrahan - EZ 11</t>
  </si>
  <si>
    <t>AJC/2025/10/Q800/462</t>
  </si>
  <si>
    <t>AJCPOV-2511009</t>
  </si>
  <si>
    <t>PR/BPM/KRN-HLR/2601/040</t>
  </si>
  <si>
    <t>BPMPO-2601267</t>
  </si>
  <si>
    <t>PR/BPM/KRN-HLR/2601/039</t>
  </si>
  <si>
    <t>24ABJ.NINKARS006PSG.12JE</t>
  </si>
  <si>
    <t>S006 Pesanggrahan - EZ 12</t>
  </si>
  <si>
    <t>AJC/2025/10/Q800/465</t>
  </si>
  <si>
    <t>AJCPOV-2511040</t>
  </si>
  <si>
    <t>PR/BPM/KRN-HLR/2601/042</t>
  </si>
  <si>
    <t>BPMPO-2601268</t>
  </si>
  <si>
    <t>PR/BPM/KRN-HLR/2601/041</t>
  </si>
  <si>
    <t>24ABJ.NINKARS006</t>
  </si>
  <si>
    <t>S006 Cipulir</t>
  </si>
  <si>
    <t>NC S006 KECAMATAN KEBAYORAN LAMA KELURAHAN CIPULIR, PESANGGRAHAN , ULUJAMI, GROGOL</t>
  </si>
  <si>
    <t>AJC/2025/10/Q800/467</t>
  </si>
  <si>
    <t>AJCPOV-2511022</t>
  </si>
  <si>
    <t>PR/BPM/KRN-HLR/2601/028</t>
  </si>
  <si>
    <t>BPMPO-2600459</t>
  </si>
  <si>
    <t>PR/BPM/KRN-HLR/2601/030</t>
  </si>
  <si>
    <t xml:space="preserve">iyas </t>
  </si>
  <si>
    <t>NIN23KABB020.6</t>
  </si>
  <si>
    <t>B020 Tahap Pertama</t>
  </si>
  <si>
    <t>PA B020 KELURAHAN KALIDERES, KECAMATAN KALIDERES</t>
  </si>
  <si>
    <t>AJC/2025/12/Q800/604</t>
  </si>
  <si>
    <t>AJCPOV-2512064</t>
  </si>
  <si>
    <t>PR/BPM/KRN-HLR/2601/0050</t>
  </si>
  <si>
    <t>PR/BPM/KRN-HLR/2601/0051</t>
  </si>
  <si>
    <t>24ABJ.NINKARB019.9JE</t>
  </si>
  <si>
    <t>B019 Kamal gg H Jibobong</t>
  </si>
  <si>
    <t>Jl. Kamal gg H Jibobong RT 06/14 Kel. Cengkareng Barat</t>
  </si>
  <si>
    <t>AJC/2025/10/Q800/469</t>
  </si>
  <si>
    <t>AJCPOV-2511019</t>
  </si>
  <si>
    <t>PR/BPM/KRN-HLR/2601/0046</t>
  </si>
  <si>
    <t>PR/BPM/KRN-HLR/2601/0047</t>
  </si>
  <si>
    <t>24ABJ.NINKARB020.16JE</t>
  </si>
  <si>
    <t>B020 Jl. Tanjung Pura</t>
  </si>
  <si>
    <t>Jl. Tanjung Pura RT00/RW001, Kel. Pegadungan</t>
  </si>
  <si>
    <t>PR/BPM/KRN-HLR/2601/0044</t>
  </si>
  <si>
    <t>PR/BPM/KRN-HLR/2601/0045</t>
  </si>
  <si>
    <t>24ABJ.NINKARB019.15JE</t>
  </si>
  <si>
    <t>B019 Yayasan Tunas Blossom &amp; SPBU BP</t>
  </si>
  <si>
    <t>Jl. Citra Garden 3 Ext Blok F2 RT 05 RW 13</t>
  </si>
  <si>
    <t>AJC/2025/10/Q800/473</t>
  </si>
  <si>
    <t>AJCPOV-2511033</t>
  </si>
  <si>
    <t>PR/BPM/KRN-HLR/2601/0079</t>
  </si>
  <si>
    <t>PR/BPM/KRN-HLR/2601/0080</t>
  </si>
  <si>
    <t>25ABJ.NINKARS002.3JE</t>
  </si>
  <si>
    <t>S002 Dirgantoro Tarmizi</t>
  </si>
  <si>
    <t>Jl Adiyaksa II gg H Atjoh Buntu No31 Kompleks Kejagung</t>
  </si>
  <si>
    <t>AJC/2025/10/Q800/475</t>
  </si>
  <si>
    <t>AJCPOV-2511031</t>
  </si>
  <si>
    <t>PR/BPM/KRN-HLR/2512/203</t>
  </si>
  <si>
    <t>PR/BPM/KRN-HLR/2512/234</t>
  </si>
  <si>
    <t>25ABJ.NINKARS002.4JE</t>
  </si>
  <si>
    <t>S002 Haekal Rizky Yulianto</t>
  </si>
  <si>
    <t>Jl Cempaka Lestari IV No.46 RT 09 RW 07 Lebak Bulus</t>
  </si>
  <si>
    <t>AJC/2025/10/Q800/477</t>
  </si>
  <si>
    <t>AJCPOV-2511021</t>
  </si>
  <si>
    <t>PR/BPM/KRN-HLR/2512/204</t>
  </si>
  <si>
    <t>PR/BPM/KRN-HLR/2512/235</t>
  </si>
  <si>
    <t>25ABJ.NINKARB016.1JE</t>
  </si>
  <si>
    <t>B016 Kompleks Guru Kapuk Muara</t>
  </si>
  <si>
    <t>Jl SMPN 122 Kauk Muara, Penjaringan</t>
  </si>
  <si>
    <t>AJC/2025/10/Q800/480</t>
  </si>
  <si>
    <t>AJCPOV-2511011</t>
  </si>
  <si>
    <t>PR/BPM/KRN-HLR/2511/199</t>
  </si>
  <si>
    <t>PR/BPM/KRN-HLR/2512/210</t>
  </si>
  <si>
    <t>25ABJ.NINKARP009.1JE</t>
  </si>
  <si>
    <t>P009 Muhammad Daffa Utama</t>
  </si>
  <si>
    <t>Jl. Muara Angke No 16 RT 002/RW 021 Kel. Pluit</t>
  </si>
  <si>
    <t>AJC/2025/10/Q800/481</t>
  </si>
  <si>
    <t>AJCPOV-2511030</t>
  </si>
  <si>
    <t>PR/BPM/KRN-HLR/2512/200</t>
  </si>
  <si>
    <t>PR/BPM/KRN-HLR/2512/211</t>
  </si>
  <si>
    <t>25ABJ.NINKARB020.19JE</t>
  </si>
  <si>
    <t>B020 Ruko Citra Business Park</t>
  </si>
  <si>
    <t>Kompleks Citra Business Park, Jl. Peta Barat, Kalideres, Kec. Kalideres, Kota Jakarta Barat</t>
  </si>
  <si>
    <t>AJC/2025/11/Q800/561</t>
  </si>
  <si>
    <t>AJCPOV-2512032</t>
  </si>
  <si>
    <t>PR/BPM/KRN-HLR/2601/0066</t>
  </si>
  <si>
    <t>PR/BPM/KRN-HLR/2601/0067</t>
  </si>
  <si>
    <t>25ABJ.NINKARS014.1JE</t>
  </si>
  <si>
    <t>S014 Sapta Taruna</t>
  </si>
  <si>
    <t>Jl Sapta Taruna IV</t>
  </si>
  <si>
    <t>AJC/2025/12/Q800/591</t>
  </si>
  <si>
    <t>AJCPOV-2512037</t>
  </si>
  <si>
    <t>PR/BPM/KRN-HLR/2601/011</t>
  </si>
  <si>
    <t>PR/BPM/KRN-HLR/2601/012</t>
  </si>
  <si>
    <t>BPMPO-2604532</t>
  </si>
  <si>
    <t>4.Upload DBM</t>
  </si>
  <si>
    <t>25ABJ.NINKARB014.3JE</t>
  </si>
  <si>
    <t>B014 Puskesmas Pembantu Kembangan Selatan</t>
  </si>
  <si>
    <t>Jalan Gg. Family, Kembangan Selatan</t>
  </si>
  <si>
    <t>AJC/2025/12/Q800/589</t>
  </si>
  <si>
    <t>AJCPOV-2512054</t>
  </si>
  <si>
    <t>PR/BPM/KRN-HLR/2601/013</t>
  </si>
  <si>
    <t>25ABJ.NINKARB016.4JE</t>
  </si>
  <si>
    <t>B016 Tafsir Munir (Gg. Banjir)</t>
  </si>
  <si>
    <t>Gg. Banjir RT 04&amp;05 RW 04, Kapuk Muara</t>
  </si>
  <si>
    <t>AJC/2025/11/Q800/570</t>
  </si>
  <si>
    <t>AJCPOV-2512017</t>
  </si>
  <si>
    <t>PR/BPM/KRN-HLR/2512/221</t>
  </si>
  <si>
    <t>BPMPO-2507913</t>
  </si>
  <si>
    <t>PR/BPM/KRN-HLR/2512/222</t>
  </si>
  <si>
    <t>25ABJ.NINKARS006PSG.13.1JE</t>
  </si>
  <si>
    <t>S006.13 Bumi Bintaro Permai</t>
  </si>
  <si>
    <t>Jl. Bintaro Melati Kec. Pondok Aren Kel. Pondok Betung</t>
  </si>
  <si>
    <t>AJC/2025/12/Q800/621</t>
  </si>
  <si>
    <t>AJCPOV-2512052</t>
  </si>
  <si>
    <t>PR/BPM/KRN-HLR/2601/0077</t>
  </si>
  <si>
    <t>PR/BPM/KRN-HLR/2601/0075</t>
  </si>
  <si>
    <t>BPMPO-2600800</t>
  </si>
  <si>
    <t>25ABJ.NINKARS006PSG.14.1JE</t>
  </si>
  <si>
    <t>S006.14 Pesanggrahan (Tambahan)</t>
  </si>
  <si>
    <t>Jl. Mufakat RT 001 RW 003 Kel. Bintaro Kec. Pesanggrahan</t>
  </si>
  <si>
    <t>AJC/2025/12/Q800/619</t>
  </si>
  <si>
    <t>AJCPOV-2512056</t>
  </si>
  <si>
    <t>PR/BPM/KRN-HLR/2601/0065</t>
  </si>
  <si>
    <t>PR/BPM/KRN-HLR/2601/0070</t>
  </si>
  <si>
    <t>BPMPO-2600803</t>
  </si>
  <si>
    <t>25ABJ.NINKARS006PSG.17.1JE</t>
  </si>
  <si>
    <t>S006.17 Pesanggrahan (Tambahan)</t>
  </si>
  <si>
    <t>Jl. H. Alih RT 06 RW 07 Kel. Bintaro, Kec. Pesanggrahan</t>
  </si>
  <si>
    <t>AJC/2026/01/Q800/12</t>
  </si>
  <si>
    <t>AJCPOV-2602018</t>
  </si>
  <si>
    <t>PR/BPM/KRN-HLR/2602/0104</t>
  </si>
  <si>
    <t>PR/BPM/KRN-HLR/2602/0108</t>
  </si>
  <si>
    <t>BPMPO-2605685</t>
  </si>
  <si>
    <t>25ABJ.NINKARS006PSG.18.2JE</t>
  </si>
  <si>
    <t>S006.18 Pesanggrahan (Tambahan)</t>
  </si>
  <si>
    <t>Jl. MKJ 3 RT 002 RW 005 Kel. Bintaro, Kec. Pesanggrahan</t>
  </si>
  <si>
    <t>AJC/2025/12/Q800/623</t>
  </si>
  <si>
    <t>AJCPOV-2602021</t>
  </si>
  <si>
    <t>PR/BPM/KRN-HLR/2602/0103</t>
  </si>
  <si>
    <t>PR/BPM/KRN-HLR/2602/0101</t>
  </si>
  <si>
    <t>BPMPO-2600794</t>
  </si>
  <si>
    <t>25ABJ.NINKARS006PSG.18.1JE</t>
  </si>
  <si>
    <t>S006.18 Griya Seroja</t>
  </si>
  <si>
    <t>Jl. Mawar III RT 04 RW 05 Kec. Pesanggrahan, Kel. Bintaro</t>
  </si>
  <si>
    <t>AJC/2026/01/Q800/13</t>
  </si>
  <si>
    <t>AJCPOV-2601036</t>
  </si>
  <si>
    <t>PR/BPM/TM/2602/0001</t>
  </si>
  <si>
    <t>PR/BPM/KRN-HLR/2601/0072</t>
  </si>
  <si>
    <t>BPMPO-2600802</t>
  </si>
  <si>
    <t>25ABJ.NINKARS006PSG.13.3JE</t>
  </si>
  <si>
    <t>S006.13 Kelurahan Bintaro</t>
  </si>
  <si>
    <t>Kelurahan Bintaro, Kecamatan Pesanggrahan</t>
  </si>
  <si>
    <t>AJC/2025/12/Q800/646</t>
  </si>
  <si>
    <t>AJCPOV-2601017</t>
  </si>
  <si>
    <t>PR/BPM/KRN-HLR/2601/0082</t>
  </si>
  <si>
    <t>PR/BPM/KRN-HLR/2601/0081</t>
  </si>
  <si>
    <t>25ABJ.NINKARS006PSG.13.4JE</t>
  </si>
  <si>
    <t>S006.13 Jl. Kp Bulak RT 08 RW 02</t>
  </si>
  <si>
    <t>Jl. Kp Bulak Bhakti RT 08 RW 02 Kel. Bintaro, Kec. Pesanggrahan</t>
  </si>
  <si>
    <t>AJC/2026/01/Q800/14</t>
  </si>
  <si>
    <t>AJCPOV-2601031</t>
  </si>
  <si>
    <t>PR/BPM/KRN-HLR/2601/0078</t>
  </si>
  <si>
    <t>BPMPO-2600799</t>
  </si>
  <si>
    <t>25ABJ.NINKARS006PSG.15.1JE</t>
  </si>
  <si>
    <t>S006.15 Pesanggrahan (Tambahan)</t>
  </si>
  <si>
    <t>Jl. Pendidikan I RW 06 Kel. Bintaro, Kec. Pesanggrahan</t>
  </si>
  <si>
    <t>AJC/2026/01/Q800/15</t>
  </si>
  <si>
    <t>AJCPOV-2601030</t>
  </si>
  <si>
    <t>PR/BPM/KRN-HLR/2601/0074</t>
  </si>
  <si>
    <t>PR/BPM/KRN-HLR/2601/0073</t>
  </si>
  <si>
    <t>25ABJ.NINKARB006.4JE</t>
  </si>
  <si>
    <t>B006 Thoriq Firdaus</t>
  </si>
  <si>
    <t>Jalan Pesing Bendungan RT014 RW06, Kelurahan Kedoya Utara, Kecamatan Kebon Jeruk, Jakarta Barat</t>
  </si>
  <si>
    <t>AJC/2026/01/Q800/9</t>
  </si>
  <si>
    <t>AJCPOV-2601016</t>
  </si>
  <si>
    <t>PR/BPM/KRN-HLR/2601/0048</t>
  </si>
  <si>
    <t>PR/BPM/KRN-HLR/2601/0049</t>
  </si>
  <si>
    <t>25ABJ.NINKARB006.5JE</t>
  </si>
  <si>
    <t>B006 Joko Martono</t>
  </si>
  <si>
    <t>Jalan Bahagia V s/d Bahagia VIII RT 11, 15, 16 &amp; 17 RW 08 Kelurahan Kedoya Utara, Kecamatan Kebon Jeruk, Jakarta Barat</t>
  </si>
  <si>
    <t>AJC/2026/01/Q800/45</t>
  </si>
  <si>
    <t>AJCPOV-2602007</t>
  </si>
  <si>
    <t>PR/BPM/KRN-HLR/2602/0087</t>
  </si>
  <si>
    <t>PR/BPM/KRN-HLR/2602/0088</t>
  </si>
  <si>
    <t>25ABJ.NINKARB016.5JE</t>
  </si>
  <si>
    <t xml:space="preserve">B016 Gg. Sumur </t>
  </si>
  <si>
    <t>Gg Sumur RT 06 RW 07</t>
  </si>
  <si>
    <t>AJC/2026/01/Q800/43</t>
  </si>
  <si>
    <t>AJCPOV-2602019</t>
  </si>
  <si>
    <t>PR/BPM/KRN-HLR/2602/0091</t>
  </si>
  <si>
    <t>PR/BPM/KRN-HLR/2602/0092</t>
  </si>
  <si>
    <t>25ABJ.NINKARB016.5.1JE</t>
  </si>
  <si>
    <t>B016 Gg. Sumur Reinforcement</t>
  </si>
  <si>
    <t>AJC/2026/01/Q800/47</t>
  </si>
  <si>
    <t>AJCPOV-2602008</t>
  </si>
  <si>
    <t>PR/BPM/KRN-HLR/2602/0085</t>
  </si>
  <si>
    <t>PR/BPM/KRN-HLR/2602/0086</t>
  </si>
  <si>
    <t>25ABJ.NINKARS006.2JE</t>
  </si>
  <si>
    <t>S006 SPBU BP AKR Joglo</t>
  </si>
  <si>
    <t>Jl. Joglo Raya</t>
  </si>
  <si>
    <t>AJC/2026/01/Q800/49</t>
  </si>
  <si>
    <t>AJCPOV-2602017</t>
  </si>
  <si>
    <t>PR/BPM/KRN-HLR/2602/0089</t>
  </si>
  <si>
    <t>PR/BPM/KRN-HLR/2602/0090</t>
  </si>
  <si>
    <t>25ABJ.NINKARB020.17JE</t>
  </si>
  <si>
    <t>B020 Sky Terrace Lagon Condo</t>
  </si>
  <si>
    <t>AJC/2026/06/Q800/225</t>
  </si>
  <si>
    <t>25ABJ.NINKARB020.11JE</t>
  </si>
  <si>
    <t>B020 Rusunawa Pesakih Tower 6 &amp; 7 (Rusun Daan Mogot)</t>
  </si>
  <si>
    <t>AJC/2026/06/Q800/230</t>
  </si>
  <si>
    <t>25ABJ.NINKARB020.13JE</t>
  </si>
  <si>
    <t>B020 Paradise Mansion</t>
  </si>
  <si>
    <t>AJC/2026/06/Q800/234</t>
  </si>
  <si>
    <t>25ABJ.NINBUR162.1JP</t>
  </si>
  <si>
    <t>PC 162 Hanjuang</t>
  </si>
  <si>
    <t>Jl. Hanjuang  RT 08, 09, 11, 14 RW 09</t>
  </si>
  <si>
    <t>AJC/2025/10/Q800/500</t>
  </si>
  <si>
    <t>AJCPOV-2511044</t>
  </si>
  <si>
    <t>PR/BPM/BRN3HLR/2512/605</t>
  </si>
  <si>
    <t>BPMPO-2508453</t>
  </si>
  <si>
    <t>PR/BPM/BRN3HLR/2512/604</t>
  </si>
  <si>
    <t>BPMPO-2600605</t>
  </si>
  <si>
    <t>25ABJ.NINBUR162.9JP</t>
  </si>
  <si>
    <t>PC 162 Jl. Centex Gg. Jengki</t>
  </si>
  <si>
    <t>Jl. Centex Gg. Jengki</t>
  </si>
  <si>
    <t>AJC/2025/10/Q800/490</t>
  </si>
  <si>
    <t>AJCPOV-2511043</t>
  </si>
  <si>
    <t>PR/BPM/BRN3HLR/2512/607</t>
  </si>
  <si>
    <t>BPMPO-2508454</t>
  </si>
  <si>
    <t>PR/BPM/BRN3HLR/2512/606</t>
  </si>
  <si>
    <t>25ABJ.NINBUR162.5JP</t>
  </si>
  <si>
    <t>PC 162 Heavenly Residence</t>
  </si>
  <si>
    <t>Jl. Randu No.18 E/F RT. 007/RW. 011, Kelurahan Kelapa Dua Wetan, Kecamatan Ciracas, Jakarta Timur</t>
  </si>
  <si>
    <t>AJC/2026/01/Q800/11</t>
  </si>
  <si>
    <t>AJCPOV-2601026</t>
  </si>
  <si>
    <t>PR/BPM/BRN3HLR/2602/652</t>
  </si>
  <si>
    <t>PR/BPM/BRN3HLR/2602/651</t>
  </si>
  <si>
    <t>25ABJ.NINBUR162.8JP</t>
  </si>
  <si>
    <t>PC 162 Bapak Sukarno</t>
  </si>
  <si>
    <t>Jl. Darussalam RT 004 RW 012 Kel. Kelapa Dua Wetan, Kec. Ciracas, Jakarta Timur</t>
  </si>
  <si>
    <t>AJC/2026/01/Q800/19</t>
  </si>
  <si>
    <t>AJCPOV-2601021</t>
  </si>
  <si>
    <t>PR/BPM/BRN3HLR/2602/650</t>
  </si>
  <si>
    <t>PR/BPM/BRN3HLR/2602/649</t>
  </si>
  <si>
    <t>BPMPO-2600846</t>
  </si>
  <si>
    <t>25ABJ.NINBUR162.10JP</t>
  </si>
  <si>
    <t>PC 162 Jl. Tanah Merdeka RT 007/RW 004</t>
  </si>
  <si>
    <t>Jl. Tanah Merdeka RT 007/RW 004</t>
  </si>
  <si>
    <t>AJC/2026/01/Q800/20</t>
  </si>
  <si>
    <t>AJCPOV-2601022</t>
  </si>
  <si>
    <t>PR/BPM/BRN3HLR/2602/654</t>
  </si>
  <si>
    <t>PR/BPM/BRN3HLR/2602/653</t>
  </si>
  <si>
    <t>BPMPO-2605712</t>
  </si>
  <si>
    <t>24ABJ.NINBUR156.1</t>
  </si>
  <si>
    <t>PC 156 RT 05 RW 12</t>
  </si>
  <si>
    <t>PC 156 RT 05 RW 12 KELURAHAN CAWANG, KECAMATAN KERAMAT JATI</t>
  </si>
  <si>
    <t>AJC/2026/03/Q800/135</t>
  </si>
  <si>
    <t>AJCPOV-2604025</t>
  </si>
  <si>
    <t>PR/BPM/BRN3HLR/0605/713</t>
  </si>
  <si>
    <t>BPMPO-2605451</t>
  </si>
  <si>
    <t>PR/BPM/BRN3HLR/0605/714</t>
  </si>
  <si>
    <t>24ABJ.NINJTS001CLW.01JR</t>
  </si>
  <si>
    <t>PA S001.01</t>
  </si>
  <si>
    <t>24ABJ.NINJTS001CLW.02JR</t>
  </si>
  <si>
    <t>PA S001.02</t>
  </si>
  <si>
    <t>24ABJ.NINJTS001CLW.03JR</t>
  </si>
  <si>
    <t>PA S001.03</t>
  </si>
  <si>
    <t>24ABJ.NPPJTCLW012JR</t>
  </si>
  <si>
    <t>Trunk Main Ciliwung - Tahap 2</t>
  </si>
  <si>
    <t>25ABJ.NINJTP008.7JR</t>
  </si>
  <si>
    <t>P008 Kampung Muka</t>
  </si>
  <si>
    <t>NIN23KABB020</t>
  </si>
  <si>
    <t>B020 Tahap Kedua</t>
  </si>
  <si>
    <t>NIN23KABB014</t>
  </si>
  <si>
    <t>B014</t>
  </si>
  <si>
    <t>25ABJ.NINKARP009.3JE</t>
  </si>
  <si>
    <t>P009 Pantai Mutiara</t>
  </si>
  <si>
    <t>25ABJ.NINKARS006PSG.13.2JE</t>
  </si>
  <si>
    <t xml:space="preserve">S006 Jl. Bintaro Permai IV </t>
  </si>
  <si>
    <t>25ABJ.NINKARS006.3JE</t>
  </si>
  <si>
    <t>S006 Permata Regency Tahap IIIB</t>
  </si>
  <si>
    <t>26ABJ.NPPKARP34JE</t>
  </si>
  <si>
    <t>Hulu DC Semanan (Meruya - Kresek) DN600</t>
  </si>
  <si>
    <t xml:space="preserve">24ABJ.NPPKARPSG07JE.1 </t>
  </si>
  <si>
    <t>TMPS-7 Tahap 1</t>
  </si>
  <si>
    <t>25ABJ.NINKARP009.2JE</t>
  </si>
  <si>
    <t>P009 Permukiman Kampung Warga RW 22 (Dermaga Ujung)</t>
  </si>
  <si>
    <t>26ABJ.NINKARP009.1JE</t>
  </si>
  <si>
    <t>P009 Warga Kepanduan II</t>
  </si>
  <si>
    <t>NPP23BURP07</t>
  </si>
  <si>
    <t>P7 - Jl Binamarga DN1000</t>
  </si>
  <si>
    <t>Proses Konstruksi</t>
  </si>
  <si>
    <t>NPP23BURP08</t>
  </si>
  <si>
    <t>P8 - Crossing Toll Jagorawi DN1000</t>
  </si>
  <si>
    <t>NPP23BURS05</t>
  </si>
  <si>
    <t>S5 - Jl Cipayung DN800</t>
  </si>
  <si>
    <t>NPP23BURS06</t>
  </si>
  <si>
    <t>S6 - Jl Cilangkap DN600</t>
  </si>
  <si>
    <t>PNA12BUR005-C01</t>
  </si>
  <si>
    <t>IBP TNI AU</t>
  </si>
  <si>
    <t>24ABJ.NINBUR161JPEZ9</t>
  </si>
  <si>
    <t>PC 161 - EZ 9</t>
  </si>
  <si>
    <t>24ABJ.NINBUR161JPEZ10</t>
  </si>
  <si>
    <t>PC 161 - EZ 10</t>
  </si>
  <si>
    <t>24ABJ.NINBUR160EZ1</t>
  </si>
  <si>
    <t>PC 160 - EZ 1</t>
  </si>
  <si>
    <t>24ABJ.NINBUR160EZ2</t>
  </si>
  <si>
    <t>PC 160 - EZ 2</t>
  </si>
  <si>
    <t>24ABJ.NINBUR160EZ3</t>
  </si>
  <si>
    <t>PC 160 - EZ 3</t>
  </si>
  <si>
    <t>24ABJ.NINBUR160EZ4</t>
  </si>
  <si>
    <t>PC 160 - EZ 4</t>
  </si>
  <si>
    <t>24ABJ.NINBUR160EZ5</t>
  </si>
  <si>
    <t>PC 160 - EZ 5</t>
  </si>
  <si>
    <t>24ABJ.NINBUR163EZ3</t>
  </si>
  <si>
    <t>PC 163 - EZ 3</t>
  </si>
  <si>
    <t>24ABJ.NINBUR163EZ4</t>
  </si>
  <si>
    <t>PC 163 - EZ 4</t>
  </si>
  <si>
    <t>Selisih</t>
  </si>
  <si>
    <t>PR ABJ</t>
  </si>
  <si>
    <t>PO ABJ</t>
  </si>
  <si>
    <t>PR Jasa</t>
  </si>
  <si>
    <t>PO Jasa</t>
  </si>
  <si>
    <t>PR Material</t>
  </si>
  <si>
    <t>PO Material</t>
  </si>
  <si>
    <t>MOS</t>
  </si>
  <si>
    <t>DPPK</t>
  </si>
  <si>
    <t>PCM</t>
  </si>
  <si>
    <t>Kick Off</t>
  </si>
  <si>
    <t>MC-0</t>
  </si>
  <si>
    <t>TC</t>
  </si>
  <si>
    <t>PR ABJ
(Day)</t>
  </si>
  <si>
    <t>PO ABJ
(Day)</t>
  </si>
  <si>
    <t>PR Jasa
(Day)</t>
  </si>
  <si>
    <t>PO Jasa
(Day)</t>
  </si>
  <si>
    <t>PR Material
(Day)</t>
  </si>
  <si>
    <t>PO Material
(Day)</t>
  </si>
  <si>
    <t>MOS
(Day)</t>
  </si>
  <si>
    <t>DPPK
(Day)</t>
  </si>
  <si>
    <t>PCM
(Day)</t>
  </si>
  <si>
    <t>Kick Off
(Day)</t>
  </si>
  <si>
    <t>MC-0
(Day)</t>
  </si>
  <si>
    <t>TC
(Day)</t>
  </si>
  <si>
    <t>MC-100
(Day)</t>
  </si>
  <si>
    <t>DPPP
(Day)</t>
  </si>
  <si>
    <t>Keterangan</t>
  </si>
  <si>
    <t>: Terlambat 1 - 30 hari</t>
  </si>
  <si>
    <t>: Terlambat 31 - 100 hari</t>
  </si>
  <si>
    <t>: Terlambat 101 - 200 hari</t>
  </si>
  <si>
    <t>: Terlambat 201 - 300 hari</t>
  </si>
  <si>
    <t>: Terlambat 301 - 1.000 hari</t>
  </si>
  <si>
    <t>: Belum selesai tahap tersebut</t>
  </si>
  <si>
    <t>TOK April 2026</t>
  </si>
  <si>
    <t>PR Jasa BPM</t>
  </si>
  <si>
    <t>PO Jasa BPM</t>
  </si>
  <si>
    <t>PR Material BPM</t>
  </si>
  <si>
    <t>PO Material BPM</t>
  </si>
  <si>
    <t>SPAM</t>
  </si>
  <si>
    <t>Jumlah Program</t>
  </si>
  <si>
    <t>Progam Batal / Cancel</t>
  </si>
  <si>
    <t>On Schedule</t>
  </si>
  <si>
    <t>Delay</t>
  </si>
  <si>
    <t>Belum</t>
  </si>
  <si>
    <t>Selesai PO = 100%</t>
  </si>
  <si>
    <t>Proses PO &gt; 100%</t>
  </si>
  <si>
    <t>Proses PO &gt; 50%</t>
  </si>
  <si>
    <t>Belum PO = 0%</t>
  </si>
  <si>
    <t>Min</t>
  </si>
  <si>
    <t>Max</t>
  </si>
  <si>
    <t>Selesai MOS = 100%</t>
  </si>
  <si>
    <t>Proses MOS &gt; 100%</t>
  </si>
  <si>
    <t>Proses MOS &gt; 50%</t>
  </si>
  <si>
    <t>Belum MOS = 0%</t>
  </si>
  <si>
    <t>Jumlah Line</t>
  </si>
  <si>
    <t>Line PR Material</t>
  </si>
  <si>
    <t>Line PO Material BPM</t>
  </si>
  <si>
    <t>% Line PO Material BPM</t>
  </si>
  <si>
    <t>% Line MOS</t>
  </si>
  <si>
    <t>(Prog)</t>
  </si>
  <si>
    <t>(%)</t>
  </si>
  <si>
    <t>Dikeluarkan</t>
  </si>
  <si>
    <t>Jatiluhur - MS</t>
  </si>
  <si>
    <t>Jatiluhur - Non MS</t>
  </si>
  <si>
    <t>Karian - MS</t>
  </si>
  <si>
    <t>Karian - Non MS</t>
  </si>
  <si>
    <t>Buaran 3 - MS</t>
  </si>
  <si>
    <t>Buaran 3 - Non MS</t>
  </si>
  <si>
    <t>TOTAL</t>
  </si>
  <si>
    <t>TOK Oktober 2026</t>
  </si>
  <si>
    <t>Full Prog</t>
  </si>
  <si>
    <t>Total</t>
  </si>
  <si>
    <t>Batal</t>
  </si>
  <si>
    <t>Belum Konstruksi</t>
  </si>
  <si>
    <t>Selesai Konstruksi</t>
  </si>
  <si>
    <t>Dokumen</t>
  </si>
  <si>
    <t>Belum Ada</t>
  </si>
  <si>
    <t>Sebagian/Partial</t>
  </si>
  <si>
    <t>Draft Lengkap</t>
  </si>
  <si>
    <t>Final/Approved</t>
  </si>
  <si>
    <t>%</t>
  </si>
  <si>
    <t>TOK April 2026 - Terlambat 90 hari</t>
  </si>
  <si>
    <t>Umum : K3, dll.</t>
  </si>
  <si>
    <t>Perijinan</t>
  </si>
  <si>
    <t>BA MC-0</t>
  </si>
  <si>
    <t>BA Test Pit &amp; Foto</t>
  </si>
  <si>
    <t>Uji Lab/ Kualitas</t>
  </si>
  <si>
    <t>Data Logger</t>
  </si>
  <si>
    <t>BA Hydro</t>
  </si>
  <si>
    <t>BA Flushing</t>
  </si>
  <si>
    <t>BA Singgem</t>
  </si>
  <si>
    <t>BATC</t>
  </si>
  <si>
    <t>BA Test Fungsi</t>
  </si>
  <si>
    <t>Persetujuan KPI Lulus Kom</t>
  </si>
  <si>
    <t>LH, LM, LB</t>
  </si>
  <si>
    <t>ABD</t>
  </si>
  <si>
    <t>BAPL</t>
  </si>
  <si>
    <t>BA MC-100</t>
  </si>
  <si>
    <t>Justek</t>
  </si>
  <si>
    <t>Justfin</t>
  </si>
  <si>
    <t>RNA</t>
  </si>
  <si>
    <t>RDA</t>
  </si>
  <si>
    <t>Proposal Modifikasi</t>
  </si>
  <si>
    <t>SUMMARY PROGRAM UPLOADED BIM</t>
  </si>
  <si>
    <t>Due Date :</t>
  </si>
  <si>
    <t>Target penyelesaian program-program TOK April 2026</t>
  </si>
  <si>
    <t>Nama SPAM</t>
  </si>
  <si>
    <t>Kode Project</t>
  </si>
  <si>
    <t>Sub Project</t>
  </si>
  <si>
    <t>Nama Project</t>
  </si>
  <si>
    <t>Kategori</t>
  </si>
  <si>
    <t>Detail Kategori</t>
  </si>
  <si>
    <t>Status Proyek</t>
  </si>
  <si>
    <t>Aktual Progres</t>
  </si>
  <si>
    <t>Kelengkapan</t>
  </si>
  <si>
    <t>Status Upload</t>
  </si>
  <si>
    <t>Surat DPPK</t>
  </si>
  <si>
    <t>Persetujuan KPI Lulus Komisioning</t>
  </si>
  <si>
    <t>Dokumen Pelatihan</t>
  </si>
  <si>
    <t>RAB Final</t>
  </si>
  <si>
    <t>Umum : K3, Bedeng, Info Proyek, JSEA dan HIRADC</t>
  </si>
  <si>
    <t>BOQ</t>
  </si>
  <si>
    <t>BOM</t>
  </si>
  <si>
    <t>PIC Admin BIM</t>
  </si>
  <si>
    <t>Status
16.20 WIB</t>
  </si>
  <si>
    <t>Upload Google Drive</t>
  </si>
  <si>
    <t>Review Tim Magang</t>
  </si>
  <si>
    <t>PIC Perbaikan</t>
  </si>
  <si>
    <t>Target Perbaikan</t>
  </si>
  <si>
    <t>Tindak Lanjut atas Review Tim Magang</t>
  </si>
  <si>
    <t>Status</t>
  </si>
  <si>
    <t>TestComm</t>
  </si>
  <si>
    <t>Persetujuan KPI lulus Komisioning</t>
  </si>
  <si>
    <t>Perizinan</t>
  </si>
  <si>
    <t>RNA (BOQ + BOM)</t>
  </si>
  <si>
    <t>Umum : K3, Bedeng, Info Proyek</t>
  </si>
  <si>
    <t>Submit DP3</t>
  </si>
  <si>
    <t>Mon</t>
  </si>
  <si>
    <t>BIM</t>
  </si>
  <si>
    <t>Trunk Main Ciliwung  - 10 (DN600, DN400, DN300, DN200)</t>
  </si>
  <si>
    <t>Rencana MC-100 sebelum 19/02/2026</t>
  </si>
  <si>
    <t>On Going Konstruksi</t>
  </si>
  <si>
    <t>Upload CDE</t>
  </si>
  <si>
    <t>Perlu</t>
  </si>
  <si>
    <t>Sudah MC-0</t>
  </si>
  <si>
    <t>Trunk Main Ciliwung - 11 (DN500, DN300)</t>
  </si>
  <si>
    <t>Trunk Main Ciliwung - 10.1 (Interkoneksi Pipa SPAM Ciliwung Hilir - Pipa Eksisting)</t>
  </si>
  <si>
    <t>Belum upload BIM</t>
  </si>
  <si>
    <t>Sudah PCM</t>
  </si>
  <si>
    <t>Trunk Main Ciliwung - 10.2 (Pipa Input PA S001.04)</t>
  </si>
  <si>
    <t>SPAM Ciliwung PA S011.01</t>
  </si>
  <si>
    <t>Ada</t>
  </si>
  <si>
    <t>Auryn</t>
  </si>
  <si>
    <t>SPAM Ciliwung PA S011.02</t>
  </si>
  <si>
    <t>SPAM Ciliwung PA S011.03</t>
  </si>
  <si>
    <t>SPAM Ciliwung PA S011.04</t>
  </si>
  <si>
    <t>SPAM Ciliwung PA S001.04</t>
  </si>
  <si>
    <t>TOK April 2026 - Batal</t>
  </si>
  <si>
    <t>Submit BIM</t>
  </si>
  <si>
    <t>Submit for Review</t>
  </si>
  <si>
    <t>Sudah TC</t>
  </si>
  <si>
    <t>S001 McD Jati PAdang (PT Resko National Food)</t>
  </si>
  <si>
    <t>Shafiya</t>
  </si>
  <si>
    <t>Rencana MC-100 setelah 19/02/2026</t>
  </si>
  <si>
    <t>Potensi Batal</t>
  </si>
  <si>
    <t>PC 068 RT 03/RW04 Sukapura dan RT 05/ RW 10 Sukapura</t>
  </si>
  <si>
    <t>PC 070 Kawasan JGC</t>
  </si>
  <si>
    <t>submit BIM</t>
  </si>
  <si>
    <t>PC 070 Jl. Inspeksi Kirana</t>
  </si>
  <si>
    <t>RDA ; RAB Final ; Justek ; Justfin ; LH, LM, LB ; Submit DPPP</t>
  </si>
  <si>
    <t>PC 078 Jl Perjuangan</t>
  </si>
  <si>
    <t>Lucky Point Asaba</t>
  </si>
  <si>
    <t>Terogong Raya</t>
  </si>
  <si>
    <t>Ibu Elly</t>
  </si>
  <si>
    <t>Cluster Taman Aries</t>
  </si>
  <si>
    <t>PT Lumas Jaya Industri &amp; PT Honda Mugen</t>
  </si>
  <si>
    <t>Sudah MC-100</t>
  </si>
  <si>
    <t>On going konstruksi</t>
  </si>
  <si>
    <t>Citra 5 tambahan</t>
  </si>
  <si>
    <t>ada</t>
  </si>
  <si>
    <t>Widya</t>
  </si>
  <si>
    <t>Draft ABD, Justek, RDA, BOQ, BOM, Jusfin</t>
  </si>
  <si>
    <t xml:space="preserve">1. BOQ: Belum tertera deskripsi item berisi pekerjaan biaya perizinan untuk jalur pipa dia. 63 mm pada dokumen BOQ Final
BOQ: Penulisan pekerjaan pengeboran atau selongsong, pemotongan pipa, pemasangan pipa, dudukan beton (jika diperlukan), perkuatan pipa, dan turap pelindung galian dalam manual boring dan HDD &amp; jacking terpotong 
2. ABD : Item Bend 45 HDPE Segmented PN 16 dengan ujung bevelled PN 10 Dia. 63 mm tertera pada ABD sebanyak 2 unit sedangkan pada RAB Final 0 unit
Item Tee HDPE Segmented PN 16 dengan ujung bevelled PN 10 Dia. 110x63 mm tertera 1 unit pada ABD namun tidak ter list kan pada RAB Final
Item Coupling DCI for HDPE with Grip PN10 Dia. 110 mm tercantumkan 2 unit pada ABD namun tidak terlistkan pada RAB Final
Item Coupling DCI for HDPE with Grip PN10 Dia. 63 mm tercantumkan 2 unit pada ABD namun 0 unit pada RAB Final
Item Bend HDPE 45 Segmented PN16 Dia. 63 mm tercantumkan pada ABD sebanyak 3 unit namun belum terlist kan pada RAB Final
Coupling DCI for HDPE with Grip PN10 Dia. 63 mm tercantumkan 1 unit pada ABD namun 0 unit pada RAB Final
Item pipa HDPE PN10 SDR17 Dia. 63 mm tercantumkan sebesar 171 m pada ABD sedangkan pada RAB Final 263,2 m
Kode VA.11a perubahan QTY nya berbeda dengan RAB 
kode VR.11 tidak ada Justek 
Kode BMA. 9a tidak ada justek 
Kode PTH.01 perubahan QTY berbeda
Kode PTE.01 perubahan QTY berbeda
Kode PA.1 Perubahan QTY nya berbeda
Kode S.01 tidak ada justek 
Kode PPL.01 (diameter 75mm) tidak ada justek 
Kode PH 12 tidak ada justek 
Kode RG24 tidak ada justek 
Kode BN02 tidak ada justek </t>
  </si>
  <si>
    <t>Wardiman</t>
  </si>
  <si>
    <t>Close</t>
  </si>
  <si>
    <t>BOM, BOQ, Justek, ABD, RDA, Jusfin</t>
  </si>
  <si>
    <t>Justifikasi Teknis 	"-        Pipa HDPE PN 10 (Hotmix) berbeda QTY nya dgn di RAB
-        Pipa HDPE PN 10 (Berm) tidak ada Justek nya 
-        Kode PA.1 tidak ada justek 
-        Kode S.03 Tidak ada justek 
-        Kode PH10 tidak ada justek 
-        Kode PST 10 tidak ada justek 
-        Kode BP4511 tidak ada justek 
-        Pekerjaan Lain-lain tidak ada justek
"
BOQ	Belum ada biaya perizinan pada BOQ</t>
  </si>
  <si>
    <t>Draft RDA, BOM, BOQ, RAB</t>
  </si>
  <si>
    <t>Febe</t>
  </si>
  <si>
    <t>Open</t>
  </si>
  <si>
    <t>Draft BOM, BOQ, Justek, Jusfin, RAB</t>
  </si>
  <si>
    <t xml:space="preserve">BOQ: F10 STUB FLANGE HDPE Terdapat perbedaan ukuran  antara RAB Final (OD 315 mm) dengan BOQ (OD 300mm)
3. jUSTEK: Terdapat banyak inkonsistensi antara RAB Final dan Justek
-        Banyak perbedaan Quantity dan harga satuan pada Pekerjaan Pemasangan Pipa Air Bersih
-        Banyak perbedaan quantity dan harga satuan pada pekerjaan pemasangan aksesoris 
-        Banyak perbedaan quantity dan harga satuan pada pekerjaan supply material pekerjaan persiapan 
</t>
  </si>
  <si>
    <t>Bisa Submit Review</t>
  </si>
  <si>
    <t>Draft RAB, BOQ, BOM, Justek, Jusfin ABD</t>
  </si>
  <si>
    <t>Tandatangan pada BOQ dan BOM masih memiliki 7 section tanda tangan
Detail pekerjaan "Kegiatan Umum" tidak terdapat pada MC100 namun quantity sudah sesuai</t>
  </si>
  <si>
    <t>TTD sudah dihapus
Format sudah sesuai dari awal bahwa satuan Kegiatan Umum tidak dijelaskan secara rinci (Ls)</t>
  </si>
  <si>
    <t>P36 Daan Mogot - Pemasangan EFM dan RTU</t>
  </si>
  <si>
    <t>Rencana MC-100 setelah 19/02/2027</t>
  </si>
  <si>
    <t>Justek Draft BOM, BOQ, Justek, Jusfin, RAB, ABD</t>
  </si>
  <si>
    <t>1. Pada ABD item stub flange with backing ring dia.63 mm ada 3 namun pada RAB ituliskan quantitynya 2
2. Pipa HDPE PN 10 SDR 17 Dia. 63 mm (45,66 m) ada pada RAB tidak terdapat pada RDA
3. Pipa Steel PN 10 Dia. 100 mm (12 m) ada pada RAB tidak ada pada RDA (perpipaan lain ada dan aksesoris di include di pekerjaan tiap perpipaan)</t>
  </si>
  <si>
    <t>1. Cek lagi total keseluruhan Stub flange 63mm ada 4 unit (ABD dan RAB)
2. Ada 3 baris Pipa dia. 63mm dengan panjang masing2, kalo ditotal jumlahnya 45,66 mtr
3. Pipa steel tidak masuk dalam RDA</t>
  </si>
  <si>
    <t xml:space="preserve">PC 161 - EZ 1 </t>
  </si>
  <si>
    <t xml:space="preserve">PC 161 - EZ 3 </t>
  </si>
  <si>
    <t>Segera TC</t>
  </si>
  <si>
    <t>Upload belum lengkap</t>
  </si>
  <si>
    <t xml:space="preserve">PC 161 - EZ 7 </t>
  </si>
  <si>
    <t xml:space="preserve">PC 161 - EZ 8 </t>
  </si>
  <si>
    <t xml:space="preserve">PC 161 - EZ 11 </t>
  </si>
  <si>
    <t xml:space="preserve">PC 145 </t>
  </si>
  <si>
    <t>Target dokumen hingga hari ini</t>
  </si>
  <si>
    <t>Target Dokumen</t>
  </si>
  <si>
    <t>Selesai</t>
  </si>
  <si>
    <t>Dokumen yang sudah selesai</t>
  </si>
  <si>
    <t>Aktual Dokumen</t>
  </si>
  <si>
    <t>Terlambat</t>
  </si>
  <si>
    <t xml:space="preserve">Outstanding dokumen </t>
  </si>
  <si>
    <t>Deviasi</t>
  </si>
  <si>
    <t>Belum Jatuh Tempo</t>
  </si>
  <si>
    <t>SPAM Karian Serpong</t>
  </si>
  <si>
    <t>Done</t>
  </si>
  <si>
    <t>Outstanding</t>
  </si>
  <si>
    <t>TOK Apr 26</t>
  </si>
  <si>
    <t>Sudah Flushing</t>
  </si>
  <si>
    <t>Sudah Test Comm</t>
  </si>
  <si>
    <t>Sdh Pengukuran MC-100</t>
  </si>
  <si>
    <t>Sudah Verifikasi MC-100</t>
  </si>
  <si>
    <t>Sudah DPPP</t>
  </si>
  <si>
    <t>Minggu lalu</t>
  </si>
  <si>
    <t>Minggu Ini</t>
  </si>
  <si>
    <t>Program Konstruksi</t>
  </si>
  <si>
    <t>TOK + 90 Hari</t>
  </si>
  <si>
    <t>Jumlah Program TOK Apr 26</t>
  </si>
  <si>
    <t>Cancel</t>
  </si>
  <si>
    <t>Izin</t>
  </si>
  <si>
    <t>Izin pemilik Master Meter</t>
  </si>
  <si>
    <t>Program Cancel</t>
  </si>
  <si>
    <t>Dikerjakan PAM Jaya</t>
  </si>
  <si>
    <t>Persiapan</t>
  </si>
  <si>
    <t>Proses MOS</t>
  </si>
  <si>
    <t>Kick Off Meeting</t>
  </si>
  <si>
    <t>Flushing</t>
  </si>
  <si>
    <t>Tes Com</t>
  </si>
  <si>
    <t>Jatiluhur Hilir</t>
  </si>
  <si>
    <t>Summary Project TOK Oktober 2026</t>
  </si>
  <si>
    <t>Karian Serpong Hilir</t>
  </si>
  <si>
    <t>Buaran 3 Hilir</t>
  </si>
  <si>
    <t>Total Program</t>
  </si>
  <si>
    <t>Program Berjalan</t>
  </si>
  <si>
    <t>PCM &amp; KOM</t>
  </si>
  <si>
    <t>Tes Comm</t>
  </si>
  <si>
    <t>Program Batal</t>
  </si>
  <si>
    <t>Milestone</t>
  </si>
  <si>
    <t>Proses</t>
  </si>
  <si>
    <t>PO</t>
  </si>
  <si>
    <t>Konstruksi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</si>
</sst>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00_-;\-* #,##0.00_-;_-* &quot;-&quot;??_-;_-@_-"/>
    <numFmt numFmtId="165" formatCode="_-&quot;Rp&quot;* #,##0_-;\-&quot;Rp&quot;* #,##0_-;_-&quot;Rp&quot;* &quot;-&quot;_-;_-@_-"/>
    <numFmt numFmtId="166" formatCode="_-&quot;Rp&quot;* #,##0.00_-;\-&quot;Rp&quot;* #,##0.00_-;_-&quot;Rp&quot;* &quot;-&quot;??_-;_-@_-"/>
    <numFmt numFmtId="167" formatCode="_(* #,##0_);_(* \(#,##0\);_(* &quot;-&quot;??_);_(@_)"/>
    <numFmt numFmtId="168" formatCode="_(* #,##0.0_);_(* \(#,##0.0\);_(* &quot;-&quot;??_);_(@_)"/>
    <numFmt numFmtId="169" formatCode="[$-13809]d\ mmm\ yyyy;@"/>
    <numFmt numFmtId="170" formatCode="_-* #,##0_-;\-* #,##0_-;_-* &quot;-&quot;??_-;_-@_-"/>
    <numFmt numFmtId="171" formatCode="[$-409]d\-mmm\-yy;@"/>
    <numFmt numFmtId="172" formatCode="_-[$Rp-421]* #,##0.00_-;\-[$Rp-421]* #,##0.00_-;_-[$Rp-421]* &quot;-&quot;??_-;_-@_-"/>
    <numFmt numFmtId="173" formatCode="_-&quot;Rp&quot;* #,##0_-;\-&quot;Rp&quot;* #,##0_-;_-&quot;Rp&quot;* &quot;-&quot;??_-;_-@_-"/>
    <numFmt numFmtId="174" formatCode="0.0%"/>
    <numFmt numFmtId="175" formatCode="[$-13809]dd\ mmmm\ yyyy;@"/>
    <numFmt numFmtId="176" formatCode="0.000%"/>
    <numFmt numFmtId="177" formatCode="[$-409]dd\-mmm\-yy;@"/>
    <numFmt numFmtId="178" formatCode="dd/mm/yy;@"/>
  </numFmts>
  <fonts count="4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8"/>
      <color theme="1"/>
      <name val="Calibri"/>
      <family val="2"/>
      <scheme val="minor"/>
    </font>
    <font>
      <b/>
      <sz val="11"/>
      <color rgb="FFFFFF00"/>
      <name val="Calibri"/>
      <family val="2"/>
      <scheme val="minor"/>
    </font>
    <font>
      <b/>
      <sz val="9"/>
      <color indexed="81"/>
      <name val="Tahoma"/>
      <family val="2"/>
    </font>
    <font>
      <sz val="9"/>
      <color indexed="81"/>
      <name val="Tahoma"/>
      <family val="2"/>
    </font>
    <font>
      <sz val="11"/>
      <color theme="0"/>
      <name val="Calibri"/>
      <family val="2"/>
      <scheme val="minor"/>
    </font>
    <font>
      <sz val="8"/>
      <name val="Calibri"/>
      <family val="2"/>
      <scheme val="minor"/>
    </font>
    <font>
      <sz val="11"/>
      <color rgb="FF000000"/>
      <name val="Calibri"/>
      <family val="2"/>
    </font>
    <font>
      <sz val="11"/>
      <color rgb="FF000000"/>
      <name val="Calibri"/>
      <family val="2"/>
      <scheme val="minor"/>
    </font>
    <font>
      <sz val="11"/>
      <color rgb="FF000000"/>
      <name val="Arial"/>
      <family val="2"/>
    </font>
    <font>
      <sz val="11"/>
      <color rgb="FFFF0000"/>
      <name val="Calibri"/>
      <family val="2"/>
      <scheme val="minor"/>
    </font>
    <font>
      <sz val="11"/>
      <name val="Calibri"/>
      <family val="2"/>
      <scheme val="minor"/>
    </font>
    <font>
      <sz val="11"/>
      <color theme="0"/>
      <name val="Calibri"/>
      <family val="2"/>
    </font>
    <font>
      <b/>
      <sz val="11"/>
      <color rgb="FFFF0000"/>
      <name val="Calibri"/>
      <family val="2"/>
      <scheme val="minor"/>
    </font>
    <font>
      <sz val="9"/>
      <color theme="0"/>
      <name val="Calibri"/>
      <family val="2"/>
    </font>
    <font>
      <sz val="9"/>
      <color theme="1"/>
      <name val="Calibri"/>
      <family val="2"/>
      <scheme val="minor"/>
    </font>
    <font>
      <sz val="9"/>
      <name val="Calibri"/>
      <family val="2"/>
      <scheme val="minor"/>
    </font>
    <font>
      <b/>
      <sz val="11"/>
      <name val="Calibri"/>
      <family val="2"/>
      <scheme val="minor"/>
    </font>
    <font>
      <sz val="9"/>
      <color theme="0"/>
      <name val="Calibri"/>
      <family val="2"/>
      <scheme val="minor"/>
    </font>
    <font>
      <sz val="11"/>
      <color rgb="FF333333"/>
      <name val="Calibri"/>
      <family val="2"/>
      <scheme val="minor"/>
    </font>
    <font>
      <sz val="11"/>
      <color theme="1"/>
      <name val="Arial"/>
      <family val="2"/>
    </font>
    <font>
      <b/>
      <sz val="12"/>
      <color theme="0"/>
      <name val="Calibri"/>
      <family val="2"/>
      <scheme val="minor"/>
    </font>
    <font>
      <b/>
      <sz val="12"/>
      <color theme="1"/>
      <name val="Calibri"/>
      <family val="2"/>
      <scheme val="minor"/>
    </font>
    <font>
      <sz val="12"/>
      <color theme="1"/>
      <name val="Calibri"/>
      <family val="2"/>
      <scheme val="minor"/>
    </font>
    <font>
      <sz val="11"/>
      <name val="Calibri"/>
      <family val="2"/>
    </font>
    <font>
      <b/>
      <sz val="14"/>
      <color theme="0"/>
      <name val="Calibri"/>
      <family val="2"/>
      <scheme val="minor"/>
    </font>
    <font>
      <b/>
      <sz val="9"/>
      <color rgb="FF000000"/>
      <name val="Calibri"/>
      <family val="2"/>
    </font>
    <font>
      <b/>
      <sz val="11"/>
      <color rgb="FF000000"/>
      <name val="Calibri"/>
      <family val="2"/>
    </font>
    <font>
      <sz val="11"/>
      <color theme="1"/>
      <name val="Gill Sans MT Condensed"/>
      <family val="2"/>
    </font>
    <font>
      <sz val="12"/>
      <color theme="1"/>
      <name val="Leelawadee"/>
      <family val="2"/>
    </font>
    <font>
      <sz val="14"/>
      <color theme="1"/>
      <name val="Gill Sans MT Condensed"/>
      <family val="2"/>
    </font>
    <font>
      <sz val="12"/>
      <color theme="0"/>
      <name val="Leelawadee"/>
      <family val="2"/>
    </font>
    <font>
      <b/>
      <sz val="12"/>
      <color theme="1"/>
      <name val="Arial"/>
      <family val="2"/>
    </font>
    <font>
      <sz val="12"/>
      <color theme="1"/>
      <name val="Arial"/>
      <family val="2"/>
    </font>
    <font>
      <b/>
      <sz val="16"/>
      <color theme="1"/>
      <name val="Arial"/>
      <family val="2"/>
    </font>
    <font>
      <sz val="14"/>
      <color theme="1"/>
      <name val="Arial"/>
      <family val="2"/>
    </font>
    <font>
      <sz val="12"/>
      <color theme="0"/>
      <name val="Arial"/>
      <family val="2"/>
    </font>
    <font>
      <b/>
      <sz val="11"/>
      <color rgb="FFFF0000"/>
      <name val="Arial"/>
      <family val="2"/>
    </font>
    <font>
      <b/>
      <sz val="12"/>
      <color rgb="FFFF0000"/>
      <name val="Arial"/>
      <family val="2"/>
    </font>
    <font>
      <b/>
      <sz val="12"/>
      <color rgb="FF000000"/>
      <name val="Arial"/>
      <family val="2"/>
    </font>
    <font>
      <b/>
      <sz val="12"/>
      <color rgb="FFC00000"/>
      <name val="Arial"/>
      <family val="2"/>
    </font>
    <font>
      <sz val="8"/>
      <color theme="1"/>
      <name val="Arial"/>
      <family val="2"/>
    </font>
    <font>
      <b/>
      <sz val="9"/>
      <color theme="1"/>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002060"/>
        <bgColor indexed="64"/>
      </patternFill>
    </fill>
    <fill>
      <patternFill patternType="solid">
        <fgColor rgb="FF00B0F0"/>
        <bgColor indexed="64"/>
      </patternFill>
    </fill>
    <fill>
      <patternFill patternType="solid">
        <fgColor rgb="FFFF0000"/>
        <bgColor indexed="64"/>
      </patternFill>
    </fill>
    <fill>
      <patternFill patternType="solid">
        <fgColor theme="7"/>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theme="4" tint="0.59999389629810485"/>
        <bgColor theme="4" tint="0.59999389629810485"/>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92D050"/>
        <bgColor indexed="64"/>
      </patternFill>
    </fill>
    <fill>
      <patternFill patternType="solid">
        <fgColor rgb="FFC00000"/>
        <bgColor indexed="64"/>
      </patternFill>
    </fill>
    <fill>
      <patternFill patternType="solid">
        <fgColor theme="2"/>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theme="9" tint="0.59999389629810485"/>
        <bgColor indexed="64"/>
      </patternFill>
    </fill>
  </fills>
  <borders count="8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theme="4" tint="0.39997558519241921"/>
      </top>
      <bottom style="thin">
        <color indexed="64"/>
      </bottom>
      <diagonal/>
    </border>
    <border>
      <left/>
      <right/>
      <top style="thin">
        <color rgb="FF4472C4"/>
      </top>
      <bottom/>
      <diagonal/>
    </border>
    <border>
      <left style="thin">
        <color rgb="FF4472C4"/>
      </left>
      <right/>
      <top style="thin">
        <color rgb="FF4472C4"/>
      </top>
      <bottom/>
      <diagonal/>
    </border>
    <border>
      <left style="thin">
        <color indexed="64"/>
      </left>
      <right style="thin">
        <color indexed="64"/>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style="thin">
        <color theme="0"/>
      </left>
      <right style="thin">
        <color theme="0"/>
      </right>
      <top style="thin">
        <color theme="0"/>
      </top>
      <bottom/>
      <diagonal/>
    </border>
    <border>
      <left/>
      <right style="thin">
        <color indexed="64"/>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style="hair">
        <color auto="1"/>
      </right>
      <top/>
      <bottom style="hair">
        <color auto="1"/>
      </bottom>
      <diagonal/>
    </border>
    <border>
      <left/>
      <right style="hair">
        <color indexed="64"/>
      </right>
      <top/>
      <bottom style="hair">
        <color indexed="64"/>
      </bottom>
      <diagonal/>
    </border>
    <border>
      <left style="hair">
        <color auto="1"/>
      </left>
      <right style="thin">
        <color auto="1"/>
      </right>
      <top/>
      <bottom style="hair">
        <color auto="1"/>
      </bottom>
      <diagonal/>
    </border>
    <border>
      <left style="hair">
        <color auto="1"/>
      </left>
      <right style="hair">
        <color auto="1"/>
      </right>
      <top/>
      <bottom style="hair">
        <color auto="1"/>
      </bottom>
      <diagonal/>
    </border>
    <border>
      <left style="hair">
        <color indexed="64"/>
      </left>
      <right/>
      <top/>
      <bottom style="hair">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auto="1"/>
      </top>
      <bottom style="thin">
        <color auto="1"/>
      </bottom>
      <diagonal/>
    </border>
    <border>
      <left/>
      <right style="thin">
        <color rgb="FF000000"/>
      </right>
      <top/>
      <bottom style="thin">
        <color rgb="FF000000"/>
      </bottom>
      <diagonal/>
    </border>
    <border>
      <left style="hair">
        <color indexed="64"/>
      </left>
      <right style="thin">
        <color rgb="FF000000"/>
      </right>
      <top/>
      <bottom style="hair">
        <color indexed="64"/>
      </bottom>
      <diagonal/>
    </border>
    <border>
      <left/>
      <right style="thin">
        <color auto="1"/>
      </right>
      <top/>
      <bottom style="hair">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6" fontId="1" fillId="0" borderId="0" applyFont="0" applyFill="0" applyBorder="0" applyAlignment="0" applyProtection="0"/>
  </cellStyleXfs>
  <cellXfs count="911">
    <xf numFmtId="0" fontId="0" fillId="0" borderId="0" xfId="0"/>
    <xf numFmtId="0" fontId="0" fillId="0" borderId="0" xfId="0" applyAlignment="1">
      <alignment vertical="top"/>
    </xf>
    <xf numFmtId="0" fontId="2" fillId="3" borderId="5" xfId="0" applyFont="1" applyFill="1" applyBorder="1" applyAlignment="1">
      <alignment horizontal="center" vertical="top"/>
    </xf>
    <xf numFmtId="0" fontId="2" fillId="3" borderId="5" xfId="0" applyFont="1" applyFill="1" applyBorder="1" applyAlignment="1">
      <alignment horizontal="center" vertical="top" wrapText="1"/>
    </xf>
    <xf numFmtId="0" fontId="0" fillId="0" borderId="0" xfId="0" applyAlignment="1">
      <alignment vertical="center"/>
    </xf>
    <xf numFmtId="3" fontId="0" fillId="0" borderId="0" xfId="0" applyNumberFormat="1"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2" fillId="3" borderId="8" xfId="0" applyFont="1" applyFill="1" applyBorder="1" applyAlignment="1">
      <alignment horizontal="center" vertical="top"/>
    </xf>
    <xf numFmtId="0" fontId="2" fillId="3" borderId="8" xfId="0" applyFont="1" applyFill="1" applyBorder="1" applyAlignment="1">
      <alignment horizontal="center" vertical="top" wrapText="1"/>
    </xf>
    <xf numFmtId="0" fontId="2" fillId="3" borderId="1" xfId="0" applyFont="1" applyFill="1" applyBorder="1" applyAlignment="1">
      <alignment horizontal="center" vertical="top"/>
    </xf>
    <xf numFmtId="0" fontId="2" fillId="3"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8" borderId="1" xfId="0" applyFont="1" applyFill="1" applyBorder="1" applyAlignment="1">
      <alignment horizontal="center" vertical="top" wrapText="1"/>
    </xf>
    <xf numFmtId="169" fontId="2" fillId="5"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169" fontId="2" fillId="3" borderId="1" xfId="0" applyNumberFormat="1" applyFont="1" applyFill="1" applyBorder="1" applyAlignment="1">
      <alignment horizontal="center" vertical="top" wrapText="1"/>
    </xf>
    <xf numFmtId="9" fontId="2" fillId="3" borderId="1" xfId="2" applyFont="1" applyFill="1" applyBorder="1" applyAlignment="1">
      <alignment horizontal="center" vertical="top" wrapText="1"/>
    </xf>
    <xf numFmtId="10" fontId="2" fillId="3" borderId="8" xfId="2" applyNumberFormat="1" applyFont="1" applyFill="1" applyBorder="1" applyAlignment="1">
      <alignment horizontal="center" vertical="top" wrapText="1"/>
    </xf>
    <xf numFmtId="10" fontId="0" fillId="0" borderId="0" xfId="2" applyNumberFormat="1" applyFont="1" applyAlignment="1">
      <alignment horizontal="center" vertical="center"/>
    </xf>
    <xf numFmtId="10" fontId="0" fillId="0" borderId="0" xfId="2" applyNumberFormat="1" applyFont="1" applyAlignment="1">
      <alignment horizontal="center" vertical="center" wrapText="1"/>
    </xf>
    <xf numFmtId="10" fontId="2" fillId="6" borderId="8" xfId="2" applyNumberFormat="1" applyFont="1" applyFill="1" applyBorder="1" applyAlignment="1">
      <alignment horizontal="center" vertical="top" wrapText="1"/>
    </xf>
    <xf numFmtId="10" fontId="0" fillId="0" borderId="0" xfId="0" applyNumberFormat="1" applyAlignment="1">
      <alignment horizontal="center" vertical="center"/>
    </xf>
    <xf numFmtId="0" fontId="3" fillId="0" borderId="0" xfId="0" applyFont="1" applyAlignment="1">
      <alignment horizontal="center" vertical="center"/>
    </xf>
    <xf numFmtId="10" fontId="0" fillId="0" borderId="0" xfId="3" applyNumberFormat="1" applyFont="1" applyFill="1" applyAlignment="1">
      <alignment horizontal="center" vertical="center"/>
    </xf>
    <xf numFmtId="10" fontId="0" fillId="0" borderId="0" xfId="2" applyNumberFormat="1" applyFont="1" applyFill="1" applyAlignment="1">
      <alignment horizontal="center" vertical="center"/>
    </xf>
    <xf numFmtId="171" fontId="3" fillId="0" borderId="0" xfId="0" applyNumberFormat="1" applyFont="1" applyAlignment="1">
      <alignment horizontal="center" vertical="center"/>
    </xf>
    <xf numFmtId="169" fontId="0" fillId="0" borderId="0" xfId="0" applyNumberFormat="1" applyAlignment="1">
      <alignment horizontal="center" vertical="center"/>
    </xf>
    <xf numFmtId="0" fontId="8" fillId="7" borderId="0" xfId="0" applyFont="1" applyFill="1" applyAlignment="1">
      <alignment vertical="center"/>
    </xf>
    <xf numFmtId="43" fontId="0" fillId="0" borderId="1" xfId="3" applyFont="1" applyFill="1" applyBorder="1" applyAlignment="1">
      <alignment horizontal="center" vertical="center"/>
    </xf>
    <xf numFmtId="167" fontId="0" fillId="0" borderId="1" xfId="3" applyNumberFormat="1" applyFont="1" applyFill="1" applyBorder="1" applyAlignment="1">
      <alignment vertical="center"/>
    </xf>
    <xf numFmtId="10" fontId="0" fillId="0" borderId="2"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xf>
    <xf numFmtId="10" fontId="0" fillId="0" borderId="1" xfId="2" applyNumberFormat="1" applyFont="1" applyFill="1" applyBorder="1" applyAlignment="1">
      <alignment horizontal="center" vertical="center"/>
    </xf>
    <xf numFmtId="43" fontId="0" fillId="0" borderId="1" xfId="3" applyFont="1" applyFill="1" applyBorder="1" applyAlignment="1">
      <alignment vertical="center"/>
    </xf>
    <xf numFmtId="15" fontId="2" fillId="6" borderId="1" xfId="0" applyNumberFormat="1" applyFont="1" applyFill="1" applyBorder="1" applyAlignment="1">
      <alignment horizontal="center" vertical="top" wrapText="1"/>
    </xf>
    <xf numFmtId="0" fontId="14" fillId="0" borderId="1" xfId="0" applyFont="1" applyBorder="1" applyAlignment="1">
      <alignment horizontal="right" vertical="center"/>
    </xf>
    <xf numFmtId="0" fontId="14" fillId="10" borderId="1" xfId="0" applyFont="1" applyFill="1" applyBorder="1" applyAlignment="1">
      <alignment horizontal="center" vertical="center"/>
    </xf>
    <xf numFmtId="0" fontId="8" fillId="12" borderId="1" xfId="0" applyFont="1" applyFill="1" applyBorder="1" applyAlignment="1">
      <alignment horizontal="center" vertical="center"/>
    </xf>
    <xf numFmtId="3" fontId="10" fillId="0" borderId="1" xfId="1" applyNumberFormat="1" applyFont="1" applyFill="1" applyBorder="1" applyAlignment="1">
      <alignment horizontal="center" vertical="center"/>
    </xf>
    <xf numFmtId="0" fontId="2" fillId="6" borderId="1" xfId="0" applyFont="1" applyFill="1" applyBorder="1" applyAlignment="1">
      <alignment horizontal="center" vertical="center" wrapText="1"/>
    </xf>
    <xf numFmtId="166" fontId="0" fillId="0" borderId="0" xfId="0" applyNumberFormat="1" applyAlignment="1">
      <alignment vertical="center"/>
    </xf>
    <xf numFmtId="164" fontId="0" fillId="0" borderId="0" xfId="0" applyNumberFormat="1" applyAlignment="1">
      <alignment horizontal="center" vertical="center" wrapText="1"/>
    </xf>
    <xf numFmtId="167"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15" fontId="0" fillId="0" borderId="0" xfId="0" applyNumberFormat="1" applyAlignment="1">
      <alignment horizontal="center" vertical="center"/>
    </xf>
    <xf numFmtId="169" fontId="0" fillId="0" borderId="0" xfId="0" applyNumberFormat="1" applyAlignment="1">
      <alignment vertical="center"/>
    </xf>
    <xf numFmtId="0" fontId="3" fillId="0" borderId="0" xfId="0" applyFont="1" applyAlignment="1">
      <alignment horizontal="centerContinuous" vertical="center"/>
    </xf>
    <xf numFmtId="0" fontId="4" fillId="0" borderId="0" xfId="0" applyFont="1" applyAlignment="1">
      <alignment horizontal="left" vertical="center"/>
    </xf>
    <xf numFmtId="0" fontId="0" fillId="0" borderId="0" xfId="0" applyAlignment="1">
      <alignment horizontal="centerContinuous" vertical="center"/>
    </xf>
    <xf numFmtId="0" fontId="0" fillId="0" borderId="0" xfId="0" applyAlignment="1">
      <alignment horizontal="centerContinuous" vertical="center" wrapText="1"/>
    </xf>
    <xf numFmtId="10" fontId="3" fillId="0" borderId="0" xfId="2" applyNumberFormat="1" applyFont="1" applyAlignment="1">
      <alignment horizontal="center" vertical="center"/>
    </xf>
    <xf numFmtId="9" fontId="3" fillId="0" borderId="0" xfId="2" applyFont="1" applyAlignment="1">
      <alignment horizontal="center" vertical="center"/>
    </xf>
    <xf numFmtId="164" fontId="0" fillId="0" borderId="0" xfId="1" applyFont="1" applyAlignment="1">
      <alignment horizontal="center" vertical="center"/>
    </xf>
    <xf numFmtId="0" fontId="0" fillId="2" borderId="0" xfId="0" applyFill="1" applyAlignment="1">
      <alignment horizontal="center" vertical="center"/>
    </xf>
    <xf numFmtId="3" fontId="0" fillId="2" borderId="0" xfId="3" applyNumberFormat="1" applyFont="1" applyFill="1" applyAlignment="1">
      <alignment horizontal="center" vertical="center"/>
    </xf>
    <xf numFmtId="167" fontId="0" fillId="2" borderId="0" xfId="3" applyNumberFormat="1" applyFont="1" applyFill="1" applyAlignment="1">
      <alignment vertical="center"/>
    </xf>
    <xf numFmtId="167" fontId="0" fillId="0" borderId="5" xfId="3" applyNumberFormat="1" applyFont="1" applyFill="1" applyBorder="1" applyAlignment="1">
      <alignment vertical="center"/>
    </xf>
    <xf numFmtId="166" fontId="0" fillId="0" borderId="1" xfId="2" applyNumberFormat="1" applyFont="1" applyFill="1" applyBorder="1" applyAlignment="1">
      <alignment vertical="center"/>
    </xf>
    <xf numFmtId="170" fontId="0" fillId="0" borderId="1" xfId="1" applyNumberFormat="1" applyFont="1" applyFill="1" applyBorder="1" applyAlignment="1">
      <alignment vertical="center"/>
    </xf>
    <xf numFmtId="1" fontId="0" fillId="0" borderId="0" xfId="1" applyNumberFormat="1" applyFont="1" applyAlignment="1">
      <alignment horizontal="center" vertical="center" wrapText="1"/>
    </xf>
    <xf numFmtId="9" fontId="0" fillId="0" borderId="0" xfId="2" applyFont="1" applyAlignment="1">
      <alignment horizontal="center" vertical="center" wrapText="1"/>
    </xf>
    <xf numFmtId="166" fontId="0" fillId="0" borderId="0" xfId="0" applyNumberFormat="1" applyAlignment="1">
      <alignment vertical="center" wrapText="1"/>
    </xf>
    <xf numFmtId="10" fontId="0" fillId="0" borderId="0" xfId="0" applyNumberFormat="1" applyAlignment="1">
      <alignment horizontal="center" vertical="center" wrapText="1"/>
    </xf>
    <xf numFmtId="169" fontId="0" fillId="0" borderId="0" xfId="0" applyNumberFormat="1" applyAlignment="1">
      <alignment vertical="center" wrapText="1"/>
    </xf>
    <xf numFmtId="170" fontId="0" fillId="0" borderId="0" xfId="1" applyNumberFormat="1" applyFont="1" applyAlignment="1">
      <alignment vertical="center" wrapText="1"/>
    </xf>
    <xf numFmtId="15" fontId="0" fillId="0" borderId="0" xfId="0" applyNumberFormat="1" applyAlignment="1">
      <alignment horizontal="center" vertical="center" wrapText="1"/>
    </xf>
    <xf numFmtId="169" fontId="0" fillId="0" borderId="0" xfId="0" applyNumberFormat="1" applyAlignment="1">
      <alignment horizontal="center" vertical="center" wrapText="1"/>
    </xf>
    <xf numFmtId="10" fontId="2" fillId="8" borderId="1" xfId="0" applyNumberFormat="1" applyFont="1" applyFill="1" applyBorder="1" applyAlignment="1">
      <alignment horizontal="center" vertical="top" wrapText="1"/>
    </xf>
    <xf numFmtId="0" fontId="8" fillId="0" borderId="0" xfId="0" applyFont="1" applyAlignment="1">
      <alignment vertical="center"/>
    </xf>
    <xf numFmtId="3" fontId="3" fillId="0" borderId="0" xfId="2" applyNumberFormat="1" applyFont="1" applyAlignment="1">
      <alignment horizontal="center" vertical="center"/>
    </xf>
    <xf numFmtId="3" fontId="2" fillId="3" borderId="1" xfId="0" applyNumberFormat="1" applyFont="1" applyFill="1" applyBorder="1" applyAlignment="1">
      <alignment horizontal="center" vertical="top" wrapText="1"/>
    </xf>
    <xf numFmtId="3" fontId="10" fillId="0" borderId="1" xfId="2" applyNumberFormat="1" applyFont="1" applyFill="1" applyBorder="1" applyAlignment="1">
      <alignment horizontal="center" vertical="center"/>
    </xf>
    <xf numFmtId="3" fontId="0" fillId="0" borderId="0" xfId="2" applyNumberFormat="1" applyFont="1" applyAlignment="1">
      <alignment horizontal="center" vertical="center" wrapText="1"/>
    </xf>
    <xf numFmtId="0" fontId="0" fillId="9" borderId="1" xfId="0" applyFill="1" applyBorder="1" applyAlignment="1">
      <alignment horizontal="center" vertical="center"/>
    </xf>
    <xf numFmtId="174" fontId="8" fillId="12" borderId="1" xfId="2" applyNumberFormat="1" applyFont="1" applyFill="1" applyBorder="1" applyAlignment="1">
      <alignment horizontal="center" vertical="center"/>
    </xf>
    <xf numFmtId="10" fontId="2" fillId="6" borderId="1" xfId="0" applyNumberFormat="1" applyFont="1" applyFill="1" applyBorder="1" applyAlignment="1">
      <alignment horizontal="center" vertical="top" wrapText="1"/>
    </xf>
    <xf numFmtId="10" fontId="0" fillId="0" borderId="0" xfId="0" applyNumberFormat="1" applyAlignment="1">
      <alignment vertical="center" wrapText="1"/>
    </xf>
    <xf numFmtId="10" fontId="2" fillId="3" borderId="1" xfId="2" applyNumberFormat="1" applyFont="1" applyFill="1" applyBorder="1" applyAlignment="1">
      <alignment horizontal="center" vertical="top" wrapText="1"/>
    </xf>
    <xf numFmtId="10" fontId="0" fillId="0" borderId="5" xfId="2" applyNumberFormat="1" applyFont="1" applyFill="1" applyBorder="1" applyAlignment="1">
      <alignment horizontal="center" vertical="center"/>
    </xf>
    <xf numFmtId="10" fontId="8" fillId="0" borderId="5" xfId="2" applyNumberFormat="1" applyFont="1" applyFill="1" applyBorder="1" applyAlignment="1">
      <alignment horizontal="center" vertical="center"/>
    </xf>
    <xf numFmtId="9" fontId="2" fillId="8" borderId="1" xfId="2" applyFont="1" applyFill="1" applyBorder="1" applyAlignment="1">
      <alignment horizontal="center" vertical="top" wrapText="1"/>
    </xf>
    <xf numFmtId="9" fontId="10" fillId="0" borderId="1" xfId="2" applyFont="1" applyFill="1" applyBorder="1" applyAlignment="1">
      <alignment horizontal="center" vertical="center"/>
    </xf>
    <xf numFmtId="166" fontId="0" fillId="0" borderId="0" xfId="5" applyFont="1" applyAlignment="1">
      <alignment horizontal="center" vertical="center"/>
    </xf>
    <xf numFmtId="173" fontId="0" fillId="0" borderId="0" xfId="5" applyNumberFormat="1" applyFont="1" applyAlignment="1">
      <alignment horizontal="center" vertical="center"/>
    </xf>
    <xf numFmtId="176" fontId="0" fillId="0" borderId="0" xfId="2" applyNumberFormat="1" applyFont="1" applyAlignment="1">
      <alignment vertical="center"/>
    </xf>
    <xf numFmtId="0" fontId="2" fillId="6" borderId="1" xfId="0" applyFont="1" applyFill="1" applyBorder="1" applyAlignment="1">
      <alignment horizontal="center" vertical="top"/>
    </xf>
    <xf numFmtId="0" fontId="18" fillId="0" borderId="0" xfId="0" applyFont="1" applyAlignment="1">
      <alignment vertical="center"/>
    </xf>
    <xf numFmtId="37" fontId="0" fillId="0" borderId="0" xfId="1" applyNumberFormat="1" applyFont="1" applyAlignment="1">
      <alignment horizontal="center" vertical="center"/>
    </xf>
    <xf numFmtId="37" fontId="0" fillId="2" borderId="0" xfId="1" applyNumberFormat="1" applyFont="1" applyFill="1" applyAlignment="1">
      <alignment horizontal="center" vertical="center"/>
    </xf>
    <xf numFmtId="37" fontId="2" fillId="3" borderId="1" xfId="1" applyNumberFormat="1" applyFont="1" applyFill="1" applyBorder="1" applyAlignment="1">
      <alignment horizontal="center" vertical="top" wrapText="1"/>
    </xf>
    <xf numFmtId="37" fontId="0" fillId="0" borderId="1" xfId="1" applyNumberFormat="1" applyFont="1" applyFill="1" applyBorder="1" applyAlignment="1">
      <alignment horizontal="center" vertical="center"/>
    </xf>
    <xf numFmtId="37" fontId="0" fillId="0" borderId="0" xfId="0" applyNumberFormat="1" applyAlignment="1">
      <alignment vertical="center" wrapText="1"/>
    </xf>
    <xf numFmtId="43" fontId="0" fillId="0" borderId="0" xfId="0" applyNumberFormat="1" applyAlignment="1">
      <alignment horizontal="center" vertical="center" wrapText="1"/>
    </xf>
    <xf numFmtId="0" fontId="2" fillId="0" borderId="8" xfId="0" applyFont="1" applyBorder="1" applyAlignment="1">
      <alignment horizontal="center" vertical="top"/>
    </xf>
    <xf numFmtId="170" fontId="0" fillId="0" borderId="0" xfId="1" applyNumberFormat="1" applyFont="1" applyAlignment="1">
      <alignment horizontal="center" vertical="center"/>
    </xf>
    <xf numFmtId="43" fontId="0" fillId="6" borderId="1" xfId="3" applyFont="1" applyFill="1" applyBorder="1" applyAlignment="1">
      <alignment horizontal="center" vertical="center"/>
    </xf>
    <xf numFmtId="169" fontId="0" fillId="0" borderId="5" xfId="0" applyNumberFormat="1" applyBorder="1" applyAlignment="1">
      <alignment horizontal="center" vertical="center" wrapText="1"/>
    </xf>
    <xf numFmtId="3" fontId="10" fillId="0" borderId="6" xfId="2" applyNumberFormat="1" applyFont="1" applyFill="1" applyBorder="1" applyAlignment="1">
      <alignment horizontal="center" vertical="center"/>
    </xf>
    <xf numFmtId="43" fontId="0" fillId="6" borderId="6" xfId="3" applyFont="1" applyFill="1" applyBorder="1" applyAlignment="1">
      <alignment horizontal="center" vertical="center"/>
    </xf>
    <xf numFmtId="9" fontId="10" fillId="0" borderId="1" xfId="2" applyFont="1" applyFill="1" applyBorder="1" applyAlignment="1">
      <alignment horizontal="center" vertical="center" wrapText="1"/>
    </xf>
    <xf numFmtId="9" fontId="10" fillId="0" borderId="6" xfId="2" applyFont="1" applyFill="1" applyBorder="1" applyAlignment="1">
      <alignment horizontal="center" vertical="center" wrapText="1"/>
    </xf>
    <xf numFmtId="9" fontId="0" fillId="0" borderId="5" xfId="2" applyFont="1" applyFill="1" applyBorder="1" applyAlignment="1">
      <alignment horizontal="center" vertical="center"/>
    </xf>
    <xf numFmtId="9" fontId="0" fillId="0" borderId="1" xfId="2" applyFont="1" applyFill="1" applyBorder="1" applyAlignment="1">
      <alignment horizontal="center" vertical="center"/>
    </xf>
    <xf numFmtId="9" fontId="0" fillId="0" borderId="6" xfId="2" applyFont="1" applyFill="1" applyBorder="1" applyAlignment="1">
      <alignment horizontal="center" vertical="center"/>
    </xf>
    <xf numFmtId="164" fontId="0" fillId="0" borderId="0" xfId="1" applyFont="1" applyAlignment="1">
      <alignment vertical="center"/>
    </xf>
    <xf numFmtId="164" fontId="0" fillId="2" borderId="0" xfId="3" applyNumberFormat="1" applyFont="1" applyFill="1" applyAlignment="1">
      <alignment horizontal="center" vertical="center"/>
    </xf>
    <xf numFmtId="164" fontId="2" fillId="6" borderId="1" xfId="1" applyFont="1" applyFill="1" applyBorder="1" applyAlignment="1">
      <alignment horizontal="center" vertical="top" wrapText="1"/>
    </xf>
    <xf numFmtId="10" fontId="0" fillId="0" borderId="2" xfId="2" applyNumberFormat="1" applyFont="1" applyFill="1" applyBorder="1" applyAlignment="1">
      <alignment horizontal="center" vertical="center" wrapText="1"/>
    </xf>
    <xf numFmtId="10" fontId="0" fillId="0" borderId="1" xfId="2" applyNumberFormat="1" applyFont="1" applyFill="1" applyBorder="1" applyAlignment="1">
      <alignment horizontal="center" vertical="center" wrapText="1"/>
    </xf>
    <xf numFmtId="167" fontId="0" fillId="0" borderId="1" xfId="3" applyNumberFormat="1" applyFont="1" applyFill="1" applyBorder="1" applyAlignment="1">
      <alignment horizontal="center" vertical="center"/>
    </xf>
    <xf numFmtId="0" fontId="8" fillId="11" borderId="1" xfId="0" applyFont="1" applyFill="1" applyBorder="1" applyAlignment="1">
      <alignment horizontal="center" vertical="center"/>
    </xf>
    <xf numFmtId="174" fontId="8" fillId="11" borderId="1" xfId="2" applyNumberFormat="1" applyFont="1" applyFill="1" applyBorder="1" applyAlignment="1">
      <alignment horizontal="center" vertical="center"/>
    </xf>
    <xf numFmtId="171" fontId="0" fillId="0" borderId="0" xfId="0" applyNumberFormat="1" applyAlignment="1">
      <alignment vertical="center"/>
    </xf>
    <xf numFmtId="0" fontId="0" fillId="0" borderId="0" xfId="0" applyAlignment="1">
      <alignment horizontal="center"/>
    </xf>
    <xf numFmtId="0" fontId="14" fillId="0" borderId="5" xfId="0" applyFont="1" applyBorder="1" applyAlignment="1">
      <alignment horizontal="right" vertical="center"/>
    </xf>
    <xf numFmtId="0" fontId="14" fillId="0" borderId="5" xfId="0" applyFont="1" applyBorder="1" applyAlignment="1">
      <alignment horizontal="center" vertical="center"/>
    </xf>
    <xf numFmtId="43" fontId="0" fillId="0" borderId="0" xfId="0" applyNumberFormat="1" applyAlignment="1">
      <alignment horizontal="center" vertical="center"/>
    </xf>
    <xf numFmtId="169" fontId="0" fillId="0" borderId="0" xfId="0" applyNumberFormat="1" applyAlignment="1">
      <alignment horizontal="left" vertical="center"/>
    </xf>
    <xf numFmtId="169" fontId="0" fillId="13" borderId="13" xfId="0" applyNumberFormat="1" applyFill="1" applyBorder="1" applyAlignment="1">
      <alignment horizontal="center" vertical="center"/>
    </xf>
    <xf numFmtId="3" fontId="23" fillId="0" borderId="0" xfId="0" applyNumberFormat="1" applyFont="1" applyAlignment="1">
      <alignment horizontal="right" wrapText="1"/>
    </xf>
    <xf numFmtId="0" fontId="0" fillId="0" borderId="0" xfId="0" applyAlignment="1">
      <alignment horizontal="left" vertical="center" wrapText="1"/>
    </xf>
    <xf numFmtId="10" fontId="0" fillId="0" borderId="0" xfId="0" applyNumberFormat="1" applyAlignment="1">
      <alignment vertical="center"/>
    </xf>
    <xf numFmtId="10" fontId="2" fillId="8" borderId="1" xfId="2" applyNumberFormat="1" applyFont="1" applyFill="1" applyBorder="1" applyAlignment="1">
      <alignment horizontal="center" vertical="top" wrapText="1"/>
    </xf>
    <xf numFmtId="10" fontId="0" fillId="0" borderId="6" xfId="2" applyNumberFormat="1" applyFont="1" applyFill="1" applyBorder="1" applyAlignment="1">
      <alignment horizontal="center" vertical="center"/>
    </xf>
    <xf numFmtId="10" fontId="10" fillId="0" borderId="1" xfId="2" applyNumberFormat="1" applyFont="1" applyFill="1" applyBorder="1" applyAlignment="1">
      <alignment horizontal="center" vertical="center" wrapText="1"/>
    </xf>
    <xf numFmtId="10" fontId="10" fillId="0" borderId="6" xfId="2" applyNumberFormat="1" applyFont="1" applyFill="1" applyBorder="1" applyAlignment="1">
      <alignment horizontal="center" vertical="center" wrapText="1"/>
    </xf>
    <xf numFmtId="0" fontId="14" fillId="10" borderId="21" xfId="0" applyFont="1" applyFill="1" applyBorder="1" applyAlignment="1">
      <alignment horizontal="center" vertical="center"/>
    </xf>
    <xf numFmtId="0" fontId="14" fillId="10" borderId="22" xfId="0" applyFont="1" applyFill="1" applyBorder="1" applyAlignment="1">
      <alignment horizontal="center" vertical="center"/>
    </xf>
    <xf numFmtId="0" fontId="14" fillId="10" borderId="23" xfId="0" applyFont="1" applyFill="1" applyBorder="1" applyAlignment="1">
      <alignment horizontal="center" vertical="center"/>
    </xf>
    <xf numFmtId="0" fontId="14" fillId="10" borderId="24" xfId="0" applyFont="1" applyFill="1" applyBorder="1" applyAlignment="1">
      <alignment horizontal="center" vertical="center"/>
    </xf>
    <xf numFmtId="0" fontId="14" fillId="10" borderId="25" xfId="0" applyFont="1" applyFill="1" applyBorder="1" applyAlignment="1">
      <alignment horizontal="center" vertical="center"/>
    </xf>
    <xf numFmtId="0" fontId="14" fillId="0" borderId="21" xfId="0" applyFont="1" applyBorder="1" applyAlignment="1">
      <alignment horizontal="right" vertical="center"/>
    </xf>
    <xf numFmtId="0" fontId="0" fillId="9" borderId="21" xfId="0" applyFill="1" applyBorder="1" applyAlignment="1">
      <alignment horizontal="center" vertical="center"/>
    </xf>
    <xf numFmtId="0" fontId="0" fillId="9" borderId="22" xfId="0" applyFill="1" applyBorder="1" applyAlignment="1">
      <alignment horizontal="center" vertical="center"/>
    </xf>
    <xf numFmtId="0" fontId="0" fillId="9" borderId="23" xfId="0" applyFill="1" applyBorder="1" applyAlignment="1">
      <alignment horizontal="center" vertical="center"/>
    </xf>
    <xf numFmtId="0" fontId="0" fillId="9" borderId="24" xfId="0" applyFill="1" applyBorder="1" applyAlignment="1">
      <alignment horizontal="center" vertical="center"/>
    </xf>
    <xf numFmtId="0" fontId="0" fillId="9" borderId="25" xfId="0" applyFill="1" applyBorder="1" applyAlignment="1">
      <alignment horizontal="center" vertical="center"/>
    </xf>
    <xf numFmtId="0" fontId="8" fillId="11" borderId="21" xfId="0" applyFont="1" applyFill="1" applyBorder="1" applyAlignment="1">
      <alignment horizontal="center" vertical="center"/>
    </xf>
    <xf numFmtId="0" fontId="8" fillId="11" borderId="22" xfId="0" applyFont="1" applyFill="1" applyBorder="1" applyAlignment="1">
      <alignment horizontal="center" vertical="center"/>
    </xf>
    <xf numFmtId="0" fontId="8" fillId="11" borderId="23"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25" xfId="0" applyFont="1" applyFill="1" applyBorder="1" applyAlignment="1">
      <alignment horizontal="center" vertical="center"/>
    </xf>
    <xf numFmtId="0" fontId="0" fillId="0" borderId="0" xfId="0" applyAlignment="1">
      <alignment vertical="center" textRotation="90" wrapText="1"/>
    </xf>
    <xf numFmtId="0" fontId="14" fillId="0" borderId="20" xfId="0" applyFont="1" applyBorder="1" applyAlignment="1">
      <alignment horizontal="right" vertical="center"/>
    </xf>
    <xf numFmtId="174" fontId="8" fillId="11" borderId="22" xfId="2" applyNumberFormat="1" applyFont="1" applyFill="1" applyBorder="1" applyAlignment="1">
      <alignment horizontal="center" vertical="center"/>
    </xf>
    <xf numFmtId="174" fontId="8" fillId="11" borderId="24" xfId="2" applyNumberFormat="1" applyFont="1" applyFill="1" applyBorder="1" applyAlignment="1">
      <alignment horizontal="center" vertical="center"/>
    </xf>
    <xf numFmtId="174" fontId="8" fillId="11" borderId="25" xfId="2" applyNumberFormat="1" applyFont="1" applyFill="1" applyBorder="1" applyAlignment="1">
      <alignment horizontal="center" vertical="center"/>
    </xf>
    <xf numFmtId="0" fontId="8" fillId="12" borderId="21" xfId="0" applyFont="1" applyFill="1" applyBorder="1" applyAlignment="1">
      <alignment horizontal="center" vertical="center"/>
    </xf>
    <xf numFmtId="174" fontId="8" fillId="12" borderId="22" xfId="2" applyNumberFormat="1" applyFont="1" applyFill="1" applyBorder="1" applyAlignment="1">
      <alignment horizontal="center" vertical="center"/>
    </xf>
    <xf numFmtId="0" fontId="8" fillId="12" borderId="23" xfId="0" applyFont="1" applyFill="1" applyBorder="1" applyAlignment="1">
      <alignment horizontal="center" vertical="center"/>
    </xf>
    <xf numFmtId="0" fontId="8" fillId="12" borderId="24" xfId="0" applyFont="1" applyFill="1" applyBorder="1" applyAlignment="1">
      <alignment horizontal="center" vertical="center"/>
    </xf>
    <xf numFmtId="174" fontId="8" fillId="12" borderId="24" xfId="2" applyNumberFormat="1" applyFont="1" applyFill="1" applyBorder="1" applyAlignment="1">
      <alignment horizontal="center" vertical="center"/>
    </xf>
    <xf numFmtId="174" fontId="8" fillId="12" borderId="25" xfId="2" applyNumberFormat="1" applyFont="1" applyFill="1" applyBorder="1" applyAlignment="1">
      <alignment horizontal="center" vertical="center"/>
    </xf>
    <xf numFmtId="0" fontId="16" fillId="0" borderId="2" xfId="0" applyFont="1" applyBorder="1" applyAlignment="1">
      <alignment horizontal="center" vertical="center"/>
    </xf>
    <xf numFmtId="0" fontId="16" fillId="0" borderId="26" xfId="0" applyFont="1" applyBorder="1" applyAlignment="1">
      <alignment horizontal="center" vertical="center"/>
    </xf>
    <xf numFmtId="0" fontId="20" fillId="10" borderId="1" xfId="0" applyFont="1" applyFill="1" applyBorder="1" applyAlignment="1">
      <alignment horizontal="center" vertical="center" textRotation="90" wrapText="1"/>
    </xf>
    <xf numFmtId="0" fontId="19" fillId="10" borderId="1" xfId="0" applyFont="1" applyFill="1" applyBorder="1" applyAlignment="1">
      <alignment horizontal="center" vertical="center"/>
    </xf>
    <xf numFmtId="0" fontId="20" fillId="10" borderId="22" xfId="0" applyFont="1" applyFill="1" applyBorder="1" applyAlignment="1">
      <alignment horizontal="center" vertical="center" textRotation="90" wrapText="1"/>
    </xf>
    <xf numFmtId="0" fontId="19" fillId="10" borderId="21" xfId="0" applyFont="1" applyFill="1" applyBorder="1" applyAlignment="1">
      <alignment horizontal="center" vertical="center"/>
    </xf>
    <xf numFmtId="0" fontId="19" fillId="10" borderId="22" xfId="0" applyFont="1" applyFill="1" applyBorder="1" applyAlignment="1">
      <alignment horizontal="center" vertical="center"/>
    </xf>
    <xf numFmtId="0" fontId="20" fillId="10" borderId="21" xfId="0" applyFont="1" applyFill="1" applyBorder="1" applyAlignment="1">
      <alignment horizontal="center" vertical="center" textRotation="90" wrapText="1"/>
    </xf>
    <xf numFmtId="0" fontId="20" fillId="10" borderId="2" xfId="0" applyFont="1" applyFill="1" applyBorder="1" applyAlignment="1">
      <alignment horizontal="center" vertical="center" textRotation="90" wrapText="1"/>
    </xf>
    <xf numFmtId="0" fontId="19" fillId="10" borderId="2" xfId="0" applyFont="1" applyFill="1" applyBorder="1" applyAlignment="1">
      <alignment horizontal="center" vertical="center"/>
    </xf>
    <xf numFmtId="0" fontId="14" fillId="10" borderId="2" xfId="0" applyFont="1" applyFill="1" applyBorder="1" applyAlignment="1">
      <alignment horizontal="center" vertical="center"/>
    </xf>
    <xf numFmtId="0" fontId="14" fillId="10" borderId="26" xfId="0" applyFont="1" applyFill="1" applyBorder="1" applyAlignment="1">
      <alignment horizontal="center" vertical="center"/>
    </xf>
    <xf numFmtId="0" fontId="20" fillId="9" borderId="1" xfId="0" applyFont="1" applyFill="1" applyBorder="1" applyAlignment="1">
      <alignment horizontal="center" vertical="center" textRotation="90" wrapText="1"/>
    </xf>
    <xf numFmtId="0" fontId="18" fillId="9" borderId="1" xfId="0" applyFont="1" applyFill="1" applyBorder="1" applyAlignment="1">
      <alignment horizontal="center" vertical="center"/>
    </xf>
    <xf numFmtId="0" fontId="20" fillId="9" borderId="21" xfId="0" applyFont="1" applyFill="1" applyBorder="1" applyAlignment="1">
      <alignment horizontal="center" vertical="center" textRotation="90" wrapText="1"/>
    </xf>
    <xf numFmtId="0" fontId="20" fillId="9" borderId="22" xfId="0" applyFont="1" applyFill="1" applyBorder="1" applyAlignment="1">
      <alignment horizontal="center" vertical="center" textRotation="90" wrapText="1"/>
    </xf>
    <xf numFmtId="0" fontId="18" fillId="9" borderId="21" xfId="0" applyFont="1" applyFill="1" applyBorder="1" applyAlignment="1">
      <alignment horizontal="center" vertical="center"/>
    </xf>
    <xf numFmtId="0" fontId="18" fillId="9" borderId="22" xfId="0" applyFont="1" applyFill="1" applyBorder="1" applyAlignment="1">
      <alignment horizontal="center" vertical="center"/>
    </xf>
    <xf numFmtId="0" fontId="2" fillId="11" borderId="1" xfId="0" applyFont="1" applyFill="1" applyBorder="1" applyAlignment="1">
      <alignment horizontal="center" vertical="center" textRotation="90" wrapText="1"/>
    </xf>
    <xf numFmtId="0" fontId="21" fillId="11" borderId="1" xfId="0" applyFont="1" applyFill="1" applyBorder="1" applyAlignment="1">
      <alignment horizontal="center" vertical="center"/>
    </xf>
    <xf numFmtId="0" fontId="2" fillId="11" borderId="21" xfId="0" applyFont="1" applyFill="1" applyBorder="1" applyAlignment="1">
      <alignment horizontal="center" vertical="center" textRotation="90" wrapText="1"/>
    </xf>
    <xf numFmtId="0" fontId="2" fillId="11" borderId="22" xfId="0" applyFont="1" applyFill="1" applyBorder="1" applyAlignment="1">
      <alignment horizontal="center" vertical="center" textRotation="90" wrapText="1"/>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 fillId="11" borderId="2" xfId="0" applyFont="1" applyFill="1" applyBorder="1" applyAlignment="1">
      <alignment horizontal="center" vertical="center" textRotation="90" wrapText="1"/>
    </xf>
    <xf numFmtId="0" fontId="21" fillId="11" borderId="2" xfId="0" applyFont="1" applyFill="1" applyBorder="1" applyAlignment="1">
      <alignment horizontal="center" vertical="center"/>
    </xf>
    <xf numFmtId="174" fontId="8" fillId="11" borderId="2" xfId="2" applyNumberFormat="1" applyFont="1" applyFill="1" applyBorder="1" applyAlignment="1">
      <alignment horizontal="center" vertical="center"/>
    </xf>
    <xf numFmtId="174" fontId="8" fillId="11" borderId="26" xfId="2" applyNumberFormat="1" applyFont="1" applyFill="1" applyBorder="1" applyAlignment="1">
      <alignment horizontal="center" vertical="center"/>
    </xf>
    <xf numFmtId="0" fontId="2" fillId="12" borderId="1" xfId="0" applyFont="1" applyFill="1" applyBorder="1" applyAlignment="1">
      <alignment horizontal="center" vertical="center" textRotation="90" wrapText="1"/>
    </xf>
    <xf numFmtId="0" fontId="21" fillId="12" borderId="1" xfId="0" applyFont="1" applyFill="1" applyBorder="1" applyAlignment="1">
      <alignment horizontal="center" vertical="center"/>
    </xf>
    <xf numFmtId="0" fontId="2" fillId="12" borderId="21" xfId="0" applyFont="1" applyFill="1" applyBorder="1" applyAlignment="1">
      <alignment horizontal="center" vertical="center" textRotation="90" wrapText="1"/>
    </xf>
    <xf numFmtId="0" fontId="2" fillId="12" borderId="22" xfId="0" applyFont="1" applyFill="1" applyBorder="1" applyAlignment="1">
      <alignment horizontal="center" vertical="center" textRotation="90" wrapText="1"/>
    </xf>
    <xf numFmtId="0" fontId="21" fillId="12" borderId="22" xfId="0" applyFont="1" applyFill="1" applyBorder="1" applyAlignment="1">
      <alignment horizontal="center" vertical="center"/>
    </xf>
    <xf numFmtId="0" fontId="16" fillId="0" borderId="8" xfId="0" applyFont="1" applyBorder="1" applyAlignment="1">
      <alignment horizontal="center" vertical="center"/>
    </xf>
    <xf numFmtId="0" fontId="21" fillId="12" borderId="21" xfId="0" applyFont="1" applyFill="1" applyBorder="1" applyAlignment="1">
      <alignment horizontal="center" vertical="center"/>
    </xf>
    <xf numFmtId="0" fontId="0" fillId="0" borderId="0" xfId="1" applyNumberFormat="1" applyFont="1" applyAlignment="1">
      <alignment horizontal="center" vertical="center"/>
    </xf>
    <xf numFmtId="0" fontId="2" fillId="3" borderId="1" xfId="2" applyNumberFormat="1" applyFont="1" applyFill="1" applyBorder="1" applyAlignment="1">
      <alignment horizontal="center" vertical="top" wrapText="1"/>
    </xf>
    <xf numFmtId="10" fontId="8" fillId="11" borderId="1" xfId="2" applyNumberFormat="1" applyFont="1" applyFill="1" applyBorder="1" applyAlignment="1">
      <alignment horizontal="center" vertical="center"/>
    </xf>
    <xf numFmtId="10" fontId="8" fillId="12" borderId="1" xfId="2" applyNumberFormat="1" applyFont="1" applyFill="1" applyBorder="1" applyAlignment="1">
      <alignment horizontal="center" vertical="center"/>
    </xf>
    <xf numFmtId="173" fontId="0" fillId="0" borderId="0" xfId="0" applyNumberFormat="1" applyAlignment="1">
      <alignment vertical="center"/>
    </xf>
    <xf numFmtId="170" fontId="0" fillId="2" borderId="0" xfId="1" applyNumberFormat="1" applyFont="1" applyFill="1" applyAlignment="1">
      <alignment vertical="center"/>
    </xf>
    <xf numFmtId="170" fontId="2" fillId="3" borderId="1" xfId="1" applyNumberFormat="1" applyFont="1" applyFill="1" applyBorder="1" applyAlignment="1">
      <alignment horizontal="center" vertical="top" wrapText="1"/>
    </xf>
    <xf numFmtId="170" fontId="0" fillId="0" borderId="0" xfId="1" applyNumberFormat="1" applyFont="1"/>
    <xf numFmtId="170" fontId="0" fillId="0" borderId="0" xfId="1" applyNumberFormat="1" applyFont="1" applyAlignment="1">
      <alignment horizontal="center" vertical="center" wrapText="1"/>
    </xf>
    <xf numFmtId="170" fontId="0" fillId="0" borderId="0" xfId="1" applyNumberFormat="1" applyFont="1" applyAlignment="1">
      <alignment vertical="center"/>
    </xf>
    <xf numFmtId="0" fontId="14" fillId="10" borderId="1" xfId="0" applyFont="1" applyFill="1" applyBorder="1" applyAlignment="1">
      <alignment horizontal="center" vertical="center" textRotation="90" wrapText="1"/>
    </xf>
    <xf numFmtId="0" fontId="14" fillId="10" borderId="2" xfId="0" applyFont="1" applyFill="1" applyBorder="1" applyAlignment="1">
      <alignment horizontal="center" vertical="center" textRotation="90" wrapText="1"/>
    </xf>
    <xf numFmtId="0" fontId="14" fillId="9" borderId="1" xfId="0" applyFont="1" applyFill="1" applyBorder="1" applyAlignment="1">
      <alignment horizontal="center" vertical="center" textRotation="90" wrapText="1"/>
    </xf>
    <xf numFmtId="10" fontId="2" fillId="0" borderId="8" xfId="2" applyNumberFormat="1" applyFont="1" applyFill="1" applyBorder="1" applyAlignment="1">
      <alignment horizontal="center" vertical="top" wrapText="1"/>
    </xf>
    <xf numFmtId="0" fontId="25" fillId="0" borderId="0" xfId="0" applyFont="1" applyAlignment="1">
      <alignment horizontal="center" vertical="center"/>
    </xf>
    <xf numFmtId="0" fontId="25" fillId="0" borderId="0" xfId="0" applyFont="1" applyAlignment="1">
      <alignment horizontal="center" vertical="center" wrapText="1"/>
    </xf>
    <xf numFmtId="0" fontId="25" fillId="0" borderId="40" xfId="0" applyFont="1" applyBorder="1" applyAlignment="1">
      <alignment horizontal="center" vertical="center"/>
    </xf>
    <xf numFmtId="0" fontId="25" fillId="0" borderId="42" xfId="0" applyFont="1" applyBorder="1" applyAlignment="1">
      <alignment horizontal="center" vertical="center"/>
    </xf>
    <xf numFmtId="0" fontId="25" fillId="0" borderId="38" xfId="0" applyFont="1" applyBorder="1" applyAlignment="1">
      <alignment horizontal="center" vertical="center"/>
    </xf>
    <xf numFmtId="0" fontId="25" fillId="0" borderId="41" xfId="0" applyFont="1" applyBorder="1" applyAlignment="1">
      <alignment horizontal="center" vertical="center"/>
    </xf>
    <xf numFmtId="0" fontId="25" fillId="0" borderId="37" xfId="0" applyFont="1" applyBorder="1" applyAlignment="1">
      <alignment horizontal="center" vertical="center"/>
    </xf>
    <xf numFmtId="0" fontId="25" fillId="0" borderId="39" xfId="0" applyFont="1" applyBorder="1" applyAlignment="1">
      <alignment horizontal="center" vertical="center"/>
    </xf>
    <xf numFmtId="0" fontId="26" fillId="0" borderId="0" xfId="0" applyFont="1" applyAlignment="1">
      <alignment horizontal="center" vertical="center"/>
    </xf>
    <xf numFmtId="0" fontId="26" fillId="0" borderId="31" xfId="0" applyFont="1" applyBorder="1" applyAlignment="1">
      <alignment horizontal="center" vertical="center"/>
    </xf>
    <xf numFmtId="0" fontId="26" fillId="0" borderId="29" xfId="0" applyFont="1" applyBorder="1" applyAlignment="1">
      <alignment horizontal="center" vertical="center"/>
    </xf>
    <xf numFmtId="0" fontId="26" fillId="0" borderId="32" xfId="0" applyFont="1" applyBorder="1" applyAlignment="1">
      <alignment horizontal="center" vertical="center"/>
    </xf>
    <xf numFmtId="0" fontId="26" fillId="0" borderId="45" xfId="0" applyFont="1" applyBorder="1" applyAlignment="1">
      <alignment horizontal="center" vertical="center"/>
    </xf>
    <xf numFmtId="0" fontId="26" fillId="0" borderId="46" xfId="0" applyFont="1" applyBorder="1" applyAlignment="1">
      <alignment horizontal="center" vertical="center"/>
    </xf>
    <xf numFmtId="0" fontId="26" fillId="15" borderId="31" xfId="0" applyFont="1" applyFill="1" applyBorder="1" applyAlignment="1">
      <alignment horizontal="center" vertical="center"/>
    </xf>
    <xf numFmtId="0" fontId="26" fillId="15" borderId="29" xfId="0" applyFont="1" applyFill="1" applyBorder="1" applyAlignment="1">
      <alignment horizontal="center" vertical="center"/>
    </xf>
    <xf numFmtId="0" fontId="26" fillId="15" borderId="32" xfId="0" applyFont="1" applyFill="1" applyBorder="1" applyAlignment="1">
      <alignment horizontal="center" vertical="center"/>
    </xf>
    <xf numFmtId="0" fontId="14" fillId="0" borderId="0" xfId="0" applyFont="1" applyAlignment="1">
      <alignment vertical="center"/>
    </xf>
    <xf numFmtId="37" fontId="14" fillId="0" borderId="1" xfId="1" applyNumberFormat="1" applyFont="1" applyFill="1" applyBorder="1" applyAlignment="1">
      <alignment horizontal="center" vertical="center"/>
    </xf>
    <xf numFmtId="43" fontId="14" fillId="0" borderId="1" xfId="3" applyFont="1" applyFill="1" applyBorder="1" applyAlignment="1">
      <alignment horizontal="center" vertical="center"/>
    </xf>
    <xf numFmtId="10" fontId="14" fillId="0" borderId="5" xfId="2" applyNumberFormat="1" applyFont="1" applyFill="1" applyBorder="1" applyAlignment="1">
      <alignment horizontal="center" vertical="center"/>
    </xf>
    <xf numFmtId="10" fontId="14" fillId="0" borderId="1" xfId="2" applyNumberFormat="1" applyFont="1" applyFill="1" applyBorder="1" applyAlignment="1">
      <alignment horizontal="center" vertical="center"/>
    </xf>
    <xf numFmtId="9" fontId="14" fillId="0" borderId="1" xfId="2" applyFont="1" applyFill="1" applyBorder="1" applyAlignment="1">
      <alignment horizontal="center" vertical="center"/>
    </xf>
    <xf numFmtId="3" fontId="14" fillId="0" borderId="1" xfId="2" applyNumberFormat="1" applyFont="1" applyFill="1" applyBorder="1" applyAlignment="1">
      <alignment horizontal="center" vertical="center"/>
    </xf>
    <xf numFmtId="3" fontId="14" fillId="0" borderId="1" xfId="1" applyNumberFormat="1" applyFont="1" applyFill="1" applyBorder="1" applyAlignment="1">
      <alignment horizontal="center" vertical="center"/>
    </xf>
    <xf numFmtId="170" fontId="14" fillId="0" borderId="1" xfId="1" applyNumberFormat="1" applyFont="1" applyFill="1" applyBorder="1" applyAlignment="1">
      <alignment vertical="center"/>
    </xf>
    <xf numFmtId="167" fontId="14" fillId="0" borderId="1" xfId="3" applyNumberFormat="1" applyFont="1" applyFill="1" applyBorder="1" applyAlignment="1">
      <alignment vertical="center"/>
    </xf>
    <xf numFmtId="43" fontId="14" fillId="0" borderId="1" xfId="3" applyFont="1" applyFill="1" applyBorder="1" applyAlignment="1">
      <alignment vertical="center"/>
    </xf>
    <xf numFmtId="168" fontId="14" fillId="0" borderId="1" xfId="3" applyNumberFormat="1" applyFont="1" applyFill="1" applyBorder="1" applyAlignment="1">
      <alignment vertical="center"/>
    </xf>
    <xf numFmtId="167" fontId="14" fillId="0" borderId="5" xfId="3" applyNumberFormat="1" applyFont="1" applyFill="1" applyBorder="1" applyAlignment="1">
      <alignment vertical="center"/>
    </xf>
    <xf numFmtId="167" fontId="14" fillId="0" borderId="1" xfId="3" applyNumberFormat="1" applyFont="1" applyFill="1" applyBorder="1" applyAlignment="1">
      <alignment horizontal="center" vertical="center"/>
    </xf>
    <xf numFmtId="166" fontId="14" fillId="0" borderId="1" xfId="2" applyNumberFormat="1" applyFont="1" applyFill="1" applyBorder="1" applyAlignment="1">
      <alignment vertical="center"/>
    </xf>
    <xf numFmtId="0" fontId="20" fillId="6" borderId="1" xfId="0" applyFont="1" applyFill="1" applyBorder="1" applyAlignment="1">
      <alignment horizontal="center" vertical="center" wrapText="1"/>
    </xf>
    <xf numFmtId="0" fontId="20" fillId="9" borderId="3" xfId="0" applyFont="1" applyFill="1" applyBorder="1" applyAlignment="1">
      <alignment horizontal="center" vertical="center" textRotation="90" wrapText="1"/>
    </xf>
    <xf numFmtId="0" fontId="18" fillId="9" borderId="3" xfId="0" applyFont="1" applyFill="1" applyBorder="1" applyAlignment="1">
      <alignment horizontal="center" vertical="center"/>
    </xf>
    <xf numFmtId="0" fontId="0" fillId="9" borderId="3" xfId="0" applyFill="1" applyBorder="1" applyAlignment="1">
      <alignment horizontal="center" vertical="center"/>
    </xf>
    <xf numFmtId="0" fontId="0" fillId="9" borderId="48" xfId="0" applyFill="1" applyBorder="1" applyAlignment="1">
      <alignment horizontal="center" vertical="center"/>
    </xf>
    <xf numFmtId="0" fontId="14" fillId="10" borderId="22" xfId="0" applyFont="1" applyFill="1" applyBorder="1" applyAlignment="1">
      <alignment horizontal="center" vertical="center" textRotation="90" wrapText="1"/>
    </xf>
    <xf numFmtId="0" fontId="20" fillId="10" borderId="3" xfId="0" applyFont="1" applyFill="1" applyBorder="1" applyAlignment="1">
      <alignment horizontal="center" vertical="center" textRotation="90" wrapText="1"/>
    </xf>
    <xf numFmtId="0" fontId="19" fillId="10" borderId="3" xfId="0" applyFont="1" applyFill="1" applyBorder="1" applyAlignment="1">
      <alignment horizontal="center" vertical="center"/>
    </xf>
    <xf numFmtId="0" fontId="14" fillId="10" borderId="3" xfId="0" applyFont="1" applyFill="1" applyBorder="1" applyAlignment="1">
      <alignment horizontal="center" vertical="center"/>
    </xf>
    <xf numFmtId="0" fontId="14" fillId="10" borderId="48" xfId="0" applyFont="1" applyFill="1" applyBorder="1" applyAlignment="1">
      <alignment horizontal="center" vertical="center"/>
    </xf>
    <xf numFmtId="0" fontId="8" fillId="11" borderId="48" xfId="0" applyFont="1" applyFill="1" applyBorder="1" applyAlignment="1">
      <alignment horizontal="center" vertical="center"/>
    </xf>
    <xf numFmtId="0" fontId="14" fillId="9" borderId="22" xfId="0" applyFont="1" applyFill="1" applyBorder="1" applyAlignment="1">
      <alignment horizontal="center" vertical="center" textRotation="90" wrapText="1"/>
    </xf>
    <xf numFmtId="0" fontId="8" fillId="11" borderId="49" xfId="0" applyFont="1" applyFill="1" applyBorder="1" applyAlignment="1">
      <alignment horizontal="center" vertical="center"/>
    </xf>
    <xf numFmtId="9" fontId="0" fillId="0" borderId="0" xfId="2" applyFont="1" applyAlignment="1">
      <alignment horizontal="center" vertical="center"/>
    </xf>
    <xf numFmtId="0" fontId="5" fillId="3" borderId="1" xfId="0" applyFont="1" applyFill="1" applyBorder="1" applyAlignment="1">
      <alignment horizontal="center" vertical="top" wrapText="1"/>
    </xf>
    <xf numFmtId="0" fontId="5" fillId="3" borderId="8" xfId="0" applyFont="1" applyFill="1" applyBorder="1" applyAlignment="1">
      <alignment horizontal="center" vertical="top" wrapText="1"/>
    </xf>
    <xf numFmtId="164" fontId="0" fillId="2" borderId="0" xfId="1" applyFont="1" applyFill="1" applyAlignment="1">
      <alignment horizontal="center" vertical="center"/>
    </xf>
    <xf numFmtId="164" fontId="14" fillId="0" borderId="1" xfId="1" applyFont="1" applyFill="1" applyBorder="1" applyAlignment="1">
      <alignment vertical="center"/>
    </xf>
    <xf numFmtId="164" fontId="0" fillId="0" borderId="1" xfId="1" applyFont="1" applyFill="1" applyBorder="1" applyAlignment="1">
      <alignment vertical="center"/>
    </xf>
    <xf numFmtId="164" fontId="0" fillId="0" borderId="0" xfId="1" applyFont="1" applyAlignment="1">
      <alignment horizontal="center" vertical="center" wrapText="1"/>
    </xf>
    <xf numFmtId="164" fontId="2" fillId="3" borderId="1" xfId="1" quotePrefix="1" applyFont="1" applyFill="1" applyBorder="1" applyAlignment="1">
      <alignment horizontal="center" vertical="top" wrapText="1"/>
    </xf>
    <xf numFmtId="4" fontId="0" fillId="2" borderId="0" xfId="3" applyNumberFormat="1" applyFont="1" applyFill="1" applyAlignment="1">
      <alignment horizontal="center" vertical="center"/>
    </xf>
    <xf numFmtId="3" fontId="0" fillId="0" borderId="0" xfId="3" applyNumberFormat="1" applyFont="1" applyFill="1" applyAlignment="1">
      <alignment horizontal="center" vertical="center"/>
    </xf>
    <xf numFmtId="0" fontId="2" fillId="3" borderId="24" xfId="0" applyFont="1" applyFill="1" applyBorder="1" applyAlignment="1">
      <alignment horizontal="center" vertical="center" wrapText="1"/>
    </xf>
    <xf numFmtId="169" fontId="2" fillId="3" borderId="24" xfId="0" applyNumberFormat="1" applyFont="1" applyFill="1" applyBorder="1" applyAlignment="1">
      <alignment horizontal="center" vertical="center" wrapText="1"/>
    </xf>
    <xf numFmtId="0" fontId="2" fillId="3" borderId="6" xfId="0" applyFont="1" applyFill="1" applyBorder="1" applyAlignment="1">
      <alignment horizontal="center" vertical="top" wrapText="1"/>
    </xf>
    <xf numFmtId="170" fontId="0" fillId="0" borderId="6" xfId="3" applyNumberFormat="1" applyFont="1" applyFill="1" applyBorder="1" applyAlignment="1">
      <alignment vertical="center"/>
    </xf>
    <xf numFmtId="170" fontId="0" fillId="0" borderId="1" xfId="3" applyNumberFormat="1" applyFont="1" applyFill="1" applyBorder="1" applyAlignment="1">
      <alignment vertical="center"/>
    </xf>
    <xf numFmtId="0" fontId="2" fillId="0" borderId="0" xfId="0" applyFont="1" applyAlignment="1">
      <alignment horizontal="center" vertical="top"/>
    </xf>
    <xf numFmtId="0" fontId="2" fillId="0" borderId="0" xfId="0" applyFont="1" applyAlignment="1">
      <alignment horizontal="center" vertical="top" wrapText="1"/>
    </xf>
    <xf numFmtId="0" fontId="2" fillId="0" borderId="11" xfId="0" applyFont="1" applyBorder="1" applyAlignment="1">
      <alignment horizontal="center" vertical="top"/>
    </xf>
    <xf numFmtId="0" fontId="0" fillId="0" borderId="0" xfId="0" applyAlignment="1">
      <alignment horizontal="left" vertical="center"/>
    </xf>
    <xf numFmtId="17" fontId="0" fillId="0" borderId="0" xfId="0" applyNumberFormat="1" applyAlignment="1">
      <alignment horizontal="center" vertical="center"/>
    </xf>
    <xf numFmtId="0" fontId="8" fillId="0" borderId="0" xfId="0" applyFont="1" applyAlignment="1">
      <alignment horizontal="left" vertical="center"/>
    </xf>
    <xf numFmtId="17" fontId="8" fillId="0" borderId="0" xfId="0" applyNumberFormat="1" applyFont="1" applyAlignment="1">
      <alignment horizontal="center" vertical="center"/>
    </xf>
    <xf numFmtId="0" fontId="14" fillId="0" borderId="0" xfId="0" applyFont="1" applyAlignment="1">
      <alignment horizontal="left" vertical="center"/>
    </xf>
    <xf numFmtId="17" fontId="14" fillId="0" borderId="0" xfId="0" applyNumberFormat="1" applyFont="1" applyAlignment="1">
      <alignment horizontal="center" vertical="center"/>
    </xf>
    <xf numFmtId="0" fontId="2" fillId="0" borderId="28" xfId="0" applyFont="1" applyBorder="1" applyAlignment="1">
      <alignment horizontal="center" vertical="top" wrapText="1"/>
    </xf>
    <xf numFmtId="0" fontId="2" fillId="0" borderId="11" xfId="0" applyFont="1" applyBorder="1" applyAlignment="1">
      <alignment horizontal="center" vertical="top" wrapText="1"/>
    </xf>
    <xf numFmtId="0" fontId="8" fillId="0" borderId="0" xfId="0" applyFont="1" applyAlignment="1">
      <alignment horizontal="center" vertical="center"/>
    </xf>
    <xf numFmtId="1" fontId="2" fillId="0" borderId="11" xfId="0" applyNumberFormat="1" applyFont="1" applyBorder="1" applyAlignment="1">
      <alignment horizontal="center" vertical="top" wrapText="1"/>
    </xf>
    <xf numFmtId="1" fontId="0" fillId="0" borderId="0" xfId="0" applyNumberFormat="1" applyAlignment="1">
      <alignment horizontal="center" vertical="center"/>
    </xf>
    <xf numFmtId="1" fontId="8" fillId="0" borderId="0" xfId="0" applyNumberFormat="1" applyFont="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17" fontId="0" fillId="0" borderId="5" xfId="0" applyNumberFormat="1" applyBorder="1" applyAlignment="1">
      <alignment horizontal="center" vertical="center"/>
    </xf>
    <xf numFmtId="0" fontId="0" fillId="0" borderId="5"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37" fontId="0" fillId="0" borderId="5" xfId="1" applyNumberFormat="1" applyFont="1" applyFill="1" applyBorder="1" applyAlignment="1">
      <alignment horizontal="center" vertical="center"/>
    </xf>
    <xf numFmtId="43" fontId="0" fillId="0" borderId="5" xfId="3" applyFont="1" applyFill="1" applyBorder="1" applyAlignment="1">
      <alignment horizontal="center" vertical="center"/>
    </xf>
    <xf numFmtId="43" fontId="0" fillId="0" borderId="5" xfId="0" applyNumberFormat="1" applyBorder="1" applyAlignment="1">
      <alignment vertical="center"/>
    </xf>
    <xf numFmtId="43" fontId="0" fillId="0" borderId="1" xfId="0" applyNumberFormat="1" applyBorder="1" applyAlignment="1">
      <alignment vertical="center"/>
    </xf>
    <xf numFmtId="3" fontId="0" fillId="0" borderId="5" xfId="2" applyNumberFormat="1" applyFont="1" applyFill="1" applyBorder="1" applyAlignment="1">
      <alignment horizontal="center" vertical="center"/>
    </xf>
    <xf numFmtId="3" fontId="0" fillId="0" borderId="5" xfId="1" applyNumberFormat="1" applyFont="1" applyFill="1" applyBorder="1" applyAlignment="1">
      <alignment horizontal="center" vertical="center"/>
    </xf>
    <xf numFmtId="170" fontId="0" fillId="0" borderId="5" xfId="1" applyNumberFormat="1" applyFont="1" applyFill="1" applyBorder="1" applyAlignment="1">
      <alignment vertical="center"/>
    </xf>
    <xf numFmtId="164" fontId="0" fillId="0" borderId="5" xfId="1" applyFont="1" applyFill="1" applyBorder="1" applyAlignment="1">
      <alignment vertical="center"/>
    </xf>
    <xf numFmtId="43" fontId="0" fillId="0" borderId="5" xfId="3" applyFont="1" applyFill="1" applyBorder="1" applyAlignment="1">
      <alignment vertical="center"/>
    </xf>
    <xf numFmtId="167" fontId="0" fillId="0" borderId="5" xfId="3" applyNumberFormat="1" applyFont="1" applyFill="1" applyBorder="1" applyAlignment="1">
      <alignment horizontal="center" vertical="center"/>
    </xf>
    <xf numFmtId="10" fontId="10" fillId="0" borderId="1" xfId="0" applyNumberFormat="1" applyFont="1" applyBorder="1" applyAlignment="1">
      <alignment horizontal="center" vertical="center"/>
    </xf>
    <xf numFmtId="166" fontId="0" fillId="0" borderId="5" xfId="2" applyNumberFormat="1" applyFont="1" applyFill="1" applyBorder="1" applyAlignment="1">
      <alignment vertical="center"/>
    </xf>
    <xf numFmtId="173" fontId="0" fillId="0" borderId="5" xfId="5" applyNumberFormat="1" applyFont="1" applyFill="1" applyBorder="1" applyAlignment="1">
      <alignment vertical="center"/>
    </xf>
    <xf numFmtId="169" fontId="0" fillId="0" borderId="5" xfId="0" applyNumberFormat="1" applyBorder="1" applyAlignment="1">
      <alignment horizontal="center" vertical="center"/>
    </xf>
    <xf numFmtId="169" fontId="0" fillId="0" borderId="1" xfId="0" applyNumberForma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11" xfId="0" applyBorder="1" applyAlignment="1">
      <alignment horizontal="center" vertical="center"/>
    </xf>
    <xf numFmtId="169" fontId="0" fillId="0" borderId="5" xfId="0" applyNumberFormat="1" applyBorder="1" applyAlignment="1">
      <alignment vertical="center"/>
    </xf>
    <xf numFmtId="10" fontId="0" fillId="0" borderId="1" xfId="0" applyNumberFormat="1" applyBorder="1" applyAlignment="1">
      <alignment horizontal="center" vertical="center"/>
    </xf>
    <xf numFmtId="0" fontId="0" fillId="0" borderId="1" xfId="0" applyBorder="1" applyAlignment="1">
      <alignment vertical="center"/>
    </xf>
    <xf numFmtId="1" fontId="0" fillId="0" borderId="5" xfId="0" applyNumberFormat="1" applyBorder="1" applyAlignment="1">
      <alignment horizontal="center" vertical="center"/>
    </xf>
    <xf numFmtId="0" fontId="14" fillId="0" borderId="5" xfId="0" applyFont="1" applyBorder="1" applyAlignment="1">
      <alignment horizontal="center" vertical="center" wrapText="1"/>
    </xf>
    <xf numFmtId="169" fontId="14" fillId="0" borderId="5" xfId="0" applyNumberFormat="1" applyFont="1" applyBorder="1" applyAlignment="1">
      <alignment horizontal="center" vertical="center" wrapText="1"/>
    </xf>
    <xf numFmtId="15" fontId="10" fillId="0" borderId="1" xfId="0" applyNumberFormat="1" applyFont="1" applyBorder="1" applyAlignment="1">
      <alignment horizontal="center" vertical="center"/>
    </xf>
    <xf numFmtId="169" fontId="0" fillId="0" borderId="5" xfId="0" applyNumberFormat="1" applyBorder="1" applyAlignment="1">
      <alignment horizontal="left" vertical="center"/>
    </xf>
    <xf numFmtId="1" fontId="0" fillId="0" borderId="1" xfId="0" applyNumberFormat="1" applyBorder="1" applyAlignment="1">
      <alignment horizontal="center" vertical="center"/>
    </xf>
    <xf numFmtId="169" fontId="10" fillId="0" borderId="1" xfId="0" applyNumberFormat="1" applyFont="1" applyBorder="1" applyAlignment="1">
      <alignment horizontal="center" vertical="center"/>
    </xf>
    <xf numFmtId="169" fontId="10" fillId="0" borderId="5" xfId="0" applyNumberFormat="1" applyFont="1" applyBorder="1" applyAlignment="1">
      <alignment horizontal="center" vertical="center"/>
    </xf>
    <xf numFmtId="169" fontId="0" fillId="0" borderId="6" xfId="0" applyNumberFormat="1" applyBorder="1" applyAlignment="1">
      <alignment horizontal="center" vertical="center" wrapText="1"/>
    </xf>
    <xf numFmtId="0" fontId="0" fillId="0" borderId="3" xfId="0" applyBorder="1" applyAlignment="1">
      <alignment horizontal="center" vertical="center"/>
    </xf>
    <xf numFmtId="17" fontId="0" fillId="0" borderId="1" xfId="0" applyNumberFormat="1" applyBorder="1" applyAlignment="1">
      <alignment horizontal="center" vertical="center"/>
    </xf>
    <xf numFmtId="3" fontId="0" fillId="0" borderId="1" xfId="2" applyNumberFormat="1" applyFont="1" applyFill="1" applyBorder="1" applyAlignment="1">
      <alignment horizontal="center" vertical="center"/>
    </xf>
    <xf numFmtId="3" fontId="0" fillId="0" borderId="1" xfId="1" applyNumberFormat="1" applyFont="1" applyFill="1" applyBorder="1" applyAlignment="1">
      <alignment horizontal="center" vertical="center"/>
    </xf>
    <xf numFmtId="169" fontId="0" fillId="0" borderId="1" xfId="0" applyNumberFormat="1" applyBorder="1" applyAlignment="1">
      <alignment vertical="center"/>
    </xf>
    <xf numFmtId="15" fontId="10" fillId="0" borderId="5" xfId="0" applyNumberFormat="1" applyFont="1" applyBorder="1" applyAlignment="1">
      <alignment horizontal="center" vertical="center"/>
    </xf>
    <xf numFmtId="169" fontId="0" fillId="0" borderId="1" xfId="0" applyNumberFormat="1" applyBorder="1" applyAlignment="1">
      <alignment horizontal="left" vertical="center"/>
    </xf>
    <xf numFmtId="0" fontId="0" fillId="0" borderId="2" xfId="0" applyBorder="1" applyAlignment="1">
      <alignment horizontal="center" vertical="center"/>
    </xf>
    <xf numFmtId="168" fontId="0" fillId="0" borderId="1" xfId="3" applyNumberFormat="1" applyFont="1" applyFill="1" applyBorder="1" applyAlignment="1">
      <alignment vertical="center"/>
    </xf>
    <xf numFmtId="0" fontId="0" fillId="0" borderId="1" xfId="0" applyBorder="1" applyAlignment="1">
      <alignment horizontal="center" vertical="center" wrapText="1"/>
    </xf>
    <xf numFmtId="167" fontId="0" fillId="0" borderId="1" xfId="3" applyNumberFormat="1" applyFont="1" applyFill="1" applyBorder="1" applyAlignment="1">
      <alignment vertical="center" wrapText="1"/>
    </xf>
    <xf numFmtId="171" fontId="0" fillId="0" borderId="1" xfId="0" applyNumberFormat="1" applyBorder="1" applyAlignment="1">
      <alignment horizontal="left" vertical="center"/>
    </xf>
    <xf numFmtId="166" fontId="0" fillId="0" borderId="1" xfId="0" applyNumberFormat="1" applyBorder="1" applyAlignment="1">
      <alignment horizontal="right" vertical="center"/>
    </xf>
    <xf numFmtId="166" fontId="0" fillId="0" borderId="1" xfId="2" applyNumberFormat="1" applyFont="1" applyFill="1" applyBorder="1" applyAlignment="1">
      <alignment horizontal="right" vertical="center"/>
    </xf>
    <xf numFmtId="0" fontId="8" fillId="0" borderId="3" xfId="0" applyFont="1" applyBorder="1" applyAlignment="1">
      <alignment horizontal="center" vertical="center"/>
    </xf>
    <xf numFmtId="0" fontId="8" fillId="0" borderId="1" xfId="0" applyFont="1" applyBorder="1" applyAlignment="1">
      <alignment horizontal="left" vertical="center"/>
    </xf>
    <xf numFmtId="17" fontId="8" fillId="0" borderId="1" xfId="0" applyNumberFormat="1" applyFont="1" applyBorder="1" applyAlignment="1">
      <alignment horizontal="center" vertical="center"/>
    </xf>
    <xf numFmtId="0" fontId="8" fillId="0" borderId="5" xfId="0" applyFont="1" applyBorder="1" applyAlignment="1">
      <alignment vertical="center"/>
    </xf>
    <xf numFmtId="0" fontId="8" fillId="0" borderId="1" xfId="0" applyFont="1" applyBorder="1" applyAlignment="1">
      <alignment vertical="center"/>
    </xf>
    <xf numFmtId="0" fontId="8" fillId="0" borderId="1" xfId="0" applyFont="1" applyBorder="1" applyAlignment="1">
      <alignment horizontal="center" vertical="center"/>
    </xf>
    <xf numFmtId="37" fontId="8" fillId="0" borderId="1" xfId="1" applyNumberFormat="1" applyFont="1" applyFill="1" applyBorder="1" applyAlignment="1">
      <alignment horizontal="center" vertical="center"/>
    </xf>
    <xf numFmtId="43" fontId="8" fillId="0" borderId="1" xfId="3" applyFont="1" applyFill="1" applyBorder="1" applyAlignment="1">
      <alignment horizontal="center" vertical="center"/>
    </xf>
    <xf numFmtId="43" fontId="8" fillId="0" borderId="1" xfId="0" applyNumberFormat="1" applyFont="1" applyBorder="1" applyAlignment="1">
      <alignment vertical="center"/>
    </xf>
    <xf numFmtId="10" fontId="8" fillId="0" borderId="1" xfId="2" applyNumberFormat="1" applyFont="1" applyFill="1" applyBorder="1" applyAlignment="1">
      <alignment horizontal="center" vertical="center"/>
    </xf>
    <xf numFmtId="9" fontId="8" fillId="0" borderId="1" xfId="2" applyFont="1" applyFill="1" applyBorder="1" applyAlignment="1">
      <alignment horizontal="center" vertical="center"/>
    </xf>
    <xf numFmtId="3" fontId="8" fillId="0" borderId="1" xfId="2" applyNumberFormat="1" applyFont="1" applyFill="1" applyBorder="1" applyAlignment="1">
      <alignment horizontal="center" vertical="center"/>
    </xf>
    <xf numFmtId="3" fontId="8" fillId="0" borderId="1" xfId="1" applyNumberFormat="1" applyFont="1" applyFill="1" applyBorder="1" applyAlignment="1">
      <alignment horizontal="center" vertical="center"/>
    </xf>
    <xf numFmtId="170" fontId="8" fillId="0" borderId="1" xfId="1" applyNumberFormat="1" applyFont="1" applyFill="1" applyBorder="1" applyAlignment="1">
      <alignment vertical="center"/>
    </xf>
    <xf numFmtId="164" fontId="8" fillId="0" borderId="1" xfId="1" applyFont="1" applyFill="1" applyBorder="1" applyAlignment="1">
      <alignment vertical="center"/>
    </xf>
    <xf numFmtId="43" fontId="8" fillId="0" borderId="1" xfId="3" applyFont="1" applyFill="1" applyBorder="1" applyAlignment="1">
      <alignment vertical="center"/>
    </xf>
    <xf numFmtId="167" fontId="8" fillId="0" borderId="1" xfId="3" applyNumberFormat="1" applyFont="1" applyFill="1" applyBorder="1" applyAlignment="1">
      <alignment vertical="center"/>
    </xf>
    <xf numFmtId="167" fontId="8" fillId="0" borderId="1" xfId="3" applyNumberFormat="1" applyFont="1" applyFill="1" applyBorder="1" applyAlignment="1">
      <alignment horizontal="center" vertical="center"/>
    </xf>
    <xf numFmtId="166" fontId="8" fillId="0" borderId="1" xfId="2" applyNumberFormat="1" applyFont="1" applyFill="1" applyBorder="1" applyAlignment="1">
      <alignment vertical="center"/>
    </xf>
    <xf numFmtId="0" fontId="8" fillId="0" borderId="1" xfId="0" applyFont="1" applyBorder="1" applyAlignment="1">
      <alignment horizontal="center" vertical="center" wrapText="1"/>
    </xf>
    <xf numFmtId="0" fontId="8" fillId="0" borderId="6" xfId="0" applyFont="1" applyBorder="1" applyAlignment="1">
      <alignment horizontal="center" vertical="center"/>
    </xf>
    <xf numFmtId="10" fontId="8" fillId="0" borderId="1" xfId="0" applyNumberFormat="1" applyFont="1" applyBorder="1" applyAlignment="1">
      <alignment horizontal="center" vertical="center"/>
    </xf>
    <xf numFmtId="169" fontId="8" fillId="0" borderId="1" xfId="0" applyNumberFormat="1" applyFont="1" applyBorder="1" applyAlignment="1">
      <alignment vertical="center"/>
    </xf>
    <xf numFmtId="43" fontId="8" fillId="0" borderId="1" xfId="0" applyNumberFormat="1" applyFont="1" applyBorder="1" applyAlignment="1">
      <alignment horizontal="left" vertical="center"/>
    </xf>
    <xf numFmtId="169" fontId="8" fillId="0" borderId="5" xfId="0" applyNumberFormat="1" applyFont="1" applyBorder="1" applyAlignment="1">
      <alignment horizontal="center" vertical="center"/>
    </xf>
    <xf numFmtId="1" fontId="8" fillId="0" borderId="1" xfId="0" applyNumberFormat="1" applyFont="1" applyBorder="1" applyAlignment="1">
      <alignment horizontal="center" vertical="center"/>
    </xf>
    <xf numFmtId="169" fontId="8" fillId="0" borderId="1" xfId="0" applyNumberFormat="1" applyFont="1" applyBorder="1" applyAlignment="1">
      <alignment horizontal="center" vertical="center"/>
    </xf>
    <xf numFmtId="15" fontId="15" fillId="0" borderId="5" xfId="0" applyNumberFormat="1" applyFont="1" applyBorder="1" applyAlignment="1">
      <alignment horizontal="center" vertical="center"/>
    </xf>
    <xf numFmtId="169" fontId="8" fillId="0" borderId="1" xfId="0" applyNumberFormat="1" applyFont="1" applyBorder="1" applyAlignment="1">
      <alignment horizontal="left" vertical="center"/>
    </xf>
    <xf numFmtId="169" fontId="15" fillId="0" borderId="5" xfId="0" applyNumberFormat="1" applyFont="1" applyBorder="1" applyAlignment="1">
      <alignment horizontal="center" vertical="center"/>
    </xf>
    <xf numFmtId="0" fontId="8" fillId="0" borderId="2" xfId="0" applyFont="1" applyBorder="1" applyAlignment="1">
      <alignment horizontal="center" vertical="center"/>
    </xf>
    <xf numFmtId="0" fontId="15" fillId="0" borderId="5" xfId="0" applyFont="1" applyBorder="1" applyAlignment="1">
      <alignment horizontal="center" vertical="center"/>
    </xf>
    <xf numFmtId="0" fontId="10" fillId="0" borderId="0" xfId="0" applyFont="1" applyAlignment="1">
      <alignment horizontal="center" vertical="center" wrapText="1"/>
    </xf>
    <xf numFmtId="169" fontId="0" fillId="0" borderId="1" xfId="0" applyNumberFormat="1" applyBorder="1" applyAlignment="1">
      <alignment horizontal="center" vertical="center" wrapText="1"/>
    </xf>
    <xf numFmtId="0" fontId="14" fillId="0" borderId="3" xfId="0" applyFont="1" applyBorder="1" applyAlignment="1">
      <alignment horizontal="center" vertical="center"/>
    </xf>
    <xf numFmtId="0" fontId="14" fillId="0" borderId="1" xfId="0" applyFont="1" applyBorder="1" applyAlignment="1">
      <alignment horizontal="left" vertical="center"/>
    </xf>
    <xf numFmtId="17" fontId="14" fillId="0" borderId="1" xfId="0" applyNumberFormat="1" applyFont="1" applyBorder="1" applyAlignment="1">
      <alignment horizontal="center" vertical="center"/>
    </xf>
    <xf numFmtId="0" fontId="14" fillId="0" borderId="5" xfId="0" applyFont="1" applyBorder="1" applyAlignment="1">
      <alignment vertical="center"/>
    </xf>
    <xf numFmtId="0" fontId="14" fillId="0" borderId="1" xfId="0" applyFont="1" applyBorder="1" applyAlignment="1">
      <alignment vertical="center"/>
    </xf>
    <xf numFmtId="43" fontId="14" fillId="0" borderId="1" xfId="0" applyNumberFormat="1" applyFont="1" applyBorder="1" applyAlignment="1">
      <alignment vertical="center"/>
    </xf>
    <xf numFmtId="10" fontId="27" fillId="0" borderId="1" xfId="0" applyNumberFormat="1" applyFont="1" applyBorder="1" applyAlignment="1">
      <alignment horizontal="center" vertical="center"/>
    </xf>
    <xf numFmtId="169" fontId="14" fillId="0" borderId="5" xfId="0" applyNumberFormat="1" applyFont="1" applyBorder="1" applyAlignment="1">
      <alignment horizontal="center" vertical="center"/>
    </xf>
    <xf numFmtId="169" fontId="14" fillId="0" borderId="1" xfId="0" applyNumberFormat="1" applyFont="1" applyBorder="1" applyAlignment="1">
      <alignment horizontal="center" vertical="center"/>
    </xf>
    <xf numFmtId="0" fontId="14" fillId="0" borderId="1" xfId="0" applyFont="1" applyBorder="1" applyAlignment="1">
      <alignment horizontal="center" vertical="center" wrapText="1"/>
    </xf>
    <xf numFmtId="0" fontId="14" fillId="0" borderId="6" xfId="0" applyFont="1" applyBorder="1" applyAlignment="1">
      <alignment horizontal="center" vertical="center"/>
    </xf>
    <xf numFmtId="169" fontId="14" fillId="0" borderId="5" xfId="0" applyNumberFormat="1" applyFont="1" applyBorder="1" applyAlignment="1">
      <alignment vertical="center"/>
    </xf>
    <xf numFmtId="10" fontId="14" fillId="0" borderId="1" xfId="0" applyNumberFormat="1" applyFont="1" applyBorder="1" applyAlignment="1">
      <alignment horizontal="center" vertical="center"/>
    </xf>
    <xf numFmtId="169" fontId="14" fillId="0" borderId="1" xfId="0" applyNumberFormat="1" applyFont="1" applyBorder="1" applyAlignment="1">
      <alignment vertical="center"/>
    </xf>
    <xf numFmtId="1" fontId="14" fillId="0" borderId="1" xfId="0" applyNumberFormat="1" applyFont="1" applyBorder="1" applyAlignment="1">
      <alignment horizontal="center" vertical="center"/>
    </xf>
    <xf numFmtId="15" fontId="27" fillId="0" borderId="5" xfId="0" applyNumberFormat="1" applyFont="1" applyBorder="1" applyAlignment="1">
      <alignment horizontal="center" vertical="center"/>
    </xf>
    <xf numFmtId="169" fontId="14" fillId="0" borderId="1" xfId="0" applyNumberFormat="1" applyFont="1" applyBorder="1" applyAlignment="1">
      <alignment horizontal="left" vertical="center"/>
    </xf>
    <xf numFmtId="169" fontId="27" fillId="0" borderId="5" xfId="0" applyNumberFormat="1" applyFont="1" applyBorder="1" applyAlignment="1">
      <alignment horizontal="center" vertical="center"/>
    </xf>
    <xf numFmtId="0" fontId="14" fillId="0" borderId="2" xfId="0" applyFont="1" applyBorder="1" applyAlignment="1">
      <alignment horizontal="center" vertical="center"/>
    </xf>
    <xf numFmtId="0" fontId="17" fillId="0" borderId="5" xfId="0" applyFont="1" applyBorder="1" applyAlignment="1">
      <alignment vertical="center"/>
    </xf>
    <xf numFmtId="169" fontId="17" fillId="0" borderId="5" xfId="0" applyNumberFormat="1" applyFont="1" applyBorder="1" applyAlignment="1">
      <alignment vertical="center"/>
    </xf>
    <xf numFmtId="169" fontId="17" fillId="0" borderId="5" xfId="0" applyNumberFormat="1" applyFont="1" applyBorder="1" applyAlignment="1">
      <alignment horizontal="center" vertical="center"/>
    </xf>
    <xf numFmtId="17" fontId="0" fillId="0" borderId="1" xfId="0" applyNumberFormat="1" applyBorder="1" applyAlignment="1">
      <alignment horizontal="left" vertical="center"/>
    </xf>
    <xf numFmtId="169" fontId="0" fillId="0" borderId="6" xfId="0" applyNumberFormat="1" applyBorder="1" applyAlignment="1">
      <alignment horizontal="left" vertical="center"/>
    </xf>
    <xf numFmtId="169" fontId="0" fillId="0" borderId="6" xfId="0" applyNumberFormat="1" applyBorder="1" applyAlignment="1">
      <alignment horizontal="center" vertical="center"/>
    </xf>
    <xf numFmtId="169" fontId="0" fillId="0" borderId="8" xfId="0" applyNumberFormat="1" applyBorder="1" applyAlignment="1">
      <alignment horizontal="center" vertical="center"/>
    </xf>
    <xf numFmtId="14" fontId="18" fillId="0" borderId="1" xfId="0" quotePrefix="1" applyNumberFormat="1" applyFont="1" applyBorder="1" applyAlignment="1">
      <alignment horizontal="left" vertical="center"/>
    </xf>
    <xf numFmtId="1" fontId="0" fillId="0" borderId="3" xfId="0" applyNumberFormat="1" applyBorder="1" applyAlignment="1">
      <alignment horizontal="center" vertical="center"/>
    </xf>
    <xf numFmtId="14" fontId="18" fillId="0" borderId="1" xfId="0" applyNumberFormat="1" applyFont="1" applyBorder="1" applyAlignment="1">
      <alignment horizontal="center" vertical="center"/>
    </xf>
    <xf numFmtId="0" fontId="10" fillId="0" borderId="0" xfId="0" applyFont="1" applyAlignment="1">
      <alignment horizontal="center"/>
    </xf>
    <xf numFmtId="0" fontId="10" fillId="0" borderId="0" xfId="0" applyFont="1"/>
    <xf numFmtId="14" fontId="18" fillId="0" borderId="1" xfId="0" applyNumberFormat="1" applyFont="1" applyBorder="1" applyAlignment="1">
      <alignment horizontal="left" vertical="center"/>
    </xf>
    <xf numFmtId="14" fontId="18" fillId="0" borderId="1" xfId="0" applyNumberFormat="1" applyFont="1" applyBorder="1" applyAlignment="1">
      <alignment horizontal="center" vertical="center" wrapText="1"/>
    </xf>
    <xf numFmtId="14" fontId="18" fillId="0" borderId="6" xfId="0" applyNumberFormat="1" applyFont="1" applyBorder="1" applyAlignment="1">
      <alignment horizontal="left" vertical="center"/>
    </xf>
    <xf numFmtId="169" fontId="0" fillId="0" borderId="1" xfId="0" applyNumberFormat="1" applyBorder="1" applyAlignment="1">
      <alignment vertical="center" wrapText="1"/>
    </xf>
    <xf numFmtId="14" fontId="19" fillId="0" borderId="1" xfId="0" applyNumberFormat="1" applyFont="1" applyBorder="1" applyAlignment="1">
      <alignment horizontal="left" vertical="center"/>
    </xf>
    <xf numFmtId="14" fontId="19" fillId="0" borderId="1" xfId="0" applyNumberFormat="1" applyFont="1" applyBorder="1" applyAlignment="1">
      <alignment horizontal="center" vertical="center"/>
    </xf>
    <xf numFmtId="169" fontId="19" fillId="0" borderId="1" xfId="0" applyNumberFormat="1" applyFont="1" applyBorder="1" applyAlignment="1">
      <alignment horizontal="left" vertical="center"/>
    </xf>
    <xf numFmtId="169" fontId="8" fillId="0" borderId="8" xfId="0" applyNumberFormat="1" applyFont="1" applyBorder="1" applyAlignment="1">
      <alignment horizontal="center" vertical="center"/>
    </xf>
    <xf numFmtId="1" fontId="8" fillId="0" borderId="3" xfId="0" applyNumberFormat="1" applyFont="1" applyBorder="1" applyAlignment="1">
      <alignment horizontal="center" vertical="center"/>
    </xf>
    <xf numFmtId="166" fontId="0" fillId="0" borderId="1" xfId="0" applyNumberFormat="1" applyBorder="1" applyAlignment="1">
      <alignment vertical="center"/>
    </xf>
    <xf numFmtId="175" fontId="0" fillId="0" borderId="1" xfId="0" applyNumberFormat="1" applyBorder="1" applyAlignment="1">
      <alignment vertical="center"/>
    </xf>
    <xf numFmtId="169" fontId="0" fillId="0" borderId="1" xfId="0" applyNumberFormat="1" applyBorder="1" applyAlignment="1">
      <alignment horizontal="right" vertical="center"/>
    </xf>
    <xf numFmtId="166" fontId="8" fillId="0" borderId="1" xfId="0" applyNumberFormat="1" applyFont="1" applyBorder="1" applyAlignment="1">
      <alignment vertical="center"/>
    </xf>
    <xf numFmtId="167" fontId="8" fillId="0" borderId="5" xfId="3" applyNumberFormat="1" applyFont="1" applyFill="1" applyBorder="1" applyAlignment="1">
      <alignment vertical="center"/>
    </xf>
    <xf numFmtId="10" fontId="15" fillId="0" borderId="1" xfId="0" applyNumberFormat="1" applyFont="1" applyBorder="1" applyAlignment="1">
      <alignment horizontal="center" vertical="center"/>
    </xf>
    <xf numFmtId="0" fontId="8" fillId="0" borderId="5" xfId="0" applyFont="1" applyBorder="1" applyAlignment="1">
      <alignment horizontal="center" vertical="center"/>
    </xf>
    <xf numFmtId="169" fontId="8" fillId="0" borderId="5" xfId="0" applyNumberFormat="1" applyFont="1" applyBorder="1" applyAlignment="1">
      <alignment vertical="center"/>
    </xf>
    <xf numFmtId="175" fontId="8" fillId="0" borderId="1" xfId="0" applyNumberFormat="1" applyFont="1" applyBorder="1" applyAlignment="1">
      <alignment vertical="center"/>
    </xf>
    <xf numFmtId="171" fontId="0" fillId="0" borderId="1" xfId="0" applyNumberFormat="1" applyBorder="1" applyAlignment="1">
      <alignment vertical="center"/>
    </xf>
    <xf numFmtId="43" fontId="0" fillId="0" borderId="1" xfId="3" applyFont="1" applyFill="1" applyBorder="1" applyAlignment="1">
      <alignment horizontal="right" vertical="center"/>
    </xf>
    <xf numFmtId="168" fontId="0" fillId="0" borderId="1" xfId="3" applyNumberFormat="1" applyFont="1" applyFill="1" applyBorder="1" applyAlignment="1">
      <alignment horizontal="right" vertical="center"/>
    </xf>
    <xf numFmtId="0" fontId="0" fillId="0" borderId="1" xfId="0" applyBorder="1" applyAlignment="1">
      <alignment vertical="center" wrapText="1"/>
    </xf>
    <xf numFmtId="169" fontId="18" fillId="0" borderId="1" xfId="0" quotePrefix="1" applyNumberFormat="1" applyFont="1" applyBorder="1" applyAlignment="1">
      <alignment horizontal="left" vertical="center"/>
    </xf>
    <xf numFmtId="14" fontId="18" fillId="0" borderId="1" xfId="0" quotePrefix="1" applyNumberFormat="1" applyFont="1" applyBorder="1" applyAlignment="1">
      <alignment horizontal="left" vertical="center" wrapText="1"/>
    </xf>
    <xf numFmtId="43" fontId="8" fillId="0" borderId="1" xfId="3" applyFont="1" applyFill="1" applyBorder="1" applyAlignment="1">
      <alignment horizontal="right" vertical="center"/>
    </xf>
    <xf numFmtId="14" fontId="19" fillId="0" borderId="1" xfId="0" quotePrefix="1" applyNumberFormat="1" applyFont="1" applyBorder="1" applyAlignment="1">
      <alignment horizontal="left" vertical="center"/>
    </xf>
    <xf numFmtId="169" fontId="8" fillId="0" borderId="6" xfId="0" applyNumberFormat="1" applyFont="1" applyBorder="1" applyAlignment="1">
      <alignment horizontal="center" vertical="center"/>
    </xf>
    <xf numFmtId="167" fontId="0" fillId="0" borderId="1" xfId="0" applyNumberFormat="1" applyBorder="1" applyAlignment="1">
      <alignment vertical="center"/>
    </xf>
    <xf numFmtId="169" fontId="0" fillId="0" borderId="1" xfId="0" quotePrefix="1" applyNumberFormat="1" applyBorder="1" applyAlignment="1">
      <alignment horizontal="center" vertical="center" wrapText="1"/>
    </xf>
    <xf numFmtId="166" fontId="0" fillId="0" borderId="1" xfId="5" applyFont="1" applyFill="1" applyBorder="1"/>
    <xf numFmtId="14" fontId="19" fillId="0" borderId="1" xfId="0" quotePrefix="1" applyNumberFormat="1" applyFont="1" applyBorder="1" applyAlignment="1">
      <alignment horizontal="left" vertical="center" wrapText="1"/>
    </xf>
    <xf numFmtId="170" fontId="0" fillId="0" borderId="1" xfId="1" applyNumberFormat="1" applyFont="1" applyFill="1" applyBorder="1" applyAlignment="1">
      <alignment vertical="center" wrapText="1"/>
    </xf>
    <xf numFmtId="0" fontId="0" fillId="0" borderId="9" xfId="0" applyBorder="1" applyAlignment="1">
      <alignment horizontal="center" vertical="center"/>
    </xf>
    <xf numFmtId="0" fontId="0" fillId="0" borderId="6" xfId="0" applyBorder="1" applyAlignment="1">
      <alignment horizontal="left" vertical="center"/>
    </xf>
    <xf numFmtId="0" fontId="0" fillId="0" borderId="6" xfId="0" applyBorder="1" applyAlignment="1">
      <alignment vertical="center"/>
    </xf>
    <xf numFmtId="17" fontId="0" fillId="0" borderId="6" xfId="0" applyNumberFormat="1" applyBorder="1" applyAlignment="1">
      <alignment horizontal="center" vertical="center"/>
    </xf>
    <xf numFmtId="37" fontId="0" fillId="0" borderId="6" xfId="1" applyNumberFormat="1" applyFont="1" applyFill="1" applyBorder="1" applyAlignment="1">
      <alignment horizontal="center" vertical="center"/>
    </xf>
    <xf numFmtId="43" fontId="0" fillId="0" borderId="6" xfId="3" applyFont="1" applyFill="1" applyBorder="1" applyAlignment="1">
      <alignment horizontal="center" vertical="center"/>
    </xf>
    <xf numFmtId="166" fontId="0" fillId="0" borderId="6" xfId="0" applyNumberFormat="1" applyBorder="1" applyAlignment="1">
      <alignment vertical="center"/>
    </xf>
    <xf numFmtId="3" fontId="0" fillId="0" borderId="6" xfId="2" applyNumberFormat="1" applyFont="1" applyFill="1" applyBorder="1" applyAlignment="1">
      <alignment horizontal="center" vertical="center"/>
    </xf>
    <xf numFmtId="3" fontId="0" fillId="0" borderId="6" xfId="1" applyNumberFormat="1" applyFont="1" applyFill="1" applyBorder="1" applyAlignment="1">
      <alignment horizontal="center" vertical="center"/>
    </xf>
    <xf numFmtId="170" fontId="0" fillId="0" borderId="6" xfId="1" applyNumberFormat="1" applyFont="1" applyFill="1" applyBorder="1" applyAlignment="1">
      <alignment vertical="center"/>
    </xf>
    <xf numFmtId="43" fontId="0" fillId="0" borderId="6" xfId="0" applyNumberFormat="1" applyBorder="1" applyAlignment="1">
      <alignment vertical="center"/>
    </xf>
    <xf numFmtId="164" fontId="0" fillId="0" borderId="6" xfId="1" applyFont="1" applyFill="1" applyBorder="1" applyAlignment="1">
      <alignment vertical="center"/>
    </xf>
    <xf numFmtId="167" fontId="0" fillId="0" borderId="6" xfId="3" applyNumberFormat="1" applyFont="1" applyFill="1" applyBorder="1" applyAlignment="1">
      <alignment vertical="center"/>
    </xf>
    <xf numFmtId="167" fontId="0" fillId="0" borderId="6" xfId="3" applyNumberFormat="1" applyFont="1" applyFill="1" applyBorder="1" applyAlignment="1">
      <alignment horizontal="center" vertical="center"/>
    </xf>
    <xf numFmtId="166" fontId="0" fillId="0" borderId="6" xfId="2" applyNumberFormat="1" applyFont="1" applyFill="1" applyBorder="1" applyAlignment="1">
      <alignment vertical="center"/>
    </xf>
    <xf numFmtId="169" fontId="0" fillId="0" borderId="11" xfId="0" applyNumberFormat="1" applyBorder="1" applyAlignment="1">
      <alignment vertical="center"/>
    </xf>
    <xf numFmtId="10" fontId="0" fillId="0" borderId="6" xfId="0" applyNumberFormat="1" applyBorder="1" applyAlignment="1">
      <alignment horizontal="center" vertical="center"/>
    </xf>
    <xf numFmtId="1" fontId="0" fillId="0" borderId="6" xfId="0" applyNumberFormat="1" applyBorder="1" applyAlignment="1">
      <alignment horizontal="center" vertical="center"/>
    </xf>
    <xf numFmtId="169" fontId="0" fillId="0" borderId="6" xfId="0" applyNumberFormat="1" applyBorder="1" applyAlignment="1">
      <alignment vertical="center"/>
    </xf>
    <xf numFmtId="1" fontId="0" fillId="0" borderId="9" xfId="0" applyNumberFormat="1"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left" vertical="center"/>
    </xf>
    <xf numFmtId="4" fontId="12" fillId="0" borderId="1" xfId="0" applyNumberFormat="1" applyFont="1" applyBorder="1" applyAlignment="1">
      <alignment vertical="center"/>
    </xf>
    <xf numFmtId="4" fontId="0" fillId="0" borderId="1" xfId="0" applyNumberFormat="1" applyBorder="1" applyAlignment="1">
      <alignment vertical="center"/>
    </xf>
    <xf numFmtId="166" fontId="0" fillId="0" borderId="2" xfId="0" applyNumberFormat="1" applyBorder="1" applyAlignment="1">
      <alignment vertical="center"/>
    </xf>
    <xf numFmtId="0" fontId="10" fillId="0" borderId="1" xfId="0" applyFont="1" applyBorder="1" applyAlignment="1">
      <alignment horizontal="center" vertical="center"/>
    </xf>
    <xf numFmtId="0" fontId="10" fillId="0" borderId="1" xfId="0" applyFont="1" applyBorder="1" applyAlignment="1">
      <alignment vertical="center"/>
    </xf>
    <xf numFmtId="166" fontId="0" fillId="0" borderId="1" xfId="0" applyNumberFormat="1" applyBorder="1" applyAlignment="1">
      <alignment vertical="center" wrapText="1"/>
    </xf>
    <xf numFmtId="164" fontId="10" fillId="0" borderId="1" xfId="1" applyFont="1" applyFill="1" applyBorder="1" applyAlignment="1">
      <alignment horizontal="center" vertical="center"/>
    </xf>
    <xf numFmtId="169" fontId="0" fillId="0" borderId="1" xfId="0" applyNumberFormat="1" applyBorder="1" applyAlignment="1">
      <alignment horizontal="left" vertical="center" wrapText="1"/>
    </xf>
    <xf numFmtId="10" fontId="15" fillId="0" borderId="1" xfId="2" applyNumberFormat="1" applyFont="1" applyFill="1" applyBorder="1" applyAlignment="1">
      <alignment horizontal="center" vertical="center"/>
    </xf>
    <xf numFmtId="9" fontId="15" fillId="0" borderId="1" xfId="2" applyFont="1" applyFill="1" applyBorder="1" applyAlignment="1">
      <alignment horizontal="center" vertical="center"/>
    </xf>
    <xf numFmtId="3" fontId="15" fillId="0" borderId="1" xfId="2" applyNumberFormat="1" applyFont="1" applyFill="1" applyBorder="1" applyAlignment="1">
      <alignment horizontal="center" vertical="center"/>
    </xf>
    <xf numFmtId="3" fontId="15" fillId="0" borderId="1" xfId="1" applyNumberFormat="1" applyFont="1" applyFill="1" applyBorder="1" applyAlignment="1">
      <alignment horizontal="center" vertical="center"/>
    </xf>
    <xf numFmtId="166" fontId="8" fillId="0" borderId="1" xfId="0" applyNumberFormat="1" applyFont="1" applyBorder="1" applyAlignment="1">
      <alignment vertical="center" wrapText="1"/>
    </xf>
    <xf numFmtId="166" fontId="8" fillId="0" borderId="2" xfId="0" applyNumberFormat="1" applyFont="1" applyBorder="1" applyAlignment="1">
      <alignment vertical="center"/>
    </xf>
    <xf numFmtId="10" fontId="8" fillId="0" borderId="2" xfId="2" applyNumberFormat="1" applyFont="1" applyFill="1" applyBorder="1" applyAlignment="1">
      <alignment horizontal="center" vertical="center"/>
    </xf>
    <xf numFmtId="0" fontId="15" fillId="0" borderId="1" xfId="0" applyFont="1" applyBorder="1" applyAlignment="1">
      <alignment horizontal="center" vertical="center"/>
    </xf>
    <xf numFmtId="169" fontId="8" fillId="0" borderId="1" xfId="0" applyNumberFormat="1" applyFont="1" applyBorder="1" applyAlignment="1">
      <alignment horizontal="right" vertical="center"/>
    </xf>
    <xf numFmtId="170" fontId="8" fillId="0" borderId="1" xfId="1" applyNumberFormat="1" applyFont="1" applyFill="1" applyBorder="1" applyAlignment="1">
      <alignment horizontal="center" vertical="center"/>
    </xf>
    <xf numFmtId="170" fontId="0" fillId="0" borderId="1" xfId="1" applyNumberFormat="1" applyFont="1" applyFill="1" applyBorder="1" applyAlignment="1">
      <alignment horizontal="center" vertical="center"/>
    </xf>
    <xf numFmtId="169" fontId="0" fillId="0" borderId="1" xfId="0" quotePrefix="1" applyNumberFormat="1" applyBorder="1" applyAlignment="1">
      <alignment vertical="center" wrapText="1"/>
    </xf>
    <xf numFmtId="170" fontId="13" fillId="0" borderId="1" xfId="1" applyNumberFormat="1" applyFont="1" applyFill="1" applyBorder="1" applyAlignment="1">
      <alignment vertical="center"/>
    </xf>
    <xf numFmtId="165" fontId="0" fillId="0" borderId="1" xfId="4" applyFont="1" applyFill="1" applyBorder="1" applyAlignment="1">
      <alignment vertical="center"/>
    </xf>
    <xf numFmtId="4" fontId="18" fillId="0" borderId="1" xfId="0" applyNumberFormat="1" applyFont="1" applyBorder="1" applyAlignment="1">
      <alignment vertical="center"/>
    </xf>
    <xf numFmtId="172" fontId="12" fillId="0" borderId="10" xfId="0" applyNumberFormat="1" applyFont="1" applyBorder="1" applyAlignment="1">
      <alignment vertical="center"/>
    </xf>
    <xf numFmtId="166" fontId="0" fillId="0" borderId="7" xfId="0" applyNumberFormat="1" applyBorder="1" applyAlignment="1">
      <alignment vertical="center"/>
    </xf>
    <xf numFmtId="10" fontId="0" fillId="0" borderId="7" xfId="2" applyNumberFormat="1" applyFont="1" applyFill="1" applyBorder="1" applyAlignment="1">
      <alignment horizontal="center" vertical="center"/>
    </xf>
    <xf numFmtId="37" fontId="0" fillId="0" borderId="1" xfId="0" applyNumberFormat="1" applyBorder="1" applyAlignment="1">
      <alignment horizontal="center" vertical="center"/>
    </xf>
    <xf numFmtId="170" fontId="0" fillId="0" borderId="1" xfId="0" applyNumberFormat="1" applyBorder="1" applyAlignment="1">
      <alignment vertical="center"/>
    </xf>
    <xf numFmtId="170" fontId="0" fillId="0" borderId="1" xfId="1" applyNumberFormat="1" applyFont="1" applyFill="1" applyBorder="1" applyAlignment="1">
      <alignment horizontal="center" vertical="center" wrapText="1"/>
    </xf>
    <xf numFmtId="10" fontId="0" fillId="0" borderId="2" xfId="0" applyNumberFormat="1" applyBorder="1" applyAlignment="1">
      <alignment horizontal="center" vertical="center" wrapText="1"/>
    </xf>
    <xf numFmtId="173" fontId="0" fillId="0" borderId="1" xfId="0" applyNumberFormat="1" applyBorder="1" applyAlignment="1">
      <alignment vertical="center"/>
    </xf>
    <xf numFmtId="0" fontId="0" fillId="0" borderId="6" xfId="0" applyBorder="1" applyAlignment="1">
      <alignment horizontal="center" vertical="center" wrapText="1"/>
    </xf>
    <xf numFmtId="169" fontId="14" fillId="0" borderId="1" xfId="0" applyNumberFormat="1" applyFont="1" applyBorder="1" applyAlignment="1">
      <alignment horizontal="center" vertical="center" wrapText="1"/>
    </xf>
    <xf numFmtId="164" fontId="0" fillId="0" borderId="1" xfId="0" applyNumberFormat="1" applyBorder="1" applyAlignment="1">
      <alignment vertical="center"/>
    </xf>
    <xf numFmtId="0" fontId="11" fillId="0" borderId="15" xfId="0" applyFont="1" applyBorder="1"/>
    <xf numFmtId="0" fontId="11" fillId="0" borderId="14" xfId="0" applyFont="1" applyBorder="1"/>
    <xf numFmtId="170" fontId="0" fillId="0" borderId="1" xfId="0" applyNumberFormat="1" applyBorder="1" applyAlignment="1">
      <alignment horizontal="left" vertical="center"/>
    </xf>
    <xf numFmtId="0" fontId="0" fillId="0" borderId="7" xfId="0" applyBorder="1" applyAlignment="1">
      <alignment horizontal="left" vertical="center"/>
    </xf>
    <xf numFmtId="170" fontId="0" fillId="0" borderId="6" xfId="1" applyNumberFormat="1" applyFont="1" applyFill="1" applyBorder="1" applyAlignment="1">
      <alignment horizontal="center" vertical="center" wrapText="1"/>
    </xf>
    <xf numFmtId="10" fontId="0" fillId="0" borderId="7" xfId="0" applyNumberFormat="1" applyBorder="1" applyAlignment="1">
      <alignment horizontal="center" vertical="center" wrapText="1"/>
    </xf>
    <xf numFmtId="10" fontId="0" fillId="0" borderId="7" xfId="2" applyNumberFormat="1" applyFont="1" applyFill="1" applyBorder="1" applyAlignment="1">
      <alignment horizontal="center" vertical="center" wrapText="1"/>
    </xf>
    <xf numFmtId="10" fontId="0" fillId="0" borderId="6" xfId="2" applyNumberFormat="1" applyFont="1" applyFill="1" applyBorder="1" applyAlignment="1">
      <alignment horizontal="center" vertical="center" wrapText="1"/>
    </xf>
    <xf numFmtId="43" fontId="0" fillId="0" borderId="6" xfId="3" applyFont="1" applyFill="1" applyBorder="1" applyAlignment="1">
      <alignment vertical="center"/>
    </xf>
    <xf numFmtId="173" fontId="0" fillId="0" borderId="6" xfId="0" applyNumberFormat="1" applyBorder="1" applyAlignment="1">
      <alignment vertical="center"/>
    </xf>
    <xf numFmtId="170" fontId="0" fillId="0" borderId="6" xfId="0" applyNumberFormat="1" applyBorder="1" applyAlignment="1">
      <alignment vertical="center"/>
    </xf>
    <xf numFmtId="169" fontId="0" fillId="0" borderId="11" xfId="0" applyNumberFormat="1" applyBorder="1" applyAlignment="1">
      <alignment horizontal="center" vertical="center" wrapText="1"/>
    </xf>
    <xf numFmtId="169" fontId="0" fillId="0" borderId="11" xfId="0" applyNumberFormat="1" applyBorder="1" applyAlignment="1">
      <alignment horizontal="center" vertical="center"/>
    </xf>
    <xf numFmtId="0" fontId="10" fillId="0" borderId="6" xfId="0" applyFont="1" applyBorder="1"/>
    <xf numFmtId="170" fontId="0" fillId="0" borderId="1" xfId="1" applyNumberFormat="1" applyFont="1" applyFill="1" applyBorder="1" applyAlignment="1">
      <alignment horizontal="right" vertical="center"/>
    </xf>
    <xf numFmtId="0" fontId="11" fillId="0" borderId="0" xfId="0" applyFont="1"/>
    <xf numFmtId="0" fontId="10" fillId="0" borderId="11" xfId="0" applyFont="1" applyBorder="1"/>
    <xf numFmtId="166" fontId="0" fillId="0" borderId="6" xfId="0" applyNumberFormat="1" applyBorder="1" applyAlignment="1">
      <alignment vertical="center" wrapText="1"/>
    </xf>
    <xf numFmtId="170" fontId="10" fillId="0" borderId="16" xfId="1" applyNumberFormat="1" applyFont="1" applyFill="1" applyBorder="1" applyAlignment="1">
      <alignment horizontal="right"/>
    </xf>
    <xf numFmtId="166" fontId="0" fillId="0" borderId="3" xfId="0" applyNumberFormat="1" applyBorder="1" applyAlignment="1">
      <alignment vertical="center"/>
    </xf>
    <xf numFmtId="0" fontId="22" fillId="0" borderId="0" xfId="0" applyFont="1"/>
    <xf numFmtId="170" fontId="0" fillId="0" borderId="1" xfId="0" applyNumberFormat="1" applyBorder="1" applyAlignment="1">
      <alignment vertical="center" wrapText="1"/>
    </xf>
    <xf numFmtId="166" fontId="11" fillId="0" borderId="1" xfId="0" applyNumberFormat="1" applyFont="1" applyBorder="1"/>
    <xf numFmtId="166" fontId="0" fillId="0" borderId="9" xfId="0" applyNumberFormat="1" applyBorder="1" applyAlignment="1">
      <alignment vertical="center"/>
    </xf>
    <xf numFmtId="0" fontId="8" fillId="0" borderId="7" xfId="0" applyFont="1" applyBorder="1" applyAlignment="1">
      <alignment horizontal="center" vertical="center"/>
    </xf>
    <xf numFmtId="37" fontId="8" fillId="0" borderId="1" xfId="0" applyNumberFormat="1" applyFont="1" applyBorder="1" applyAlignment="1">
      <alignment horizontal="center" vertical="center"/>
    </xf>
    <xf numFmtId="10" fontId="15" fillId="0" borderId="1" xfId="2" applyNumberFormat="1" applyFont="1" applyFill="1" applyBorder="1" applyAlignment="1">
      <alignment horizontal="center" vertical="center" wrapText="1"/>
    </xf>
    <xf numFmtId="9" fontId="15" fillId="0" borderId="1" xfId="2" applyFont="1" applyFill="1" applyBorder="1" applyAlignment="1">
      <alignment horizontal="center" vertical="center" wrapText="1"/>
    </xf>
    <xf numFmtId="170" fontId="8" fillId="0" borderId="1" xfId="1" applyNumberFormat="1" applyFont="1" applyFill="1" applyBorder="1" applyAlignment="1">
      <alignment horizontal="center" vertical="center" wrapText="1"/>
    </xf>
    <xf numFmtId="166" fontId="8" fillId="0" borderId="1" xfId="0" applyNumberFormat="1" applyFont="1" applyBorder="1"/>
    <xf numFmtId="166" fontId="8" fillId="0" borderId="3" xfId="0" applyNumberFormat="1" applyFont="1" applyBorder="1" applyAlignment="1">
      <alignment vertical="center"/>
    </xf>
    <xf numFmtId="10" fontId="8" fillId="0" borderId="2" xfId="0" applyNumberFormat="1" applyFont="1" applyBorder="1" applyAlignment="1">
      <alignment horizontal="center" vertical="center" wrapText="1"/>
    </xf>
    <xf numFmtId="10" fontId="8" fillId="0" borderId="2" xfId="2" applyNumberFormat="1" applyFont="1" applyFill="1" applyBorder="1" applyAlignment="1">
      <alignment horizontal="center" vertical="center" wrapText="1"/>
    </xf>
    <xf numFmtId="10" fontId="8" fillId="0" borderId="1" xfId="2" applyNumberFormat="1" applyFont="1" applyFill="1" applyBorder="1" applyAlignment="1">
      <alignment horizontal="center" vertical="center" wrapText="1"/>
    </xf>
    <xf numFmtId="173" fontId="8" fillId="0" borderId="1" xfId="0" applyNumberFormat="1" applyFont="1" applyBorder="1" applyAlignment="1">
      <alignment vertical="center"/>
    </xf>
    <xf numFmtId="170" fontId="8" fillId="0" borderId="1" xfId="0" applyNumberFormat="1" applyFont="1" applyBorder="1" applyAlignment="1">
      <alignment vertical="center"/>
    </xf>
    <xf numFmtId="164" fontId="8" fillId="0" borderId="0" xfId="1" applyFont="1" applyFill="1" applyAlignment="1">
      <alignment horizontal="left" wrapText="1"/>
    </xf>
    <xf numFmtId="0" fontId="8" fillId="0" borderId="6" xfId="0" applyFont="1" applyBorder="1" applyAlignment="1">
      <alignment vertical="center"/>
    </xf>
    <xf numFmtId="169" fontId="8" fillId="0" borderId="5" xfId="0" applyNumberFormat="1" applyFont="1" applyBorder="1" applyAlignment="1">
      <alignment horizontal="center" vertical="center" wrapText="1"/>
    </xf>
    <xf numFmtId="169" fontId="8" fillId="0" borderId="1" xfId="0" applyNumberFormat="1" applyFont="1" applyBorder="1" applyAlignment="1">
      <alignment horizontal="center" vertical="center" wrapText="1"/>
    </xf>
    <xf numFmtId="166" fontId="11" fillId="0" borderId="5" xfId="0" applyNumberFormat="1" applyFont="1" applyBorder="1"/>
    <xf numFmtId="166" fontId="0" fillId="0" borderId="5" xfId="0" applyNumberFormat="1" applyBorder="1" applyAlignment="1">
      <alignment vertical="center" wrapText="1"/>
    </xf>
    <xf numFmtId="166" fontId="0" fillId="0" borderId="5" xfId="0" applyNumberFormat="1" applyBorder="1" applyAlignment="1">
      <alignment vertical="center"/>
    </xf>
    <xf numFmtId="37" fontId="0" fillId="0" borderId="6" xfId="0" applyNumberFormat="1" applyBorder="1" applyAlignment="1">
      <alignment horizontal="center" vertical="center"/>
    </xf>
    <xf numFmtId="10" fontId="10" fillId="0" borderId="6" xfId="0" applyNumberFormat="1" applyFont="1" applyBorder="1" applyAlignment="1">
      <alignment horizontal="center" vertical="center"/>
    </xf>
    <xf numFmtId="9" fontId="10" fillId="0" borderId="6" xfId="0" applyNumberFormat="1" applyFont="1" applyBorder="1" applyAlignment="1">
      <alignment horizontal="center" vertical="center"/>
    </xf>
    <xf numFmtId="3" fontId="10" fillId="0" borderId="6" xfId="0" applyNumberFormat="1" applyFont="1" applyBorder="1" applyAlignment="1">
      <alignment horizontal="center" vertical="center"/>
    </xf>
    <xf numFmtId="10" fontId="0" fillId="0" borderId="7" xfId="0" applyNumberFormat="1" applyBorder="1" applyAlignment="1">
      <alignment horizontal="center" vertical="center"/>
    </xf>
    <xf numFmtId="1" fontId="14" fillId="0" borderId="7" xfId="0" applyNumberFormat="1" applyFont="1" applyBorder="1" applyAlignment="1">
      <alignment horizontal="center" vertical="center" wrapText="1"/>
    </xf>
    <xf numFmtId="169" fontId="14" fillId="0" borderId="50" xfId="0" applyNumberFormat="1" applyFont="1" applyBorder="1" applyAlignment="1">
      <alignment horizontal="center" vertical="center" wrapText="1"/>
    </xf>
    <xf numFmtId="0" fontId="14" fillId="0" borderId="9" xfId="0" applyFont="1" applyBorder="1" applyAlignment="1">
      <alignment horizontal="center" vertical="center" wrapText="1"/>
    </xf>
    <xf numFmtId="166" fontId="0" fillId="0" borderId="11" xfId="0" applyNumberFormat="1" applyBorder="1" applyAlignment="1">
      <alignment vertical="center"/>
    </xf>
    <xf numFmtId="9" fontId="10" fillId="0" borderId="1" xfId="0" applyNumberFormat="1" applyFont="1" applyBorder="1" applyAlignment="1">
      <alignment horizontal="center" vertical="center"/>
    </xf>
    <xf numFmtId="3" fontId="10" fillId="0" borderId="1" xfId="0" applyNumberFormat="1" applyFont="1" applyBorder="1" applyAlignment="1">
      <alignment horizontal="center" vertical="center"/>
    </xf>
    <xf numFmtId="10" fontId="0" fillId="0" borderId="2" xfId="0" applyNumberFormat="1" applyBorder="1" applyAlignment="1">
      <alignment horizontal="center" vertical="center"/>
    </xf>
    <xf numFmtId="1" fontId="14" fillId="0" borderId="2" xfId="0" applyNumberFormat="1" applyFont="1" applyBorder="1" applyAlignment="1">
      <alignment horizontal="center" vertical="center" wrapText="1"/>
    </xf>
    <xf numFmtId="169" fontId="14" fillId="0" borderId="12" xfId="0" applyNumberFormat="1" applyFont="1" applyBorder="1" applyAlignment="1">
      <alignment horizontal="center" vertical="center" wrapText="1"/>
    </xf>
    <xf numFmtId="0" fontId="14" fillId="0" borderId="3" xfId="0" applyFont="1" applyBorder="1" applyAlignment="1">
      <alignment horizontal="center" vertical="center" wrapText="1"/>
    </xf>
    <xf numFmtId="164" fontId="0" fillId="0" borderId="6" xfId="0" applyNumberFormat="1" applyBorder="1" applyAlignment="1">
      <alignment vertical="center"/>
    </xf>
    <xf numFmtId="0" fontId="2" fillId="0" borderId="1" xfId="0" applyFont="1" applyBorder="1" applyAlignment="1">
      <alignment horizontal="center" vertical="center" wrapText="1"/>
    </xf>
    <xf numFmtId="169" fontId="8" fillId="0" borderId="0" xfId="0" applyNumberFormat="1" applyFont="1" applyAlignment="1">
      <alignment vertical="center" wrapText="1"/>
    </xf>
    <xf numFmtId="0" fontId="8" fillId="0" borderId="0" xfId="0" applyFont="1" applyAlignment="1">
      <alignment horizontal="center" vertical="center" wrapText="1"/>
    </xf>
    <xf numFmtId="0" fontId="8" fillId="0" borderId="0" xfId="0" applyFont="1" applyAlignment="1">
      <alignment vertical="center" wrapText="1"/>
    </xf>
    <xf numFmtId="0" fontId="10" fillId="0" borderId="0" xfId="0" applyFont="1" applyAlignment="1">
      <alignment wrapText="1"/>
    </xf>
    <xf numFmtId="173" fontId="0" fillId="0" borderId="6" xfId="5" applyNumberFormat="1" applyFont="1" applyBorder="1" applyAlignment="1">
      <alignment vertical="center"/>
    </xf>
    <xf numFmtId="167" fontId="14" fillId="0" borderId="0" xfId="3" applyNumberFormat="1" applyFont="1" applyAlignment="1">
      <alignment vertical="center"/>
    </xf>
    <xf numFmtId="173" fontId="8" fillId="0" borderId="1" xfId="5" applyNumberFormat="1" applyFont="1" applyBorder="1" applyAlignment="1">
      <alignment vertical="center"/>
    </xf>
    <xf numFmtId="173" fontId="0" fillId="0" borderId="1" xfId="5" applyNumberFormat="1" applyFont="1" applyBorder="1" applyAlignment="1">
      <alignment vertical="center"/>
    </xf>
    <xf numFmtId="0" fontId="0" fillId="16" borderId="1" xfId="0" applyFill="1" applyBorder="1" applyAlignment="1">
      <alignment horizontal="left" vertical="center"/>
    </xf>
    <xf numFmtId="0" fontId="0" fillId="16" borderId="1" xfId="0" applyFill="1" applyBorder="1" applyAlignment="1">
      <alignment vertical="center"/>
    </xf>
    <xf numFmtId="17" fontId="0" fillId="16" borderId="1" xfId="0" applyNumberFormat="1" applyFill="1" applyBorder="1" applyAlignment="1">
      <alignment horizontal="center" vertical="center"/>
    </xf>
    <xf numFmtId="37" fontId="0" fillId="16" borderId="1" xfId="0" applyNumberFormat="1" applyFill="1" applyBorder="1" applyAlignment="1">
      <alignment horizontal="center" vertical="center"/>
    </xf>
    <xf numFmtId="43" fontId="0" fillId="16" borderId="1" xfId="0" applyNumberFormat="1" applyFill="1" applyBorder="1" applyAlignment="1">
      <alignment vertical="center"/>
    </xf>
    <xf numFmtId="0" fontId="0" fillId="16" borderId="4" xfId="0" applyFill="1" applyBorder="1" applyAlignment="1">
      <alignment horizontal="center" vertical="center"/>
    </xf>
    <xf numFmtId="4" fontId="2" fillId="3" borderId="1" xfId="0" applyNumberFormat="1" applyFont="1" applyFill="1" applyBorder="1" applyAlignment="1">
      <alignment horizontal="center" vertical="top" wrapText="1"/>
    </xf>
    <xf numFmtId="4" fontId="2" fillId="4" borderId="1" xfId="0" applyNumberFormat="1" applyFont="1" applyFill="1" applyBorder="1" applyAlignment="1">
      <alignment horizontal="center" vertical="top" wrapText="1"/>
    </xf>
    <xf numFmtId="4" fontId="0" fillId="0" borderId="0" xfId="0" applyNumberFormat="1" applyAlignment="1">
      <alignment horizontal="center" vertical="center"/>
    </xf>
    <xf numFmtId="4" fontId="8" fillId="0" borderId="0" xfId="0" applyNumberFormat="1" applyFont="1" applyAlignment="1">
      <alignment horizontal="center" vertical="center"/>
    </xf>
    <xf numFmtId="4" fontId="14" fillId="0" borderId="0" xfId="0" applyNumberFormat="1" applyFont="1" applyAlignment="1">
      <alignment horizontal="center" vertical="center"/>
    </xf>
    <xf numFmtId="0" fontId="0" fillId="17" borderId="0" xfId="0" applyFill="1" applyAlignment="1">
      <alignment vertical="center"/>
    </xf>
    <xf numFmtId="0" fontId="0" fillId="20" borderId="0" xfId="0" applyFill="1" applyAlignment="1">
      <alignment vertical="center"/>
    </xf>
    <xf numFmtId="0" fontId="0" fillId="21" borderId="0" xfId="0" applyFill="1" applyAlignment="1">
      <alignment vertical="center"/>
    </xf>
    <xf numFmtId="0" fontId="0" fillId="22" borderId="0" xfId="0" applyFill="1" applyAlignment="1">
      <alignment vertical="center"/>
    </xf>
    <xf numFmtId="0" fontId="0" fillId="18" borderId="0" xfId="0" applyFill="1" applyAlignment="1">
      <alignment vertical="center"/>
    </xf>
    <xf numFmtId="0" fontId="0" fillId="0" borderId="0" xfId="0" quotePrefix="1" applyAlignment="1">
      <alignment vertical="center"/>
    </xf>
    <xf numFmtId="0" fontId="0" fillId="19" borderId="51" xfId="0" applyFill="1" applyBorder="1" applyAlignment="1">
      <alignment horizontal="center" vertical="center"/>
    </xf>
    <xf numFmtId="9" fontId="0" fillId="0" borderId="0" xfId="0" applyNumberFormat="1" applyAlignment="1">
      <alignment horizontal="center" vertical="center"/>
    </xf>
    <xf numFmtId="10" fontId="8" fillId="0" borderId="0" xfId="0" applyNumberFormat="1" applyFont="1" applyAlignment="1">
      <alignment horizontal="center" vertical="center"/>
    </xf>
    <xf numFmtId="9" fontId="8" fillId="0" borderId="0" xfId="0" applyNumberFormat="1" applyFont="1" applyAlignment="1">
      <alignment horizontal="center" vertical="center"/>
    </xf>
    <xf numFmtId="10" fontId="14" fillId="0" borderId="0" xfId="0" applyNumberFormat="1" applyFont="1" applyAlignment="1">
      <alignment horizontal="center" vertical="center"/>
    </xf>
    <xf numFmtId="9" fontId="14" fillId="0" borderId="0" xfId="0" applyNumberFormat="1" applyFont="1" applyAlignment="1">
      <alignment horizontal="center" vertical="center"/>
    </xf>
    <xf numFmtId="174" fontId="0" fillId="0" borderId="0" xfId="2" applyNumberFormat="1" applyFont="1" applyAlignment="1">
      <alignment horizontal="center" vertical="center"/>
    </xf>
    <xf numFmtId="164" fontId="0" fillId="0" borderId="0" xfId="0" applyNumberFormat="1" applyAlignment="1">
      <alignment horizontal="center" vertical="center"/>
    </xf>
    <xf numFmtId="4" fontId="2" fillId="4" borderId="0" xfId="0" applyNumberFormat="1" applyFont="1" applyFill="1" applyAlignment="1">
      <alignment horizontal="center" vertical="top" wrapText="1"/>
    </xf>
    <xf numFmtId="169" fontId="14" fillId="0" borderId="8" xfId="0" applyNumberFormat="1" applyFont="1" applyBorder="1" applyAlignment="1">
      <alignment horizontal="center" vertical="center"/>
    </xf>
    <xf numFmtId="169" fontId="8" fillId="0" borderId="11" xfId="0" applyNumberFormat="1" applyFont="1" applyBorder="1" applyAlignment="1">
      <alignment horizontal="center" vertical="center"/>
    </xf>
    <xf numFmtId="0" fontId="25"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left" vertical="center"/>
    </xf>
    <xf numFmtId="170" fontId="0" fillId="0" borderId="0" xfId="1" applyNumberFormat="1" applyFont="1" applyAlignment="1">
      <alignment horizontal="left" vertical="center"/>
    </xf>
    <xf numFmtId="2" fontId="0" fillId="0" borderId="0" xfId="0" applyNumberFormat="1" applyAlignment="1">
      <alignment horizontal="center" vertical="center" wrapText="1"/>
    </xf>
    <xf numFmtId="0" fontId="8" fillId="3" borderId="0" xfId="0" applyFont="1" applyFill="1" applyAlignment="1">
      <alignment horizontal="center" vertical="top" wrapText="1"/>
    </xf>
    <xf numFmtId="0" fontId="0" fillId="2" borderId="1" xfId="0" applyFill="1" applyBorder="1" applyAlignment="1">
      <alignment vertical="center"/>
    </xf>
    <xf numFmtId="167" fontId="3" fillId="0" borderId="1" xfId="3" applyNumberFormat="1" applyFont="1" applyFill="1" applyBorder="1" applyAlignment="1">
      <alignment vertical="center"/>
    </xf>
    <xf numFmtId="169" fontId="0" fillId="0" borderId="1" xfId="0" quotePrefix="1" applyNumberFormat="1" applyBorder="1" applyAlignment="1">
      <alignment horizontal="left" vertical="center" wrapText="1"/>
    </xf>
    <xf numFmtId="3" fontId="10" fillId="0" borderId="6" xfId="2" applyNumberFormat="1" applyFont="1" applyBorder="1" applyAlignment="1">
      <alignment horizontal="center" vertical="center"/>
    </xf>
    <xf numFmtId="43" fontId="0" fillId="16" borderId="2" xfId="0" applyNumberFormat="1" applyFill="1" applyBorder="1" applyAlignment="1">
      <alignment horizontal="left" vertical="center"/>
    </xf>
    <xf numFmtId="176" fontId="0" fillId="0" borderId="1" xfId="2" applyNumberFormat="1" applyFont="1" applyFill="1" applyBorder="1" applyAlignment="1">
      <alignment horizontal="center" vertical="center"/>
    </xf>
    <xf numFmtId="0" fontId="0" fillId="2" borderId="1" xfId="0" applyFill="1" applyBorder="1" applyAlignment="1">
      <alignment horizontal="center" vertical="center"/>
    </xf>
    <xf numFmtId="0" fontId="0" fillId="16" borderId="1" xfId="0" applyFill="1" applyBorder="1" applyAlignment="1">
      <alignment horizontal="center" vertical="center"/>
    </xf>
    <xf numFmtId="0" fontId="0" fillId="6" borderId="1" xfId="0" applyFill="1" applyBorder="1" applyAlignment="1">
      <alignment horizontal="center" vertical="center"/>
    </xf>
    <xf numFmtId="0" fontId="0" fillId="6" borderId="5" xfId="0" applyFill="1" applyBorder="1" applyAlignment="1">
      <alignment horizontal="center" vertical="center"/>
    </xf>
    <xf numFmtId="0" fontId="0" fillId="23" borderId="5" xfId="0" applyFill="1" applyBorder="1" applyAlignment="1">
      <alignment horizontal="center" vertical="center"/>
    </xf>
    <xf numFmtId="0" fontId="0" fillId="0" borderId="50" xfId="0" applyBorder="1"/>
    <xf numFmtId="0" fontId="0" fillId="0" borderId="8" xfId="0" applyBorder="1"/>
    <xf numFmtId="0" fontId="31" fillId="0" borderId="0" xfId="0" applyFont="1" applyAlignment="1">
      <alignment horizontal="center" vertical="center"/>
    </xf>
    <xf numFmtId="170" fontId="31" fillId="0" borderId="0" xfId="1" applyNumberFormat="1" applyFont="1" applyBorder="1" applyAlignment="1">
      <alignment horizontal="center" vertical="center"/>
    </xf>
    <xf numFmtId="170" fontId="31" fillId="0" borderId="0" xfId="1" applyNumberFormat="1" applyFont="1" applyFill="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2" fillId="0" borderId="0" xfId="0" applyFont="1"/>
    <xf numFmtId="0" fontId="32" fillId="0" borderId="7" xfId="0" applyFont="1" applyBorder="1" applyAlignment="1">
      <alignment horizontal="center" vertical="center"/>
    </xf>
    <xf numFmtId="0" fontId="32" fillId="0" borderId="9" xfId="0" applyFont="1" applyBorder="1" applyAlignment="1">
      <alignment horizontal="center" vertical="center"/>
    </xf>
    <xf numFmtId="0" fontId="32" fillId="0" borderId="28" xfId="0" applyFont="1" applyBorder="1" applyAlignment="1">
      <alignment horizontal="center" vertical="center"/>
    </xf>
    <xf numFmtId="0" fontId="32" fillId="0" borderId="52" xfId="0" applyFont="1" applyBorder="1" applyAlignment="1">
      <alignment horizontal="center" vertical="center"/>
    </xf>
    <xf numFmtId="170" fontId="32" fillId="0" borderId="0" xfId="1" applyNumberFormat="1" applyFont="1" applyBorder="1" applyAlignment="1">
      <alignment horizontal="center" vertical="center"/>
    </xf>
    <xf numFmtId="0" fontId="32" fillId="0" borderId="6" xfId="0" applyFont="1" applyBorder="1" applyAlignment="1">
      <alignment horizontal="center" vertical="center"/>
    </xf>
    <xf numFmtId="170" fontId="32" fillId="0" borderId="50" xfId="1" applyNumberFormat="1" applyFont="1" applyBorder="1" applyAlignment="1">
      <alignment horizontal="center" vertical="center"/>
    </xf>
    <xf numFmtId="0" fontId="32" fillId="0" borderId="50" xfId="0" applyFont="1" applyBorder="1" applyAlignment="1">
      <alignment horizontal="center" vertical="center"/>
    </xf>
    <xf numFmtId="0" fontId="32" fillId="0" borderId="8" xfId="0" applyFont="1" applyBorder="1" applyAlignment="1">
      <alignment vertical="center"/>
    </xf>
    <xf numFmtId="0" fontId="32" fillId="0" borderId="8" xfId="0" applyFont="1" applyBorder="1" applyAlignment="1">
      <alignment horizontal="center" vertical="center"/>
    </xf>
    <xf numFmtId="170" fontId="32" fillId="0" borderId="28" xfId="1" applyNumberFormat="1" applyFont="1" applyBorder="1" applyAlignment="1">
      <alignment horizontal="center" vertical="center"/>
    </xf>
    <xf numFmtId="170" fontId="32" fillId="0" borderId="8" xfId="1" applyNumberFormat="1" applyFont="1" applyBorder="1" applyAlignment="1">
      <alignment horizontal="center" vertical="center"/>
    </xf>
    <xf numFmtId="170" fontId="32" fillId="0" borderId="7" xfId="1" applyNumberFormat="1" applyFont="1" applyBorder="1" applyAlignment="1">
      <alignment horizontal="center" vertical="center"/>
    </xf>
    <xf numFmtId="169" fontId="2" fillId="4" borderId="1" xfId="0" applyNumberFormat="1" applyFont="1" applyFill="1" applyBorder="1" applyAlignment="1">
      <alignment horizontal="center" vertical="top" wrapText="1"/>
    </xf>
    <xf numFmtId="15" fontId="11" fillId="0" borderId="2" xfId="0" applyNumberFormat="1" applyFont="1" applyBorder="1" applyAlignment="1">
      <alignment horizontal="center" vertical="top"/>
    </xf>
    <xf numFmtId="43" fontId="8" fillId="0" borderId="0" xfId="0" applyNumberFormat="1" applyFont="1" applyAlignment="1">
      <alignment vertical="center"/>
    </xf>
    <xf numFmtId="0" fontId="29" fillId="0" borderId="54" xfId="0" applyFont="1" applyBorder="1" applyAlignment="1">
      <alignment horizontal="center" vertical="center" wrapText="1" readingOrder="1"/>
    </xf>
    <xf numFmtId="0" fontId="29" fillId="0" borderId="54" xfId="0" applyFont="1" applyBorder="1" applyAlignment="1">
      <alignment horizontal="left" vertical="center" wrapText="1" readingOrder="1"/>
    </xf>
    <xf numFmtId="0" fontId="30" fillId="0" borderId="54" xfId="0" applyFont="1" applyBorder="1" applyAlignment="1">
      <alignment horizontal="center" vertical="center" wrapText="1" readingOrder="1"/>
    </xf>
    <xf numFmtId="9" fontId="35" fillId="14" borderId="57" xfId="0" applyNumberFormat="1" applyFont="1" applyFill="1" applyBorder="1" applyAlignment="1">
      <alignment horizontal="center" vertical="center" wrapText="1"/>
    </xf>
    <xf numFmtId="0" fontId="35" fillId="14" borderId="57" xfId="0" applyFont="1" applyFill="1" applyBorder="1" applyAlignment="1">
      <alignment vertical="center" wrapText="1"/>
    </xf>
    <xf numFmtId="0" fontId="35" fillId="14" borderId="55" xfId="0" applyFont="1" applyFill="1" applyBorder="1" applyAlignment="1">
      <alignment vertical="center" wrapText="1"/>
    </xf>
    <xf numFmtId="0" fontId="35" fillId="25" borderId="57" xfId="0" applyFont="1" applyFill="1" applyBorder="1" applyAlignment="1">
      <alignment horizontal="center" vertical="center" wrapText="1"/>
    </xf>
    <xf numFmtId="171" fontId="35" fillId="14" borderId="57" xfId="0" applyNumberFormat="1" applyFont="1" applyFill="1" applyBorder="1" applyAlignment="1">
      <alignment horizontal="center" vertical="center" wrapText="1"/>
    </xf>
    <xf numFmtId="171" fontId="35" fillId="25" borderId="57" xfId="0" applyNumberFormat="1" applyFont="1" applyFill="1" applyBorder="1" applyAlignment="1">
      <alignment horizontal="center" vertical="center" wrapText="1"/>
    </xf>
    <xf numFmtId="177" fontId="35" fillId="14" borderId="57" xfId="0" applyNumberFormat="1" applyFont="1" applyFill="1" applyBorder="1" applyAlignment="1">
      <alignment horizontal="center" vertical="center" wrapText="1"/>
    </xf>
    <xf numFmtId="177" fontId="35" fillId="14" borderId="63" xfId="0" applyNumberFormat="1" applyFont="1" applyFill="1" applyBorder="1" applyAlignment="1">
      <alignment horizontal="center" vertical="center" wrapText="1"/>
    </xf>
    <xf numFmtId="0" fontId="36" fillId="0" borderId="64" xfId="0" applyFont="1" applyBorder="1" applyAlignment="1">
      <alignment horizontal="center"/>
    </xf>
    <xf numFmtId="0" fontId="36" fillId="0" borderId="64" xfId="0" applyFont="1" applyBorder="1" applyAlignment="1">
      <alignment horizontal="left"/>
    </xf>
    <xf numFmtId="0" fontId="36" fillId="26" borderId="64" xfId="0" applyFont="1" applyFill="1" applyBorder="1" applyAlignment="1">
      <alignment horizontal="center" wrapText="1"/>
    </xf>
    <xf numFmtId="9" fontId="36" fillId="0" borderId="65" xfId="0" applyNumberFormat="1" applyFont="1" applyBorder="1" applyAlignment="1">
      <alignment horizontal="center"/>
    </xf>
    <xf numFmtId="9" fontId="36" fillId="0" borderId="66" xfId="0" applyNumberFormat="1" applyFont="1" applyBorder="1" applyAlignment="1">
      <alignment horizontal="center" vertical="center" wrapText="1"/>
    </xf>
    <xf numFmtId="164" fontId="36" fillId="0" borderId="67" xfId="0" applyNumberFormat="1" applyFont="1" applyBorder="1" applyAlignment="1">
      <alignment horizontal="center" vertical="center"/>
    </xf>
    <xf numFmtId="178" fontId="36" fillId="0" borderId="67" xfId="0" applyNumberFormat="1" applyFont="1" applyBorder="1" applyAlignment="1">
      <alignment horizontal="center" vertical="center"/>
    </xf>
    <xf numFmtId="178" fontId="36" fillId="0" borderId="68" xfId="0" applyNumberFormat="1" applyFont="1" applyBorder="1" applyAlignment="1">
      <alignment horizontal="center" vertical="center"/>
    </xf>
    <xf numFmtId="178" fontId="36" fillId="0" borderId="69" xfId="0" applyNumberFormat="1" applyFont="1" applyBorder="1" applyAlignment="1">
      <alignment horizontal="center" vertical="center"/>
    </xf>
    <xf numFmtId="0" fontId="36" fillId="0" borderId="67" xfId="0" applyFont="1" applyBorder="1" applyAlignment="1">
      <alignment horizontal="center" vertical="center"/>
    </xf>
    <xf numFmtId="171" fontId="36" fillId="0" borderId="68" xfId="0" applyNumberFormat="1" applyFont="1" applyBorder="1" applyAlignment="1">
      <alignment horizontal="center" vertical="center"/>
    </xf>
    <xf numFmtId="171" fontId="36" fillId="0" borderId="69" xfId="0" applyNumberFormat="1" applyFont="1" applyBorder="1" applyAlignment="1">
      <alignment horizontal="center" vertical="center"/>
    </xf>
    <xf numFmtId="177" fontId="36" fillId="0" borderId="68" xfId="0" applyNumberFormat="1" applyFont="1" applyBorder="1" applyAlignment="1">
      <alignment horizontal="center" vertical="center"/>
    </xf>
    <xf numFmtId="0" fontId="36" fillId="0" borderId="64" xfId="0" applyFont="1" applyBorder="1" applyAlignment="1">
      <alignment horizontal="center" wrapText="1"/>
    </xf>
    <xf numFmtId="178" fontId="36" fillId="0" borderId="70" xfId="0" applyNumberFormat="1" applyFont="1" applyBorder="1" applyAlignment="1">
      <alignment horizontal="center" vertical="center"/>
    </xf>
    <xf numFmtId="0" fontId="36" fillId="0" borderId="64" xfId="0" applyFont="1" applyBorder="1" applyAlignment="1">
      <alignment horizontal="left" vertical="center"/>
    </xf>
    <xf numFmtId="0" fontId="36" fillId="0" borderId="69" xfId="0" applyFont="1" applyBorder="1" applyAlignment="1">
      <alignment horizontal="center" vertical="center"/>
    </xf>
    <xf numFmtId="0" fontId="37" fillId="0" borderId="0" xfId="0" applyFont="1" applyAlignment="1">
      <alignment horizontal="left" vertical="top"/>
    </xf>
    <xf numFmtId="0" fontId="36" fillId="0" borderId="0" xfId="0" applyFont="1"/>
    <xf numFmtId="0" fontId="36" fillId="0" borderId="0" xfId="0" applyFont="1" applyAlignment="1">
      <alignment horizontal="right" vertical="center"/>
    </xf>
    <xf numFmtId="14" fontId="36" fillId="0" borderId="0" xfId="0" applyNumberFormat="1" applyFont="1" applyAlignment="1">
      <alignment horizontal="left"/>
    </xf>
    <xf numFmtId="0" fontId="36" fillId="0" borderId="0" xfId="0" applyFont="1" applyAlignment="1">
      <alignment horizontal="center" vertical="center"/>
    </xf>
    <xf numFmtId="9" fontId="36" fillId="0" borderId="0" xfId="0" applyNumberFormat="1" applyFont="1" applyAlignment="1">
      <alignment horizontal="center" vertical="center"/>
    </xf>
    <xf numFmtId="171" fontId="36" fillId="0" borderId="0" xfId="0" applyNumberFormat="1" applyFont="1" applyAlignment="1">
      <alignment horizontal="center" vertical="center"/>
    </xf>
    <xf numFmtId="177" fontId="36" fillId="0" borderId="0" xfId="0" applyNumberFormat="1" applyFont="1" applyAlignment="1">
      <alignment horizontal="center" vertical="center"/>
    </xf>
    <xf numFmtId="0" fontId="36" fillId="0" borderId="0" xfId="0" applyFont="1" applyAlignment="1">
      <alignment horizontal="left"/>
    </xf>
    <xf numFmtId="0" fontId="36" fillId="0" borderId="0" xfId="0" applyFont="1" applyAlignment="1">
      <alignment horizontal="center"/>
    </xf>
    <xf numFmtId="0" fontId="38" fillId="0" borderId="0" xfId="0" applyFont="1" applyAlignment="1">
      <alignment horizontal="left"/>
    </xf>
    <xf numFmtId="178" fontId="39" fillId="0" borderId="69" xfId="0" applyNumberFormat="1" applyFont="1" applyBorder="1" applyAlignment="1">
      <alignment horizontal="center" vertical="center"/>
    </xf>
    <xf numFmtId="178" fontId="39" fillId="0" borderId="0" xfId="0" applyNumberFormat="1" applyFont="1" applyAlignment="1">
      <alignment horizontal="center" vertical="center"/>
    </xf>
    <xf numFmtId="0" fontId="40" fillId="0" borderId="0" xfId="0" applyFont="1" applyAlignment="1">
      <alignment horizontal="left" vertical="center" indent="1"/>
    </xf>
    <xf numFmtId="0" fontId="36" fillId="0" borderId="0" xfId="0" applyFont="1" applyAlignment="1">
      <alignment vertical="center"/>
    </xf>
    <xf numFmtId="0" fontId="40" fillId="0" borderId="0" xfId="0" applyFont="1" applyAlignment="1">
      <alignment vertical="center" indent="1"/>
    </xf>
    <xf numFmtId="10" fontId="40" fillId="0" borderId="0" xfId="0" applyNumberFormat="1" applyFont="1" applyAlignment="1">
      <alignment horizontal="left" vertical="center" indent="1"/>
    </xf>
    <xf numFmtId="0" fontId="41" fillId="0" borderId="0" xfId="0" applyFont="1"/>
    <xf numFmtId="14" fontId="39" fillId="0" borderId="0" xfId="0" applyNumberFormat="1" applyFont="1" applyAlignment="1">
      <alignment horizontal="left"/>
    </xf>
    <xf numFmtId="14" fontId="36" fillId="0" borderId="0" xfId="0" applyNumberFormat="1" applyFont="1" applyAlignment="1">
      <alignment horizontal="center" vertical="center"/>
    </xf>
    <xf numFmtId="9" fontId="35" fillId="14" borderId="72" xfId="0" applyNumberFormat="1" applyFont="1" applyFill="1" applyBorder="1" applyAlignment="1">
      <alignment vertical="center" wrapText="1"/>
    </xf>
    <xf numFmtId="0" fontId="36" fillId="0" borderId="0" xfId="0" applyFont="1" applyAlignment="1">
      <alignment horizontal="center" vertical="center" wrapText="1"/>
    </xf>
    <xf numFmtId="0" fontId="35" fillId="14" borderId="73" xfId="0" applyFont="1" applyFill="1" applyBorder="1" applyAlignment="1">
      <alignment horizontal="center" vertical="center" wrapText="1"/>
    </xf>
    <xf numFmtId="0" fontId="35" fillId="14" borderId="3" xfId="0" applyFont="1" applyFill="1" applyBorder="1" applyAlignment="1">
      <alignment horizontal="center" vertical="center" wrapText="1"/>
    </xf>
    <xf numFmtId="0" fontId="35" fillId="14" borderId="1" xfId="0" applyFont="1" applyFill="1" applyBorder="1" applyAlignment="1">
      <alignment horizontal="center" vertical="center" wrapText="1"/>
    </xf>
    <xf numFmtId="0" fontId="35" fillId="14" borderId="63" xfId="0" applyFont="1" applyFill="1" applyBorder="1" applyAlignment="1">
      <alignment horizontal="center" vertical="center" wrapText="1"/>
    </xf>
    <xf numFmtId="9" fontId="35" fillId="14" borderId="63" xfId="0" applyNumberFormat="1" applyFont="1" applyFill="1" applyBorder="1" applyAlignment="1">
      <alignment vertical="center" wrapText="1"/>
    </xf>
    <xf numFmtId="0" fontId="35" fillId="14" borderId="0" xfId="0" applyFont="1" applyFill="1" applyAlignment="1">
      <alignment horizontal="center" vertical="center" wrapText="1"/>
    </xf>
    <xf numFmtId="178" fontId="36" fillId="0" borderId="75" xfId="0" applyNumberFormat="1" applyFont="1" applyBorder="1" applyAlignment="1">
      <alignment horizontal="center" vertical="center"/>
    </xf>
    <xf numFmtId="15" fontId="36" fillId="0" borderId="0" xfId="0" applyNumberFormat="1" applyFont="1" applyAlignment="1">
      <alignment horizontal="left"/>
    </xf>
    <xf numFmtId="0" fontId="36" fillId="7" borderId="64" xfId="0" applyFont="1" applyFill="1" applyBorder="1" applyAlignment="1">
      <alignment horizontal="left"/>
    </xf>
    <xf numFmtId="0" fontId="36" fillId="0" borderId="64" xfId="0" applyFont="1" applyBorder="1" applyAlignment="1">
      <alignment horizontal="left" vertical="center" wrapText="1"/>
    </xf>
    <xf numFmtId="9" fontId="36" fillId="0" borderId="76" xfId="0" applyNumberFormat="1" applyFont="1" applyBorder="1" applyAlignment="1">
      <alignment horizontal="center" vertical="center" wrapText="1"/>
    </xf>
    <xf numFmtId="9" fontId="36" fillId="2" borderId="66" xfId="0" applyNumberFormat="1" applyFont="1" applyFill="1" applyBorder="1" applyAlignment="1">
      <alignment horizontal="left" vertical="center" wrapText="1" indent="1"/>
    </xf>
    <xf numFmtId="9" fontId="36" fillId="0" borderId="66" xfId="0" applyNumberFormat="1" applyFont="1" applyBorder="1" applyAlignment="1">
      <alignment horizontal="left" vertical="center" wrapText="1" indent="1"/>
    </xf>
    <xf numFmtId="15" fontId="36" fillId="0" borderId="0" xfId="0" applyNumberFormat="1" applyFont="1" applyAlignment="1">
      <alignment horizontal="left" vertical="center"/>
    </xf>
    <xf numFmtId="0" fontId="36" fillId="0" borderId="0" xfId="0" applyFont="1" applyAlignment="1">
      <alignment horizontal="left" vertical="center"/>
    </xf>
    <xf numFmtId="9" fontId="36" fillId="0" borderId="66" xfId="0" applyNumberFormat="1" applyFont="1" applyBorder="1" applyAlignment="1">
      <alignment horizontal="center" vertical="center" wrapText="1" indent="1"/>
    </xf>
    <xf numFmtId="0" fontId="36" fillId="0" borderId="0" xfId="0" applyFont="1" applyAlignment="1">
      <alignment horizontal="center" wrapText="1"/>
    </xf>
    <xf numFmtId="9" fontId="36" fillId="0" borderId="0" xfId="0" applyNumberFormat="1" applyFont="1" applyAlignment="1">
      <alignment horizontal="center"/>
    </xf>
    <xf numFmtId="9" fontId="36" fillId="0" borderId="0" xfId="0" applyNumberFormat="1" applyFont="1" applyAlignment="1">
      <alignment horizontal="center" vertical="center" wrapText="1"/>
    </xf>
    <xf numFmtId="178" fontId="36" fillId="0" borderId="0" xfId="0" applyNumberFormat="1" applyFont="1" applyAlignment="1">
      <alignment horizontal="center" vertical="center"/>
    </xf>
    <xf numFmtId="0" fontId="35" fillId="0" borderId="0" xfId="0" applyFont="1" applyAlignment="1">
      <alignment vertical="center"/>
    </xf>
    <xf numFmtId="0" fontId="36" fillId="0" borderId="1" xfId="0" applyFont="1" applyBorder="1" applyAlignment="1">
      <alignment horizontal="center" vertical="center" wrapText="1"/>
    </xf>
    <xf numFmtId="0" fontId="36" fillId="0" borderId="2" xfId="0" applyFont="1" applyBorder="1" applyAlignment="1">
      <alignment horizontal="center" vertical="center" wrapText="1"/>
    </xf>
    <xf numFmtId="9" fontId="35" fillId="27" borderId="0" xfId="0" applyNumberFormat="1" applyFont="1" applyFill="1" applyAlignment="1">
      <alignment horizontal="center" vertical="center" wrapText="1"/>
    </xf>
    <xf numFmtId="177" fontId="35" fillId="27" borderId="0" xfId="0" applyNumberFormat="1" applyFont="1" applyFill="1" applyAlignment="1">
      <alignment horizontal="center" vertical="center" wrapText="1"/>
    </xf>
    <xf numFmtId="0" fontId="36" fillId="0" borderId="0" xfId="0" applyFont="1" applyAlignment="1">
      <alignment horizontal="right"/>
    </xf>
    <xf numFmtId="0" fontId="36" fillId="21" borderId="1" xfId="0" applyFont="1" applyFill="1" applyBorder="1" applyAlignment="1">
      <alignment horizontal="center"/>
    </xf>
    <xf numFmtId="0" fontId="36" fillId="0" borderId="6" xfId="0" applyFont="1" applyBorder="1" applyAlignment="1">
      <alignment horizontal="center" vertical="center"/>
    </xf>
    <xf numFmtId="0" fontId="36" fillId="0" borderId="1" xfId="0" applyFont="1" applyBorder="1" applyAlignment="1">
      <alignment horizontal="center" vertical="center"/>
    </xf>
    <xf numFmtId="0" fontId="36" fillId="0" borderId="2" xfId="0" applyFont="1" applyBorder="1" applyAlignment="1">
      <alignment horizontal="center" vertical="center"/>
    </xf>
    <xf numFmtId="0" fontId="36" fillId="0" borderId="2" xfId="0" applyFont="1" applyBorder="1" applyAlignment="1">
      <alignment vertical="center"/>
    </xf>
    <xf numFmtId="0" fontId="36" fillId="0" borderId="3" xfId="0" applyFont="1" applyBorder="1" applyAlignment="1">
      <alignment vertical="center"/>
    </xf>
    <xf numFmtId="171" fontId="36" fillId="0" borderId="1" xfId="0" applyNumberFormat="1" applyFont="1" applyBorder="1" applyAlignment="1">
      <alignment horizontal="center" vertical="center"/>
    </xf>
    <xf numFmtId="177" fontId="36" fillId="0" borderId="1" xfId="0" applyNumberFormat="1" applyFont="1" applyBorder="1" applyAlignment="1">
      <alignment horizontal="center" vertical="center"/>
    </xf>
    <xf numFmtId="0" fontId="36" fillId="0" borderId="8" xfId="0" applyFont="1" applyBorder="1" applyAlignment="1">
      <alignment horizontal="center" vertical="center"/>
    </xf>
    <xf numFmtId="0" fontId="36" fillId="0" borderId="77" xfId="0" applyFont="1" applyBorder="1" applyAlignment="1">
      <alignment vertical="center"/>
    </xf>
    <xf numFmtId="0" fontId="36" fillId="0" borderId="78" xfId="0" applyFont="1" applyBorder="1" applyAlignment="1">
      <alignment vertical="center" wrapText="1"/>
    </xf>
    <xf numFmtId="0" fontId="36" fillId="0" borderId="78" xfId="0" applyFont="1" applyBorder="1" applyAlignment="1">
      <alignment horizontal="center"/>
    </xf>
    <xf numFmtId="0" fontId="36" fillId="0" borderId="79" xfId="0" applyFont="1" applyBorder="1" applyAlignment="1">
      <alignment horizontal="center"/>
    </xf>
    <xf numFmtId="0" fontId="36" fillId="28" borderId="1" xfId="0" applyFont="1" applyFill="1" applyBorder="1" applyAlignment="1">
      <alignment horizontal="center"/>
    </xf>
    <xf numFmtId="0" fontId="36" fillId="0" borderId="11" xfId="0" applyFont="1" applyBorder="1" applyAlignment="1">
      <alignment horizontal="center" vertical="center"/>
    </xf>
    <xf numFmtId="0" fontId="36" fillId="0" borderId="80" xfId="0" applyFont="1" applyBorder="1"/>
    <xf numFmtId="0" fontId="36" fillId="0" borderId="57" xfId="0" applyFont="1" applyBorder="1"/>
    <xf numFmtId="0" fontId="36" fillId="0" borderId="57" xfId="0" applyFont="1" applyBorder="1" applyAlignment="1">
      <alignment horizontal="center"/>
    </xf>
    <xf numFmtId="0" fontId="36" fillId="0" borderId="81" xfId="0" applyFont="1" applyBorder="1" applyAlignment="1">
      <alignment horizontal="center"/>
    </xf>
    <xf numFmtId="0" fontId="36" fillId="0" borderId="6" xfId="0" applyFont="1" applyBorder="1" applyAlignment="1">
      <alignment horizontal="center"/>
    </xf>
    <xf numFmtId="0" fontId="36" fillId="0" borderId="5" xfId="0" applyFont="1" applyBorder="1" applyAlignment="1">
      <alignment horizontal="center" vertical="center"/>
    </xf>
    <xf numFmtId="0" fontId="41" fillId="0" borderId="1" xfId="0" applyFont="1" applyBorder="1" applyAlignment="1">
      <alignment horizontal="center" vertical="center"/>
    </xf>
    <xf numFmtId="0" fontId="41" fillId="0" borderId="2" xfId="0" applyFont="1" applyBorder="1" applyAlignment="1">
      <alignment horizontal="center" vertical="center"/>
    </xf>
    <xf numFmtId="9" fontId="41" fillId="0" borderId="0" xfId="0" applyNumberFormat="1" applyFont="1" applyAlignment="1">
      <alignment horizontal="center" vertical="center"/>
    </xf>
    <xf numFmtId="0" fontId="41" fillId="0" borderId="2" xfId="0" applyFont="1" applyBorder="1" applyAlignment="1">
      <alignment vertical="center"/>
    </xf>
    <xf numFmtId="0" fontId="41" fillId="0" borderId="3" xfId="0" applyFont="1" applyBorder="1" applyAlignment="1">
      <alignment vertical="center"/>
    </xf>
    <xf numFmtId="171" fontId="41" fillId="0" borderId="1" xfId="0" applyNumberFormat="1" applyFont="1" applyBorder="1" applyAlignment="1">
      <alignment horizontal="center" vertical="center"/>
    </xf>
    <xf numFmtId="177" fontId="41" fillId="0" borderId="1" xfId="0" applyNumberFormat="1" applyFont="1" applyBorder="1" applyAlignment="1">
      <alignment horizontal="center" vertical="center"/>
    </xf>
    <xf numFmtId="177" fontId="41" fillId="0" borderId="0" xfId="0" applyNumberFormat="1" applyFont="1" applyAlignment="1">
      <alignment horizontal="center" vertical="center"/>
    </xf>
    <xf numFmtId="0" fontId="36" fillId="0" borderId="82" xfId="0" applyFont="1" applyBorder="1" applyAlignment="1">
      <alignment horizontal="center"/>
    </xf>
    <xf numFmtId="0" fontId="36" fillId="0" borderId="80" xfId="0" applyFont="1" applyBorder="1" applyAlignment="1">
      <alignment vertical="center" wrapText="1"/>
    </xf>
    <xf numFmtId="0" fontId="36" fillId="0" borderId="57" xfId="0" applyFont="1" applyBorder="1" applyAlignment="1">
      <alignment vertical="center" wrapText="1"/>
    </xf>
    <xf numFmtId="0" fontId="35" fillId="0" borderId="0" xfId="0" applyFont="1" applyAlignment="1">
      <alignment horizontal="center"/>
    </xf>
    <xf numFmtId="0" fontId="36" fillId="0" borderId="0" xfId="0" applyFont="1" applyAlignment="1">
      <alignment horizontal="left" indent="1"/>
    </xf>
    <xf numFmtId="0" fontId="36" fillId="0" borderId="16" xfId="0" applyFont="1" applyBorder="1" applyAlignment="1">
      <alignment horizontal="center" vertical="center"/>
    </xf>
    <xf numFmtId="0" fontId="36" fillId="0" borderId="62" xfId="0" applyFont="1" applyBorder="1" applyAlignment="1">
      <alignment horizontal="center" vertical="center"/>
    </xf>
    <xf numFmtId="0" fontId="36" fillId="0" borderId="12" xfId="0" applyFont="1" applyBorder="1" applyAlignment="1">
      <alignment horizontal="center" vertical="center"/>
    </xf>
    <xf numFmtId="0" fontId="36" fillId="0" borderId="80" xfId="0" applyFont="1" applyBorder="1" applyAlignment="1">
      <alignment horizontal="left" vertical="top" wrapText="1"/>
    </xf>
    <xf numFmtId="0" fontId="36" fillId="0" borderId="10" xfId="0" applyFont="1" applyBorder="1" applyAlignment="1">
      <alignment horizontal="center" vertical="center"/>
    </xf>
    <xf numFmtId="0" fontId="36" fillId="0" borderId="63" xfId="0" applyFont="1" applyBorder="1" applyAlignment="1">
      <alignment horizontal="center" vertical="center"/>
    </xf>
    <xf numFmtId="0" fontId="41" fillId="0" borderId="9" xfId="0" applyFont="1" applyBorder="1" applyAlignment="1">
      <alignment horizontal="center" vertical="center"/>
    </xf>
    <xf numFmtId="0" fontId="41" fillId="0" borderId="50" xfId="0" applyFont="1" applyBorder="1" applyAlignment="1">
      <alignment horizontal="center" vertical="center"/>
    </xf>
    <xf numFmtId="0" fontId="41" fillId="0" borderId="59" xfId="0" applyFont="1" applyBorder="1" applyAlignment="1">
      <alignment vertical="center"/>
    </xf>
    <xf numFmtId="0" fontId="41" fillId="0" borderId="60" xfId="0" applyFont="1" applyBorder="1" applyAlignment="1">
      <alignment vertical="center"/>
    </xf>
    <xf numFmtId="171" fontId="41" fillId="0" borderId="6" xfId="0" applyNumberFormat="1" applyFont="1" applyBorder="1" applyAlignment="1">
      <alignment horizontal="center" vertical="center"/>
    </xf>
    <xf numFmtId="0" fontId="41" fillId="0" borderId="6" xfId="0" applyFont="1" applyBorder="1" applyAlignment="1">
      <alignment horizontal="center" vertical="center"/>
    </xf>
    <xf numFmtId="177" fontId="41" fillId="0" borderId="6" xfId="0" applyNumberFormat="1" applyFont="1" applyBorder="1" applyAlignment="1">
      <alignment horizontal="center" vertical="center"/>
    </xf>
    <xf numFmtId="0" fontId="41" fillId="0" borderId="7" xfId="0" applyFont="1" applyBorder="1" applyAlignment="1">
      <alignment horizontal="center" vertical="center"/>
    </xf>
    <xf numFmtId="0" fontId="36" fillId="0" borderId="83" xfId="0" applyFont="1" applyBorder="1"/>
    <xf numFmtId="0" fontId="36" fillId="0" borderId="84" xfId="0" applyFont="1" applyBorder="1"/>
    <xf numFmtId="0" fontId="36" fillId="0" borderId="84" xfId="0" applyFont="1" applyBorder="1" applyAlignment="1">
      <alignment horizontal="center"/>
    </xf>
    <xf numFmtId="0" fontId="36" fillId="0" borderId="85" xfId="0" applyFont="1" applyBorder="1" applyAlignment="1">
      <alignment horizontal="center"/>
    </xf>
    <xf numFmtId="0" fontId="35" fillId="0" borderId="55" xfId="0" applyFont="1" applyBorder="1" applyAlignment="1">
      <alignment horizontal="center" vertical="center"/>
    </xf>
    <xf numFmtId="0" fontId="35" fillId="0" borderId="86" xfId="0" applyFont="1" applyBorder="1" applyAlignment="1">
      <alignment horizontal="center" vertical="center"/>
    </xf>
    <xf numFmtId="0" fontId="35" fillId="0" borderId="56" xfId="0" applyFont="1" applyBorder="1" applyAlignment="1">
      <alignment horizontal="center" vertical="center"/>
    </xf>
    <xf numFmtId="9" fontId="42" fillId="0" borderId="0" xfId="0" applyNumberFormat="1" applyFont="1" applyAlignment="1">
      <alignment horizontal="center" vertical="center"/>
    </xf>
    <xf numFmtId="0" fontId="42" fillId="0" borderId="55" xfId="0" applyFont="1" applyBorder="1" applyAlignment="1">
      <alignment vertical="center"/>
    </xf>
    <xf numFmtId="0" fontId="42" fillId="0" borderId="56" xfId="0" applyFont="1" applyBorder="1" applyAlignment="1">
      <alignment vertical="center"/>
    </xf>
    <xf numFmtId="171" fontId="42" fillId="0" borderId="56" xfId="0" applyNumberFormat="1" applyFont="1" applyBorder="1" applyAlignment="1">
      <alignment horizontal="center" vertical="center"/>
    </xf>
    <xf numFmtId="0" fontId="42" fillId="0" borderId="86" xfId="0" applyFont="1" applyBorder="1" applyAlignment="1">
      <alignment horizontal="center" vertical="center"/>
    </xf>
    <xf numFmtId="177" fontId="42" fillId="0" borderId="0" xfId="0" applyNumberFormat="1" applyFont="1" applyAlignment="1">
      <alignment horizontal="center" vertical="center"/>
    </xf>
    <xf numFmtId="9" fontId="43" fillId="0" borderId="0" xfId="0" applyNumberFormat="1" applyFont="1" applyAlignment="1">
      <alignment horizontal="center" vertical="center"/>
    </xf>
    <xf numFmtId="0" fontId="43" fillId="0" borderId="55" xfId="0" applyFont="1" applyBorder="1" applyAlignment="1">
      <alignment vertical="center"/>
    </xf>
    <xf numFmtId="0" fontId="43" fillId="0" borderId="56" xfId="0" applyFont="1" applyBorder="1" applyAlignment="1">
      <alignment vertical="center"/>
    </xf>
    <xf numFmtId="171" fontId="43" fillId="0" borderId="56" xfId="0" applyNumberFormat="1" applyFont="1" applyBorder="1" applyAlignment="1">
      <alignment horizontal="center" vertical="center"/>
    </xf>
    <xf numFmtId="0" fontId="43" fillId="0" borderId="86" xfId="0" applyFont="1" applyBorder="1" applyAlignment="1">
      <alignment horizontal="center" vertical="center"/>
    </xf>
    <xf numFmtId="177" fontId="43" fillId="0" borderId="0" xfId="0" applyNumberFormat="1" applyFont="1" applyAlignment="1">
      <alignment horizontal="center" vertical="center"/>
    </xf>
    <xf numFmtId="0" fontId="44" fillId="0" borderId="64" xfId="0" applyFont="1" applyBorder="1" applyAlignment="1">
      <alignment horizontal="left"/>
    </xf>
    <xf numFmtId="0" fontId="45" fillId="0" borderId="54" xfId="0" applyFont="1" applyBorder="1" applyAlignment="1">
      <alignment horizontal="left" vertical="center"/>
    </xf>
    <xf numFmtId="0" fontId="45" fillId="0" borderId="54" xfId="0" applyFont="1" applyBorder="1" applyAlignment="1">
      <alignment vertical="center"/>
    </xf>
    <xf numFmtId="178" fontId="45" fillId="0" borderId="54" xfId="0" applyNumberFormat="1" applyFont="1" applyBorder="1" applyAlignment="1">
      <alignment horizontal="center" vertical="center"/>
    </xf>
    <xf numFmtId="0" fontId="45" fillId="0" borderId="54" xfId="0" applyFont="1" applyBorder="1" applyAlignment="1">
      <alignment horizontal="center" vertical="center"/>
    </xf>
    <xf numFmtId="0" fontId="45" fillId="0" borderId="54" xfId="0" applyFont="1" applyBorder="1" applyAlignment="1">
      <alignment horizontal="center"/>
    </xf>
    <xf numFmtId="174" fontId="45" fillId="0" borderId="54" xfId="2" applyNumberFormat="1" applyFont="1" applyFill="1" applyBorder="1" applyAlignment="1">
      <alignment horizontal="center" vertical="center"/>
    </xf>
    <xf numFmtId="0" fontId="26" fillId="0" borderId="1" xfId="0" applyFont="1" applyBorder="1" applyAlignment="1">
      <alignment horizontal="center" vertical="center"/>
    </xf>
    <xf numFmtId="0" fontId="14" fillId="0" borderId="24" xfId="0" applyFont="1" applyBorder="1" applyAlignment="1">
      <alignment horizontal="center" vertical="center"/>
    </xf>
    <xf numFmtId="0" fontId="16" fillId="0" borderId="2" xfId="0" applyFont="1" applyBorder="1" applyAlignment="1">
      <alignment horizontal="center" vertical="center" wrapText="1"/>
    </xf>
    <xf numFmtId="0" fontId="14" fillId="0" borderId="1" xfId="0" applyFont="1" applyBorder="1" applyAlignment="1">
      <alignment horizontal="center" vertical="center"/>
    </xf>
    <xf numFmtId="0" fontId="43" fillId="0" borderId="56" xfId="0" applyFont="1" applyBorder="1" applyAlignment="1">
      <alignment horizontal="center" vertical="center"/>
    </xf>
    <xf numFmtId="177" fontId="43" fillId="0" borderId="56" xfId="0" applyNumberFormat="1"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0" fontId="36" fillId="0" borderId="3" xfId="0" applyFont="1" applyBorder="1" applyAlignment="1">
      <alignment horizontal="center" vertical="center"/>
    </xf>
    <xf numFmtId="9" fontId="35" fillId="14" borderId="72" xfId="0" applyNumberFormat="1" applyFont="1" applyFill="1" applyBorder="1" applyAlignment="1">
      <alignment horizontal="center" vertical="center" wrapText="1"/>
    </xf>
    <xf numFmtId="9" fontId="35" fillId="14" borderId="63" xfId="0" applyNumberFormat="1" applyFont="1" applyFill="1" applyBorder="1" applyAlignment="1">
      <alignment horizontal="center" vertical="center" wrapText="1"/>
    </xf>
    <xf numFmtId="0" fontId="35" fillId="14" borderId="57" xfId="0" applyFont="1" applyFill="1" applyBorder="1" applyAlignment="1">
      <alignment horizontal="center" vertical="center" wrapText="1"/>
    </xf>
    <xf numFmtId="0" fontId="35" fillId="14" borderId="55" xfId="0" applyFont="1" applyFill="1" applyBorder="1" applyAlignment="1">
      <alignment horizontal="center" vertical="center" wrapText="1"/>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4" fillId="12" borderId="1" xfId="0" applyFont="1" applyFill="1" applyBorder="1" applyAlignment="1">
      <alignment horizontal="center" vertical="center"/>
    </xf>
    <xf numFmtId="43" fontId="0" fillId="0" borderId="6" xfId="3" applyFont="1" applyBorder="1" applyAlignment="1">
      <alignment horizontal="center" vertical="center"/>
    </xf>
    <xf numFmtId="173" fontId="0" fillId="0" borderId="5" xfId="5" applyNumberFormat="1" applyFont="1" applyBorder="1" applyAlignment="1">
      <alignment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2" fillId="11" borderId="17" xfId="0" applyFont="1" applyFill="1" applyBorder="1" applyAlignment="1">
      <alignment horizontal="center" vertical="center" wrapText="1"/>
    </xf>
    <xf numFmtId="0" fontId="2" fillId="11" borderId="18" xfId="0" applyFont="1" applyFill="1" applyBorder="1" applyAlignment="1">
      <alignment horizontal="center" vertical="center" wrapText="1"/>
    </xf>
    <xf numFmtId="0" fontId="2" fillId="11" borderId="19" xfId="0" applyFont="1" applyFill="1" applyBorder="1" applyAlignment="1">
      <alignment horizontal="center" vertical="center" wrapText="1"/>
    </xf>
    <xf numFmtId="0" fontId="20" fillId="0" borderId="21" xfId="0" applyFont="1" applyBorder="1" applyAlignment="1">
      <alignment horizontal="center" vertical="center"/>
    </xf>
    <xf numFmtId="0" fontId="20" fillId="0" borderId="1" xfId="0" applyFont="1" applyBorder="1" applyAlignment="1">
      <alignment horizontal="center" vertical="center"/>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20" fillId="0" borderId="27" xfId="0" applyFont="1" applyBorder="1" applyAlignment="1">
      <alignment horizontal="center" vertical="center"/>
    </xf>
    <xf numFmtId="0" fontId="20" fillId="10" borderId="17" xfId="0" applyFont="1" applyFill="1" applyBorder="1" applyAlignment="1">
      <alignment horizontal="center" vertical="center" wrapText="1"/>
    </xf>
    <xf numFmtId="0" fontId="20" fillId="10" borderId="18" xfId="0" applyFont="1" applyFill="1" applyBorder="1" applyAlignment="1">
      <alignment horizontal="center" vertical="center" wrapText="1"/>
    </xf>
    <xf numFmtId="0" fontId="20" fillId="10" borderId="19"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wrapText="1"/>
    </xf>
    <xf numFmtId="0" fontId="20" fillId="10" borderId="47" xfId="0" applyFont="1" applyFill="1" applyBorder="1" applyAlignment="1">
      <alignment horizontal="center" vertical="center" wrapText="1"/>
    </xf>
    <xf numFmtId="0" fontId="20" fillId="10" borderId="27" xfId="0" applyFont="1" applyFill="1" applyBorder="1" applyAlignment="1">
      <alignment horizontal="center" vertical="center" wrapText="1"/>
    </xf>
    <xf numFmtId="0" fontId="3" fillId="9" borderId="47" xfId="0" applyFont="1" applyFill="1" applyBorder="1" applyAlignment="1">
      <alignment horizontal="center" vertical="center" wrapText="1"/>
    </xf>
    <xf numFmtId="0" fontId="2" fillId="12" borderId="6"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0" fillId="0" borderId="1" xfId="0" applyFont="1" applyBorder="1" applyAlignment="1">
      <alignment horizontal="center" vertical="center" wrapText="1"/>
    </xf>
    <xf numFmtId="0" fontId="16" fillId="0" borderId="2" xfId="0" applyFont="1" applyBorder="1" applyAlignment="1">
      <alignment horizontal="center" vertical="center" wrapText="1"/>
    </xf>
    <xf numFmtId="0" fontId="2" fillId="12" borderId="17" xfId="0" applyFont="1" applyFill="1" applyBorder="1" applyAlignment="1">
      <alignment horizontal="center" vertical="center" wrapText="1"/>
    </xf>
    <xf numFmtId="0" fontId="2" fillId="12" borderId="18" xfId="0" applyFont="1" applyFill="1" applyBorder="1" applyAlignment="1">
      <alignment horizontal="center" vertical="center" wrapText="1"/>
    </xf>
    <xf numFmtId="0" fontId="2" fillId="12" borderId="19" xfId="0" applyFont="1" applyFill="1" applyBorder="1" applyAlignment="1">
      <alignment horizontal="center" vertical="center" wrapText="1"/>
    </xf>
    <xf numFmtId="0" fontId="2" fillId="11" borderId="27"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12" xfId="0" applyFont="1" applyBorder="1" applyAlignment="1">
      <alignment horizontal="center" vertical="center"/>
    </xf>
    <xf numFmtId="0" fontId="20" fillId="0" borderId="3" xfId="0" applyFont="1" applyBorder="1" applyAlignment="1">
      <alignment horizontal="center" vertical="center"/>
    </xf>
    <xf numFmtId="0" fontId="2" fillId="11" borderId="6" xfId="0" applyFont="1" applyFill="1" applyBorder="1" applyAlignment="1">
      <alignment horizontal="center" vertical="center" wrapText="1"/>
    </xf>
    <xf numFmtId="0" fontId="2" fillId="11" borderId="5" xfId="0" applyFont="1" applyFill="1" applyBorder="1" applyAlignment="1">
      <alignment horizontal="center" vertical="center" wrapText="1"/>
    </xf>
    <xf numFmtId="0" fontId="14" fillId="0" borderId="1" xfId="0" applyFont="1" applyBorder="1" applyAlignment="1">
      <alignment horizontal="center" vertical="center"/>
    </xf>
    <xf numFmtId="0" fontId="2" fillId="11" borderId="9" xfId="0" applyFont="1" applyFill="1" applyBorder="1" applyAlignment="1">
      <alignment horizontal="center" vertical="center" wrapText="1"/>
    </xf>
    <xf numFmtId="0" fontId="2" fillId="11" borderId="4" xfId="0" applyFont="1" applyFill="1" applyBorder="1" applyAlignment="1">
      <alignment horizontal="center" vertical="center" wrapText="1"/>
    </xf>
    <xf numFmtId="171" fontId="43" fillId="0" borderId="55" xfId="0" applyNumberFormat="1" applyFont="1" applyBorder="1" applyAlignment="1">
      <alignment horizontal="center" vertical="center"/>
    </xf>
    <xf numFmtId="0" fontId="43" fillId="0" borderId="56" xfId="0" applyFont="1" applyBorder="1" applyAlignment="1">
      <alignment horizontal="center" vertical="center"/>
    </xf>
    <xf numFmtId="177" fontId="36" fillId="0" borderId="57" xfId="0" applyNumberFormat="1" applyFont="1" applyBorder="1" applyAlignment="1">
      <alignment horizontal="center" vertical="center"/>
    </xf>
    <xf numFmtId="0" fontId="36" fillId="0" borderId="57" xfId="0" applyFont="1" applyBorder="1" applyAlignment="1">
      <alignment horizontal="center" vertical="center"/>
    </xf>
    <xf numFmtId="177" fontId="43" fillId="0" borderId="56" xfId="0" applyNumberFormat="1" applyFont="1" applyBorder="1" applyAlignment="1">
      <alignment horizontal="center" vertical="center"/>
    </xf>
    <xf numFmtId="171" fontId="41" fillId="0" borderId="59" xfId="0" applyNumberFormat="1" applyFont="1" applyBorder="1" applyAlignment="1">
      <alignment horizontal="center" vertical="center"/>
    </xf>
    <xf numFmtId="0" fontId="41" fillId="0" borderId="60" xfId="0" applyFont="1" applyBorder="1" applyAlignment="1">
      <alignment horizontal="center" vertical="center"/>
    </xf>
    <xf numFmtId="177" fontId="41" fillId="0" borderId="56" xfId="0" applyNumberFormat="1" applyFont="1" applyBorder="1" applyAlignment="1">
      <alignment horizontal="center" vertical="center"/>
    </xf>
    <xf numFmtId="0" fontId="41" fillId="0" borderId="56" xfId="0" applyFont="1" applyBorder="1" applyAlignment="1">
      <alignment horizontal="center" vertical="center"/>
    </xf>
    <xf numFmtId="171" fontId="42" fillId="0" borderId="55" xfId="0" applyNumberFormat="1" applyFont="1" applyBorder="1" applyAlignment="1">
      <alignment horizontal="center" vertical="center"/>
    </xf>
    <xf numFmtId="0" fontId="42" fillId="0" borderId="56" xfId="0" applyFont="1" applyBorder="1" applyAlignment="1">
      <alignment horizontal="center" vertical="center"/>
    </xf>
    <xf numFmtId="177" fontId="42" fillId="0" borderId="56" xfId="0" applyNumberFormat="1" applyFont="1" applyBorder="1" applyAlignment="1">
      <alignment horizontal="center" vertical="center"/>
    </xf>
    <xf numFmtId="171" fontId="36" fillId="0" borderId="2" xfId="0" applyNumberFormat="1" applyFont="1" applyBorder="1" applyAlignment="1">
      <alignment horizontal="center" vertical="center"/>
    </xf>
    <xf numFmtId="0" fontId="36" fillId="0" borderId="3" xfId="0" applyFont="1" applyBorder="1" applyAlignment="1">
      <alignment horizontal="center" vertical="center"/>
    </xf>
    <xf numFmtId="177" fontId="36" fillId="0" borderId="56" xfId="0" applyNumberFormat="1" applyFont="1" applyBorder="1" applyAlignment="1">
      <alignment horizontal="center" vertical="center"/>
    </xf>
    <xf numFmtId="0" fontId="36" fillId="0" borderId="56" xfId="0" applyFont="1" applyBorder="1" applyAlignment="1">
      <alignment horizontal="center" vertical="center"/>
    </xf>
    <xf numFmtId="171" fontId="41" fillId="0" borderId="2" xfId="0" applyNumberFormat="1" applyFont="1" applyBorder="1" applyAlignment="1">
      <alignment horizontal="center" vertical="center"/>
    </xf>
    <xf numFmtId="0" fontId="41" fillId="0" borderId="3" xfId="0" applyFont="1" applyBorder="1" applyAlignment="1">
      <alignment horizontal="center" vertical="center"/>
    </xf>
    <xf numFmtId="177" fontId="35" fillId="27" borderId="56" xfId="0" applyNumberFormat="1" applyFont="1" applyFill="1" applyBorder="1" applyAlignment="1">
      <alignment horizontal="center" vertical="center" wrapText="1"/>
    </xf>
    <xf numFmtId="0" fontId="35" fillId="27" borderId="56" xfId="0" applyFont="1" applyFill="1" applyBorder="1" applyAlignment="1">
      <alignment horizontal="center" vertical="center" wrapText="1"/>
    </xf>
    <xf numFmtId="171" fontId="35" fillId="27" borderId="2" xfId="0" applyNumberFormat="1" applyFont="1" applyFill="1" applyBorder="1" applyAlignment="1">
      <alignment horizontal="center" vertical="center" wrapText="1"/>
    </xf>
    <xf numFmtId="0" fontId="35" fillId="27" borderId="3" xfId="0" applyFont="1" applyFill="1" applyBorder="1" applyAlignment="1">
      <alignment horizontal="center" vertical="center" wrapText="1"/>
    </xf>
    <xf numFmtId="0" fontId="35" fillId="27" borderId="2" xfId="0" applyFont="1" applyFill="1" applyBorder="1" applyAlignment="1">
      <alignment horizontal="center" vertical="center" wrapText="1"/>
    </xf>
    <xf numFmtId="0" fontId="35" fillId="27" borderId="12" xfId="0" applyFont="1" applyFill="1" applyBorder="1" applyAlignment="1">
      <alignment horizontal="center" vertical="center" wrapText="1"/>
    </xf>
    <xf numFmtId="0" fontId="35" fillId="27" borderId="57" xfId="0" applyFont="1" applyFill="1" applyBorder="1" applyAlignment="1">
      <alignment horizontal="center" vertical="center" wrapText="1"/>
    </xf>
    <xf numFmtId="177" fontId="35" fillId="27" borderId="62" xfId="0" applyNumberFormat="1" applyFont="1" applyFill="1" applyBorder="1" applyAlignment="1">
      <alignment horizontal="center" vertical="center" wrapText="1"/>
    </xf>
    <xf numFmtId="0" fontId="35" fillId="27" borderId="62" xfId="0" applyFont="1" applyFill="1" applyBorder="1" applyAlignment="1">
      <alignment horizontal="center" vertical="center" wrapText="1"/>
    </xf>
    <xf numFmtId="177" fontId="35" fillId="27" borderId="2" xfId="0" applyNumberFormat="1" applyFont="1" applyFill="1" applyBorder="1" applyAlignment="1">
      <alignment horizontal="center" vertical="center" wrapText="1"/>
    </xf>
    <xf numFmtId="177" fontId="35" fillId="14" borderId="55" xfId="0" applyNumberFormat="1" applyFont="1" applyFill="1" applyBorder="1" applyAlignment="1">
      <alignment horizontal="center" vertical="center" wrapText="1"/>
    </xf>
    <xf numFmtId="177" fontId="35" fillId="14" borderId="56" xfId="0" applyNumberFormat="1" applyFont="1" applyFill="1" applyBorder="1" applyAlignment="1">
      <alignment horizontal="center" vertical="center" wrapText="1"/>
    </xf>
    <xf numFmtId="0" fontId="35" fillId="14" borderId="59" xfId="0" applyFont="1" applyFill="1" applyBorder="1" applyAlignment="1">
      <alignment horizontal="center" vertical="center" wrapText="1"/>
    </xf>
    <xf numFmtId="0" fontId="35" fillId="14" borderId="60" xfId="0" applyFont="1" applyFill="1" applyBorder="1" applyAlignment="1">
      <alignment horizontal="center" vertical="center" wrapText="1"/>
    </xf>
    <xf numFmtId="171" fontId="35" fillId="14" borderId="60" xfId="0" applyNumberFormat="1" applyFont="1" applyFill="1" applyBorder="1" applyAlignment="1">
      <alignment horizontal="center" vertical="center" wrapText="1"/>
    </xf>
    <xf numFmtId="9" fontId="35" fillId="14" borderId="72" xfId="0" applyNumberFormat="1" applyFont="1" applyFill="1" applyBorder="1" applyAlignment="1">
      <alignment horizontal="center" vertical="center" wrapText="1"/>
    </xf>
    <xf numFmtId="9" fontId="35" fillId="14" borderId="74" xfId="0" applyNumberFormat="1" applyFont="1" applyFill="1" applyBorder="1" applyAlignment="1">
      <alignment horizontal="center" vertical="center" wrapText="1"/>
    </xf>
    <xf numFmtId="9" fontId="35" fillId="14" borderId="63" xfId="0" applyNumberFormat="1" applyFont="1" applyFill="1" applyBorder="1" applyAlignment="1">
      <alignment horizontal="center" vertical="center" wrapText="1"/>
    </xf>
    <xf numFmtId="0" fontId="35" fillId="14" borderId="7" xfId="0" applyFont="1" applyFill="1" applyBorder="1" applyAlignment="1">
      <alignment horizontal="center" vertical="center" wrapText="1"/>
    </xf>
    <xf numFmtId="171" fontId="35" fillId="14" borderId="9" xfId="0" applyNumberFormat="1" applyFont="1" applyFill="1" applyBorder="1" applyAlignment="1">
      <alignment horizontal="center" vertical="center" wrapText="1"/>
    </xf>
    <xf numFmtId="0" fontId="35" fillId="14" borderId="9" xfId="0" applyFont="1" applyFill="1" applyBorder="1" applyAlignment="1">
      <alignment horizontal="center" vertical="center" wrapText="1"/>
    </xf>
    <xf numFmtId="177" fontId="35" fillId="14" borderId="50" xfId="0" applyNumberFormat="1" applyFont="1" applyFill="1" applyBorder="1" applyAlignment="1">
      <alignment horizontal="center" vertical="center" wrapText="1"/>
    </xf>
    <xf numFmtId="0" fontId="35" fillId="14" borderId="57" xfId="0" applyFont="1" applyFill="1" applyBorder="1" applyAlignment="1">
      <alignment horizontal="center" vertical="center" wrapText="1"/>
    </xf>
    <xf numFmtId="0" fontId="35" fillId="14" borderId="55" xfId="0" applyFont="1" applyFill="1" applyBorder="1" applyAlignment="1">
      <alignment horizontal="center" vertical="center" wrapText="1"/>
    </xf>
    <xf numFmtId="177" fontId="35" fillId="14" borderId="61" xfId="0" applyNumberFormat="1" applyFont="1" applyFill="1" applyBorder="1" applyAlignment="1">
      <alignment horizontal="center" vertical="center" wrapText="1"/>
    </xf>
    <xf numFmtId="171" fontId="35" fillId="14" borderId="62" xfId="0" applyNumberFormat="1" applyFont="1" applyFill="1" applyBorder="1" applyAlignment="1">
      <alignment horizontal="center" vertical="center" wrapText="1"/>
    </xf>
    <xf numFmtId="0" fontId="35" fillId="14" borderId="58" xfId="0" applyFont="1" applyFill="1" applyBorder="1" applyAlignment="1">
      <alignment horizontal="center" vertical="center" wrapText="1"/>
    </xf>
    <xf numFmtId="0" fontId="35" fillId="14" borderId="56" xfId="0" applyFont="1" applyFill="1" applyBorder="1" applyAlignment="1">
      <alignment horizontal="center" vertical="center" wrapText="1"/>
    </xf>
    <xf numFmtId="0" fontId="36" fillId="0" borderId="53" xfId="0" applyFont="1" applyBorder="1" applyAlignment="1">
      <alignment horizontal="center" vertical="center"/>
    </xf>
    <xf numFmtId="171" fontId="36" fillId="0" borderId="53" xfId="0" applyNumberFormat="1" applyFont="1" applyBorder="1" applyAlignment="1">
      <alignment horizontal="center" vertical="center"/>
    </xf>
    <xf numFmtId="0" fontId="36" fillId="0" borderId="0" xfId="0" applyFont="1" applyAlignment="1">
      <alignment horizontal="center" vertical="center"/>
    </xf>
    <xf numFmtId="177" fontId="36" fillId="0" borderId="53" xfId="0" applyNumberFormat="1" applyFont="1" applyBorder="1" applyAlignment="1">
      <alignment horizontal="center" vertical="center"/>
    </xf>
    <xf numFmtId="0" fontId="36" fillId="0" borderId="71" xfId="0" applyFont="1" applyBorder="1" applyAlignment="1">
      <alignment horizontal="center" vertical="center"/>
    </xf>
    <xf numFmtId="177" fontId="36" fillId="0" borderId="71" xfId="0" applyNumberFormat="1" applyFont="1" applyBorder="1" applyAlignment="1">
      <alignment horizontal="center" vertical="center"/>
    </xf>
    <xf numFmtId="177" fontId="36" fillId="0" borderId="0" xfId="0" applyNumberFormat="1" applyFont="1" applyAlignment="1">
      <alignment horizontal="center" vertical="center"/>
    </xf>
    <xf numFmtId="171" fontId="36" fillId="0" borderId="0" xfId="0" applyNumberFormat="1" applyFont="1" applyAlignment="1">
      <alignment horizontal="center" vertical="center"/>
    </xf>
    <xf numFmtId="0" fontId="34" fillId="12" borderId="1" xfId="0" applyFont="1" applyFill="1" applyBorder="1" applyAlignment="1">
      <alignment horizontal="center" vertical="center" wrapText="1"/>
    </xf>
    <xf numFmtId="0" fontId="32" fillId="0" borderId="1" xfId="0" applyFont="1" applyBorder="1" applyAlignment="1">
      <alignment horizontal="center" vertical="center"/>
    </xf>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4" fillId="12" borderId="1" xfId="0" applyFont="1" applyFill="1" applyBorder="1" applyAlignment="1">
      <alignment horizontal="center" vertical="center"/>
    </xf>
    <xf numFmtId="0" fontId="34" fillId="12" borderId="6" xfId="0" applyFont="1" applyFill="1" applyBorder="1" applyAlignment="1">
      <alignment horizontal="center" vertical="center" wrapText="1"/>
    </xf>
    <xf numFmtId="0" fontId="34" fillId="12" borderId="5" xfId="0" applyFont="1" applyFill="1" applyBorder="1" applyAlignment="1">
      <alignment horizontal="center" vertical="center" wrapText="1"/>
    </xf>
    <xf numFmtId="0" fontId="34" fillId="12" borderId="3" xfId="0" applyFont="1" applyFill="1" applyBorder="1" applyAlignment="1">
      <alignment horizontal="center" vertical="center"/>
    </xf>
    <xf numFmtId="0" fontId="34" fillId="24" borderId="3" xfId="0" applyFont="1" applyFill="1" applyBorder="1" applyAlignment="1">
      <alignment horizontal="center" vertical="center"/>
    </xf>
    <xf numFmtId="0" fontId="34" fillId="24" borderId="1" xfId="0" applyFont="1" applyFill="1" applyBorder="1" applyAlignment="1">
      <alignment horizontal="center" vertical="center"/>
    </xf>
    <xf numFmtId="0" fontId="34" fillId="12" borderId="2" xfId="0" applyFont="1" applyFill="1" applyBorder="1" applyAlignment="1">
      <alignment horizontal="center" vertical="center"/>
    </xf>
    <xf numFmtId="0" fontId="34" fillId="12" borderId="7" xfId="0" applyFont="1" applyFill="1" applyBorder="1" applyAlignment="1">
      <alignment horizontal="center" vertical="center" wrapText="1"/>
    </xf>
    <xf numFmtId="0" fontId="34" fillId="12" borderId="9" xfId="0" applyFont="1" applyFill="1" applyBorder="1" applyAlignment="1">
      <alignment horizontal="center" vertical="center" wrapText="1"/>
    </xf>
    <xf numFmtId="0" fontId="34" fillId="12" borderId="8" xfId="0" applyFont="1" applyFill="1" applyBorder="1" applyAlignment="1">
      <alignment horizontal="center" vertical="center" wrapText="1"/>
    </xf>
    <xf numFmtId="0" fontId="34" fillId="12" borderId="4" xfId="0" applyFont="1" applyFill="1" applyBorder="1" applyAlignment="1">
      <alignment horizontal="center" vertical="center" wrapText="1"/>
    </xf>
    <xf numFmtId="0" fontId="24" fillId="7" borderId="29" xfId="0" applyFont="1" applyFill="1" applyBorder="1" applyAlignment="1">
      <alignment horizontal="center" vertical="center" wrapText="1"/>
    </xf>
    <xf numFmtId="0" fontId="24" fillId="7" borderId="38" xfId="0" applyFont="1" applyFill="1" applyBorder="1" applyAlignment="1">
      <alignment horizontal="center" vertical="center" wrapText="1"/>
    </xf>
    <xf numFmtId="0" fontId="26" fillId="0" borderId="39" xfId="0" applyFont="1" applyBorder="1" applyAlignment="1">
      <alignment horizontal="center" vertical="center"/>
    </xf>
    <xf numFmtId="0" fontId="26" fillId="0" borderId="30" xfId="0" applyFont="1" applyBorder="1" applyAlignment="1">
      <alignment horizontal="center" vertical="center"/>
    </xf>
    <xf numFmtId="0" fontId="28" fillId="14" borderId="0" xfId="0" applyFont="1" applyFill="1" applyAlignment="1">
      <alignment horizontal="center" vertical="center"/>
    </xf>
    <xf numFmtId="0" fontId="24" fillId="14" borderId="33" xfId="0" applyFont="1" applyFill="1" applyBorder="1" applyAlignment="1">
      <alignment horizontal="center" vertical="center" wrapText="1"/>
    </xf>
    <xf numFmtId="0" fontId="24" fillId="14" borderId="34" xfId="0" applyFont="1" applyFill="1" applyBorder="1" applyAlignment="1">
      <alignment horizontal="center" vertical="center" wrapText="1"/>
    </xf>
    <xf numFmtId="0" fontId="24" fillId="14" borderId="35" xfId="0" applyFont="1" applyFill="1" applyBorder="1" applyAlignment="1">
      <alignment horizontal="center" vertical="center" wrapText="1"/>
    </xf>
    <xf numFmtId="0" fontId="24" fillId="14" borderId="36" xfId="0" applyFont="1" applyFill="1" applyBorder="1" applyAlignment="1">
      <alignment horizontal="center" vertical="center" wrapText="1"/>
    </xf>
    <xf numFmtId="0" fontId="24" fillId="14" borderId="29" xfId="0" applyFont="1" applyFill="1" applyBorder="1" applyAlignment="1">
      <alignment horizontal="center" vertical="center"/>
    </xf>
    <xf numFmtId="0" fontId="24" fillId="14" borderId="38" xfId="0" applyFont="1" applyFill="1" applyBorder="1" applyAlignment="1">
      <alignment horizontal="center" vertical="center"/>
    </xf>
    <xf numFmtId="0" fontId="24" fillId="14" borderId="17" xfId="0" applyFont="1" applyFill="1" applyBorder="1" applyAlignment="1">
      <alignment horizontal="center" vertical="center" wrapText="1"/>
    </xf>
    <xf numFmtId="0" fontId="24" fillId="14" borderId="19" xfId="0" applyFont="1" applyFill="1" applyBorder="1" applyAlignment="1">
      <alignment horizontal="center" vertical="center" wrapText="1"/>
    </xf>
    <xf numFmtId="0" fontId="24" fillId="14" borderId="44" xfId="0" applyFont="1" applyFill="1" applyBorder="1" applyAlignment="1">
      <alignment horizontal="center" vertical="center" wrapText="1"/>
    </xf>
    <xf numFmtId="0" fontId="24" fillId="14" borderId="43" xfId="0" applyFont="1" applyFill="1" applyBorder="1" applyAlignment="1">
      <alignment horizontal="center" vertical="center" wrapText="1"/>
    </xf>
    <xf numFmtId="0" fontId="24" fillId="14" borderId="29" xfId="0" applyFont="1" applyFill="1" applyBorder="1" applyAlignment="1">
      <alignment horizontal="center" vertical="center" wrapText="1"/>
    </xf>
    <xf numFmtId="0" fontId="24" fillId="14" borderId="38" xfId="0" applyFont="1" applyFill="1" applyBorder="1" applyAlignment="1">
      <alignment horizontal="center" vertical="center" wrapText="1"/>
    </xf>
  </cellXfs>
  <cellStyles count="10">
    <cellStyle name="Comma" xfId="1" builtinId="3"/>
    <cellStyle name="Comma 2" xfId="3" xr:uid="{5E99B840-E06E-4E9F-BC24-E21092A83C92}"/>
    <cellStyle name="Comma 2 2" xfId="7" xr:uid="{21F20D99-9D55-408B-ABBA-5FF21E80199B}"/>
    <cellStyle name="Comma 3" xfId="6" xr:uid="{71ABF209-D635-4A35-B4FC-D6B5706C437E}"/>
    <cellStyle name="Currency" xfId="5" builtinId="4"/>
    <cellStyle name="Currency [0]" xfId="4" builtinId="7"/>
    <cellStyle name="Currency [0] 2" xfId="8" xr:uid="{98F1B023-A8A5-40FA-8AB6-3422E15A01F1}"/>
    <cellStyle name="Currency 2" xfId="9" xr:uid="{B6B9A618-D5F2-4F3A-AC22-8E5FC399FE21}"/>
    <cellStyle name="Normal" xfId="0" builtinId="0"/>
    <cellStyle name="Percent" xfId="2" builtinId="5"/>
  </cellStyles>
  <dxfs count="354">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ill>
        <patternFill>
          <bgColor theme="5" tint="0.39994506668294322"/>
        </patternFill>
      </fill>
    </dxf>
    <dxf>
      <font>
        <color rgb="FF006100"/>
      </font>
      <fill>
        <patternFill>
          <bgColor rgb="FFC6EFCE"/>
        </patternFill>
      </fill>
    </dxf>
    <dxf>
      <fill>
        <patternFill>
          <bgColor theme="5" tint="0.3999450666829432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499984740745262"/>
        </patternFill>
      </fill>
    </dxf>
    <dxf>
      <font>
        <color rgb="FF9C0006"/>
      </font>
      <fill>
        <patternFill>
          <bgColor rgb="FFFFC7CE"/>
        </patternFill>
      </fill>
    </dxf>
    <dxf>
      <font>
        <color theme="0"/>
      </font>
      <fill>
        <patternFill>
          <bgColor rgb="FFFF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1" formatCode="0"/>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13" formatCode="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0" formatCode="General"/>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numFmt numFmtId="22" formatCode="mmm\-yy"/>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alignment horizontal="left"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vertical="center" textRotation="0" indent="0" justifyLastLine="0" shrinkToFit="0" readingOrder="0"/>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69" formatCode="[$-13809]d\ mmm\ yyyy;@"/>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69" formatCode="[$-13809]d\ mmm\ yyyy;@"/>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69" formatCode="[$-13809]d\ mmm\ yyyy;@"/>
      <fill>
        <patternFill patternType="none">
          <fgColor indexed="64"/>
          <bgColor auto="1"/>
        </patternFill>
      </fill>
      <alignment horizontal="center" vertical="center" textRotation="0" wrapText="1"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vertical="center" textRotation="0" wrapText="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numFmt numFmtId="1" formatCode="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9" formatCode="[$-13809]d\ mmm\ 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color theme="0"/>
      </font>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Calibri"/>
        <family val="2"/>
        <scheme val="minor"/>
      </font>
      <numFmt numFmtId="173" formatCode="_-&quot;Rp&quot;* #,##0_-;\-&quot;Rp&quot;* #,##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67" formatCode="_(* #,##0_);_(* \(#,##0\);_(* &quot;-&quot;??_);_(@_)"/>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67" formatCode="_(* #,##0_);_(* \(#,##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35" formatCode="_(* #,##0.00_);_(* \(#,##0.00\);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_-* #,##0.00_-;\-* #,##0.0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numFmt numFmtId="14" formatCode="0.00%"/>
      <fill>
        <patternFill patternType="solid">
          <fgColor indexed="64"/>
          <bgColor rgb="FF00B0F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4" formatCode="0.00%"/>
      <fill>
        <patternFill patternType="none">
          <bgColor auto="1"/>
        </patternFill>
      </fill>
      <alignment horizontal="center" vertical="center" textRotation="0" indent="0" justifyLastLine="0" shrinkToFit="0" readingOrder="0"/>
      <border diagonalUp="0" diagonalDown="0" outline="0">
        <left style="thin">
          <color indexed="64"/>
        </left>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170" formatCode="_-* #,##0_-;\-* #,##0_-;_-* &quot;-&quot;??_-;_-@_-"/>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0" formatCode="_-* #,##0_-;\-* #,##0_-;_-* &quot;-&quot;??_-;_-@_-"/>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3"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3" formatCode="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numFmt numFmtId="14" formatCode="0.00%"/>
      <fill>
        <patternFill patternType="none">
          <fgColor rgb="FFD9E1F2"/>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4"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_-&quot;Rp&quot;* #,##0.00_-;\-&quot;Rp&quot;* #,##0.00_-;_-&quot;Rp&quot;*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0.00_);_(* \(#,##0.00\);_(* &quot;-&quot;??_);_(@_)"/>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79" formatCode="#,##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2" formatCode="mmm\-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70C0"/>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0D16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4.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9"/>
          <c:dPt>
            <c:idx val="0"/>
            <c:bubble3D val="0"/>
            <c:spPr>
              <a:solidFill>
                <a:srgbClr val="FF0000"/>
              </a:solidFill>
              <a:ln w="19050">
                <a:solidFill>
                  <a:schemeClr val="lt1"/>
                </a:solidFill>
              </a:ln>
              <a:effectLst/>
            </c:spPr>
            <c:extLst>
              <c:ext xmlns:c16="http://schemas.microsoft.com/office/drawing/2014/chart" uri="{C3380CC4-5D6E-409C-BE32-E72D297353CC}">
                <c16:uniqueId val="{00000001-9AD0-4B9D-BA23-75DF71E1C6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34-4D4C-8841-B509A6D271E3}"/>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3-9AD0-4B9D-BA23-75DF71E1C6AB}"/>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2-9AD0-4B9D-BA23-75DF71E1C6A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'Exsum Apr 26'!$E$2:$H$2</c:f>
              <c:strCache>
                <c:ptCount val="4"/>
                <c:pt idx="0">
                  <c:v>Batal</c:v>
                </c:pt>
                <c:pt idx="1">
                  <c:v>Belum Konstruksi</c:v>
                </c:pt>
                <c:pt idx="2">
                  <c:v>Proses Konstruksi</c:v>
                </c:pt>
                <c:pt idx="3">
                  <c:v>Selesai Konstruksi</c:v>
                </c:pt>
              </c:strCache>
            </c:strRef>
          </c:cat>
          <c:val>
            <c:numRef>
              <c:f>'Exsum Apr 26'!$E$6:$H$6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9AD0-4B9D-BA23-75DF71E1C6AB}"/>
            </c:ext>
          </c:extLst>
        </c:ser>
        <c:dLbls>
          <c:dLblPos val="bestFit"/>
          <c:showLegendKey val="0"/>
          <c:showVal val="1"/>
          <c:showCatName val="0"/>
          <c:showSerName val="0"/>
          <c:showPercent val="0"/>
          <c:showBubbleSize val="0"/>
          <c:showLeaderLines val="1"/>
        </c:dLbls>
        <c:firstSliceAng val="78"/>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'Exsum Apr 26'!$D$9</c:f>
              <c:strCache>
                <c:ptCount val="1"/>
                <c:pt idx="0">
                  <c:v>Belum Ada</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26'!$D$10:$D$30</c:f>
              <c:numCache>
                <c:formatCode>General</c:formatCode>
                <c:ptCount val="21"/>
                <c:pt idx="0">
                  <c:v>32</c:v>
                </c:pt>
                <c:pt idx="1">
                  <c:v>18</c:v>
                </c:pt>
                <c:pt idx="2">
                  <c:v>3</c:v>
                </c:pt>
                <c:pt idx="3">
                  <c:v>21</c:v>
                </c:pt>
                <c:pt idx="4">
                  <c:v>44</c:v>
                </c:pt>
                <c:pt idx="5">
                  <c:v>35</c:v>
                </c:pt>
                <c:pt idx="6">
                  <c:v>22</c:v>
                </c:pt>
                <c:pt idx="7">
                  <c:v>38</c:v>
                </c:pt>
                <c:pt idx="8">
                  <c:v>35</c:v>
                </c:pt>
                <c:pt idx="9">
                  <c:v>38</c:v>
                </c:pt>
                <c:pt idx="10">
                  <c:v>38</c:v>
                </c:pt>
                <c:pt idx="11">
                  <c:v>45</c:v>
                </c:pt>
                <c:pt idx="12">
                  <c:v>6</c:v>
                </c:pt>
                <c:pt idx="13">
                  <c:v>42</c:v>
                </c:pt>
                <c:pt idx="14">
                  <c:v>43</c:v>
                </c:pt>
                <c:pt idx="15">
                  <c:v>47</c:v>
                </c:pt>
                <c:pt idx="16">
                  <c:v>42</c:v>
                </c:pt>
                <c:pt idx="17">
                  <c:v>44</c:v>
                </c:pt>
                <c:pt idx="18">
                  <c:v>48</c:v>
                </c:pt>
                <c:pt idx="19">
                  <c:v>47</c:v>
                </c:pt>
                <c:pt idx="20">
                  <c:v>24</c:v>
                </c:pt>
              </c:numCache>
            </c:numRef>
          </c:val>
          <c:extLst>
            <c:ext xmlns:c16="http://schemas.microsoft.com/office/drawing/2014/chart" uri="{C3380CC4-5D6E-409C-BE32-E72D297353CC}">
              <c16:uniqueId val="{00000000-B240-44EE-B802-645AE35F2F20}"/>
            </c:ext>
          </c:extLst>
        </c:ser>
        <c:ser>
          <c:idx val="1"/>
          <c:order val="1"/>
          <c:tx>
            <c:strRef>
              <c:f>'Exsum Apr 26'!$E$9</c:f>
              <c:strCache>
                <c:ptCount val="1"/>
                <c:pt idx="0">
                  <c:v>Sebagian/Partial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26'!$E$10:$E$30</c:f>
              <c:numCache>
                <c:formatCode>General</c:formatCode>
                <c:ptCount val="21"/>
                <c:pt idx="0">
                  <c:v>0</c:v>
                </c:pt>
                <c:pt idx="1">
                  <c:v>1</c:v>
                </c:pt>
                <c:pt idx="2">
                  <c:v>0</c:v>
                </c:pt>
                <c:pt idx="3">
                  <c:v>1</c:v>
                </c:pt>
                <c:pt idx="4">
                  <c:v>0</c:v>
                </c:pt>
                <c:pt idx="5">
                  <c:v>0</c:v>
                </c:pt>
                <c:pt idx="6">
                  <c:v>0</c:v>
                </c:pt>
                <c:pt idx="7">
                  <c:v>0</c:v>
                </c:pt>
                <c:pt idx="8">
                  <c:v>0</c:v>
                </c:pt>
                <c:pt idx="9">
                  <c:v>0</c:v>
                </c:pt>
                <c:pt idx="10">
                  <c:v>0</c:v>
                </c:pt>
                <c:pt idx="11">
                  <c:v>0</c:v>
                </c:pt>
                <c:pt idx="12">
                  <c:v>26</c:v>
                </c:pt>
                <c:pt idx="13">
                  <c:v>2</c:v>
                </c:pt>
                <c:pt idx="14">
                  <c:v>0</c:v>
                </c:pt>
                <c:pt idx="15">
                  <c:v>0</c:v>
                </c:pt>
                <c:pt idx="16">
                  <c:v>1</c:v>
                </c:pt>
                <c:pt idx="17">
                  <c:v>1</c:v>
                </c:pt>
                <c:pt idx="18">
                  <c:v>0</c:v>
                </c:pt>
                <c:pt idx="19">
                  <c:v>0</c:v>
                </c:pt>
                <c:pt idx="20">
                  <c:v>5</c:v>
                </c:pt>
              </c:numCache>
            </c:numRef>
          </c:val>
          <c:extLst>
            <c:ext xmlns:c16="http://schemas.microsoft.com/office/drawing/2014/chart" uri="{C3380CC4-5D6E-409C-BE32-E72D297353CC}">
              <c16:uniqueId val="{00000001-B240-44EE-B802-645AE35F2F20}"/>
            </c:ext>
          </c:extLst>
        </c:ser>
        <c:ser>
          <c:idx val="2"/>
          <c:order val="2"/>
          <c:tx>
            <c:strRef>
              <c:f>'Exsum Apr 26'!$F$9</c:f>
              <c:strCache>
                <c:ptCount val="1"/>
                <c:pt idx="0">
                  <c:v>Draft Lengkap</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26'!$F$10:$F$30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3</c:v>
                </c:pt>
                <c:pt idx="14">
                  <c:v>0</c:v>
                </c:pt>
                <c:pt idx="15">
                  <c:v>0</c:v>
                </c:pt>
                <c:pt idx="16">
                  <c:v>0</c:v>
                </c:pt>
                <c:pt idx="17">
                  <c:v>1</c:v>
                </c:pt>
                <c:pt idx="18">
                  <c:v>0</c:v>
                </c:pt>
                <c:pt idx="19">
                  <c:v>1</c:v>
                </c:pt>
                <c:pt idx="20">
                  <c:v>5</c:v>
                </c:pt>
              </c:numCache>
            </c:numRef>
          </c:val>
          <c:extLst>
            <c:ext xmlns:c16="http://schemas.microsoft.com/office/drawing/2014/chart" uri="{C3380CC4-5D6E-409C-BE32-E72D297353CC}">
              <c16:uniqueId val="{00000002-B240-44EE-B802-645AE35F2F20}"/>
            </c:ext>
          </c:extLst>
        </c:ser>
        <c:ser>
          <c:idx val="3"/>
          <c:order val="3"/>
          <c:tx>
            <c:strRef>
              <c:f>'Exsum Apr 26'!$G$9</c:f>
              <c:strCache>
                <c:ptCount val="1"/>
                <c:pt idx="0">
                  <c:v>Final/Approved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26'!$G$10:$G$30</c:f>
              <c:numCache>
                <c:formatCode>General</c:formatCode>
                <c:ptCount val="21"/>
                <c:pt idx="0">
                  <c:v>16</c:v>
                </c:pt>
                <c:pt idx="1">
                  <c:v>29</c:v>
                </c:pt>
                <c:pt idx="2">
                  <c:v>45</c:v>
                </c:pt>
                <c:pt idx="3">
                  <c:v>26</c:v>
                </c:pt>
                <c:pt idx="4">
                  <c:v>4</c:v>
                </c:pt>
                <c:pt idx="5">
                  <c:v>13</c:v>
                </c:pt>
                <c:pt idx="6">
                  <c:v>26</c:v>
                </c:pt>
                <c:pt idx="7">
                  <c:v>10</c:v>
                </c:pt>
                <c:pt idx="8">
                  <c:v>13</c:v>
                </c:pt>
                <c:pt idx="9">
                  <c:v>10</c:v>
                </c:pt>
                <c:pt idx="10">
                  <c:v>10</c:v>
                </c:pt>
                <c:pt idx="11">
                  <c:v>3</c:v>
                </c:pt>
                <c:pt idx="12">
                  <c:v>16</c:v>
                </c:pt>
                <c:pt idx="13">
                  <c:v>1</c:v>
                </c:pt>
                <c:pt idx="14">
                  <c:v>5</c:v>
                </c:pt>
                <c:pt idx="15">
                  <c:v>1</c:v>
                </c:pt>
                <c:pt idx="16">
                  <c:v>5</c:v>
                </c:pt>
                <c:pt idx="17">
                  <c:v>2</c:v>
                </c:pt>
                <c:pt idx="18">
                  <c:v>0</c:v>
                </c:pt>
                <c:pt idx="19">
                  <c:v>0</c:v>
                </c:pt>
                <c:pt idx="20">
                  <c:v>2</c:v>
                </c:pt>
              </c:numCache>
            </c:numRef>
          </c:val>
          <c:extLst>
            <c:ext xmlns:c16="http://schemas.microsoft.com/office/drawing/2014/chart" uri="{C3380CC4-5D6E-409C-BE32-E72D297353CC}">
              <c16:uniqueId val="{00000003-B240-44EE-B802-645AE35F2F20}"/>
            </c:ext>
          </c:extLst>
        </c:ser>
        <c:ser>
          <c:idx val="4"/>
          <c:order val="4"/>
          <c:tx>
            <c:strRef>
              <c:f>'Exsum Apr 26'!$H$9</c:f>
              <c:strCache>
                <c:ptCount val="1"/>
                <c:pt idx="0">
                  <c:v>Tidak Perlu</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26'!$H$10:$H$30</c:f>
              <c:numCache>
                <c:formatCode>General</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12</c:v>
                </c:pt>
              </c:numCache>
            </c:numRef>
          </c:val>
          <c:extLst>
            <c:ext xmlns:c16="http://schemas.microsoft.com/office/drawing/2014/chart" uri="{C3380CC4-5D6E-409C-BE32-E72D297353CC}">
              <c16:uniqueId val="{00000004-B240-44EE-B802-645AE35F2F20}"/>
            </c:ext>
          </c:extLst>
        </c:ser>
        <c:dLbls>
          <c:dLblPos val="ctr"/>
          <c:showLegendKey val="0"/>
          <c:showVal val="1"/>
          <c:showCatName val="0"/>
          <c:showSerName val="0"/>
          <c:showPercent val="0"/>
          <c:showBubbleSize val="0"/>
        </c:dLbls>
        <c:gapWidth val="150"/>
        <c:overlap val="100"/>
        <c:axId val="1744706384"/>
        <c:axId val="1744704464"/>
      </c:barChart>
      <c:catAx>
        <c:axId val="17447063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4704464"/>
        <c:crosses val="autoZero"/>
        <c:auto val="1"/>
        <c:lblAlgn val="ctr"/>
        <c:lblOffset val="100"/>
        <c:noMultiLvlLbl val="0"/>
      </c:catAx>
      <c:valAx>
        <c:axId val="1744704464"/>
        <c:scaling>
          <c:orientation val="minMax"/>
          <c:max val="48"/>
        </c:scaling>
        <c:delete val="1"/>
        <c:axPos val="t"/>
        <c:numFmt formatCode="General" sourceLinked="1"/>
        <c:majorTickMark val="out"/>
        <c:minorTickMark val="none"/>
        <c:tickLblPos val="nextTo"/>
        <c:crossAx val="1744706384"/>
        <c:crosses val="autoZero"/>
        <c:crossBetween val="between"/>
        <c:majorUnit val="8"/>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'Exsum Apr 26'!$J$9</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'Exsum Apr 26'!$C$10:$C$30</c:f>
              <c:strCache>
                <c:ptCount val="21"/>
                <c:pt idx="0">
                  <c:v>Umum : K3, dll.</c:v>
                </c:pt>
                <c:pt idx="1">
                  <c:v>Perijinan</c:v>
                </c:pt>
                <c:pt idx="2">
                  <c:v>BA MC-0</c:v>
                </c:pt>
                <c:pt idx="3">
                  <c:v>BA Test Pit &amp; Foto</c:v>
                </c:pt>
                <c:pt idx="4">
                  <c:v>Uji Lab/ Kualitas</c:v>
                </c:pt>
                <c:pt idx="5">
                  <c:v>Data Logger</c:v>
                </c:pt>
                <c:pt idx="6">
                  <c:v>BA Hydro</c:v>
                </c:pt>
                <c:pt idx="7">
                  <c:v>BA Flushing</c:v>
                </c:pt>
                <c:pt idx="8">
                  <c:v>BA Singgem</c:v>
                </c:pt>
                <c:pt idx="9">
                  <c:v>BATC</c:v>
                </c:pt>
                <c:pt idx="10">
                  <c:v>BA Test Fungsi</c:v>
                </c:pt>
                <c:pt idx="11">
                  <c:v>Persetujuan KPI Lulus Kom</c:v>
                </c:pt>
                <c:pt idx="12">
                  <c:v>LH, LM, LB</c:v>
                </c:pt>
                <c:pt idx="13">
                  <c:v>ABD</c:v>
                </c:pt>
                <c:pt idx="14">
                  <c:v>BAPL</c:v>
                </c:pt>
                <c:pt idx="15">
                  <c:v>BA MC-100</c:v>
                </c:pt>
                <c:pt idx="16">
                  <c:v>Justek</c:v>
                </c:pt>
                <c:pt idx="17">
                  <c:v>Justfin</c:v>
                </c:pt>
                <c:pt idx="18">
                  <c:v>RNA</c:v>
                </c:pt>
                <c:pt idx="19">
                  <c:v>RDA</c:v>
                </c:pt>
                <c:pt idx="20">
                  <c:v>Proposal Modifikasi</c:v>
                </c:pt>
              </c:strCache>
            </c:strRef>
          </c:cat>
          <c:val>
            <c:numRef>
              <c:f>'Exsum Apr 26'!$J$10:$J$30</c:f>
              <c:numCache>
                <c:formatCode>0.0%</c:formatCode>
                <c:ptCount val="21"/>
                <c:pt idx="0">
                  <c:v>0.33333333333333331</c:v>
                </c:pt>
                <c:pt idx="1">
                  <c:v>0.60416666666666663</c:v>
                </c:pt>
                <c:pt idx="2">
                  <c:v>0.9375</c:v>
                </c:pt>
                <c:pt idx="3">
                  <c:v>0.54166666666666663</c:v>
                </c:pt>
                <c:pt idx="4">
                  <c:v>8.3333333333333329E-2</c:v>
                </c:pt>
                <c:pt idx="5">
                  <c:v>0.27083333333333331</c:v>
                </c:pt>
                <c:pt idx="6">
                  <c:v>0.54166666666666663</c:v>
                </c:pt>
                <c:pt idx="7">
                  <c:v>0.20833333333333334</c:v>
                </c:pt>
                <c:pt idx="8">
                  <c:v>0.27083333333333331</c:v>
                </c:pt>
                <c:pt idx="9">
                  <c:v>0.20833333333333334</c:v>
                </c:pt>
                <c:pt idx="10">
                  <c:v>0.20833333333333334</c:v>
                </c:pt>
                <c:pt idx="11">
                  <c:v>6.25E-2</c:v>
                </c:pt>
                <c:pt idx="12">
                  <c:v>0.33333333333333331</c:v>
                </c:pt>
                <c:pt idx="13">
                  <c:v>2.0833333333333332E-2</c:v>
                </c:pt>
                <c:pt idx="14">
                  <c:v>0.10416666666666667</c:v>
                </c:pt>
                <c:pt idx="15">
                  <c:v>2.0833333333333332E-2</c:v>
                </c:pt>
                <c:pt idx="16">
                  <c:v>0.10416666666666667</c:v>
                </c:pt>
                <c:pt idx="17">
                  <c:v>4.1666666666666664E-2</c:v>
                </c:pt>
                <c:pt idx="18">
                  <c:v>0</c:v>
                </c:pt>
                <c:pt idx="19">
                  <c:v>0</c:v>
                </c:pt>
                <c:pt idx="20">
                  <c:v>5.5555555555555552E-2</c:v>
                </c:pt>
              </c:numCache>
            </c:numRef>
          </c:val>
          <c:extLst>
            <c:ext xmlns:c16="http://schemas.microsoft.com/office/drawing/2014/chart" uri="{C3380CC4-5D6E-409C-BE32-E72D297353CC}">
              <c16:uniqueId val="{00000000-D10B-4A7B-9721-4C4BF30775A6}"/>
            </c:ext>
          </c:extLst>
        </c:ser>
        <c:dLbls>
          <c:dLblPos val="outEnd"/>
          <c:showLegendKey val="0"/>
          <c:showVal val="1"/>
          <c:showCatName val="0"/>
          <c:showSerName val="0"/>
          <c:showPercent val="0"/>
          <c:showBubbleSize val="0"/>
        </c:dLbls>
        <c:gapWidth val="182"/>
        <c:axId val="1322854399"/>
        <c:axId val="1322855359"/>
      </c:barChart>
      <c:catAx>
        <c:axId val="13228543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2855359"/>
        <c:crosses val="autoZero"/>
        <c:auto val="1"/>
        <c:lblAlgn val="ctr"/>
        <c:lblOffset val="100"/>
        <c:noMultiLvlLbl val="0"/>
      </c:catAx>
      <c:valAx>
        <c:axId val="1322855359"/>
        <c:scaling>
          <c:orientation val="minMax"/>
        </c:scaling>
        <c:delete val="1"/>
        <c:axPos val="t"/>
        <c:numFmt formatCode="0.0%" sourceLinked="1"/>
        <c:majorTickMark val="none"/>
        <c:minorTickMark val="none"/>
        <c:tickLblPos val="nextTo"/>
        <c:crossAx val="1322854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6"/>
              </a:solidFill>
              <a:ln w="19050">
                <a:solidFill>
                  <a:schemeClr val="lt1"/>
                </a:solidFill>
              </a:ln>
              <a:effectLst/>
            </c:spPr>
            <c:extLst>
              <c:ext xmlns:c16="http://schemas.microsoft.com/office/drawing/2014/chart" uri="{C3380CC4-5D6E-409C-BE32-E72D297353CC}">
                <c16:uniqueId val="{00000001-3557-44DA-B38A-7E9E72683BD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3557-44DA-B38A-7E9E72683BD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3557-44DA-B38A-7E9E72683BD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3557-44DA-B38A-7E9E72683B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'Tree Okt 26'!$C$13:$F$13</c:f>
              <c:strCache>
                <c:ptCount val="4"/>
                <c:pt idx="0">
                  <c:v>BATAL / CANCEL</c:v>
                </c:pt>
                <c:pt idx="1">
                  <c:v>Belum Konstruksi</c:v>
                </c:pt>
                <c:pt idx="2">
                  <c:v>Proses Konstruksi</c:v>
                </c:pt>
                <c:pt idx="3">
                  <c:v>Selesai Konstruksi</c:v>
                </c:pt>
              </c:strCache>
            </c:strRef>
          </c:cat>
          <c:val>
            <c:numRef>
              <c:f>'Tree Okt 26'!$C$17:$F$17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2BCC-4C3D-AC58-7778A9C03800}"/>
            </c:ext>
          </c:extLst>
        </c:ser>
        <c:dLbls>
          <c:showLegendKey val="0"/>
          <c:showVal val="1"/>
          <c:showCatName val="0"/>
          <c:showSerName val="0"/>
          <c:showPercent val="0"/>
          <c:showBubbleSize val="0"/>
          <c:showLeaderLines val="1"/>
        </c:dLbls>
        <c:firstSliceAng val="54"/>
        <c:holeSize val="3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'Tree Okt 26'!$C$22</c:f>
              <c:strCache>
                <c:ptCount val="1"/>
                <c:pt idx="0">
                  <c:v>Belum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26'!$C$23:$C$28</c:f>
              <c:numCache>
                <c:formatCode>General</c:formatCode>
                <c:ptCount val="6"/>
                <c:pt idx="0">
                  <c:v>3</c:v>
                </c:pt>
                <c:pt idx="1">
                  <c:v>4</c:v>
                </c:pt>
                <c:pt idx="2">
                  <c:v>0</c:v>
                </c:pt>
                <c:pt idx="3">
                  <c:v>77</c:v>
                </c:pt>
                <c:pt idx="4">
                  <c:v>90</c:v>
                </c:pt>
                <c:pt idx="5">
                  <c:v>92</c:v>
                </c:pt>
              </c:numCache>
            </c:numRef>
          </c:val>
          <c:extLst>
            <c:ext xmlns:c16="http://schemas.microsoft.com/office/drawing/2014/chart" uri="{C3380CC4-5D6E-409C-BE32-E72D297353CC}">
              <c16:uniqueId val="{00000000-8BE4-4CB3-9222-8AAEBA1A2BC4}"/>
            </c:ext>
          </c:extLst>
        </c:ser>
        <c:ser>
          <c:idx val="1"/>
          <c:order val="1"/>
          <c:tx>
            <c:strRef>
              <c:f>'Tree Okt 26'!$D$22</c:f>
              <c:strCache>
                <c:ptCount val="1"/>
                <c:pt idx="0">
                  <c:v>Proses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26'!$D$23:$D$28</c:f>
              <c:numCache>
                <c:formatCode>General</c:formatCode>
                <c:ptCount val="6"/>
                <c:pt idx="0">
                  <c:v>69</c:v>
                </c:pt>
                <c:pt idx="1">
                  <c:v>92</c:v>
                </c:pt>
                <c:pt idx="2">
                  <c:v>84</c:v>
                </c:pt>
                <c:pt idx="3">
                  <c:v>13</c:v>
                </c:pt>
                <c:pt idx="4">
                  <c:v>2</c:v>
                </c:pt>
                <c:pt idx="5">
                  <c:v>0</c:v>
                </c:pt>
              </c:numCache>
            </c:numRef>
          </c:val>
          <c:extLst>
            <c:ext xmlns:c16="http://schemas.microsoft.com/office/drawing/2014/chart" uri="{C3380CC4-5D6E-409C-BE32-E72D297353CC}">
              <c16:uniqueId val="{00000001-8BE4-4CB3-9222-8AAEBA1A2BC4}"/>
            </c:ext>
          </c:extLst>
        </c:ser>
        <c:ser>
          <c:idx val="2"/>
          <c:order val="2"/>
          <c:tx>
            <c:strRef>
              <c:f>'Tree Okt 26'!$E$22</c:f>
              <c:strCache>
                <c:ptCount val="1"/>
                <c:pt idx="0">
                  <c:v>Selesai</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'Tree Okt 26'!$A$23:$A$28</c:f>
              <c:strCache>
                <c:ptCount val="6"/>
                <c:pt idx="0">
                  <c:v>PO</c:v>
                </c:pt>
                <c:pt idx="1">
                  <c:v>MOS</c:v>
                </c:pt>
                <c:pt idx="2">
                  <c:v>Perizinan</c:v>
                </c:pt>
                <c:pt idx="3">
                  <c:v>Konstruksi</c:v>
                </c:pt>
                <c:pt idx="4">
                  <c:v>MC-100</c:v>
                </c:pt>
                <c:pt idx="5">
                  <c:v>DPPP</c:v>
                </c:pt>
              </c:strCache>
            </c:strRef>
          </c:cat>
          <c:val>
            <c:numRef>
              <c:f>'Tree Okt 26'!$E$23:$E$28</c:f>
              <c:numCache>
                <c:formatCode>General</c:formatCode>
                <c:ptCount val="6"/>
                <c:pt idx="0">
                  <c:v>24</c:v>
                </c:pt>
                <c:pt idx="1">
                  <c:v>0</c:v>
                </c:pt>
                <c:pt idx="2">
                  <c:v>12</c:v>
                </c:pt>
                <c:pt idx="3">
                  <c:v>6</c:v>
                </c:pt>
                <c:pt idx="4">
                  <c:v>4</c:v>
                </c:pt>
                <c:pt idx="5">
                  <c:v>4</c:v>
                </c:pt>
              </c:numCache>
            </c:numRef>
          </c:val>
          <c:extLst>
            <c:ext xmlns:c16="http://schemas.microsoft.com/office/drawing/2014/chart" uri="{C3380CC4-5D6E-409C-BE32-E72D297353CC}">
              <c16:uniqueId val="{00000002-8BE4-4CB3-9222-8AAEBA1A2BC4}"/>
            </c:ext>
          </c:extLst>
        </c:ser>
        <c:dLbls>
          <c:dLblPos val="ctr"/>
          <c:showLegendKey val="0"/>
          <c:showVal val="1"/>
          <c:showCatName val="0"/>
          <c:showSerName val="0"/>
          <c:showPercent val="0"/>
          <c:showBubbleSize val="0"/>
        </c:dLbls>
        <c:gapWidth val="150"/>
        <c:overlap val="100"/>
        <c:axId val="2130035040"/>
        <c:axId val="2130033600"/>
      </c:barChart>
      <c:catAx>
        <c:axId val="2130035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033600"/>
        <c:crosses val="autoZero"/>
        <c:auto val="1"/>
        <c:lblAlgn val="ctr"/>
        <c:lblOffset val="100"/>
        <c:noMultiLvlLbl val="0"/>
      </c:catAx>
      <c:valAx>
        <c:axId val="2130033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130035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744139</xdr:colOff>
      <xdr:row>0</xdr:row>
      <xdr:rowOff>0</xdr:rowOff>
    </xdr:from>
    <xdr:to>
      <xdr:col>5</xdr:col>
      <xdr:colOff>559593</xdr:colOff>
      <xdr:row>0</xdr:row>
      <xdr:rowOff>1074964</xdr:rowOff>
    </xdr:to>
    <mc:AlternateContent xmlns:mc="http://schemas.openxmlformats.org/markup-compatibility/2006" xmlns:sle15="http://schemas.microsoft.com/office/drawing/2012/slicer">
      <mc:Choice Requires="sle15">
        <xdr:graphicFrame macro="">
          <xdr:nvGraphicFramePr>
            <xdr:cNvPr id="3" name="Proyek">
              <a:extLst>
                <a:ext uri="{FF2B5EF4-FFF2-40B4-BE49-F238E27FC236}">
                  <a16:creationId xmlns:a16="http://schemas.microsoft.com/office/drawing/2014/main" id="{9B03A88D-FE4A-F6A4-9604-766E713ED43C}"/>
                </a:ext>
              </a:extLst>
            </xdr:cNvPr>
            <xdr:cNvGraphicFramePr/>
          </xdr:nvGraphicFramePr>
          <xdr:xfrm>
            <a:off x="0" y="0"/>
            <a:ext cx="0" cy="0"/>
          </xdr:xfrm>
          <a:graphic>
            <a:graphicData uri="http://schemas.microsoft.com/office/drawing/2010/slicer">
              <sle:slicer xmlns:sle="http://schemas.microsoft.com/office/drawing/2010/slicer" name="Proyek"/>
            </a:graphicData>
          </a:graphic>
        </xdr:graphicFrame>
      </mc:Choice>
      <mc:Fallback xmlns="">
        <xdr:sp macro="" textlink="">
          <xdr:nvSpPr>
            <xdr:cNvPr id="0" name=""/>
            <xdr:cNvSpPr>
              <a:spLocks noTextEdit="1"/>
            </xdr:cNvSpPr>
          </xdr:nvSpPr>
          <xdr:spPr>
            <a:xfrm>
              <a:off x="1410891" y="0"/>
              <a:ext cx="1643063" cy="1074964"/>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1226</xdr:colOff>
      <xdr:row>0</xdr:row>
      <xdr:rowOff>21431</xdr:rowOff>
    </xdr:from>
    <xdr:to>
      <xdr:col>3</xdr:col>
      <xdr:colOff>708421</xdr:colOff>
      <xdr:row>1</xdr:row>
      <xdr:rowOff>12927</xdr:rowOff>
    </xdr:to>
    <mc:AlternateContent xmlns:mc="http://schemas.openxmlformats.org/markup-compatibility/2006" xmlns:sle15="http://schemas.microsoft.com/office/drawing/2012/slicer">
      <mc:Choice Requires="sle15">
        <xdr:graphicFrame macro="">
          <xdr:nvGraphicFramePr>
            <xdr:cNvPr id="2" name="Jadwal TOK">
              <a:extLst>
                <a:ext uri="{FF2B5EF4-FFF2-40B4-BE49-F238E27FC236}">
                  <a16:creationId xmlns:a16="http://schemas.microsoft.com/office/drawing/2014/main" id="{601584CF-B461-D783-A286-F8CB532605BB}"/>
                </a:ext>
                <a:ext uri="{147F2762-F138-4A5C-976F-8EAC2B608ADB}">
                  <a16:predDERef xmlns:a16="http://schemas.microsoft.com/office/drawing/2014/main" pred="{9B03A88D-FE4A-F6A4-9604-766E713ED43C}"/>
                </a:ext>
              </a:extLst>
            </xdr:cNvPr>
            <xdr:cNvGraphicFramePr/>
          </xdr:nvGraphicFramePr>
          <xdr:xfrm>
            <a:off x="0" y="0"/>
            <a:ext cx="0" cy="0"/>
          </xdr:xfrm>
          <a:graphic>
            <a:graphicData uri="http://schemas.microsoft.com/office/drawing/2010/slicer">
              <sle:slicer xmlns:sle="http://schemas.microsoft.com/office/drawing/2010/slicer" name="Jadwal TOK"/>
            </a:graphicData>
          </a:graphic>
        </xdr:graphicFrame>
      </mc:Choice>
      <mc:Fallback xmlns="">
        <xdr:sp macro="" textlink="">
          <xdr:nvSpPr>
            <xdr:cNvPr id="0" name=""/>
            <xdr:cNvSpPr>
              <a:spLocks noTextEdit="1"/>
            </xdr:cNvSpPr>
          </xdr:nvSpPr>
          <xdr:spPr>
            <a:xfrm>
              <a:off x="226255" y="21431"/>
              <a:ext cx="1083432" cy="1074965"/>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632223</xdr:colOff>
      <xdr:row>0</xdr:row>
      <xdr:rowOff>0</xdr:rowOff>
    </xdr:from>
    <xdr:to>
      <xdr:col>5</xdr:col>
      <xdr:colOff>1310878</xdr:colOff>
      <xdr:row>0</xdr:row>
      <xdr:rowOff>1045029</xdr:rowOff>
    </xdr:to>
    <mc:AlternateContent xmlns:mc="http://schemas.openxmlformats.org/markup-compatibility/2006" xmlns:sle15="http://schemas.microsoft.com/office/drawing/2012/slicer">
      <mc:Choice Requires="sle15">
        <xdr:graphicFrame macro="">
          <xdr:nvGraphicFramePr>
            <xdr:cNvPr id="4" name="Kategori Jadwal">
              <a:extLst>
                <a:ext uri="{FF2B5EF4-FFF2-40B4-BE49-F238E27FC236}">
                  <a16:creationId xmlns:a16="http://schemas.microsoft.com/office/drawing/2014/main" id="{55BE0618-B24B-C538-5229-9A939C882F07}"/>
                </a:ext>
                <a:ext uri="{147F2762-F138-4A5C-976F-8EAC2B608ADB}">
                  <a16:predDERef xmlns:a16="http://schemas.microsoft.com/office/drawing/2014/main" pred="{601584CF-B461-D783-A286-F8CB532605BB}"/>
                </a:ext>
              </a:extLst>
            </xdr:cNvPr>
            <xdr:cNvGraphicFramePr/>
          </xdr:nvGraphicFramePr>
          <xdr:xfrm>
            <a:off x="0" y="0"/>
            <a:ext cx="0" cy="0"/>
          </xdr:xfrm>
          <a:graphic>
            <a:graphicData uri="http://schemas.microsoft.com/office/drawing/2010/slicer">
              <sle:slicer xmlns:sle="http://schemas.microsoft.com/office/drawing/2010/slicer" name="Kategori Jadwal"/>
            </a:graphicData>
          </a:graphic>
        </xdr:graphicFrame>
      </mc:Choice>
      <mc:Fallback xmlns="">
        <xdr:sp macro="" textlink="">
          <xdr:nvSpPr>
            <xdr:cNvPr id="0" name=""/>
            <xdr:cNvSpPr>
              <a:spLocks noTextEdit="1"/>
            </xdr:cNvSpPr>
          </xdr:nvSpPr>
          <xdr:spPr>
            <a:xfrm>
              <a:off x="3107533" y="0"/>
              <a:ext cx="821530" cy="1045029"/>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593951</xdr:colOff>
      <xdr:row>0</xdr:row>
      <xdr:rowOff>0</xdr:rowOff>
    </xdr:from>
    <xdr:to>
      <xdr:col>9</xdr:col>
      <xdr:colOff>688123</xdr:colOff>
      <xdr:row>1</xdr:row>
      <xdr:rowOff>250031</xdr:rowOff>
    </xdr:to>
    <mc:AlternateContent xmlns:mc="http://schemas.openxmlformats.org/markup-compatibility/2006" xmlns:sle15="http://schemas.microsoft.com/office/drawing/2012/slicer">
      <mc:Choice Requires="sle15">
        <xdr:graphicFrame macro="">
          <xdr:nvGraphicFramePr>
            <xdr:cNvPr id="10" name="Kategori">
              <a:extLst>
                <a:ext uri="{FF2B5EF4-FFF2-40B4-BE49-F238E27FC236}">
                  <a16:creationId xmlns:a16="http://schemas.microsoft.com/office/drawing/2014/main" id="{27B9EB9A-770A-1A41-F85C-7AA7E68688F0}"/>
                </a:ext>
                <a:ext uri="{147F2762-F138-4A5C-976F-8EAC2B608ADB}">
                  <a16:predDERef xmlns:a16="http://schemas.microsoft.com/office/drawing/2014/main" pred="{55BE0618-B24B-C538-5229-9A939C882F07}"/>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5067130" y="0"/>
              <a:ext cx="1409870" cy="1333500"/>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1359694</xdr:colOff>
      <xdr:row>0</xdr:row>
      <xdr:rowOff>0</xdr:rowOff>
    </xdr:from>
    <xdr:to>
      <xdr:col>6</xdr:col>
      <xdr:colOff>586982</xdr:colOff>
      <xdr:row>1</xdr:row>
      <xdr:rowOff>1924</xdr:rowOff>
    </xdr:to>
    <mc:AlternateContent xmlns:mc="http://schemas.openxmlformats.org/markup-compatibility/2006" xmlns:sle15="http://schemas.microsoft.com/office/drawing/2012/slicer">
      <mc:Choice Requires="sle15">
        <xdr:graphicFrame macro="">
          <xdr:nvGraphicFramePr>
            <xdr:cNvPr id="5" name="Directorat">
              <a:extLst>
                <a:ext uri="{FF2B5EF4-FFF2-40B4-BE49-F238E27FC236}">
                  <a16:creationId xmlns:a16="http://schemas.microsoft.com/office/drawing/2014/main" id="{CCA87A8C-4B41-7DDA-1133-06D8FBFDCEA2}"/>
                </a:ext>
                <a:ext uri="{147F2762-F138-4A5C-976F-8EAC2B608ADB}">
                  <a16:predDERef xmlns:a16="http://schemas.microsoft.com/office/drawing/2014/main" pred="{27B9EB9A-770A-1A41-F85C-7AA7E68688F0}"/>
                </a:ext>
              </a:extLst>
            </xdr:cNvPr>
            <xdr:cNvGraphicFramePr/>
          </xdr:nvGraphicFramePr>
          <xdr:xfrm>
            <a:off x="0" y="0"/>
            <a:ext cx="0" cy="0"/>
          </xdr:xfrm>
          <a:graphic>
            <a:graphicData uri="http://schemas.microsoft.com/office/drawing/2010/slicer">
              <sle:slicer xmlns:sle="http://schemas.microsoft.com/office/drawing/2010/slicer" name="Directorat"/>
            </a:graphicData>
          </a:graphic>
        </xdr:graphicFrame>
      </mc:Choice>
      <mc:Fallback xmlns="">
        <xdr:sp macro="" textlink="">
          <xdr:nvSpPr>
            <xdr:cNvPr id="0" name=""/>
            <xdr:cNvSpPr>
              <a:spLocks noTextEdit="1"/>
            </xdr:cNvSpPr>
          </xdr:nvSpPr>
          <xdr:spPr>
            <a:xfrm>
              <a:off x="3958829" y="0"/>
              <a:ext cx="1072757" cy="1085393"/>
            </a:xfrm>
            <a:prstGeom prst="rect">
              <a:avLst/>
            </a:prstGeom>
            <a:solidFill>
              <a:prstClr val="white"/>
            </a:solidFill>
            <a:ln w="1">
              <a:solidFill>
                <a:prstClr val="green"/>
              </a:solidFill>
            </a:ln>
          </xdr:spPr>
          <xdr:txBody>
            <a:bodyPr vertOverflow="clip" horzOverflow="clip"/>
            <a:lstStyle/>
            <a:p>
              <a:r>
                <a:rPr lang="en-ID"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261936</xdr:colOff>
      <xdr:row>0</xdr:row>
      <xdr:rowOff>0</xdr:rowOff>
    </xdr:from>
    <xdr:to>
      <xdr:col>12</xdr:col>
      <xdr:colOff>66675</xdr:colOff>
      <xdr:row>6</xdr:row>
      <xdr:rowOff>47625</xdr:rowOff>
    </xdr:to>
    <xdr:graphicFrame macro="">
      <xdr:nvGraphicFramePr>
        <xdr:cNvPr id="2" name="Chart 1">
          <a:extLst>
            <a:ext uri="{FF2B5EF4-FFF2-40B4-BE49-F238E27FC236}">
              <a16:creationId xmlns:a16="http://schemas.microsoft.com/office/drawing/2014/main" id="{36B3E739-53A3-EDF6-B13B-8E307574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41672</xdr:colOff>
      <xdr:row>8</xdr:row>
      <xdr:rowOff>4763</xdr:rowOff>
    </xdr:from>
    <xdr:to>
      <xdr:col>16</xdr:col>
      <xdr:colOff>595313</xdr:colOff>
      <xdr:row>29</xdr:row>
      <xdr:rowOff>138112</xdr:rowOff>
    </xdr:to>
    <xdr:graphicFrame macro="">
      <xdr:nvGraphicFramePr>
        <xdr:cNvPr id="3" name="Chart 2">
          <a:extLst>
            <a:ext uri="{FF2B5EF4-FFF2-40B4-BE49-F238E27FC236}">
              <a16:creationId xmlns:a16="http://schemas.microsoft.com/office/drawing/2014/main" id="{0FCB2643-E1A4-37A7-5668-A692E7133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47624</xdr:colOff>
      <xdr:row>8</xdr:row>
      <xdr:rowOff>22280</xdr:rowOff>
    </xdr:from>
    <xdr:to>
      <xdr:col>22</xdr:col>
      <xdr:colOff>598714</xdr:colOff>
      <xdr:row>29</xdr:row>
      <xdr:rowOff>129268</xdr:rowOff>
    </xdr:to>
    <xdr:graphicFrame macro="">
      <xdr:nvGraphicFramePr>
        <xdr:cNvPr id="4" name="Chart 3">
          <a:extLst>
            <a:ext uri="{FF2B5EF4-FFF2-40B4-BE49-F238E27FC236}">
              <a16:creationId xmlns:a16="http://schemas.microsoft.com/office/drawing/2014/main" id="{28B248C2-FD2F-846C-372C-E00013790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64634</xdr:colOff>
      <xdr:row>11</xdr:row>
      <xdr:rowOff>234046</xdr:rowOff>
    </xdr:from>
    <xdr:to>
      <xdr:col>9</xdr:col>
      <xdr:colOff>449035</xdr:colOff>
      <xdr:row>21</xdr:row>
      <xdr:rowOff>47626</xdr:rowOff>
    </xdr:to>
    <xdr:graphicFrame macro="">
      <xdr:nvGraphicFramePr>
        <xdr:cNvPr id="3" name="Chart 1">
          <a:extLst>
            <a:ext uri="{FF2B5EF4-FFF2-40B4-BE49-F238E27FC236}">
              <a16:creationId xmlns:a16="http://schemas.microsoft.com/office/drawing/2014/main" id="{46F2BDA0-70FF-1EF7-0A32-47A523CEF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85043</xdr:colOff>
      <xdr:row>21</xdr:row>
      <xdr:rowOff>9526</xdr:rowOff>
    </xdr:from>
    <xdr:to>
      <xdr:col>11</xdr:col>
      <xdr:colOff>415018</xdr:colOff>
      <xdr:row>32</xdr:row>
      <xdr:rowOff>34019</xdr:rowOff>
    </xdr:to>
    <xdr:graphicFrame macro="">
      <xdr:nvGraphicFramePr>
        <xdr:cNvPr id="4" name="Chart 3">
          <a:extLst>
            <a:ext uri="{FF2B5EF4-FFF2-40B4-BE49-F238E27FC236}">
              <a16:creationId xmlns:a16="http://schemas.microsoft.com/office/drawing/2014/main" id="{C47366C8-96E9-57E8-C92B-92D85616C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y%20Drive\AIR%20BERSIH%20JAKARTA\3.%20OUTPUT%20PCC\8.%202026%20JUN\260622\21Juni26_Kertas%20Kerja%20Breakdown%20VOWD.xlsx" TargetMode="External"/><Relationship Id="rId1" Type="http://schemas.openxmlformats.org/officeDocument/2006/relationships/externalLinkPath" Target="file:///G:\My%20Drive\AIR%20BERSIH%20JAKARTA\3.%20OUTPUT%20PCC\8.%202026%20JUN\260622\21Juni26_Kertas%20Kerja%20Breakdown%20VOW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Ozora\Downloads\Target%20Mingguan%20-%20GREENFIELD%20TOK%20Okt%2026.xlsx" TargetMode="External"/><Relationship Id="rId1" Type="http://schemas.openxmlformats.org/officeDocument/2006/relationships/externalLinkPath" Target="file:///C:\Users\Ozora\Downloads\Target%20Mingguan%20-%20GREENFIELD%20TOK%20Okt%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reakdown VOWD Greenfield"/>
      <sheetName val="Sheet1"/>
      <sheetName val="PERSIAPAN"/>
      <sheetName val="Breakdown VOWD Persiapan"/>
      <sheetName val="RAB BLM ADA"/>
    </sheetNames>
    <sheetDataSet>
      <sheetData sheetId="0">
        <row r="2">
          <cell r="AT2">
            <v>0</v>
          </cell>
        </row>
        <row r="4">
          <cell r="AT4">
            <v>2759515166751.4697</v>
          </cell>
        </row>
        <row r="5">
          <cell r="E5" t="str">
            <v>Kode Program</v>
          </cell>
          <cell r="AT5" t="str">
            <v>Nilai RNA Update</v>
          </cell>
        </row>
        <row r="6">
          <cell r="E6" t="str">
            <v>NPP23JTA A2.2.1a</v>
          </cell>
          <cell r="AT6">
            <v>49593687220</v>
          </cell>
        </row>
        <row r="7">
          <cell r="E7" t="str">
            <v>NPP23JTAA06</v>
          </cell>
          <cell r="AT7">
            <v>51407089365</v>
          </cell>
        </row>
        <row r="8">
          <cell r="E8" t="str">
            <v>23ABJ.NRP095</v>
          </cell>
          <cell r="AT8">
            <v>10843356260</v>
          </cell>
        </row>
        <row r="9">
          <cell r="E9" t="str">
            <v>23ABJNINJT095.C01</v>
          </cell>
          <cell r="AT9">
            <v>2042804053</v>
          </cell>
        </row>
        <row r="10">
          <cell r="E10" t="str">
            <v>23ABJNINJT095.C02</v>
          </cell>
          <cell r="AT10">
            <v>4221109988</v>
          </cell>
        </row>
        <row r="11">
          <cell r="E11" t="str">
            <v>23ABJ.NINJT073.01</v>
          </cell>
          <cell r="AT11">
            <v>90892413</v>
          </cell>
        </row>
        <row r="12">
          <cell r="E12" t="str">
            <v>23ABJ.NINJT076.01</v>
          </cell>
          <cell r="AT12">
            <v>289307432</v>
          </cell>
        </row>
        <row r="13">
          <cell r="E13" t="str">
            <v>23ABJ.NINJT092.01</v>
          </cell>
          <cell r="AT13">
            <v>243741183</v>
          </cell>
        </row>
        <row r="14">
          <cell r="E14" t="str">
            <v>23ABJ.NINKARB015.1JE</v>
          </cell>
          <cell r="AT14">
            <v>135088591</v>
          </cell>
        </row>
        <row r="15">
          <cell r="E15" t="str">
            <v>23ABJ.NINJTP008.1JE</v>
          </cell>
          <cell r="AT15">
            <v>432875247</v>
          </cell>
        </row>
        <row r="16">
          <cell r="E16" t="str">
            <v>23ABJ.NINJT078.01</v>
          </cell>
          <cell r="AT16">
            <v>107299965</v>
          </cell>
        </row>
        <row r="17">
          <cell r="E17" t="str">
            <v>NPP23JTA A2.2.1b</v>
          </cell>
          <cell r="AT17">
            <v>113327355245</v>
          </cell>
        </row>
        <row r="18">
          <cell r="E18" t="str">
            <v>PNA23JT003-C02.1</v>
          </cell>
          <cell r="AT18">
            <v>44468102292</v>
          </cell>
        </row>
        <row r="19">
          <cell r="E19" t="str">
            <v>PNA23JT003-C02.2</v>
          </cell>
          <cell r="AT19">
            <v>1878107243</v>
          </cell>
        </row>
        <row r="20">
          <cell r="E20" t="str">
            <v>PNA23JT003-C02.3</v>
          </cell>
          <cell r="AT20">
            <v>657769801</v>
          </cell>
        </row>
        <row r="21">
          <cell r="E21" t="str">
            <v>23ABJNINJT095.C03</v>
          </cell>
          <cell r="AT21">
            <v>5584101508</v>
          </cell>
        </row>
        <row r="22">
          <cell r="E22" t="str">
            <v>24ABJ.NINJTS001.1JR</v>
          </cell>
          <cell r="AT22">
            <v>107302296</v>
          </cell>
        </row>
        <row r="23">
          <cell r="E23" t="str">
            <v>24ABJ.NINJT086.1JR</v>
          </cell>
          <cell r="AT23">
            <v>214360561</v>
          </cell>
        </row>
        <row r="24">
          <cell r="E24" t="str">
            <v>24ABJ.NINJT080.1JR</v>
          </cell>
          <cell r="AT24">
            <v>137939542</v>
          </cell>
        </row>
        <row r="25">
          <cell r="E25" t="str">
            <v>24ABJ.NINJTA095.6JR</v>
          </cell>
          <cell r="AT25">
            <v>166152224</v>
          </cell>
        </row>
        <row r="26">
          <cell r="E26" t="str">
            <v>24ABJ.NINJTS001.2JR</v>
          </cell>
          <cell r="AT26">
            <v>889863370</v>
          </cell>
        </row>
        <row r="27">
          <cell r="E27" t="str">
            <v>24ABJ.NINJT055JREZ1</v>
          </cell>
          <cell r="AT27">
            <v>1346727737</v>
          </cell>
        </row>
        <row r="28">
          <cell r="E28" t="str">
            <v>24ABJ.NINJT055JREZ2</v>
          </cell>
          <cell r="AT28">
            <v>514838567</v>
          </cell>
        </row>
        <row r="29">
          <cell r="E29" t="str">
            <v>24ABJ.NINJT055JREZ3</v>
          </cell>
          <cell r="AT29">
            <v>6149321233</v>
          </cell>
        </row>
        <row r="30">
          <cell r="E30" t="str">
            <v>24ABJ.NINJT055JREZ3C</v>
          </cell>
          <cell r="AT30">
            <v>7069388615</v>
          </cell>
        </row>
        <row r="31">
          <cell r="E31" t="str">
            <v>24ABJ.NINJT055JREZ4</v>
          </cell>
        </row>
        <row r="32">
          <cell r="E32" t="str">
            <v>24ABJ.NINJT055JREZ5</v>
          </cell>
          <cell r="AT32">
            <v>3668043831</v>
          </cell>
        </row>
        <row r="33">
          <cell r="E33" t="str">
            <v>24ABJ.NINJT055JREZ6</v>
          </cell>
          <cell r="AT33">
            <v>2218371264</v>
          </cell>
        </row>
        <row r="34">
          <cell r="E34" t="str">
            <v>24ABJ.NINJT055JREZ7</v>
          </cell>
          <cell r="AT34">
            <v>739384377</v>
          </cell>
        </row>
        <row r="35">
          <cell r="E35" t="str">
            <v>24ABJ.NINJT055JREZ8</v>
          </cell>
        </row>
        <row r="36">
          <cell r="E36" t="str">
            <v>24ABJ.NINJT055JREZ9</v>
          </cell>
          <cell r="AT36">
            <v>2081587006</v>
          </cell>
        </row>
        <row r="37">
          <cell r="E37" t="str">
            <v>24ABJ.NINJT055JREZ10</v>
          </cell>
          <cell r="AT37">
            <v>2138513242</v>
          </cell>
        </row>
        <row r="38">
          <cell r="E38" t="str">
            <v>24ABJ.NINJT055JREZ11</v>
          </cell>
          <cell r="AT38">
            <v>2006365297</v>
          </cell>
        </row>
        <row r="39">
          <cell r="E39" t="str">
            <v>24ABJ.NINJT055JREZ12</v>
          </cell>
          <cell r="AT39">
            <v>810979757</v>
          </cell>
        </row>
        <row r="40">
          <cell r="E40" t="str">
            <v>24ABJ.NINJT055JREZ13</v>
          </cell>
          <cell r="AT40">
            <v>4237639506</v>
          </cell>
        </row>
        <row r="41">
          <cell r="E41" t="str">
            <v>24ABJ.NINJT055JREZ14</v>
          </cell>
          <cell r="AT41">
            <v>425508030</v>
          </cell>
        </row>
        <row r="42">
          <cell r="E42" t="str">
            <v>24ABJ.NINJT055JREZ15</v>
          </cell>
          <cell r="AT42">
            <v>842000544</v>
          </cell>
        </row>
        <row r="43">
          <cell r="E43" t="str">
            <v>NIN23JTA147EZ1</v>
          </cell>
          <cell r="AT43">
            <v>852451248</v>
          </cell>
        </row>
        <row r="44">
          <cell r="E44" t="str">
            <v>NIN23JTA147EZ2</v>
          </cell>
          <cell r="AT44">
            <v>7030455174.4700003</v>
          </cell>
        </row>
        <row r="45">
          <cell r="E45" t="str">
            <v>NIN23JTA147EZ3</v>
          </cell>
          <cell r="AT45">
            <v>3321423265</v>
          </cell>
        </row>
        <row r="46">
          <cell r="E46" t="str">
            <v>NIN23JTA147EZ4</v>
          </cell>
          <cell r="AT46">
            <v>4430159358</v>
          </cell>
        </row>
        <row r="47">
          <cell r="E47" t="str">
            <v>NIN23JTA147EZ5</v>
          </cell>
          <cell r="AT47">
            <v>2851468769</v>
          </cell>
        </row>
        <row r="48">
          <cell r="E48" t="str">
            <v>NIN23JTA147EZ6</v>
          </cell>
          <cell r="AT48">
            <v>4879057186</v>
          </cell>
        </row>
        <row r="49">
          <cell r="E49" t="str">
            <v>24ABJ.NINJT150JREZ1</v>
          </cell>
          <cell r="AT49">
            <v>6416913974</v>
          </cell>
        </row>
        <row r="50">
          <cell r="E50" t="str">
            <v>24ABJ.NINJT150JREZ2</v>
          </cell>
          <cell r="AT50">
            <v>6237279855</v>
          </cell>
        </row>
        <row r="51">
          <cell r="E51" t="str">
            <v>24ABJ.NINJT150JREZ3</v>
          </cell>
          <cell r="AT51">
            <v>567304695</v>
          </cell>
        </row>
        <row r="52">
          <cell r="E52" t="str">
            <v>24ABJ.NINJT150JREZ4</v>
          </cell>
          <cell r="AT52">
            <v>2017603182</v>
          </cell>
        </row>
        <row r="53">
          <cell r="E53" t="str">
            <v>24ABJ.NINJT150JREZ5</v>
          </cell>
          <cell r="AT53">
            <v>820145020</v>
          </cell>
        </row>
        <row r="54">
          <cell r="E54" t="str">
            <v>24ABJ.NINJT150JREZ6</v>
          </cell>
          <cell r="AT54">
            <v>3080878239</v>
          </cell>
        </row>
        <row r="55">
          <cell r="E55" t="str">
            <v>NIN23JTA151EZ1</v>
          </cell>
          <cell r="AT55">
            <v>3601671426</v>
          </cell>
        </row>
        <row r="56">
          <cell r="E56" t="str">
            <v>NIN23JTA151EZ2</v>
          </cell>
          <cell r="AT56">
            <v>2169658095</v>
          </cell>
        </row>
        <row r="57">
          <cell r="E57" t="str">
            <v>NIN23JTA151EZ3</v>
          </cell>
          <cell r="AT57">
            <v>5081250388</v>
          </cell>
        </row>
        <row r="58">
          <cell r="E58" t="str">
            <v>NIN23JTA151EZ4</v>
          </cell>
        </row>
        <row r="59">
          <cell r="E59" t="str">
            <v>NIN23JTA151EZ5</v>
          </cell>
          <cell r="AT59">
            <v>4782298448</v>
          </cell>
        </row>
        <row r="60">
          <cell r="E60" t="str">
            <v>NIN23JTA151EZ6</v>
          </cell>
          <cell r="AT60">
            <v>4834993334</v>
          </cell>
        </row>
        <row r="61">
          <cell r="E61" t="str">
            <v>NIN23JTA153EZ1</v>
          </cell>
          <cell r="AT61">
            <v>6819754532</v>
          </cell>
        </row>
        <row r="62">
          <cell r="E62" t="str">
            <v>NIN23JTA153EZ2</v>
          </cell>
          <cell r="AT62">
            <v>3594410481</v>
          </cell>
        </row>
        <row r="63">
          <cell r="E63" t="str">
            <v>NIN23JTA153EZ3</v>
          </cell>
          <cell r="AT63">
            <v>2770383901</v>
          </cell>
        </row>
        <row r="64">
          <cell r="E64" t="str">
            <v>NIN23JTA153EZ4</v>
          </cell>
          <cell r="AT64">
            <v>1581938269</v>
          </cell>
        </row>
        <row r="65">
          <cell r="E65" t="str">
            <v>NIN23JTA153EZ5</v>
          </cell>
          <cell r="AT65">
            <v>2553726301</v>
          </cell>
        </row>
        <row r="66">
          <cell r="E66" t="str">
            <v>NIN23JTA153EZ6</v>
          </cell>
          <cell r="AT66">
            <v>1023812332</v>
          </cell>
        </row>
        <row r="67">
          <cell r="E67" t="str">
            <v>23ABJ.NINJT051.1JR</v>
          </cell>
          <cell r="AT67">
            <v>78408536</v>
          </cell>
        </row>
        <row r="68">
          <cell r="E68" t="str">
            <v>23ABJ.NINJT055.1JR</v>
          </cell>
          <cell r="AT68">
            <v>81048293</v>
          </cell>
        </row>
        <row r="69">
          <cell r="E69" t="str">
            <v>23ABJ.NINJT070.2JR</v>
          </cell>
          <cell r="AT69">
            <v>224446569</v>
          </cell>
        </row>
        <row r="70">
          <cell r="E70" t="str">
            <v>24ABJ.NINJT070.5JR</v>
          </cell>
          <cell r="AT70">
            <v>71816694</v>
          </cell>
        </row>
        <row r="71">
          <cell r="E71" t="str">
            <v>23ABJ.NINJT150.1JR</v>
          </cell>
          <cell r="AT71">
            <v>100019434</v>
          </cell>
        </row>
        <row r="72">
          <cell r="E72" t="str">
            <v>24ABJ.NINJTAS001.3</v>
          </cell>
          <cell r="AT72">
            <v>188520089</v>
          </cell>
        </row>
        <row r="73">
          <cell r="E73" t="str">
            <v>23ABJ.NINJT054.3JR</v>
          </cell>
          <cell r="AT73">
            <v>1925474114</v>
          </cell>
        </row>
        <row r="74">
          <cell r="E74" t="str">
            <v>23ABJ.NINJT054.4JR</v>
          </cell>
          <cell r="AT74">
            <v>853401247</v>
          </cell>
        </row>
        <row r="75">
          <cell r="E75" t="str">
            <v>23ABJ.NINJT054.2JR</v>
          </cell>
        </row>
        <row r="76">
          <cell r="E76" t="str">
            <v>23ABJ.NINJT070.1JR</v>
          </cell>
        </row>
        <row r="77">
          <cell r="E77" t="str">
            <v>23ABJ.NINJT070.3JR</v>
          </cell>
        </row>
        <row r="78">
          <cell r="E78" t="str">
            <v>23ABJ.NINJT147.1JR</v>
          </cell>
        </row>
        <row r="79">
          <cell r="E79" t="str">
            <v>23ABJ.NINJT070.4JR</v>
          </cell>
        </row>
        <row r="80">
          <cell r="E80" t="str">
            <v>24ABJ.NINBUR145.2JP</v>
          </cell>
          <cell r="AT80">
            <v>236465135</v>
          </cell>
        </row>
        <row r="81">
          <cell r="E81" t="str">
            <v>23ABJ.NINJT145.1JR</v>
          </cell>
          <cell r="AT81">
            <v>509812803</v>
          </cell>
        </row>
        <row r="82">
          <cell r="E82" t="str">
            <v>NPP23BURP01</v>
          </cell>
          <cell r="AT82">
            <v>181565133009</v>
          </cell>
        </row>
        <row r="83">
          <cell r="E83" t="str">
            <v>NPP23BURP02</v>
          </cell>
          <cell r="AT83">
            <v>38791921143</v>
          </cell>
        </row>
        <row r="84">
          <cell r="E84" t="str">
            <v>23ABJ.NINBUR159.1JP</v>
          </cell>
          <cell r="AT84">
            <v>1047995087</v>
          </cell>
        </row>
        <row r="85">
          <cell r="E85" t="str">
            <v>24ABJ.NINBUR161.2JP</v>
          </cell>
          <cell r="AT85">
            <v>374495783</v>
          </cell>
        </row>
        <row r="86">
          <cell r="E86" t="str">
            <v>24ABJ.NINBUR162.1JP</v>
          </cell>
          <cell r="AT86">
            <v>5301539368</v>
          </cell>
        </row>
        <row r="87">
          <cell r="E87" t="str">
            <v>23ABJ.NINBUR162.2JP</v>
          </cell>
          <cell r="AT87">
            <v>178920948</v>
          </cell>
        </row>
        <row r="88">
          <cell r="E88" t="str">
            <v>23ABJ.NINBUR163.1JP</v>
          </cell>
          <cell r="AT88">
            <v>415723528</v>
          </cell>
        </row>
        <row r="89">
          <cell r="E89" t="str">
            <v>NPP23KAB035</v>
          </cell>
          <cell r="AT89">
            <v>11312531101</v>
          </cell>
        </row>
        <row r="90">
          <cell r="E90" t="str">
            <v>23ABJ.NINKARB020.14</v>
          </cell>
          <cell r="AT90">
            <v>522883510</v>
          </cell>
        </row>
        <row r="91">
          <cell r="E91" t="str">
            <v>23ABJ.NINKARS006.02</v>
          </cell>
          <cell r="AT91">
            <v>304269448</v>
          </cell>
        </row>
        <row r="92">
          <cell r="E92" t="str">
            <v>23ABJ.NINKARB013.02</v>
          </cell>
          <cell r="AT92">
            <v>873370704</v>
          </cell>
        </row>
        <row r="93">
          <cell r="E93" t="str">
            <v>23ABJ.NINKARB013.03</v>
          </cell>
          <cell r="AT93">
            <v>245360393</v>
          </cell>
        </row>
        <row r="94">
          <cell r="E94" t="str">
            <v>23ABJ.NINKARB013.04</v>
          </cell>
          <cell r="AT94">
            <v>195349512</v>
          </cell>
        </row>
        <row r="95">
          <cell r="E95" t="str">
            <v>23ABJ.NINKARB013.01</v>
          </cell>
          <cell r="AT95">
            <v>471968087</v>
          </cell>
        </row>
        <row r="96">
          <cell r="E96" t="str">
            <v>24ABJ.NINKARB006.3JE</v>
          </cell>
          <cell r="AT96">
            <v>830932740</v>
          </cell>
        </row>
        <row r="97">
          <cell r="E97" t="str">
            <v>23ABJ.NINKARB006.2JE</v>
          </cell>
          <cell r="AT97">
            <v>105609126</v>
          </cell>
        </row>
        <row r="98">
          <cell r="E98" t="str">
            <v>23ABJ.NINKARB016.1JE</v>
          </cell>
          <cell r="AT98">
            <v>1182056053</v>
          </cell>
        </row>
        <row r="99">
          <cell r="E99" t="str">
            <v>23ABJ.NINKARB019.4JE</v>
          </cell>
          <cell r="AT99">
            <v>265131831</v>
          </cell>
        </row>
        <row r="100">
          <cell r="E100" t="str">
            <v>23ABJ.NINKARB006.1JE</v>
          </cell>
          <cell r="AT100">
            <v>357672601</v>
          </cell>
        </row>
        <row r="101">
          <cell r="E101" t="str">
            <v>23ABJ.NINKARB012.1JE</v>
          </cell>
          <cell r="AT101">
            <v>219308195</v>
          </cell>
        </row>
        <row r="102">
          <cell r="E102" t="str">
            <v>24ABJ.NINKARB007.1JE</v>
          </cell>
          <cell r="AT102">
            <v>542536517</v>
          </cell>
        </row>
        <row r="103">
          <cell r="E103" t="str">
            <v>23ABJ.NINKARB017.1JE</v>
          </cell>
          <cell r="AT103">
            <v>429603948</v>
          </cell>
        </row>
        <row r="104">
          <cell r="E104" t="str">
            <v>NIN23KABB020.1</v>
          </cell>
          <cell r="AT104">
            <v>11391069631</v>
          </cell>
        </row>
        <row r="105">
          <cell r="E105" t="str">
            <v>NIN23KABB020.2</v>
          </cell>
          <cell r="AT105">
            <v>4479280948</v>
          </cell>
        </row>
        <row r="106">
          <cell r="E106" t="str">
            <v>23ABJ.NINKARB014.1JE</v>
          </cell>
          <cell r="AT106">
            <v>213544137</v>
          </cell>
        </row>
        <row r="107">
          <cell r="E107" t="str">
            <v>23ABJ.NINKARB020.13</v>
          </cell>
          <cell r="AT107">
            <v>2229658504</v>
          </cell>
        </row>
        <row r="108">
          <cell r="E108" t="str">
            <v>23ABJ.NINKARB018.1JE</v>
          </cell>
          <cell r="AT108">
            <v>190389475</v>
          </cell>
        </row>
        <row r="109">
          <cell r="E109" t="str">
            <v>23ABJ.NINKARB009.1JE</v>
          </cell>
          <cell r="AT109">
            <v>3919403446</v>
          </cell>
        </row>
        <row r="110">
          <cell r="E110" t="str">
            <v>24ABJ.NINKARB019.6JE</v>
          </cell>
          <cell r="AT110">
            <v>1674296671</v>
          </cell>
        </row>
        <row r="111">
          <cell r="E111" t="str">
            <v>24ABJ.NINKARB019.5JE</v>
          </cell>
          <cell r="AT111">
            <v>539602184</v>
          </cell>
        </row>
        <row r="112">
          <cell r="E112" t="str">
            <v>24ABJ.NINKARB016.3JE</v>
          </cell>
          <cell r="AT112">
            <v>157319977</v>
          </cell>
        </row>
        <row r="113">
          <cell r="E113" t="str">
            <v>24ABJ.NINKARB006.2JE</v>
          </cell>
          <cell r="AT113">
            <v>106303542</v>
          </cell>
        </row>
        <row r="114">
          <cell r="E114" t="str">
            <v>24ABJ.NINKARB013.6JE</v>
          </cell>
          <cell r="AT114">
            <v>421364902</v>
          </cell>
        </row>
        <row r="115">
          <cell r="E115" t="str">
            <v>24ABJ.NINKARB006.4JE</v>
          </cell>
          <cell r="AT115">
            <v>194651224</v>
          </cell>
        </row>
        <row r="116">
          <cell r="E116" t="str">
            <v>24ABJ.NINKARB014.5JE</v>
          </cell>
          <cell r="AT116">
            <v>186691002</v>
          </cell>
        </row>
        <row r="117">
          <cell r="E117" t="str">
            <v>24ABJ.NINKARS006.4JE</v>
          </cell>
          <cell r="AT117">
            <v>334627771</v>
          </cell>
        </row>
        <row r="118">
          <cell r="E118" t="str">
            <v>24ABJ.NINKARB014.6JE</v>
          </cell>
          <cell r="AT118">
            <v>1733609548</v>
          </cell>
        </row>
        <row r="119">
          <cell r="E119" t="str">
            <v>24ABJ.NINKARS006.6JE</v>
          </cell>
          <cell r="AT119">
            <v>541719069</v>
          </cell>
        </row>
        <row r="120">
          <cell r="E120" t="str">
            <v>24ABJ.NINKARB019.11JE</v>
          </cell>
          <cell r="AT120">
            <v>223427870</v>
          </cell>
        </row>
        <row r="121">
          <cell r="E121" t="str">
            <v>24ABJ.NINKARB014.71JE</v>
          </cell>
          <cell r="AT121">
            <v>620452381</v>
          </cell>
        </row>
        <row r="122">
          <cell r="E122" t="str">
            <v>23ABJ.NPPKAR037</v>
          </cell>
          <cell r="AT122">
            <v>5070043864</v>
          </cell>
        </row>
        <row r="123">
          <cell r="E123" t="str">
            <v>24ABJ.NINKARB006.1JE</v>
          </cell>
          <cell r="AT123">
            <v>152212411</v>
          </cell>
        </row>
        <row r="124">
          <cell r="E124" t="str">
            <v>24ABJ.NINKARS006.5JE</v>
          </cell>
          <cell r="AT124">
            <v>731830067</v>
          </cell>
        </row>
        <row r="125">
          <cell r="E125" t="str">
            <v>23ABJ.NINKARB020.12</v>
          </cell>
          <cell r="AT125">
            <v>97188035</v>
          </cell>
        </row>
        <row r="126">
          <cell r="E126" t="str">
            <v>24ABJ.NINKARB016.6</v>
          </cell>
          <cell r="AT126">
            <v>1486837155</v>
          </cell>
        </row>
        <row r="127">
          <cell r="E127" t="str">
            <v>24ABJ.NINKARS002.3JE</v>
          </cell>
        </row>
        <row r="128">
          <cell r="E128" t="str">
            <v>23ABJ.NINKARB013.5JE</v>
          </cell>
        </row>
        <row r="129">
          <cell r="E129" t="str">
            <v>23ABJ.NINKARS002.2</v>
          </cell>
        </row>
        <row r="130">
          <cell r="E130" t="str">
            <v>NPP23BURP03</v>
          </cell>
          <cell r="AT130">
            <v>70342346388</v>
          </cell>
        </row>
        <row r="131">
          <cell r="E131" t="str">
            <v>NPP23BURP04</v>
          </cell>
          <cell r="AT131">
            <v>293154132323</v>
          </cell>
        </row>
        <row r="132">
          <cell r="E132" t="str">
            <v>NPP23BURP05</v>
          </cell>
          <cell r="AT132">
            <v>95860910299</v>
          </cell>
        </row>
        <row r="133">
          <cell r="E133" t="str">
            <v>NPP23BURS03</v>
          </cell>
          <cell r="AT133">
            <v>66373338414</v>
          </cell>
        </row>
        <row r="134">
          <cell r="E134" t="str">
            <v>NIN23BUR152EZ1</v>
          </cell>
          <cell r="AT134">
            <v>26395392858</v>
          </cell>
        </row>
        <row r="135">
          <cell r="E135" t="str">
            <v>NIN23BUR152EZ2</v>
          </cell>
          <cell r="AT135">
            <v>26190256906</v>
          </cell>
        </row>
        <row r="136">
          <cell r="E136" t="str">
            <v>NIN23BUR152EZ2.1</v>
          </cell>
          <cell r="AT136">
            <v>576443164</v>
          </cell>
        </row>
        <row r="137">
          <cell r="E137" t="str">
            <v>NIN23BUR154EZ1</v>
          </cell>
        </row>
        <row r="138">
          <cell r="E138" t="str">
            <v>NIN23BUR154EZ2</v>
          </cell>
          <cell r="AT138">
            <v>7086526177</v>
          </cell>
        </row>
        <row r="139">
          <cell r="E139" t="str">
            <v>NIN23BUR154EZ3</v>
          </cell>
          <cell r="AT139">
            <v>8570103972</v>
          </cell>
        </row>
        <row r="140">
          <cell r="E140" t="str">
            <v>NIN23BUR154EZ4</v>
          </cell>
          <cell r="AT140">
            <v>21086863859</v>
          </cell>
        </row>
        <row r="141">
          <cell r="E141" t="str">
            <v>NIN23BUR154EZ5</v>
          </cell>
          <cell r="AT141">
            <v>24051371750</v>
          </cell>
        </row>
        <row r="142">
          <cell r="E142" t="str">
            <v>NIN23BUR154EZ6</v>
          </cell>
          <cell r="AT142">
            <v>14130141238</v>
          </cell>
        </row>
        <row r="143">
          <cell r="E143" t="str">
            <v>24ABJ.NINBUR159JPEZ1</v>
          </cell>
          <cell r="AT143">
            <v>10646058145</v>
          </cell>
        </row>
        <row r="144">
          <cell r="E144" t="str">
            <v>24ABJ.NINBUR159JPEZ2</v>
          </cell>
          <cell r="AT144">
            <v>10818527341</v>
          </cell>
        </row>
        <row r="145">
          <cell r="E145" t="str">
            <v>24ABJ.NINBUR159JPEZ3</v>
          </cell>
          <cell r="AT145">
            <v>11885983812</v>
          </cell>
        </row>
        <row r="146">
          <cell r="E146" t="str">
            <v>24ABJ.NINBUR159JPEZ4</v>
          </cell>
          <cell r="AT146">
            <v>20924776117</v>
          </cell>
        </row>
        <row r="147">
          <cell r="E147" t="str">
            <v>24ABJ.NINBUR159JPEZ5</v>
          </cell>
          <cell r="AT147">
            <v>14022937402</v>
          </cell>
        </row>
        <row r="148">
          <cell r="E148" t="str">
            <v>24ABJ.NINBUR159JPEZ6</v>
          </cell>
          <cell r="AT148">
            <v>13514278591</v>
          </cell>
        </row>
        <row r="149">
          <cell r="E149" t="str">
            <v>24ABJ.NINBUR159JPEZ7</v>
          </cell>
          <cell r="AT149">
            <v>51887944446</v>
          </cell>
        </row>
        <row r="150">
          <cell r="E150" t="str">
            <v>24ABJ.NINBUR159JPEZ8</v>
          </cell>
          <cell r="AT150">
            <v>19864134680</v>
          </cell>
        </row>
        <row r="151">
          <cell r="E151" t="str">
            <v>24ABJ.NINBUR161JPEZ5</v>
          </cell>
          <cell r="AT151">
            <v>13693910854</v>
          </cell>
        </row>
        <row r="152">
          <cell r="E152" t="str">
            <v>24ABJ.NINBUR161JPEZ13</v>
          </cell>
        </row>
        <row r="153">
          <cell r="E153" t="str">
            <v>24ABJ.NINBUR162.4JP</v>
          </cell>
          <cell r="AT153">
            <v>234915769</v>
          </cell>
        </row>
        <row r="154">
          <cell r="E154" t="str">
            <v>24ABJ.NINBUR162.5JP</v>
          </cell>
          <cell r="AT154">
            <v>134885270</v>
          </cell>
        </row>
        <row r="155">
          <cell r="E155" t="str">
            <v>24ABJ.NINBUR162.6JP</v>
          </cell>
          <cell r="AT155">
            <v>102618414</v>
          </cell>
        </row>
        <row r="156">
          <cell r="E156" t="str">
            <v>25ABJ.NINBUR162.2JP</v>
          </cell>
          <cell r="AT156">
            <v>259186530</v>
          </cell>
        </row>
        <row r="157">
          <cell r="E157" t="str">
            <v>25ABJ.NINBUR162.3JP</v>
          </cell>
          <cell r="AT157">
            <v>351638883</v>
          </cell>
        </row>
        <row r="158">
          <cell r="E158" t="str">
            <v>25ABJ.NINBUR162.4JP</v>
          </cell>
          <cell r="AT158">
            <v>566715706</v>
          </cell>
        </row>
        <row r="159">
          <cell r="E159" t="str">
            <v>24ABJ.NINBUR159JPEZ4.1</v>
          </cell>
          <cell r="AT159">
            <v>902399352</v>
          </cell>
        </row>
        <row r="160">
          <cell r="E160" t="str">
            <v>NPP23JTA A2.2.2</v>
          </cell>
          <cell r="AT160">
            <v>338409885061</v>
          </cell>
        </row>
        <row r="161">
          <cell r="E161" t="str">
            <v>NPP23JTA B01</v>
          </cell>
          <cell r="AT161">
            <v>103314635149</v>
          </cell>
        </row>
        <row r="162">
          <cell r="E162" t="str">
            <v>NPP23JTA B03</v>
          </cell>
          <cell r="AT162">
            <v>160978046199</v>
          </cell>
        </row>
        <row r="163">
          <cell r="E163" t="str">
            <v>24ABJ.NINJT70JR9</v>
          </cell>
          <cell r="AT163">
            <v>5334213266</v>
          </cell>
        </row>
        <row r="164">
          <cell r="E164" t="str">
            <v>PNA23JT0003 - C01.1</v>
          </cell>
          <cell r="AT164">
            <v>24521224684</v>
          </cell>
        </row>
        <row r="165">
          <cell r="E165" t="str">
            <v>PNA23JT0003 - C01.2</v>
          </cell>
          <cell r="AT165">
            <v>8252684868</v>
          </cell>
        </row>
        <row r="166">
          <cell r="E166" t="str">
            <v>PNA23JT0003 - C01.3</v>
          </cell>
          <cell r="AT166">
            <v>11893824115</v>
          </cell>
        </row>
        <row r="167">
          <cell r="E167" t="str">
            <v>PNA23JT0003 - C01.4</v>
          </cell>
          <cell r="AT167">
            <v>360909675</v>
          </cell>
        </row>
        <row r="168">
          <cell r="E168" t="str">
            <v>24ABJ.NBVJTA01</v>
          </cell>
        </row>
        <row r="169">
          <cell r="E169" t="str">
            <v>24ABJ.NBVJTA02</v>
          </cell>
        </row>
        <row r="170">
          <cell r="E170" t="str">
            <v>24ABJ.NBVJTA07</v>
          </cell>
        </row>
        <row r="171">
          <cell r="E171" t="str">
            <v>24ABJ.NBVJTA08</v>
          </cell>
        </row>
        <row r="172">
          <cell r="E172" t="str">
            <v>24ABJ.NBVJTA09</v>
          </cell>
        </row>
        <row r="173">
          <cell r="E173" t="str">
            <v>24ABJ.NBVJTA10</v>
          </cell>
          <cell r="AT173">
            <v>1196597814</v>
          </cell>
        </row>
        <row r="174">
          <cell r="E174" t="str">
            <v>24ABJ.NBVJTA12</v>
          </cell>
        </row>
        <row r="175">
          <cell r="E175" t="str">
            <v>23ABJ.NINJT146.1JR</v>
          </cell>
          <cell r="AT175">
            <v>3709188490</v>
          </cell>
        </row>
        <row r="176">
          <cell r="E176" t="str">
            <v>24ABJ.NINJTP011.1JR</v>
          </cell>
        </row>
        <row r="177">
          <cell r="E177" t="str">
            <v>24ABJ.NINJTP002.1JR</v>
          </cell>
        </row>
        <row r="178">
          <cell r="E178" t="str">
            <v>24ABJ.NINJTP010.1JR</v>
          </cell>
        </row>
        <row r="179">
          <cell r="E179" t="str">
            <v>24ABJ.NINJTP003.1JR</v>
          </cell>
        </row>
        <row r="180">
          <cell r="E180" t="str">
            <v>24ABJ.NINJT068.1JR</v>
          </cell>
          <cell r="AT180">
            <v>52505177</v>
          </cell>
        </row>
        <row r="181">
          <cell r="E181" t="str">
            <v>24ABJ.NINJTS013.1JR</v>
          </cell>
          <cell r="AT181">
            <v>1279223434</v>
          </cell>
        </row>
        <row r="182">
          <cell r="E182" t="str">
            <v>24ABJ.NINJTP008.10JR</v>
          </cell>
          <cell r="AT182">
            <v>99098256</v>
          </cell>
        </row>
        <row r="183">
          <cell r="E183" t="str">
            <v>23ABJ.NINJT095.C04</v>
          </cell>
          <cell r="AT183">
            <v>7716601278</v>
          </cell>
        </row>
        <row r="184">
          <cell r="E184" t="str">
            <v>23ABJ.NINJT054.1JR</v>
          </cell>
        </row>
        <row r="185">
          <cell r="E185" t="str">
            <v>23ABJ.PNAJT095</v>
          </cell>
          <cell r="AT185">
            <v>13065461196</v>
          </cell>
        </row>
        <row r="186">
          <cell r="E186" t="str">
            <v>25ABJ.NINJT095.1JR</v>
          </cell>
          <cell r="AT186">
            <v>452816633</v>
          </cell>
        </row>
        <row r="187">
          <cell r="E187" t="str">
            <v>25ABJ.NINJT054.2JR</v>
          </cell>
          <cell r="AT187">
            <v>222085059</v>
          </cell>
        </row>
        <row r="188">
          <cell r="E188" t="str">
            <v>24ABJ.NINJT066.1JR</v>
          </cell>
          <cell r="AT188">
            <v>318167097</v>
          </cell>
        </row>
        <row r="189">
          <cell r="E189" t="str">
            <v>24ABJ.NINJT087.2JR</v>
          </cell>
        </row>
        <row r="190">
          <cell r="E190" t="str">
            <v>24ABJ.NINJT088.3JR</v>
          </cell>
          <cell r="AT190">
            <v>955834029</v>
          </cell>
        </row>
        <row r="191">
          <cell r="E191" t="str">
            <v>24ABJ.NINJT065.1JR</v>
          </cell>
        </row>
        <row r="192">
          <cell r="E192" t="str">
            <v>24ABJ.NINJT088.2JR</v>
          </cell>
          <cell r="AT192">
            <v>1600900275</v>
          </cell>
        </row>
        <row r="193">
          <cell r="E193" t="str">
            <v>24ABJ.NINJT088.1JR</v>
          </cell>
        </row>
        <row r="194">
          <cell r="E194" t="str">
            <v>24ABJ.NINJTP008.8JR</v>
          </cell>
          <cell r="AT194">
            <v>3094782505</v>
          </cell>
        </row>
        <row r="195">
          <cell r="E195" t="str">
            <v>24ABJ.NINJTP011.2JR</v>
          </cell>
          <cell r="AT195">
            <v>384654388</v>
          </cell>
        </row>
        <row r="196">
          <cell r="E196" t="str">
            <v>24ABJ.NINJTP008.2JR</v>
          </cell>
          <cell r="AT196">
            <v>494298884</v>
          </cell>
        </row>
        <row r="197">
          <cell r="E197" t="str">
            <v>24ABJ.NINJT051.1JR</v>
          </cell>
          <cell r="AT197">
            <v>777456839</v>
          </cell>
        </row>
        <row r="198">
          <cell r="E198" t="str">
            <v>24ABJNINJT095.1JR</v>
          </cell>
          <cell r="AT198">
            <v>239740973</v>
          </cell>
        </row>
        <row r="199">
          <cell r="E199" t="str">
            <v>24ABJNINJT095.2JR</v>
          </cell>
        </row>
        <row r="200">
          <cell r="E200" t="str">
            <v>24ABJ.NINJT095.3JR</v>
          </cell>
          <cell r="AT200">
            <v>80554153</v>
          </cell>
        </row>
        <row r="201">
          <cell r="E201" t="str">
            <v>24ABJ.NINJT095.4JR</v>
          </cell>
          <cell r="AT201">
            <v>176593904</v>
          </cell>
        </row>
        <row r="202">
          <cell r="E202" t="str">
            <v>24ABJ.NINJTS013.2JR</v>
          </cell>
          <cell r="AT202">
            <v>169535611</v>
          </cell>
        </row>
        <row r="203">
          <cell r="E203" t="str">
            <v>25ABJ.NINJT070.1JR</v>
          </cell>
          <cell r="AT203">
            <v>78757722</v>
          </cell>
        </row>
        <row r="204">
          <cell r="E204" t="str">
            <v>24ABJ.NPPKARPSG01JE</v>
          </cell>
          <cell r="AT204">
            <v>211105238794</v>
          </cell>
        </row>
        <row r="205">
          <cell r="E205" t="str">
            <v>24ABJ.NPPKARPSG02JE</v>
          </cell>
        </row>
        <row r="206">
          <cell r="E206" t="str">
            <v>24ABJ.NPPKARPSG02AJE</v>
          </cell>
          <cell r="AT206">
            <v>3503528123</v>
          </cell>
        </row>
        <row r="207">
          <cell r="E207" t="str">
            <v>24ABJ.NPPKARPSG04JE</v>
          </cell>
        </row>
        <row r="208">
          <cell r="E208" t="str">
            <v>24ABJ.NPPKARPSG08JE</v>
          </cell>
          <cell r="AT208">
            <v>23676334624</v>
          </cell>
        </row>
        <row r="209">
          <cell r="E209" t="str">
            <v>NIN23KABB020.3</v>
          </cell>
        </row>
        <row r="210">
          <cell r="E210" t="str">
            <v>NIN23KABB020.4</v>
          </cell>
        </row>
        <row r="211">
          <cell r="E211" t="str">
            <v>NIN23KABB020.5</v>
          </cell>
        </row>
        <row r="212">
          <cell r="E212" t="str">
            <v>NIN23KABB014.1</v>
          </cell>
        </row>
        <row r="213">
          <cell r="E213" t="str">
            <v>23ABJ.NINKARS002.1</v>
          </cell>
          <cell r="AT213">
            <v>3296659365</v>
          </cell>
        </row>
        <row r="214">
          <cell r="E214" t="str">
            <v>23ABJ.NINKARS006.1JE</v>
          </cell>
        </row>
        <row r="215">
          <cell r="E215" t="str">
            <v>24ABJ.NINKARB020.15JE</v>
          </cell>
          <cell r="AT215">
            <v>1754964205</v>
          </cell>
        </row>
        <row r="216">
          <cell r="E216" t="str">
            <v>23ABJ.NINKARB020.6JE</v>
          </cell>
          <cell r="AT216">
            <v>4093349095</v>
          </cell>
        </row>
        <row r="217">
          <cell r="E217" t="str">
            <v>24ABJ.NINKARB020.17JE</v>
          </cell>
          <cell r="AT217">
            <v>4208173342</v>
          </cell>
        </row>
        <row r="218">
          <cell r="E218" t="str">
            <v>24ABJ.NINKARB019.7JE</v>
          </cell>
          <cell r="AT218">
            <v>629413795</v>
          </cell>
        </row>
        <row r="219">
          <cell r="E219" t="str">
            <v>24ABJ.NINKARB019.8JE</v>
          </cell>
          <cell r="AT219">
            <v>1881890872</v>
          </cell>
        </row>
        <row r="220">
          <cell r="E220" t="str">
            <v>24ABJ.NINKARB004.1JE</v>
          </cell>
        </row>
        <row r="221">
          <cell r="E221" t="str">
            <v>24ABJ.NINKARB019.10JE</v>
          </cell>
          <cell r="AT221">
            <v>587602756</v>
          </cell>
        </row>
        <row r="222">
          <cell r="E222" t="str">
            <v>24ABJ.NINKARB016.5JE</v>
          </cell>
        </row>
        <row r="223">
          <cell r="E223" t="str">
            <v>23ABJ.NINKARB019.2JE</v>
          </cell>
          <cell r="AT223">
            <v>7986180967</v>
          </cell>
        </row>
        <row r="224">
          <cell r="E224" t="str">
            <v>24ABJ.NINKARS006PSG.13JE</v>
          </cell>
        </row>
        <row r="225">
          <cell r="E225" t="str">
            <v>24ABJ.NINKARS006PSG.14JE</v>
          </cell>
        </row>
        <row r="226">
          <cell r="E226" t="str">
            <v>24ABJ.NINKARS006PSG.15JE</v>
          </cell>
        </row>
        <row r="227">
          <cell r="E227" t="str">
            <v>24ABJ.NINKARS006PSG.16JE</v>
          </cell>
        </row>
        <row r="228">
          <cell r="E228" t="str">
            <v>24ABJ.NINKARS006PSG.17JE</v>
          </cell>
        </row>
        <row r="229">
          <cell r="E229" t="str">
            <v>24ABJ.NINKARS006PSG.18JE</v>
          </cell>
        </row>
        <row r="230">
          <cell r="E230" t="str">
            <v>24ABJ.NINKARB007.3JE</v>
          </cell>
          <cell r="AT230">
            <v>757847508</v>
          </cell>
        </row>
        <row r="231">
          <cell r="E231" t="str">
            <v>24ABJ.NINKARB006.8JE</v>
          </cell>
          <cell r="AT231">
            <v>64653893</v>
          </cell>
        </row>
        <row r="232">
          <cell r="E232" t="str">
            <v>24ABJ.NINKARB020.20JE</v>
          </cell>
          <cell r="AT232">
            <v>3817044561</v>
          </cell>
        </row>
        <row r="233">
          <cell r="E233" t="str">
            <v>24ABJ.NINKARB019.14JE</v>
          </cell>
          <cell r="AT233">
            <v>249482672</v>
          </cell>
        </row>
        <row r="234">
          <cell r="E234" t="str">
            <v>24ABJ.NINKARB012.1JE</v>
          </cell>
          <cell r="AT234">
            <v>184205568</v>
          </cell>
        </row>
        <row r="235">
          <cell r="E235" t="str">
            <v>24ABJ.NINKARB019.16JE</v>
          </cell>
          <cell r="AT235">
            <v>187931124</v>
          </cell>
        </row>
        <row r="236">
          <cell r="E236" t="str">
            <v>25ABJ.NINKARS002.2JE</v>
          </cell>
          <cell r="AT236">
            <v>1458507560</v>
          </cell>
        </row>
        <row r="237">
          <cell r="E237" t="str">
            <v>25ABJ.NINKARSN01.2JE</v>
          </cell>
          <cell r="AT237">
            <v>944669704</v>
          </cell>
        </row>
        <row r="238">
          <cell r="E238" t="str">
            <v>NPP23BURP01A</v>
          </cell>
          <cell r="AT238">
            <v>40050406375</v>
          </cell>
        </row>
        <row r="239">
          <cell r="E239" t="str">
            <v>NPP23BURP06</v>
          </cell>
          <cell r="AT239">
            <v>144789880439</v>
          </cell>
        </row>
        <row r="240">
          <cell r="E240" t="str">
            <v>NPP23BURP11</v>
          </cell>
          <cell r="AT240">
            <v>30081829643</v>
          </cell>
        </row>
        <row r="241">
          <cell r="E241" t="str">
            <v>NPP23BURP12</v>
          </cell>
        </row>
        <row r="242">
          <cell r="E242" t="str">
            <v>NPP23BURS02</v>
          </cell>
        </row>
        <row r="243">
          <cell r="E243" t="str">
            <v>24ABJ.NINBUR145</v>
          </cell>
        </row>
        <row r="244">
          <cell r="E244" t="str">
            <v>24ABJ.NINBUR156</v>
          </cell>
        </row>
        <row r="245">
          <cell r="E245" t="str">
            <v>24ABJ.NINBUR161JPEZ1</v>
          </cell>
        </row>
        <row r="246">
          <cell r="E246" t="str">
            <v>24ABJ.NINBUR161JPEZ2</v>
          </cell>
        </row>
        <row r="247">
          <cell r="E247" t="str">
            <v>24ABJ.NINBUR161JPEZ3</v>
          </cell>
        </row>
        <row r="248">
          <cell r="E248" t="str">
            <v>24ABJ.NINBUR161JPEZ4</v>
          </cell>
        </row>
        <row r="249">
          <cell r="E249" t="str">
            <v>24ABJ.NINBUR161JPEZ6</v>
          </cell>
        </row>
        <row r="250">
          <cell r="E250" t="str">
            <v>24ABJ.NINBUR161JPEZ7</v>
          </cell>
        </row>
        <row r="251">
          <cell r="E251" t="str">
            <v>24ABJ.NINBUR161JPEZ8</v>
          </cell>
        </row>
        <row r="252">
          <cell r="E252" t="str">
            <v>24ABJ.NINBUR161JPEZ11</v>
          </cell>
        </row>
        <row r="253">
          <cell r="E253" t="str">
            <v>24ABJ.NINBUR161JPEZ12</v>
          </cell>
        </row>
        <row r="254">
          <cell r="E254" t="str">
            <v>24ABJ.NPPBUR161JP</v>
          </cell>
        </row>
        <row r="255">
          <cell r="E255" t="str">
            <v>25ABJ.NINBUR162.11JP</v>
          </cell>
          <cell r="AT255">
            <v>735246552</v>
          </cell>
        </row>
        <row r="256">
          <cell r="E256" t="str">
            <v>24ABJ.NINBUR162.2JP</v>
          </cell>
          <cell r="AT256">
            <v>691644951</v>
          </cell>
        </row>
        <row r="257">
          <cell r="E257" t="str">
            <v>24ABJ.NINBUR162.3JP</v>
          </cell>
          <cell r="AT257">
            <v>1244656384</v>
          </cell>
        </row>
        <row r="258">
          <cell r="E258" t="str">
            <v>25ABJ.NINBUR163.1JR</v>
          </cell>
          <cell r="AT258">
            <v>772568145</v>
          </cell>
        </row>
        <row r="259">
          <cell r="E259" t="str">
            <v>23ABJ.NINBUR163.2JP</v>
          </cell>
        </row>
        <row r="260">
          <cell r="E260" t="str">
            <v>24ABJ.NINBUR163.3JP</v>
          </cell>
          <cell r="AT260">
            <v>1319216105</v>
          </cell>
        </row>
        <row r="261">
          <cell r="E261" t="str">
            <v>25ABJ.NINBUR161.1JP</v>
          </cell>
          <cell r="AT261">
            <v>194897121</v>
          </cell>
        </row>
        <row r="262">
          <cell r="E262" t="str">
            <v>25ABJ.NINJT069R1</v>
          </cell>
          <cell r="AT262">
            <v>5873391286</v>
          </cell>
        </row>
        <row r="263">
          <cell r="E263" t="str">
            <v>24ABJ.NPPJTCLW010JR</v>
          </cell>
        </row>
        <row r="264">
          <cell r="E264" t="str">
            <v>24ABJ.NPPJTCLW011JR</v>
          </cell>
        </row>
        <row r="265">
          <cell r="E265" t="str">
            <v>24ABJ.NPPJTCLW010.1JR</v>
          </cell>
        </row>
        <row r="266">
          <cell r="E266" t="str">
            <v>24ABJ.NPPJTCLW010.2JR</v>
          </cell>
        </row>
        <row r="267">
          <cell r="E267" t="str">
            <v>24ABJ.NINJTS011CLW.01JR</v>
          </cell>
        </row>
        <row r="268">
          <cell r="E268" t="str">
            <v>24ABJ.NINJTS011CLW.02JR</v>
          </cell>
        </row>
        <row r="269">
          <cell r="E269" t="str">
            <v>24ABJ.NINJTS011CLW.03JR</v>
          </cell>
        </row>
        <row r="270">
          <cell r="E270" t="str">
            <v>24ABJ.NINJTS011CLW.04JR</v>
          </cell>
        </row>
        <row r="271">
          <cell r="E271" t="str">
            <v>24ABJ.NINJTS001CLW.04JR</v>
          </cell>
        </row>
        <row r="272">
          <cell r="E272" t="str">
            <v>24ABJ.NINJT087.1JR</v>
          </cell>
        </row>
        <row r="273">
          <cell r="E273" t="str">
            <v>24ABJ.NINJTS001.5JR</v>
          </cell>
          <cell r="AT273">
            <v>394128266</v>
          </cell>
        </row>
        <row r="274">
          <cell r="E274" t="str">
            <v>24ABJ.NINJTS001.4JR</v>
          </cell>
          <cell r="AT274">
            <v>13884488170</v>
          </cell>
        </row>
        <row r="275">
          <cell r="E275" t="str">
            <v>24ABJ.NINJT068.3JR</v>
          </cell>
        </row>
        <row r="276">
          <cell r="E276" t="str">
            <v>24ABJ.NINJT068.4JR</v>
          </cell>
          <cell r="AT276">
            <v>167859902</v>
          </cell>
        </row>
        <row r="277">
          <cell r="E277" t="str">
            <v>24ABJ.NINJTS012.1JR</v>
          </cell>
        </row>
        <row r="278">
          <cell r="E278" t="str">
            <v>24ABJ.NINJTS001.8JR</v>
          </cell>
        </row>
        <row r="279">
          <cell r="E279" t="str">
            <v>24ABJ.NINJTP002.2JR</v>
          </cell>
        </row>
        <row r="280">
          <cell r="E280" t="str">
            <v>24ABJ.NINJTP001.1JR</v>
          </cell>
          <cell r="AT280">
            <v>233898462</v>
          </cell>
        </row>
        <row r="281">
          <cell r="E281" t="str">
            <v>24ABJ.NINJT076.01JR</v>
          </cell>
          <cell r="AT281">
            <v>2022327357</v>
          </cell>
        </row>
        <row r="282">
          <cell r="E282" t="str">
            <v>24ABJ.NINJT068.5JR</v>
          </cell>
          <cell r="AT282">
            <v>1767677933</v>
          </cell>
        </row>
        <row r="283">
          <cell r="E283" t="str">
            <v>24ABJ.NINJT069.1JR</v>
          </cell>
        </row>
        <row r="284">
          <cell r="E284" t="str">
            <v>24ABJ.NINJT068.6JR</v>
          </cell>
        </row>
        <row r="285">
          <cell r="E285" t="str">
            <v>24ABJ.NINJTP008.11JR</v>
          </cell>
          <cell r="AT285">
            <v>190122074</v>
          </cell>
        </row>
        <row r="286">
          <cell r="E286" t="str">
            <v>25ABJ.NINJT049.1JR</v>
          </cell>
          <cell r="AT286">
            <v>132209159</v>
          </cell>
        </row>
        <row r="287">
          <cell r="E287" t="str">
            <v>25ABJ.NINJT054.1JR</v>
          </cell>
          <cell r="AT287">
            <v>153096185</v>
          </cell>
        </row>
        <row r="288">
          <cell r="E288" t="str">
            <v>25ABJ.NINJTB003.1JE</v>
          </cell>
          <cell r="AT288">
            <v>62672436</v>
          </cell>
        </row>
        <row r="289">
          <cell r="E289" t="str">
            <v>25ABJ.NINJT073.1JR</v>
          </cell>
          <cell r="AT289">
            <v>2220124815</v>
          </cell>
        </row>
        <row r="290">
          <cell r="E290" t="str">
            <v>24ABJ.NINJT096.1JR</v>
          </cell>
        </row>
        <row r="291">
          <cell r="E291" t="str">
            <v>24ABJ.NINJT096.1.1JR</v>
          </cell>
        </row>
        <row r="292">
          <cell r="E292" t="str">
            <v>24ABJ.NINJT095.5JR</v>
          </cell>
        </row>
        <row r="293">
          <cell r="E293" t="str">
            <v>24ABJ.NINJT076.02JR</v>
          </cell>
        </row>
        <row r="294">
          <cell r="E294" t="str">
            <v>24ABJ.NINJT076.02.1JR</v>
          </cell>
          <cell r="AT294">
            <v>1427175431</v>
          </cell>
        </row>
        <row r="295">
          <cell r="E295" t="str">
            <v>24ABJ.NINJTP008.4JR</v>
          </cell>
        </row>
        <row r="296">
          <cell r="E296" t="str">
            <v>24ABJ.NINJT068.2JR</v>
          </cell>
        </row>
        <row r="297">
          <cell r="E297" t="str">
            <v>24ABJ.NINJTP008.14JR</v>
          </cell>
        </row>
        <row r="298">
          <cell r="E298" t="str">
            <v>25ABJ.NINJTS010.1JR</v>
          </cell>
          <cell r="AT298">
            <v>153144272</v>
          </cell>
        </row>
        <row r="299">
          <cell r="E299" t="str">
            <v>25ABJ.NINJT076.1JR</v>
          </cell>
          <cell r="AT299">
            <v>207545840</v>
          </cell>
        </row>
        <row r="300">
          <cell r="E300" t="str">
            <v>25ABJ.NINJT078.1JR</v>
          </cell>
          <cell r="AT300">
            <v>1133590061</v>
          </cell>
        </row>
        <row r="301">
          <cell r="E301" t="str">
            <v>25ABJ.NINJT068.1JR</v>
          </cell>
        </row>
        <row r="302">
          <cell r="E302" t="str">
            <v>25ABJ.NINJT069.1JR</v>
          </cell>
        </row>
        <row r="303">
          <cell r="E303" t="str">
            <v>24ABJ.NINJT049.1JR</v>
          </cell>
          <cell r="AT303">
            <v>132431518</v>
          </cell>
        </row>
        <row r="304">
          <cell r="E304" t="str">
            <v>25ABJ.NINJT054.3JR</v>
          </cell>
          <cell r="AT304">
            <v>353705541</v>
          </cell>
        </row>
        <row r="305">
          <cell r="E305" t="str">
            <v>25ABJ.NINJT054.4JR</v>
          </cell>
        </row>
        <row r="306">
          <cell r="E306" t="str">
            <v>25ABJ.NINJT054.5JR</v>
          </cell>
          <cell r="AT306">
            <v>452843559</v>
          </cell>
        </row>
        <row r="307">
          <cell r="E307" t="str">
            <v>25ABJ.NINJT054.6JR</v>
          </cell>
          <cell r="AT307">
            <v>162361289</v>
          </cell>
        </row>
        <row r="308">
          <cell r="E308" t="str">
            <v>25ABJ.NINJT067.1JR</v>
          </cell>
        </row>
        <row r="309">
          <cell r="E309" t="str">
            <v>24ABJ.NINJT070.6JR</v>
          </cell>
          <cell r="AT309">
            <v>475433163</v>
          </cell>
        </row>
        <row r="310">
          <cell r="E310" t="str">
            <v>25ABJ.NINJT054.14JR</v>
          </cell>
          <cell r="AT310">
            <v>2226383938</v>
          </cell>
        </row>
        <row r="311">
          <cell r="E311" t="str">
            <v>25ABJ.NINJT070.2JR</v>
          </cell>
          <cell r="AT311">
            <v>85659028</v>
          </cell>
        </row>
        <row r="312">
          <cell r="E312" t="str">
            <v>25ABJ.NINJT068.2JR</v>
          </cell>
          <cell r="AT312">
            <v>416566801</v>
          </cell>
        </row>
        <row r="313">
          <cell r="E313" t="str">
            <v>25ABJ.NINJT071.1JR</v>
          </cell>
          <cell r="AT313">
            <v>142674955</v>
          </cell>
        </row>
        <row r="314">
          <cell r="E314" t="str">
            <v>25ABJ.NINJTS010.2JR</v>
          </cell>
          <cell r="AT314">
            <v>454315082</v>
          </cell>
        </row>
        <row r="315">
          <cell r="E315" t="str">
            <v>24ABJ.NINJTP008.9JR</v>
          </cell>
        </row>
        <row r="316">
          <cell r="E316" t="str">
            <v>24ABJ.NINJT080.2JR</v>
          </cell>
        </row>
        <row r="317">
          <cell r="E317" t="str">
            <v>24ABJ.NINJT089.1JR</v>
          </cell>
        </row>
        <row r="318">
          <cell r="E318" t="str">
            <v>25ABJ.NINJTP004.1JR</v>
          </cell>
        </row>
        <row r="319">
          <cell r="E319" t="str">
            <v>25ABJ.NINJT078.6JR</v>
          </cell>
          <cell r="AT319">
            <v>7124261675</v>
          </cell>
        </row>
        <row r="320">
          <cell r="E320" t="str">
            <v>24ABJ.NINKARB016.JE</v>
          </cell>
        </row>
        <row r="321">
          <cell r="E321" t="str">
            <v>24ABJ.NINKARS002.1JE</v>
          </cell>
        </row>
        <row r="322">
          <cell r="E322" t="str">
            <v>24ABJ.NINKARB006.10JE</v>
          </cell>
        </row>
        <row r="323">
          <cell r="E323" t="str">
            <v>25ABJ.NINKARS017.1JR</v>
          </cell>
        </row>
        <row r="324">
          <cell r="E324" t="str">
            <v>24ABJ.NINKARBN00.1JE</v>
          </cell>
        </row>
        <row r="325">
          <cell r="E325" t="str">
            <v>24ABJ.NINKARBN02.1JE</v>
          </cell>
          <cell r="AT325">
            <v>14607330804</v>
          </cell>
        </row>
        <row r="326">
          <cell r="E326" t="str">
            <v>23ABJ.NPPKAR036JE</v>
          </cell>
        </row>
        <row r="327">
          <cell r="E327" t="str">
            <v>25ABJ.NINKARB020.4JE</v>
          </cell>
          <cell r="AT327">
            <v>507402315</v>
          </cell>
        </row>
        <row r="328">
          <cell r="E328" t="str">
            <v>25ABJ.NINKARB020.1JE</v>
          </cell>
        </row>
        <row r="329">
          <cell r="E329" t="str">
            <v>25ABJ.NINKARB020.2JE</v>
          </cell>
        </row>
        <row r="330">
          <cell r="E330" t="str">
            <v>25ABJ.NINKARB020.3JE</v>
          </cell>
        </row>
        <row r="331">
          <cell r="E331" t="str">
            <v>24ABJ.NINKARB006.6JE</v>
          </cell>
        </row>
        <row r="332">
          <cell r="E332" t="str">
            <v>24ABJ.NINKARB016.7JE</v>
          </cell>
          <cell r="AT332">
            <v>432025761</v>
          </cell>
        </row>
        <row r="333">
          <cell r="E333" t="str">
            <v>24ABJ.NINKARB020.19JE</v>
          </cell>
        </row>
        <row r="334">
          <cell r="E334" t="str">
            <v>24ABJ.NINKARB019.17JE</v>
          </cell>
        </row>
        <row r="335">
          <cell r="E335" t="str">
            <v>25ABJ.NINKARB006.1JE</v>
          </cell>
        </row>
        <row r="336">
          <cell r="E336" t="str">
            <v>25ABJ.NINKARS006.1JE</v>
          </cell>
          <cell r="AT336">
            <v>155505758</v>
          </cell>
        </row>
        <row r="337">
          <cell r="E337" t="str">
            <v>25ABJ.NINKARSN01.1JE</v>
          </cell>
        </row>
        <row r="338">
          <cell r="E338" t="str">
            <v>23ABJ.NPPKAR036JE.1</v>
          </cell>
        </row>
        <row r="339">
          <cell r="E339" t="str">
            <v>25ABJ.NINKARSN02.3JE</v>
          </cell>
          <cell r="AT339">
            <v>4201949807</v>
          </cell>
        </row>
        <row r="340">
          <cell r="E340" t="str">
            <v>24ABJ.NINKARS017.1JE</v>
          </cell>
          <cell r="AT340">
            <v>644083278</v>
          </cell>
        </row>
        <row r="341">
          <cell r="E341" t="str">
            <v>25ABJ.NINKARS002.1JE</v>
          </cell>
        </row>
        <row r="342">
          <cell r="E342" t="str">
            <v>25ABJ.NINKARB020.18JE</v>
          </cell>
          <cell r="AT342">
            <v>985527340</v>
          </cell>
        </row>
        <row r="343">
          <cell r="E343" t="str">
            <v>25ABJ.NINKARB018.1JE</v>
          </cell>
          <cell r="AT343">
            <v>471574655</v>
          </cell>
        </row>
        <row r="344">
          <cell r="E344" t="str">
            <v>25ABJ.NINKARS017.3JE</v>
          </cell>
          <cell r="AT344">
            <v>96737368</v>
          </cell>
        </row>
        <row r="345">
          <cell r="E345" t="str">
            <v>25ABJ.NINKARB014.1JE</v>
          </cell>
          <cell r="AT345">
            <v>461103509</v>
          </cell>
        </row>
        <row r="346">
          <cell r="E346" t="str">
            <v>NPP23JTA B02</v>
          </cell>
        </row>
        <row r="347">
          <cell r="E347" t="str">
            <v>24ABJ.PNAJT151JR1</v>
          </cell>
        </row>
        <row r="348">
          <cell r="E348" t="str">
            <v>24ABJ.NBVJTA03</v>
          </cell>
        </row>
        <row r="349">
          <cell r="E349" t="str">
            <v>24ABJ.NBVJTA04</v>
          </cell>
        </row>
        <row r="350">
          <cell r="E350" t="str">
            <v>24ABJ.NBVJTA05</v>
          </cell>
        </row>
        <row r="351">
          <cell r="E351" t="str">
            <v>24ABJ.NBVJTA06</v>
          </cell>
        </row>
        <row r="352">
          <cell r="E352" t="str">
            <v>24ABJ.NBVJTA11</v>
          </cell>
        </row>
        <row r="353">
          <cell r="E353" t="str">
            <v>24ABJ.NINJT051</v>
          </cell>
        </row>
        <row r="354">
          <cell r="E354" t="str">
            <v>24ABJ.NINJT054</v>
          </cell>
        </row>
        <row r="355">
          <cell r="E355" t="str">
            <v>24ABJ.NINJT069</v>
          </cell>
        </row>
        <row r="356">
          <cell r="E356" t="str">
            <v>24ABJ.NINJT070</v>
          </cell>
        </row>
        <row r="357">
          <cell r="E357" t="str">
            <v>24ABJ.NINJT070.1</v>
          </cell>
        </row>
        <row r="358">
          <cell r="E358" t="str">
            <v>24ABJ.NPPJT70JR.1</v>
          </cell>
        </row>
        <row r="359">
          <cell r="E359" t="str">
            <v>24ABJ.NPPJT70JR4</v>
          </cell>
        </row>
        <row r="360">
          <cell r="E360" t="str">
            <v>24ABJ.NPPJT70JR6</v>
          </cell>
        </row>
        <row r="361">
          <cell r="E361" t="str">
            <v>24ABJ.NINJT073</v>
          </cell>
        </row>
        <row r="362">
          <cell r="E362" t="str">
            <v>24ABJ.NINJT074</v>
          </cell>
        </row>
        <row r="363">
          <cell r="E363" t="str">
            <v>24ABJ.NINJT075</v>
          </cell>
        </row>
        <row r="364">
          <cell r="E364" t="str">
            <v>24ABJ.NINJT077</v>
          </cell>
        </row>
        <row r="365">
          <cell r="E365" t="str">
            <v>24ABJ.NINJT146</v>
          </cell>
        </row>
        <row r="366">
          <cell r="E366" t="str">
            <v>24ABJ.NINJT148</v>
          </cell>
        </row>
        <row r="367">
          <cell r="E367" t="str">
            <v>24ABJ.NINJT149</v>
          </cell>
        </row>
        <row r="368">
          <cell r="E368" t="str">
            <v>24ABJ.NINJTS011</v>
          </cell>
        </row>
        <row r="369">
          <cell r="E369" t="str">
            <v>24ABJ.NINJTS012</v>
          </cell>
        </row>
        <row r="370">
          <cell r="E370" t="str">
            <v>25ABJ.NINJT081.1JR</v>
          </cell>
        </row>
        <row r="371">
          <cell r="E371" t="str">
            <v>25ABJ.NINJTP006.1JR</v>
          </cell>
        </row>
        <row r="372">
          <cell r="E372" t="str">
            <v>24ABJ.NINJTP008.12JR</v>
          </cell>
        </row>
        <row r="373">
          <cell r="E373" t="str">
            <v>24ABJ.NINJTS010.1JR</v>
          </cell>
        </row>
        <row r="374">
          <cell r="E374" t="str">
            <v>25ABJ.NINJT078.2JR</v>
          </cell>
        </row>
        <row r="375">
          <cell r="E375" t="str">
            <v>25ABJ.NINJT078.3JR</v>
          </cell>
        </row>
        <row r="376">
          <cell r="E376" t="str">
            <v>25ABJ.NINJT078.5JR</v>
          </cell>
        </row>
        <row r="377">
          <cell r="E377" t="str">
            <v>24ABJ.NINJT082.1JR</v>
          </cell>
        </row>
        <row r="378">
          <cell r="E378" t="str">
            <v>24ABJ.NINJTP003.2JR</v>
          </cell>
        </row>
        <row r="379">
          <cell r="E379" t="str">
            <v>24ABJ.NINJTP008.3JR</v>
          </cell>
        </row>
        <row r="380">
          <cell r="E380" t="str">
            <v>24ABJ.NINJTP008.5JR</v>
          </cell>
        </row>
        <row r="381">
          <cell r="E381" t="str">
            <v>25ABJ.NINJTS008.1JR</v>
          </cell>
        </row>
        <row r="382">
          <cell r="E382" t="str">
            <v>25ABJ.NINJTS010.3JR</v>
          </cell>
        </row>
        <row r="383">
          <cell r="E383" t="str">
            <v>25ABJ.NINJTS013.1JR</v>
          </cell>
        </row>
        <row r="384">
          <cell r="E384" t="str">
            <v>25ABJ.NINJT060.1JR</v>
          </cell>
        </row>
        <row r="385">
          <cell r="E385" t="str">
            <v>25ABJ.NINJTS001.3JR</v>
          </cell>
        </row>
        <row r="386">
          <cell r="E386" t="str">
            <v>25ABJ.NINJTP002.4JR</v>
          </cell>
          <cell r="AT386">
            <v>85679898</v>
          </cell>
        </row>
        <row r="387">
          <cell r="E387" t="str">
            <v>25ABJ.NINJTP008.4JR</v>
          </cell>
        </row>
        <row r="388">
          <cell r="E388" t="str">
            <v>25ABJ.NINJTS001.2JR</v>
          </cell>
        </row>
        <row r="389">
          <cell r="E389" t="str">
            <v>25ABJ.NINJTP004.2JR</v>
          </cell>
        </row>
        <row r="390">
          <cell r="E390" t="str">
            <v>24ABJ.NINJTP008.8JR.1</v>
          </cell>
        </row>
        <row r="391">
          <cell r="E391" t="str">
            <v>25ABJ.NINJTS009.1JR</v>
          </cell>
          <cell r="AT391">
            <v>161079816</v>
          </cell>
        </row>
        <row r="392">
          <cell r="E392" t="str">
            <v>24ABJ.NINJTS001.4JR.1</v>
          </cell>
        </row>
        <row r="393">
          <cell r="E393" t="str">
            <v>25ABJ.NINJT054.7JR</v>
          </cell>
        </row>
        <row r="394">
          <cell r="E394" t="str">
            <v>25ABJ.NINJT056.1JR</v>
          </cell>
        </row>
        <row r="395">
          <cell r="E395" t="str">
            <v>25ABJ.NINJT078.6JR.1</v>
          </cell>
        </row>
        <row r="396">
          <cell r="E396" t="str">
            <v>24ABJ.NPPKARPSG03JE</v>
          </cell>
        </row>
        <row r="397">
          <cell r="E397" t="str">
            <v>24ABJ.NPPKARPSG05JE</v>
          </cell>
        </row>
        <row r="398">
          <cell r="E398" t="str">
            <v>24ABJ.NINKARS006PSG.04JE</v>
          </cell>
        </row>
        <row r="399">
          <cell r="E399" t="str">
            <v>24ABJ.NINKARS006PSG.05JE</v>
          </cell>
        </row>
        <row r="400">
          <cell r="E400" t="str">
            <v>24ABJ.NINKARS006PSG.06JE</v>
          </cell>
        </row>
        <row r="401">
          <cell r="E401" t="str">
            <v>24ABJ.NINKARS006PSG.07JE</v>
          </cell>
        </row>
        <row r="402">
          <cell r="E402" t="str">
            <v>24ABJ.NINKARS006PSG.08JE</v>
          </cell>
        </row>
        <row r="403">
          <cell r="E403" t="str">
            <v>24ABJ.NINKARS006PSG.09JE</v>
          </cell>
        </row>
        <row r="404">
          <cell r="E404" t="str">
            <v>24ABJ.NINKARS006PSG.10JE</v>
          </cell>
        </row>
        <row r="405">
          <cell r="E405" t="str">
            <v>24ABJ.NINKARS006PSG.11JE</v>
          </cell>
        </row>
        <row r="406">
          <cell r="E406" t="str">
            <v>24ABJ.NINKARS006PSG.12JE</v>
          </cell>
        </row>
        <row r="407">
          <cell r="E407" t="str">
            <v>24ABJ.NINKARS006</v>
          </cell>
        </row>
        <row r="408">
          <cell r="E408" t="str">
            <v>NIN23KABB020.6</v>
          </cell>
        </row>
        <row r="409">
          <cell r="E409" t="str">
            <v>24ABJ.NINKARB019.9JE</v>
          </cell>
        </row>
        <row r="410">
          <cell r="E410" t="str">
            <v>24ABJ.NINKARB020.16JE</v>
          </cell>
        </row>
        <row r="411">
          <cell r="E411" t="str">
            <v>24ABJ.NINKARB019.15JE</v>
          </cell>
        </row>
        <row r="412">
          <cell r="E412" t="str">
            <v>25ABJ.NINKARS002.3JE</v>
          </cell>
        </row>
        <row r="413">
          <cell r="E413" t="str">
            <v>25ABJ.NINKARS002.4JE</v>
          </cell>
        </row>
        <row r="414">
          <cell r="E414" t="str">
            <v>25ABJ.NINKARB016.1JE</v>
          </cell>
        </row>
        <row r="415">
          <cell r="E415" t="str">
            <v>25ABJ.NINKARP009.1JE</v>
          </cell>
        </row>
        <row r="416">
          <cell r="E416" t="str">
            <v>25ABJ.NINKARB020.19JE</v>
          </cell>
        </row>
        <row r="417">
          <cell r="E417" t="str">
            <v>25ABJ.NINKARS014.1JE</v>
          </cell>
        </row>
        <row r="418">
          <cell r="E418" t="str">
            <v>25ABJ.NINKARB014.3JE</v>
          </cell>
        </row>
        <row r="419">
          <cell r="E419" t="str">
            <v>25ABJ.NINKARB016.4JE</v>
          </cell>
        </row>
        <row r="420">
          <cell r="E420" t="str">
            <v>25ABJ.NINKARS006PSG.13.1JE</v>
          </cell>
        </row>
        <row r="421">
          <cell r="E421" t="str">
            <v>25ABJ.NINKARS006PSG.14.1JE</v>
          </cell>
        </row>
        <row r="422">
          <cell r="E422" t="str">
            <v>25ABJ.NINKARS006PSG.17.1JE</v>
          </cell>
        </row>
        <row r="423">
          <cell r="E423" t="str">
            <v>25ABJ.NINKARS006PSG.18.2JE</v>
          </cell>
        </row>
        <row r="424">
          <cell r="E424" t="str">
            <v>25ABJ.NINKARS006PSG.18.1JE</v>
          </cell>
        </row>
        <row r="425">
          <cell r="E425" t="str">
            <v>25ABJ.NINKARS006PSG.13.3JE</v>
          </cell>
        </row>
        <row r="426">
          <cell r="E426" t="str">
            <v>25ABJ.NINKARS006PSG.13.4JE</v>
          </cell>
        </row>
        <row r="427">
          <cell r="E427" t="str">
            <v>25ABJ.NINKARS006PSG.15.1JE</v>
          </cell>
        </row>
        <row r="428">
          <cell r="E428" t="str">
            <v>25ABJ.NINKARB006.4JE</v>
          </cell>
        </row>
        <row r="429">
          <cell r="E429" t="str">
            <v>25ABJ.NINKARB006.5JE</v>
          </cell>
        </row>
        <row r="430">
          <cell r="E430" t="str">
            <v>25ABJ.NINKARB016.5JE</v>
          </cell>
        </row>
        <row r="431">
          <cell r="E431" t="str">
            <v>25ABJ.NINKARB016.5.1JE</v>
          </cell>
        </row>
        <row r="432">
          <cell r="E432" t="str">
            <v>25ABJ.NINKARS006.2JE</v>
          </cell>
        </row>
        <row r="433">
          <cell r="E433" t="str">
            <v>25ABJ.NINKARB020.17JE</v>
          </cell>
        </row>
        <row r="434">
          <cell r="E434" t="str">
            <v>25ABJ.NINKARB020.11JE</v>
          </cell>
        </row>
        <row r="435">
          <cell r="E435" t="str">
            <v>25ABJ.NINKARB020.13JE</v>
          </cell>
        </row>
        <row r="436">
          <cell r="E436" t="str">
            <v>25ABJ.NINBUR162.1JP</v>
          </cell>
          <cell r="AT436">
            <v>2091811493</v>
          </cell>
        </row>
        <row r="437">
          <cell r="E437" t="str">
            <v>25ABJ.NINBUR162.9JP</v>
          </cell>
          <cell r="AT437">
            <v>530965477</v>
          </cell>
        </row>
        <row r="438">
          <cell r="E438" t="str">
            <v>25ABJ.NINBUR162.5JP</v>
          </cell>
        </row>
        <row r="439">
          <cell r="E439" t="str">
            <v>25ABJ.NINBUR162.8JP</v>
          </cell>
        </row>
        <row r="440">
          <cell r="E440" t="str">
            <v>25ABJ.NINBUR162.10JP</v>
          </cell>
        </row>
        <row r="441">
          <cell r="E441" t="str">
            <v>24ABJ.NINBUR156.1</v>
          </cell>
        </row>
        <row r="442">
          <cell r="E442" t="str">
            <v>24ABJ.NINJTS001CLW.01JR</v>
          </cell>
        </row>
        <row r="443">
          <cell r="E443" t="str">
            <v>24ABJ.NINJTS001CLW.02JR</v>
          </cell>
        </row>
        <row r="444">
          <cell r="E444" t="str">
            <v>24ABJ.NINJTS001CLW.03JR</v>
          </cell>
        </row>
        <row r="445">
          <cell r="E445" t="str">
            <v>24ABJ.NPPJTCLW012JR</v>
          </cell>
        </row>
        <row r="446">
          <cell r="E446" t="str">
            <v>25ABJ.NINJTP008.7JR</v>
          </cell>
        </row>
        <row r="447">
          <cell r="E447" t="str">
            <v>NIN23KABB020</v>
          </cell>
        </row>
        <row r="448">
          <cell r="E448" t="str">
            <v>NIN23KABB014</v>
          </cell>
        </row>
        <row r="449">
          <cell r="E449" t="str">
            <v>25ABJ.NINKARP009.3JE</v>
          </cell>
        </row>
        <row r="450">
          <cell r="E450" t="str">
            <v>25ABJ.NINKARS006PSG.13.2JE</v>
          </cell>
        </row>
        <row r="451">
          <cell r="E451" t="str">
            <v>25ABJ.NINKARS006.3JE</v>
          </cell>
        </row>
        <row r="452">
          <cell r="E452" t="str">
            <v>26ABJ.NPPKARP34JE</v>
          </cell>
        </row>
        <row r="453">
          <cell r="E453" t="str">
            <v xml:space="preserve">24ABJ.NPPKARPSG07JE.1 </v>
          </cell>
        </row>
        <row r="454">
          <cell r="E454" t="str">
            <v>25ABJ.NINKARP009.2JE</v>
          </cell>
        </row>
        <row r="455">
          <cell r="E455" t="str">
            <v>26ABJ.NINKARP009.1JE</v>
          </cell>
        </row>
        <row r="456">
          <cell r="E456" t="str">
            <v>NPP23BURP07</v>
          </cell>
        </row>
        <row r="457">
          <cell r="E457" t="str">
            <v>NPP23BURP08</v>
          </cell>
        </row>
        <row r="458">
          <cell r="E458" t="str">
            <v>NPP23BURS05</v>
          </cell>
        </row>
        <row r="459">
          <cell r="E459" t="str">
            <v>NPP23BURS06</v>
          </cell>
        </row>
        <row r="460">
          <cell r="E460" t="str">
            <v>PNA12BUR005-C01</v>
          </cell>
        </row>
        <row r="461">
          <cell r="E461" t="str">
            <v>24ABJ.NINBUR161JPEZ9</v>
          </cell>
        </row>
        <row r="462">
          <cell r="E462" t="str">
            <v>24ABJ.NINBUR161JPEZ10</v>
          </cell>
        </row>
        <row r="463">
          <cell r="E463" t="str">
            <v>24ABJ.NINBUR160EZ1</v>
          </cell>
        </row>
        <row r="464">
          <cell r="E464" t="str">
            <v>24ABJ.NINBUR160EZ2</v>
          </cell>
        </row>
        <row r="465">
          <cell r="E465" t="str">
            <v>24ABJ.NINBUR160EZ3</v>
          </cell>
        </row>
        <row r="466">
          <cell r="E466" t="str">
            <v>24ABJ.NINBUR160EZ4</v>
          </cell>
        </row>
        <row r="467">
          <cell r="E467" t="str">
            <v>24ABJ.NINBUR160EZ5</v>
          </cell>
        </row>
        <row r="468">
          <cell r="E468" t="str">
            <v>24ABJ.NINBUR163EZ3</v>
          </cell>
        </row>
        <row r="469">
          <cell r="E469" t="str">
            <v>24ABJ.NINBUR163EZ4</v>
          </cell>
        </row>
        <row r="472">
          <cell r="E472" t="str">
            <v>25ABJ.NINKARSN02.3JE</v>
          </cell>
          <cell r="AT472">
            <v>0</v>
          </cell>
        </row>
      </sheetData>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Jadwal"/>
      <sheetName val="Summary Plan"/>
    </sheetNames>
    <sheetDataSet>
      <sheetData sheetId="0"/>
      <sheetData sheetId="1">
        <row r="1">
          <cell r="E1">
            <v>37</v>
          </cell>
          <cell r="M1" t="str">
            <v>CUT OFF</v>
          </cell>
        </row>
        <row r="2">
          <cell r="C2" t="str">
            <v>Kode Proyek</v>
          </cell>
          <cell r="E2" t="str">
            <v>Nama Proyek</v>
          </cell>
          <cell r="M2">
            <v>46194</v>
          </cell>
        </row>
        <row r="5">
          <cell r="M5" t="str">
            <v>W143</v>
          </cell>
        </row>
        <row r="6">
          <cell r="M6">
            <v>46188</v>
          </cell>
        </row>
        <row r="7">
          <cell r="M7">
            <v>46194</v>
          </cell>
        </row>
        <row r="9">
          <cell r="C9" t="str">
            <v>NPP23JTA B02</v>
          </cell>
          <cell r="E9" t="str">
            <v>B2 - Ancol DN800</v>
          </cell>
          <cell r="M9">
            <v>0.67507128807150785</v>
          </cell>
        </row>
        <row r="10">
          <cell r="C10" t="str">
            <v>24ABJ.PNAJT151JR1</v>
          </cell>
          <cell r="E10" t="str">
            <v>IBP Basura</v>
          </cell>
          <cell r="M10">
            <v>0.57735849056195421</v>
          </cell>
        </row>
        <row r="11">
          <cell r="C11" t="str">
            <v>24ABJ.NBVJTA03</v>
          </cell>
          <cell r="E11" t="str">
            <v>Mangga Dua DN400</v>
          </cell>
          <cell r="M11">
            <v>0.65938280301251961</v>
          </cell>
        </row>
        <row r="12">
          <cell r="C12" t="str">
            <v>24ABJ.NBVJTA04</v>
          </cell>
          <cell r="E12" t="str">
            <v>Mangga Besar DN300</v>
          </cell>
          <cell r="M12">
            <v>0.63098598174765042</v>
          </cell>
        </row>
        <row r="13">
          <cell r="C13" t="str">
            <v>24ABJ.NBVJTA05</v>
          </cell>
          <cell r="E13" t="str">
            <v>Samanhudi DN400</v>
          </cell>
          <cell r="M13">
            <v>0.69177470740482172</v>
          </cell>
        </row>
        <row r="14">
          <cell r="C14" t="str">
            <v>24ABJ.NBVJTA06</v>
          </cell>
          <cell r="E14" t="str">
            <v>Kwitang 1 DN400</v>
          </cell>
          <cell r="M14">
            <v>0.66401934107112603</v>
          </cell>
        </row>
        <row r="15">
          <cell r="C15" t="str">
            <v>24ABJ.NBVJTA11</v>
          </cell>
          <cell r="E15" t="str">
            <v>Kp Melayu Besar DN400</v>
          </cell>
          <cell r="M15">
            <v>0.70464682947756607</v>
          </cell>
        </row>
        <row r="16">
          <cell r="C16" t="str">
            <v>24ABJ.NINJT054</v>
          </cell>
          <cell r="E16" t="str">
            <v>PC 054</v>
          </cell>
          <cell r="M16">
            <v>1.0000000000000002</v>
          </cell>
        </row>
        <row r="17">
          <cell r="C17" t="str">
            <v>24ABJ.NINJT069</v>
          </cell>
          <cell r="E17" t="str">
            <v>PC 069</v>
          </cell>
          <cell r="M17">
            <v>1</v>
          </cell>
        </row>
        <row r="18">
          <cell r="C18" t="str">
            <v>24ABJ.NINJT073</v>
          </cell>
          <cell r="E18" t="str">
            <v>PC 073</v>
          </cell>
          <cell r="M18">
            <v>1</v>
          </cell>
        </row>
        <row r="19">
          <cell r="C19" t="str">
            <v>24ABJ.NINJT074</v>
          </cell>
          <cell r="E19" t="str">
            <v>PC 074</v>
          </cell>
          <cell r="M19">
            <v>0.99999999999999989</v>
          </cell>
        </row>
        <row r="20">
          <cell r="C20" t="str">
            <v>24ABJ.NINJT075</v>
          </cell>
          <cell r="E20" t="str">
            <v>PC 075</v>
          </cell>
          <cell r="M20">
            <v>1</v>
          </cell>
        </row>
        <row r="21">
          <cell r="C21" t="str">
            <v>24ABJ.NINJT077</v>
          </cell>
          <cell r="E21" t="str">
            <v>PC 077</v>
          </cell>
          <cell r="M21">
            <v>1</v>
          </cell>
        </row>
        <row r="22">
          <cell r="C22" t="str">
            <v>24ABJ.NINJT051</v>
          </cell>
          <cell r="E22" t="str">
            <v>PC 051</v>
          </cell>
          <cell r="M22">
            <v>0.99329055046677861</v>
          </cell>
        </row>
        <row r="23">
          <cell r="C23" t="str">
            <v>24ABJ.NINJT070</v>
          </cell>
          <cell r="E23" t="str">
            <v>PC 070 Paket Pertama</v>
          </cell>
          <cell r="M23">
            <v>0.99999999999999989</v>
          </cell>
        </row>
        <row r="24">
          <cell r="C24" t="str">
            <v>24ABJ.NINJT070.1</v>
          </cell>
          <cell r="E24" t="str">
            <v>PC 070 Paket Kedua</v>
          </cell>
          <cell r="M24">
            <v>0.99999999999999989</v>
          </cell>
        </row>
        <row r="25">
          <cell r="C25" t="str">
            <v>24ABJ.NPPJT70JR.1</v>
          </cell>
          <cell r="E25" t="str">
            <v>Jl. Malaka 1, Jl. Malaka 2, Jl. Malaka 3, &amp; Jl. Rorotan 11</v>
          </cell>
          <cell r="M25">
            <v>1</v>
          </cell>
        </row>
        <row r="26">
          <cell r="C26" t="str">
            <v>24ABJ.NPPJT70JR4</v>
          </cell>
          <cell r="E26" t="str">
            <v>Jl. Rorotan 9</v>
          </cell>
          <cell r="M26">
            <v>1</v>
          </cell>
        </row>
        <row r="27">
          <cell r="C27" t="str">
            <v>24ABJ.NPPJT70JR6</v>
          </cell>
          <cell r="E27" t="str">
            <v>Menteng Metropolitan - Tambun Rengas (Connect dgn JGC)</v>
          </cell>
          <cell r="M27">
            <v>0.99999999999999989</v>
          </cell>
        </row>
        <row r="28">
          <cell r="C28" t="str">
            <v>24ABJ.NINJT146</v>
          </cell>
          <cell r="E28" t="str">
            <v>PC 146</v>
          </cell>
          <cell r="M28">
            <v>1.0000000000000002</v>
          </cell>
        </row>
        <row r="29">
          <cell r="C29" t="str">
            <v>24ABJ.NINJT148</v>
          </cell>
          <cell r="E29" t="str">
            <v>PC 148</v>
          </cell>
          <cell r="M29">
            <v>1</v>
          </cell>
        </row>
        <row r="30">
          <cell r="C30" t="str">
            <v>24ABJ.NINJT149</v>
          </cell>
          <cell r="E30" t="str">
            <v>PC 149</v>
          </cell>
          <cell r="M30">
            <v>0.99999999999999989</v>
          </cell>
        </row>
        <row r="31">
          <cell r="C31" t="str">
            <v>24ABJ.NINJTS012</v>
          </cell>
          <cell r="E31" t="str">
            <v>S012</v>
          </cell>
          <cell r="M31">
            <v>1.0000000000000002</v>
          </cell>
        </row>
        <row r="32">
          <cell r="C32" t="str">
            <v>24ABJ.NINJTS011</v>
          </cell>
          <cell r="E32" t="str">
            <v>S011</v>
          </cell>
          <cell r="M32">
            <v>0.99999999999999989</v>
          </cell>
        </row>
        <row r="33">
          <cell r="C33" t="str">
            <v>25ABJ.NINJT081.1JR</v>
          </cell>
          <cell r="E33" t="str">
            <v>PC 081 Kalibaru Barat 13 A Gg Sadar</v>
          </cell>
          <cell r="M33">
            <v>1.0000000000000002</v>
          </cell>
        </row>
        <row r="34">
          <cell r="C34" t="str">
            <v>25ABJ.NINJTP006.1JR</v>
          </cell>
          <cell r="E34" t="str">
            <v>P006 Jl. Bakti</v>
          </cell>
          <cell r="M34">
            <v>1</v>
          </cell>
        </row>
        <row r="35">
          <cell r="C35" t="str">
            <v>24ABJ.NINJTP008.12JR</v>
          </cell>
          <cell r="E35" t="str">
            <v>P008 Sri Devvi Heni Naomi</v>
          </cell>
          <cell r="M35">
            <v>1.0000000000000002</v>
          </cell>
        </row>
        <row r="36">
          <cell r="C36" t="str">
            <v>24ABJ.NINJTS010.1JR</v>
          </cell>
          <cell r="E36" t="str">
            <v>S010 PT. Falah Inovasi Teknologi</v>
          </cell>
          <cell r="M36">
            <v>1</v>
          </cell>
        </row>
        <row r="37">
          <cell r="C37" t="str">
            <v>25ABJ.NINJT078.2JR</v>
          </cell>
          <cell r="E37" t="str">
            <v>PC 078 Aprilliana Picauly</v>
          </cell>
          <cell r="M37">
            <v>1</v>
          </cell>
        </row>
        <row r="38">
          <cell r="C38" t="str">
            <v>25ABJ.NINJT078.3JR</v>
          </cell>
          <cell r="E38" t="str">
            <v>PC 078 Sungkun Sianturi</v>
          </cell>
          <cell r="M38">
            <v>0.99999999999999989</v>
          </cell>
        </row>
        <row r="39">
          <cell r="C39" t="str">
            <v>25ABJ.NINJT078.5JR</v>
          </cell>
          <cell r="E39" t="str">
            <v>PC 078 Sutarno</v>
          </cell>
          <cell r="M39">
            <v>1.0000000000000002</v>
          </cell>
        </row>
        <row r="40">
          <cell r="C40" t="str">
            <v>24ABJ.NINJT082.1JR</v>
          </cell>
          <cell r="E40" t="str">
            <v>PC 082 Asmawi</v>
          </cell>
          <cell r="M40">
            <v>0.99999999999999989</v>
          </cell>
        </row>
        <row r="41">
          <cell r="C41" t="str">
            <v>24ABJ.NINJTP003.2JR</v>
          </cell>
          <cell r="E41" t="str">
            <v>P003 M Andi Bharta</v>
          </cell>
          <cell r="M41">
            <v>1</v>
          </cell>
        </row>
        <row r="42">
          <cell r="C42" t="str">
            <v>24ABJ.NINJTP008.3JR</v>
          </cell>
          <cell r="E42" t="str">
            <v>P008 PT Phrada</v>
          </cell>
          <cell r="M42">
            <v>1</v>
          </cell>
        </row>
        <row r="43">
          <cell r="C43" t="str">
            <v>24ABJ.NINJTP008.5JR</v>
          </cell>
          <cell r="E43" t="str">
            <v>P008 Pergudangan Jemabatan III, Lin Chi Chen, Lie Sie Tiat, PT Total Bangun Persada</v>
          </cell>
          <cell r="M43">
            <v>1.0000000000000002</v>
          </cell>
        </row>
        <row r="44">
          <cell r="C44" t="str">
            <v>25ABJ.NINJTS008.1JR</v>
          </cell>
          <cell r="E44" t="str">
            <v>S008 Puskesmas Mampang Prapatan</v>
          </cell>
          <cell r="M44">
            <v>1</v>
          </cell>
        </row>
        <row r="45">
          <cell r="C45" t="str">
            <v>25ABJ.NINJTS010.3JR</v>
          </cell>
          <cell r="E45" t="str">
            <v>S010 Puskesmas Pembantu Mampang Prapatan</v>
          </cell>
          <cell r="M45">
            <v>1</v>
          </cell>
        </row>
        <row r="46">
          <cell r="C46" t="str">
            <v>25ABJ.NINJTS013.1JR</v>
          </cell>
          <cell r="E46" t="str">
            <v>S013 Puskesmas Pembantu Bangka</v>
          </cell>
          <cell r="M46">
            <v>1</v>
          </cell>
        </row>
        <row r="47">
          <cell r="C47" t="str">
            <v>25ABJ.NINJT060.1JR</v>
          </cell>
          <cell r="E47" t="str">
            <v>PC 060 Jl. Kalibaru Timur 7</v>
          </cell>
          <cell r="M47">
            <v>0.99999999999999989</v>
          </cell>
        </row>
        <row r="48">
          <cell r="C48" t="str">
            <v>25ABJ.NINJTS001.3JR</v>
          </cell>
          <cell r="E48" t="str">
            <v>S001 RW 06 Pejaten Timur</v>
          </cell>
          <cell r="M48">
            <v>0.91592916780806033</v>
          </cell>
        </row>
        <row r="49">
          <cell r="C49" t="str">
            <v>25ABJ.NINJTP002.4JR</v>
          </cell>
          <cell r="E49" t="str">
            <v>P002 Kantin Koperasi KEMENDAGRI</v>
          </cell>
          <cell r="M49">
            <v>1</v>
          </cell>
        </row>
        <row r="50">
          <cell r="C50" t="str">
            <v>25ABJ.NINJTP008.4JR</v>
          </cell>
          <cell r="E50" t="str">
            <v>P008 Irsan Widjaja</v>
          </cell>
          <cell r="M50">
            <v>1</v>
          </cell>
        </row>
        <row r="51">
          <cell r="C51" t="str">
            <v>25ABJ.NINJTS001.2JR</v>
          </cell>
          <cell r="E51" t="str">
            <v>S001 Perumahan Rawa Bambu</v>
          </cell>
          <cell r="M51">
            <v>0.29377548772810586</v>
          </cell>
        </row>
        <row r="52">
          <cell r="C52" t="str">
            <v>25ABJ.NINJTP004.2JR</v>
          </cell>
          <cell r="E52" t="str">
            <v>P004 Jl Kota Bambu Utara IV</v>
          </cell>
          <cell r="M52">
            <v>0.75871387558524539</v>
          </cell>
        </row>
        <row r="53">
          <cell r="C53" t="str">
            <v>24ABJ.NINJTP008.8JR.1</v>
          </cell>
          <cell r="E53" t="str">
            <v>Master Meter Misyanto (tambahan)</v>
          </cell>
          <cell r="M53">
            <v>0.31480955891038254</v>
          </cell>
        </row>
        <row r="54">
          <cell r="C54" t="str">
            <v>25ABJ.NINJTS009.1JR</v>
          </cell>
          <cell r="E54" t="str">
            <v>S009 PT Grha Provisioner Bersama</v>
          </cell>
          <cell r="M54">
            <v>0.72815325712542989</v>
          </cell>
        </row>
        <row r="55">
          <cell r="C55" t="str">
            <v>24ABJ.NINJTS001.4JR.1</v>
          </cell>
          <cell r="E55" t="str">
            <v>S001 Perumahan Tanjung Mas Raya (tambahan)</v>
          </cell>
          <cell r="M55">
            <v>0.7199961445955364</v>
          </cell>
        </row>
        <row r="56">
          <cell r="C56" t="str">
            <v>25ABJ.NINJT054.7JR</v>
          </cell>
          <cell r="E56" t="str">
            <v>PC 054 Dinda Ariestia (Cluster Griya Kintamani 2)</v>
          </cell>
          <cell r="M56">
            <v>0.20229552209675605</v>
          </cell>
        </row>
        <row r="57">
          <cell r="C57" t="str">
            <v>25ABJ.NINJT056.1JR</v>
          </cell>
          <cell r="E57" t="str">
            <v>PC 056 Jl Pulo Gundul</v>
          </cell>
          <cell r="M57">
            <v>0.11688129987801157</v>
          </cell>
        </row>
        <row r="58">
          <cell r="C58" t="str">
            <v>25ABJ.NINJT078.6JR.1</v>
          </cell>
          <cell r="E58" t="str">
            <v>PC 078 Jl. Perjuangan (tambahan)</v>
          </cell>
          <cell r="M58">
            <v>4.7208686639228496E-2</v>
          </cell>
        </row>
        <row r="59">
          <cell r="C59" t="str">
            <v>24ABJ.NPPKARPSG03JE</v>
          </cell>
          <cell r="E59" t="str">
            <v>TMPSG-03</v>
          </cell>
          <cell r="M59">
            <v>0.70953978539842522</v>
          </cell>
        </row>
        <row r="60">
          <cell r="C60" t="str">
            <v>24ABJ.NPPKARPSG05JE</v>
          </cell>
          <cell r="E60" t="str">
            <v>TMPSG-05</v>
          </cell>
          <cell r="M60">
            <v>0.74720483504768054</v>
          </cell>
        </row>
        <row r="61">
          <cell r="C61" t="str">
            <v>24ABJ.NINKARS006PSG.04JE</v>
          </cell>
          <cell r="E61" t="str">
            <v>S006 Pesanggrahan - EZ 4</v>
          </cell>
          <cell r="M61">
            <v>0.63012138061520273</v>
          </cell>
        </row>
        <row r="62">
          <cell r="C62" t="str">
            <v>24ABJ.NINKARS006PSG.05JE</v>
          </cell>
          <cell r="E62" t="str">
            <v>S006 Pesanggrahan - EZ 5</v>
          </cell>
          <cell r="M62">
            <v>0.63478983103142173</v>
          </cell>
        </row>
        <row r="63">
          <cell r="C63" t="str">
            <v>24ABJ.NINKARS006PSG.06JE</v>
          </cell>
          <cell r="E63" t="str">
            <v>S006 Pesanggrahan - EZ 6</v>
          </cell>
          <cell r="M63">
            <v>0.63821238663655055</v>
          </cell>
        </row>
        <row r="64">
          <cell r="C64" t="str">
            <v>24ABJ.NINKARS006PSG.07JE</v>
          </cell>
          <cell r="E64" t="str">
            <v>S006 Pesanggrahan - EZ 7</v>
          </cell>
          <cell r="M64">
            <v>0.62570852182982939</v>
          </cell>
        </row>
        <row r="65">
          <cell r="C65" t="str">
            <v>24ABJ.NINKARS006PSG.08JE</v>
          </cell>
          <cell r="E65" t="str">
            <v>S006 Pesanggrahan - EZ 8</v>
          </cell>
          <cell r="M65">
            <v>0.62991315476905974</v>
          </cell>
        </row>
        <row r="66">
          <cell r="C66" t="str">
            <v>24ABJ.NINKARS006PSG.09JE</v>
          </cell>
          <cell r="E66" t="str">
            <v>S006 Pesanggrahan - EZ 9</v>
          </cell>
          <cell r="M66">
            <v>0.63210884781340992</v>
          </cell>
        </row>
        <row r="67">
          <cell r="C67" t="str">
            <v>24ABJ.NINKARS006PSG.10JE</v>
          </cell>
          <cell r="E67" t="str">
            <v>S006 Pesanggrahan - EZ 10</v>
          </cell>
          <cell r="M67">
            <v>0.6338143918900887</v>
          </cell>
        </row>
        <row r="68">
          <cell r="C68" t="str">
            <v>24ABJ.NINKARS006PSG.11JE</v>
          </cell>
          <cell r="E68" t="str">
            <v>S006 Pesanggrahan - EZ 11</v>
          </cell>
          <cell r="M68">
            <v>0.62990314500950151</v>
          </cell>
        </row>
        <row r="69">
          <cell r="C69" t="str">
            <v>24ABJ.NINKARS006PSG.12JE</v>
          </cell>
          <cell r="E69" t="str">
            <v>S006 Pesanggrahan - EZ 12</v>
          </cell>
          <cell r="M69">
            <v>0.62272552688337524</v>
          </cell>
        </row>
        <row r="70">
          <cell r="C70" t="str">
            <v>24ABJ.NINKARS006</v>
          </cell>
          <cell r="E70" t="str">
            <v xml:space="preserve">S006 </v>
          </cell>
          <cell r="M70">
            <v>0.63715168591708904</v>
          </cell>
        </row>
        <row r="71">
          <cell r="C71" t="str">
            <v>NIN23KABB020.6</v>
          </cell>
          <cell r="E71" t="str">
            <v>B020 Tahap Pertama</v>
          </cell>
          <cell r="M71">
            <v>0.63986538543032079</v>
          </cell>
        </row>
        <row r="72">
          <cell r="C72" t="str">
            <v>24ABJ.NINKARB019.9JE</v>
          </cell>
          <cell r="E72" t="str">
            <v>B019 Kamal gg H Jibobong</v>
          </cell>
          <cell r="M72">
            <v>1</v>
          </cell>
        </row>
        <row r="73">
          <cell r="C73" t="str">
            <v>24ABJ.NINKARB020.16JE</v>
          </cell>
          <cell r="E73" t="str">
            <v>B020 Jl. Tanjung Pura</v>
          </cell>
          <cell r="M73">
            <v>0.99999999999999989</v>
          </cell>
        </row>
        <row r="74">
          <cell r="C74" t="str">
            <v>24ABJ.NINKARB019.15JE</v>
          </cell>
          <cell r="E74" t="str">
            <v>B019 Yayasan Tunas Blossom &amp; SPBU BP</v>
          </cell>
          <cell r="M74">
            <v>1</v>
          </cell>
        </row>
        <row r="75">
          <cell r="C75" t="str">
            <v>25ABJ.NINKARS002.3JE</v>
          </cell>
          <cell r="E75" t="str">
            <v>S002 Dirgantoro Tarmizi</v>
          </cell>
          <cell r="M75">
            <v>1.0000000000000002</v>
          </cell>
        </row>
        <row r="76">
          <cell r="C76" t="str">
            <v>25ABJ.NINKARS002.4JE</v>
          </cell>
          <cell r="E76" t="str">
            <v>S002 Haekal Rizky Yulianto</v>
          </cell>
          <cell r="M76">
            <v>0.99999999999999989</v>
          </cell>
        </row>
        <row r="77">
          <cell r="C77" t="str">
            <v>25ABJ.NINKARB016.1JE</v>
          </cell>
          <cell r="E77" t="str">
            <v>B016 Kompleks Guru Kapuk Muara</v>
          </cell>
          <cell r="M77">
            <v>1</v>
          </cell>
        </row>
        <row r="78">
          <cell r="C78" t="str">
            <v>25ABJ.NINKARP009.1JE</v>
          </cell>
          <cell r="E78" t="str">
            <v>P009 Muhammad Daffa Utama</v>
          </cell>
          <cell r="M78">
            <v>1.0000000000000002</v>
          </cell>
        </row>
        <row r="79">
          <cell r="C79" t="str">
            <v>25ABJ.NINKARB020.19JE</v>
          </cell>
          <cell r="E79" t="str">
            <v>B020 Ruko Citra Business Park</v>
          </cell>
          <cell r="M79">
            <v>1.0000000000000002</v>
          </cell>
        </row>
        <row r="80">
          <cell r="C80" t="str">
            <v>25ABJ.NINKARS014.1JE</v>
          </cell>
          <cell r="E80" t="str">
            <v>S014 Sapta Taruna</v>
          </cell>
          <cell r="M80">
            <v>1</v>
          </cell>
        </row>
        <row r="81">
          <cell r="C81" t="str">
            <v>25ABJ.NINKARB014.3JE</v>
          </cell>
          <cell r="E81" t="str">
            <v>B014 Puskesmas Pembantu Kembangan Selatan</v>
          </cell>
          <cell r="M81">
            <v>1.0000000000000002</v>
          </cell>
        </row>
        <row r="82">
          <cell r="C82" t="str">
            <v>25ABJ.NINKARB016.4JE</v>
          </cell>
          <cell r="E82" t="str">
            <v>B016 Tafsir Munir (Gg. Banjir)</v>
          </cell>
          <cell r="M82">
            <v>1</v>
          </cell>
        </row>
        <row r="83">
          <cell r="C83" t="str">
            <v>25ABJ.NINKARS006PSG.13.1JE</v>
          </cell>
          <cell r="E83" t="str">
            <v>S006.13 Bumi Bintaro Permai</v>
          </cell>
          <cell r="M83">
            <v>1</v>
          </cell>
        </row>
        <row r="84">
          <cell r="C84" t="str">
            <v>25ABJ.NINKARS006PSG.14.1JE</v>
          </cell>
          <cell r="E84" t="str">
            <v xml:space="preserve">Infil S006 Jl. Mufakat </v>
          </cell>
          <cell r="M84">
            <v>1.0000000000000002</v>
          </cell>
        </row>
        <row r="85">
          <cell r="C85" t="str">
            <v>25ABJ.NINKARS006PSG.17.1JE</v>
          </cell>
          <cell r="E85" t="str">
            <v>Infil S006 Jl. H. Alih</v>
          </cell>
          <cell r="M85">
            <v>1.0000000000000002</v>
          </cell>
        </row>
        <row r="86">
          <cell r="C86" t="str">
            <v>25ABJ.NINKARS006PSG.18.2JE</v>
          </cell>
          <cell r="E86" t="str">
            <v>Infil S006 Jl. MKJ</v>
          </cell>
          <cell r="M86">
            <v>1</v>
          </cell>
        </row>
        <row r="87">
          <cell r="C87" t="str">
            <v>25ABJ.NINKARS006PSG.18.1JE</v>
          </cell>
          <cell r="E87" t="str">
            <v xml:space="preserve">Infil S006 Jl. Mawar III </v>
          </cell>
          <cell r="M87">
            <v>0.87572099063164965</v>
          </cell>
        </row>
        <row r="88">
          <cell r="C88" t="str">
            <v>25ABJ.NINKARS006PSG.13.3JE</v>
          </cell>
          <cell r="E88" t="str">
            <v>S006.13 Kelurahan Bintaro</v>
          </cell>
          <cell r="M88">
            <v>0.22626816781162712</v>
          </cell>
        </row>
        <row r="89">
          <cell r="C89" t="str">
            <v>25ABJ.NINKARS006PSG.13.4JE</v>
          </cell>
          <cell r="E89" t="str">
            <v>S006.13 Jl. Kp Bulak RT 08 RW 02</v>
          </cell>
          <cell r="M89">
            <v>0.14323366684343036</v>
          </cell>
        </row>
        <row r="90">
          <cell r="C90" t="str">
            <v>25ABJ.NINKARS006PSG.15.1JE</v>
          </cell>
          <cell r="E90" t="str">
            <v>S006.15 Pesanggrahan (Tambahan)</v>
          </cell>
          <cell r="M90">
            <v>0.11027583749484837</v>
          </cell>
        </row>
        <row r="91">
          <cell r="C91" t="str">
            <v>25ABJ.NINKARB006.4JE</v>
          </cell>
          <cell r="E91" t="str">
            <v>B006 Thoriq Firdaus</v>
          </cell>
          <cell r="M91">
            <v>0.22784900833261551</v>
          </cell>
        </row>
        <row r="92">
          <cell r="C92" t="str">
            <v>25ABJ.NINKARB006.5JE</v>
          </cell>
          <cell r="E92" t="str">
            <v>B006 Joko Martono</v>
          </cell>
          <cell r="M92">
            <v>7.8373792876341691E-2</v>
          </cell>
        </row>
        <row r="93">
          <cell r="C93" t="str">
            <v>25ABJ.NINKARB016.5JE</v>
          </cell>
          <cell r="E93" t="str">
            <v xml:space="preserve">B016 Gg. Sumur </v>
          </cell>
          <cell r="M93">
            <v>7.8357805598068223E-2</v>
          </cell>
        </row>
        <row r="94">
          <cell r="C94" t="str">
            <v>25ABJ.NINKARB016.5.1JE</v>
          </cell>
          <cell r="E94" t="str">
            <v>B016 Gg. Sumur Reinforcement</v>
          </cell>
          <cell r="M94">
            <v>0.25102081330935866</v>
          </cell>
        </row>
        <row r="95">
          <cell r="C95" t="str">
            <v>25ABJ.NINKARS006.2JE</v>
          </cell>
          <cell r="E95" t="str">
            <v>S006 SPBU BP AKR Joglo</v>
          </cell>
          <cell r="M95">
            <v>0.55506897298094193</v>
          </cell>
        </row>
        <row r="96">
          <cell r="C96" t="str">
            <v>25ABJ.NINBUR162.1JP</v>
          </cell>
          <cell r="E96" t="str">
            <v>PC 162 Hanjuang</v>
          </cell>
          <cell r="M96">
            <v>0.99999999999999989</v>
          </cell>
        </row>
        <row r="97">
          <cell r="C97" t="str">
            <v>25ABJ.NINBUR162.9JP</v>
          </cell>
          <cell r="E97" t="str">
            <v>PC 162 Jl. Centex Gg. Jengki</v>
          </cell>
          <cell r="M97">
            <v>0.99999999999999967</v>
          </cell>
        </row>
        <row r="98">
          <cell r="C98" t="str">
            <v>25ABJ.NINBUR162.5JP</v>
          </cell>
          <cell r="E98" t="str">
            <v>PC 162 Heavenly Residence</v>
          </cell>
          <cell r="M98">
            <v>1</v>
          </cell>
        </row>
        <row r="99">
          <cell r="C99" t="str">
            <v>25ABJ.NINBUR162.8JP</v>
          </cell>
          <cell r="E99" t="str">
            <v>PC 162 Bapak Sukarno</v>
          </cell>
          <cell r="M99">
            <v>9.7467154224221836E-2</v>
          </cell>
        </row>
        <row r="100">
          <cell r="C100" t="str">
            <v>25ABJ.NINBUR162.10JP</v>
          </cell>
          <cell r="E100" t="str">
            <v>PC 162 Jl. Tanah Merdeka RT 007/RW 004</v>
          </cell>
          <cell r="M100">
            <v>0.17610541232741345</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B7492E6-984E-4B66-BB71-085F0D8DC7A5}">
    <nsvFilter filterId="{6D3CBD8D-2958-4287-A54D-6C05489AB3A0}" ref="B4:IA468" tableId="1">
      <columnFilter colId="2" id="{D103CC81-8554-46DB-B39F-C258099AB029}">
        <filter colId="2">
          <x:filters>
            <x:filter val="SPAM Buaran 3 Hilir"/>
          </x:filters>
        </filter>
      </columnFilter>
      <columnFilter colId="5" id="{DC745902-4155-43F6-A574-C93C39979622}">
        <filter colId="5">
          <x:filters>
            <x:dateGroupItem year="2025" month="10" day="1" dateTimeGrouping="day"/>
          </x:filters>
        </filter>
      </columnFilter>
    </nsvFilter>
  </namedSheetView>
</namedSheetView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k" xr10:uid="{FA4125BF-68AB-4465-95CB-81B90B38EAA7}" sourceName="Proye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dwal_TOK" xr10:uid="{CCDDC8E2-D1D6-43E0-AF55-E4D8068A74A8}" sourceName="Jadwal TOK">
  <extLst>
    <x:ext xmlns:x15="http://schemas.microsoft.com/office/spreadsheetml/2010/11/main" uri="{2F2917AC-EB37-4324-AD4E-5DD8C200BD13}">
      <x15:tableSlicerCache tableId="1" column="8"/>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_Jadwal" xr10:uid="{A262F71A-F251-4433-BBEB-CC197048688C}" sourceName="Schedule">
  <extLst>
    <x:ext xmlns:x15="http://schemas.microsoft.com/office/spreadsheetml/2010/11/main" uri="{2F2917AC-EB37-4324-AD4E-5DD8C200BD13}">
      <x15:tableSlicerCache tableId="1" column="9"/>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50B8B754-BCCB-4AF2-9C06-C6CE87A7208D}" sourceName="Status TOK">
  <extLst>
    <x:ext xmlns:x15="http://schemas.microsoft.com/office/spreadsheetml/2010/11/main" uri="{2F2917AC-EB37-4324-AD4E-5DD8C200BD13}">
      <x15:tableSlicerCache tableId="1" column="16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at" xr10:uid="{F8EFE781-D78B-416C-8F6A-75469B708C69}" sourceName="Directorat">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yek" xr10:uid="{B4969B8F-B3A1-4054-8DD5-C278F69B879D}" cache="Slicer_Proyek" caption="Proyek" rowHeight="241300"/>
  <slicer name="Jadwal TOK" xr10:uid="{16D70D30-FC22-40DE-8BFD-163A4DD22FFF}" cache="Slicer_Jadwal_TOK" caption="TOK" startItem="1" rowHeight="241300"/>
  <slicer name="Kategori Jadwal" xr10:uid="{490159C9-24C7-410A-96AF-DEEC8D375CF5}" cache="Slicer_Kategori_Jadwal" caption="Schedule" rowHeight="241300"/>
  <slicer name="Kategori" xr10:uid="{21B616AF-2FFE-427E-9FFF-B2BCE93DF9FA}" cache="Slicer_Kategori" caption="Status TOK" rowHeight="241300"/>
  <slicer name="Directorat" xr10:uid="{591B7B04-D251-4B76-A5BC-0D66FE54464B}" cache="Slicer_Directorat" caption="Directora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3CBD8D-2958-4287-A54D-6C05489AB3A0}" name="Table1" displayName="Table1" ref="B4:IA468" totalsRowShown="0" headerRowDxfId="353" dataDxfId="351" headerRowBorderDxfId="352" tableBorderDxfId="350" totalsRowBorderDxfId="349">
  <autoFilter ref="B4:IA468" xr:uid="{6D3CBD8D-2958-4287-A54D-6C05489AB3A0}"/>
  <tableColumns count="234">
    <tableColumn id="1" xr3:uid="{F9093188-2917-4142-BD3A-7120CDE0F8C7}" name="No" dataDxfId="348">
      <calculatedColumnFormula>SUBTOTAL(3,$D$5:D5)</calculatedColumnFormula>
    </tableColumn>
    <tableColumn id="208" xr3:uid="{77937FBA-F486-47DD-8EF3-1D8951E5A278}" name="No urut" dataDxfId="347"/>
    <tableColumn id="2" xr3:uid="{D103CC81-8554-46DB-B39F-C258099AB029}" name="Proyek" dataDxfId="346"/>
    <tableColumn id="6" xr3:uid="{02DCB39F-E65C-446C-9802-D3AD29A0F80B}" name="Kode Program" dataDxfId="345"/>
    <tableColumn id="7" xr3:uid="{EDD9FA89-2269-4536-B171-6A8BEC1BA33A}" name="Nama Program" dataDxfId="344"/>
    <tableColumn id="8" xr3:uid="{DC745902-4155-43F6-A574-C93C39979622}" name="Jadwal TOK" dataDxfId="343"/>
    <tableColumn id="9" xr3:uid="{25F47495-4CBA-4587-B568-04D611755B25}" name="Schedule" dataDxfId="342"/>
    <tableColumn id="3" xr3:uid="{D800DAB3-70E7-4FDA-996A-B00625494C79}" name="Sub-Proyek" dataDxfId="341"/>
    <tableColumn id="162" xr3:uid="{50D71239-4F65-4ABF-A7B1-856D20D35EC9}" name="Status TOK" dataDxfId="340"/>
    <tableColumn id="10" xr3:uid="{E0DB0581-3B28-481A-A0D3-1095CA46072B}" name="Nama PM" dataDxfId="339"/>
    <tableColumn id="4" xr3:uid="{F41AE7B8-EDDC-4A24-BA0E-9F261F56D62E}" name="Kategori Pekerjaan" dataDxfId="338"/>
    <tableColumn id="5" xr3:uid="{58461B3E-E044-4587-9B71-06D4EDD381AE}" name="Directorat" dataDxfId="337"/>
    <tableColumn id="11" xr3:uid="{9CB1C192-1161-40C7-932B-3A238EE41328}" name="Volume_x000a_(m)" dataDxfId="336"/>
    <tableColumn id="12" xr3:uid="{892F31FC-13C2-4930-820C-10391EB884D5}" name="Satuan" dataDxfId="335" dataCellStyle="Comma 2"/>
    <tableColumn id="103" xr3:uid="{0817DA7F-F940-44D4-8F47-C30635ED36A9}" name="Status Target" dataDxfId="334" dataCellStyle="Comma 2">
      <calculatedColumnFormula>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calculatedColumnFormula>
    </tableColumn>
    <tableColumn id="102" xr3:uid="{0D6A4CB2-B564-4FF4-8623-1C2533686223}" name="Status Aktual" dataDxfId="333" dataCellStyle="Comma 2">
      <calculatedColumnFormula>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calculatedColumnFormula>
    </tableColumn>
    <tableColumn id="214" xr3:uid="{F657A6F3-C96A-48C8-8F55-B7FD0B23D9DA}" name="Column5" dataDxfId="332"/>
    <tableColumn id="99" xr3:uid="{2E44F21F-CA7D-4783-9552-73A4BC44AFFA}" name="Target Progres_x000a_(%)" dataDxfId="331"/>
    <tableColumn id="155" xr3:uid="{92ABBDE7-A223-487E-989C-EBA1401EE149}" name="Progres Aktual_x000a_(%)" dataDxfId="330">
      <calculatedColumnFormula>Table1[[#This Row],[Progres Total Aktual
(%)]]</calculatedColumnFormula>
    </tableColumn>
    <tableColumn id="153" xr3:uid="{12A645A6-8287-44F4-90B6-1538EFEF66C8}" name="Deviasi_x000a_(%)" dataDxfId="329">
      <calculatedColumnFormula>Table1[[#This Row],[Progres Aktual
(%)]]-Table1[[#This Row],[Target Progres
(%)]]</calculatedColumnFormula>
    </tableColumn>
    <tableColumn id="194" xr3:uid="{68FACF0B-1ED7-4BDD-A255-2FC0FAE72C2A}" name="Volume_x000a_BA MC-0" dataDxfId="328">
      <calculatedColumnFormula>Table1[[#This Row],["Volume
BA MC-0"]]</calculatedColumnFormula>
    </tableColumn>
    <tableColumn id="193" xr3:uid="{12ED2921-A523-4EBC-989E-4FFBB42768A8}" name="Total Panjang Pipa Aktual" dataDxfId="327">
      <calculatedColumnFormula>Table1[[#This Row],[Total Panjang Pipa Aktual
(Sum-&gt;)3]]</calculatedColumnFormula>
    </tableColumn>
    <tableColumn id="124" xr3:uid="{CF22D2DB-D85A-4244-A7DB-88D39E2CD0BE}" name="Lokasi, RAB dan Bobot" dataDxfId="326" dataCellStyle="Comma 2"/>
    <tableColumn id="224" xr3:uid="{A338B50B-D9FF-4E7D-8D10-ED60AB4CE1D8}" name="Lokasi" dataDxfId="325" dataCellStyle="Comma 2"/>
    <tableColumn id="13" xr3:uid="{7F262255-0FBF-47AB-B8E9-31656FF7A39A}" name="Nilai RAB Jaringan_x000a_(file pa aji)" dataDxfId="324"/>
    <tableColumn id="111" xr3:uid="{38BAD119-1FDD-474A-B770-1A3D4891C882}" name="Kontrol Nilai RAB Jaringan_x000a_(Include Ppn)" dataDxfId="323">
      <calculatedColumnFormula>ROUND((Table1[[#This Row],[Nilai RAB Jaringan
(Exclude Ppn)]]-Table1[[#This Row],[RAB Perizinan]])*1.11+Table1[[#This Row],[RAB Perizinan]],0)</calculatedColumnFormula>
    </tableColumn>
    <tableColumn id="110" xr3:uid="{E7D014A8-5F58-4443-9018-4BA24BA82430}" name="Nilai RAB Jaringan_x000a_(Exclude Ppn)" dataDxfId="322">
      <calculatedColumnFormula>SUM(Table1[[#This Row],[RAB Kegiatan Umum]:[RAB Perizinan]])</calculatedColumnFormula>
    </tableColumn>
    <tableColumn id="108" xr3:uid="{7BEA92C4-A5AB-42F9-AABE-DA6A3727D915}" name="RAB Kegiatan Umum" dataDxfId="321"/>
    <tableColumn id="107" xr3:uid="{FBE699ED-98FE-43EC-B6EE-B10ACF512BA1}" name="RAB Pemasangan" dataDxfId="320"/>
    <tableColumn id="106" xr3:uid="{3D327020-C91F-45A2-A646-7C674B191949}" name="RAB Pengadaan" dataDxfId="319"/>
    <tableColumn id="105" xr3:uid="{B35C881E-D61B-4BEF-8328-22D8B1199177}" name="RAB Perizinan" dataDxfId="318"/>
    <tableColumn id="14" xr3:uid="{9BA6CB82-8810-4651-A847-19842C2F785B}" name="Nilai RAB IOT" dataDxfId="317"/>
    <tableColumn id="130" xr3:uid="{0CDDCBFB-4A46-4766-9D18-4725D19F062A}" name="Total Bobot" dataDxfId="316">
      <calculatedColumnFormula>SUM(Table1[[#This Row],[Bobot Keg Umum]:[Bobot Perizinan]])</calculatedColumnFormula>
    </tableColumn>
    <tableColumn id="128" xr3:uid="{2DA2EE3B-6F97-493A-8145-024A1AF2A234}" name="Bobot Keg Umum" dataDxfId="315">
      <calculatedColumnFormula>Table1[[#This Row],[RAB Kegiatan Umum]]/Table1[[#This Row],[Nilai RAB Jaringan
(Exclude Ppn)]]</calculatedColumnFormula>
    </tableColumn>
    <tableColumn id="127" xr3:uid="{28D9AE7B-288E-4EBD-BDBC-7C65276B9814}" name="Bobot Pemasangan" dataDxfId="314">
      <calculatedColumnFormula>Table1[[#This Row],[RAB Pemasangan]]/Table1[[#This Row],[Nilai RAB Jaringan
(Exclude Ppn)]]</calculatedColumnFormula>
    </tableColumn>
    <tableColumn id="126" xr3:uid="{1D3540BA-22CB-4D75-9670-661666DB4A89}" name="Bobot Pengadaan" dataDxfId="313">
      <calculatedColumnFormula>Table1[[#This Row],[RAB Pengadaan]]/Table1[[#This Row],[Nilai RAB Jaringan
(Exclude Ppn)]]</calculatedColumnFormula>
    </tableColumn>
    <tableColumn id="125" xr3:uid="{4F0ECA07-2551-438F-BCE3-A947420DA744}" name="Bobot Perizinan" dataDxfId="312">
      <calculatedColumnFormula>Table1[[#This Row],[RAB Perizinan]]/Table1[[#This Row],[Nilai RAB Jaringan
(Exclude Ppn)]]</calculatedColumnFormula>
    </tableColumn>
    <tableColumn id="131" xr3:uid="{96AFB212-547F-4832-AB32-8F93ACE5E37F}" name="Aktual Pipa Terpasang" dataDxfId="311"/>
    <tableColumn id="15" xr3:uid="{4EDC4791-CB9A-47AF-AA49-5F26920CD62C}" name="&quot;Volume_x000a_BA MC-0&quot;" dataDxfId="310"/>
    <tableColumn id="229" xr3:uid="{FAB539A2-34D7-4E24-8427-2D2F73162B4F}" name="Volume_x000a_BA MC-0_x000a_SUM -&gt;" dataDxfId="309">
      <calculatedColumnFormula>SUM(Table1[[#This Row],[Pipa 63 mm]:[Pipa 1,800 mm]])</calculatedColumnFormula>
    </tableColumn>
    <tableColumn id="228" xr3:uid="{C1C2C3B4-C9C6-4AEC-9DC6-9F886BD7B6A9}" name="Pipa 63 mm" dataDxfId="308"/>
    <tableColumn id="227" xr3:uid="{0BDB9FAE-ADAC-4922-890C-A0CF1815A051}" name="Pipa 90 mm" dataDxfId="307"/>
    <tableColumn id="226" xr3:uid="{1913D600-26A9-45F8-B8CA-4324EF8E09E9}" name="Pipa 110 mm" dataDxfId="306"/>
    <tableColumn id="225" xr3:uid="{5E603F52-403F-4465-9B7F-420BB54911BB}" name="Pipa 160 mm" dataDxfId="305"/>
    <tableColumn id="206" xr3:uid="{E567D787-03A1-43A5-8BAB-3BA093345BF7}" name="Pipa 200 mm" dataDxfId="304"/>
    <tableColumn id="205" xr3:uid="{4902574F-8807-4F19-B338-6ACE89EC1E05}" name="Pipa 250 mm" dataDxfId="303"/>
    <tableColumn id="204" xr3:uid="{1479CC29-E7A7-4689-9F7E-5E00232DDA39}" name="Pipa 315 mm" dataDxfId="302"/>
    <tableColumn id="202" xr3:uid="{F6BF05C2-DA64-4C73-990E-70B329C0B292}" name="Pipa 350 mm" dataDxfId="301"/>
    <tableColumn id="201" xr3:uid="{BE9DFCCB-D9A6-4747-9758-ECCCEA6F3893}" name="Pipa 400 mm" dataDxfId="300"/>
    <tableColumn id="200" xr3:uid="{3D70C738-8D38-4DA8-9B96-A40A4FE21823}" name="Pipa 500 mm" dataDxfId="299"/>
    <tableColumn id="198" xr3:uid="{068B874C-3FCF-4019-A3C2-90A050B0CB39}" name="Pipa 630 mm" dataDxfId="298"/>
    <tableColumn id="197" xr3:uid="{BBD270CB-0F06-4341-B5D3-AEF261C0E615}" name="Pipa 700 mm" dataDxfId="297"/>
    <tableColumn id="196" xr3:uid="{33440E0D-B9C1-468F-9CBE-1E75A6F6437C}" name="Pipa 800 mm" dataDxfId="296"/>
    <tableColumn id="195" xr3:uid="{A4F96282-A41A-4599-8632-89512835EF9C}" name="Pipa 900 mm" dataDxfId="295"/>
    <tableColumn id="192" xr3:uid="{29FEF76E-DB3A-46A4-8541-C4FB8F0AFE99}" name="Pipa 1,000 mm" dataDxfId="294"/>
    <tableColumn id="190" xr3:uid="{A3A838CC-166C-49FC-BDA3-F9E05DAD1EB3}" name="Pipa 1,200 mm" dataDxfId="293"/>
    <tableColumn id="189" xr3:uid="{5FC4F62D-7D19-45D5-8AFC-1984CF5FD90B}" name="Pipa 1,400 mm" dataDxfId="292"/>
    <tableColumn id="183" xr3:uid="{51F57D76-1F4C-4DA5-A414-69042A5AC0D1}" name="Pipa 1,500 mm" dataDxfId="291"/>
    <tableColumn id="73" xr3:uid="{79E5AAAB-7E8D-4777-BDA9-3A23F5F6B82E}" name="Pipa 1,600 mm" dataDxfId="290"/>
    <tableColumn id="69" xr3:uid="{55CFCB5F-9516-439C-A94F-AB531A212849}" name="Pipa 1,800 mm" dataDxfId="289"/>
    <tableColumn id="132" xr3:uid="{19A11791-669A-4E41-A6EA-64C4E05CFFB5}" name="Total Panjang Pipa Aktual_x000a_(Sum-&gt;)3" dataDxfId="288" dataCellStyle="Comma 2">
      <calculatedColumnFormula>SUM(Table1[[#This Row],[Pipa 63 mm2]:[Pipa 1,800 mm21]])</calculatedColumnFormula>
    </tableColumn>
    <tableColumn id="152" xr3:uid="{A76E757C-A69A-4DCA-A171-FD509E7EEC4A}" name="Pipa 63 mm2" dataDxfId="287" dataCellStyle="Comma 2"/>
    <tableColumn id="151" xr3:uid="{D51C1C9B-E3D7-48DD-88D9-E2AE2B707B48}" name="Pipa 90 mm3" dataDxfId="286" dataCellStyle="Comma 2"/>
    <tableColumn id="150" xr3:uid="{A09A470B-E22F-4808-B67D-FC6F08EEF704}" name="Pipa 110 mm4" dataDxfId="285" dataCellStyle="Comma 2"/>
    <tableColumn id="149" xr3:uid="{CF1CBD3F-EEF3-4E3D-AD33-E8398AD7C692}" name="Pipa 160 mm5" dataDxfId="284" dataCellStyle="Comma 2"/>
    <tableColumn id="148" xr3:uid="{2606D995-3333-4E9D-A64F-89D6128927AC}" name="Pipa 200 mm6" dataDxfId="283" dataCellStyle="Comma 2"/>
    <tableColumn id="147" xr3:uid="{E6EB56DF-B6CF-490C-93D9-F66BDCFEFF2E}" name="Pipa 250 mm7" dataDxfId="282" dataCellStyle="Comma 2"/>
    <tableColumn id="146" xr3:uid="{4294AAE3-511D-4D7D-85C9-0FF8BF845091}" name="Pipa 315 mm8" dataDxfId="281" dataCellStyle="Comma 2"/>
    <tableColumn id="145" xr3:uid="{60877877-3EC6-49D4-BF89-45F900FBE2E1}" name="Pipa 350 mm9" dataDxfId="280" dataCellStyle="Comma 2"/>
    <tableColumn id="144" xr3:uid="{09D5DA2B-CB49-49F7-85D7-304B7E7E2874}" name="Pipa 400 mm10" dataDxfId="279" dataCellStyle="Comma 2"/>
    <tableColumn id="143" xr3:uid="{D127B2C4-7053-49AB-A816-38FC12C62EA8}" name="Pipa 500 mm11" dataDxfId="278" dataCellStyle="Comma 2"/>
    <tableColumn id="142" xr3:uid="{3DFE2375-F64C-485C-B01A-EEFCC002AB77}" name="Pipa 630 mm12" dataDxfId="277" dataCellStyle="Comma 2"/>
    <tableColumn id="141" xr3:uid="{6C3967A1-B111-4EA2-BB6E-A928FDD7F307}" name="Pipa 700 mm13" dataDxfId="276" dataCellStyle="Comma 2"/>
    <tableColumn id="140" xr3:uid="{46B3E7A2-2F24-4487-9F3B-F4A46ED666FB}" name="Pipa 800 mm14" dataDxfId="275" dataCellStyle="Comma 2"/>
    <tableColumn id="139" xr3:uid="{679217C2-193E-4ED9-BD2F-875966EC1706}" name="Pipa 900 mm15" dataDxfId="274" dataCellStyle="Comma 2"/>
    <tableColumn id="138" xr3:uid="{37398AFF-B6C8-4518-B828-59C5240EA454}" name="Pipa 1,000 mm16" dataDxfId="273" dataCellStyle="Comma 2">
      <calculatedColumnFormula>380.8+644.7</calculatedColumnFormula>
    </tableColumn>
    <tableColumn id="137" xr3:uid="{9A80DA60-26A0-4435-ADA6-5A82D60553E3}" name="Pipa 1,200 mm17" dataDxfId="272" dataCellStyle="Comma 2">
      <calculatedColumnFormula>2464+595+31.6</calculatedColumnFormula>
    </tableColumn>
    <tableColumn id="136" xr3:uid="{4B673011-6667-4D9A-A94B-F1C5B0380753}" name="Pipa 1,400 mm18" dataDxfId="271" dataCellStyle="Comma 2">
      <calculatedColumnFormula>6+4.1</calculatedColumnFormula>
    </tableColumn>
    <tableColumn id="135" xr3:uid="{A40D01D6-8ECF-4C99-848D-CCBA721768EE}" name="Pipa 1,500 mm19" dataDxfId="270" dataCellStyle="Comma 2"/>
    <tableColumn id="134" xr3:uid="{87300A18-0F78-401C-8E97-FB915C74D245}" name="Pipa 1,600 mm20" dataDxfId="269" dataCellStyle="Comma 2"/>
    <tableColumn id="133" xr3:uid="{6D0E80EB-407C-49E7-9CC1-DBBAEA8730C1}" name="Pipa 1,800 mm21" dataDxfId="268" dataCellStyle="Comma 2"/>
    <tableColumn id="17" xr3:uid="{A15525D5-07B7-4945-BE42-794037FD8A8A}" name="Volume_x000a_Penolakan Warga" dataDxfId="267" dataCellStyle="Comma 2"/>
    <tableColumn id="18" xr3:uid="{44D1D36C-E0DF-46CE-BC47-8423AC17B73C}" name="Volume_x000a_Private Area" dataDxfId="266" dataCellStyle="Comma 2"/>
    <tableColumn id="19" xr3:uid="{26CA29CB-A586-417C-91E9-0C2CE292A0F9}" name="Volume_x000a_Sudah ada eksisting" dataDxfId="265" dataCellStyle="Comma 2"/>
    <tableColumn id="20" xr3:uid="{9AA2E592-E57E-43F7-8A99-A49C2FF5A288}" name="Volume_x000a_Tidak sesuai DED" dataDxfId="264" dataCellStyle="Comma 2"/>
    <tableColumn id="21" xr3:uid="{7313238B-B3C0-4EA5-B89C-26CAD69F856E}" name="Total Volume_x000a_tidak dapat dipasang" dataDxfId="263" dataCellStyle="Comma 2"/>
    <tableColumn id="22" xr3:uid="{B2BDD4D7-D3FB-4918-ACC9-B4BE458B344D}" name="Volume_x000a_Sisa Pekerjaan" dataDxfId="262" dataCellStyle="Comma 2">
      <calculatedColumnFormula>IF((Table1[[#This Row],["Volume
BA MC-0"]]-Table1[[#This Row],[Total Panjang Pipa Aktual
(Sum-&gt;)3]]-Table1[[#This Row],[Total Volume
tidak dapat dipasang]])&gt;=0,Table1[[#This Row],["Volume
BA MC-0"]]-Table1[[#This Row],[Total Panjang Pipa Aktual
(Sum-&gt;)3]]-Table1[[#This Row],[Total Volume
tidak dapat dipasang]],0)</calculatedColumnFormula>
    </tableColumn>
    <tableColumn id="156" xr3:uid="{D9D3348E-3144-478E-827F-49EA087867CE}" name="Progres dan VOWD - RNA" dataDxfId="261" dataCellStyle="Comma 2"/>
    <tableColumn id="23" xr3:uid="{39870E4C-2EDB-40A6-BD18-3F6B19A3A360}" name="Progres Keg. Umum_x000a_(%)" dataDxfId="260" dataCellStyle="Comma 2"/>
    <tableColumn id="24" xr3:uid="{9B14FBF3-BF4A-4D72-B2DB-E93E0B00A09A}" name="Progres MOS_x000a_(%)" dataDxfId="259"/>
    <tableColumn id="25" xr3:uid="{5576C888-6A1B-4E0B-BD6C-B242969BABCA}" name="Progres Pemasangan_x000a_(%)" dataDxfId="258" dataCellStyle="Comma 2"/>
    <tableColumn id="26" xr3:uid="{CA4EB8AA-B6E3-4E2C-9FBD-2057A9183360}" name="Progres Perizinan_x000a_(%)" dataDxfId="257" dataCellStyle="Comma 2"/>
    <tableColumn id="27" xr3:uid="{A5F69054-A78F-4C7F-93BF-5EA82331061F}" name="Progres Total Aktual_x000a_(%)" dataDxfId="256"/>
    <tableColumn id="28" xr3:uid="{C8D5435D-8A96-4B6C-9025-662941C49ADF}" name="VOWD Keg. Umum_x000a_(Rp)" dataDxfId="255">
      <calculatedColumnFormula>IFERROR(Table1[[#This Row],[Progres Keg. Umum
(%)]]*Table1[[#This Row],[Nilai RAB Jaringan
(file pa aji)]],0)</calculatedColumnFormula>
    </tableColumn>
    <tableColumn id="29" xr3:uid="{41DFFA88-F5FE-48B7-A751-4DAAC32E03BC}" name="VOWD Pengadaan_x000a_(Rp)" dataDxfId="254">
      <calculatedColumnFormula>IFERROR(Table1[[#This Row],[Progres MOS
(%)]]*Table1[[#This Row],[Nilai RAB Jaringan
(file pa aji)]],0)</calculatedColumnFormula>
    </tableColumn>
    <tableColumn id="30" xr3:uid="{E43F4CED-90C3-439E-803D-E769DAB91DF1}" name="VOWD Pemasangan_x000a_(Rp)" dataDxfId="253">
      <calculatedColumnFormula>IFERROR(Table1[[#This Row],[Progres Pemasangan
(%)]]*Table1[[#This Row],[Nilai RAB Jaringan
(file pa aji)]],0)</calculatedColumnFormula>
    </tableColumn>
    <tableColumn id="31" xr3:uid="{7EEDFB32-5435-48C1-931B-601269A24AC3}" name="VOWD Perizinan_x000a_(Rp)" dataDxfId="252">
      <calculatedColumnFormula>IFERROR(Table1[[#This Row],[Progres Perizinan
(%)]]*Table1[[#This Row],[Nilai RAB Jaringan
(file pa aji)]],0)</calculatedColumnFormula>
    </tableColumn>
    <tableColumn id="207" xr3:uid="{05BBFA14-4EAB-4ECC-ABFB-93C0B0B0F817}" name="VOWD (kolom bantu)" dataDxfId="251"/>
    <tableColumn id="32" xr3:uid="{A9CE00F9-A43C-4F4E-AE5F-D21F715739AD}" name="VOWD Total_x000a_(Rp)" dataDxfId="250"/>
    <tableColumn id="33" xr3:uid="{0EF99C04-74CE-46D9-BCC1-1826F99955A1}" name="Nilai RNA Update" dataDxfId="249"/>
    <tableColumn id="16" xr3:uid="{6BE37EAC-F536-4CAE-8CD0-6745B1C6BE28}" name="Kolom Bantu RNA Update" dataDxfId="248">
      <calculatedColumnFormula>_xlfn.XLOOKUP(Table1[[#This Row],[Kode Program]],'[1]Breakdown VOWD Greenfield'!$E:$E,'[1]Breakdown VOWD Greenfield'!$AT:$AT)</calculatedColumnFormula>
    </tableColumn>
    <tableColumn id="157" xr3:uid="{FCD53542-A102-4CF1-99EA-DFF5DDF4AF7B}" name="PR-PO-MOS" dataDxfId="247"/>
    <tableColumn id="34" xr3:uid="{2AB0548F-151E-4786-AD4F-51945A024373}" name="PLAN PR-PO ABJ_x000a_start" dataDxfId="246"/>
    <tableColumn id="35" xr3:uid="{86ABF18C-F9BF-48E7-B89D-03E3264DE54D}" name="PLAN PR-PO ABJ_x000a_finish" dataDxfId="245"/>
    <tableColumn id="36" xr3:uid="{C7AEF55B-B1CD-430F-B251-48DBB0AB5D85}" name="PR Aktual_x000a_(tanggal)" dataDxfId="244"/>
    <tableColumn id="37" xr3:uid="{BF9E294D-01D2-4080-8861-77BE20B34868}" name="No PR" dataDxfId="243"/>
    <tableColumn id="38" xr3:uid="{406C0C7C-49A7-4008-8745-DFA6EA59217C}" name="Nilai PR + Perizinan_x000a_(Rp)" dataDxfId="242"/>
    <tableColumn id="39" xr3:uid="{06C0C50D-6440-44E7-B5D7-D1408BB4048E}" name="Review PR ABJ" dataDxfId="241">
      <calculatedColumnFormula>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calculatedColumnFormula>
    </tableColumn>
    <tableColumn id="40" xr3:uid="{FD1BB96C-C5C7-4A28-899F-E57931D362AF}" name="PO Aktual_x000a_(tanggal)" dataDxfId="240"/>
    <tableColumn id="41" xr3:uid="{F197F8AE-A58F-41D2-9E81-D0CFFC2ED33C}" name="No PO" dataDxfId="239"/>
    <tableColumn id="42" xr3:uid="{E108D618-C971-45C8-9B0D-E770D486DE1D}" name="Nilai PO ABJ_x000a_(Rp)" dataDxfId="238"/>
    <tableColumn id="43" xr3:uid="{1CE3AE4D-01DD-467E-94E5-F8E4579F8C26}" name="Review PO ABJ" dataDxfId="237">
      <calculatedColumnFormula>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calculatedColumnFormula>
    </tableColumn>
    <tableColumn id="54" xr3:uid="{E485FF9E-F5DD-4D6B-A2B9-45AC44F6129F}" name="PLAN PR-PO BPM Jasa_x000a_start" dataDxfId="236"/>
    <tableColumn id="55" xr3:uid="{C0BF4A3A-BC9F-4AE0-B085-58C28990BC0B}" name="PLAN PR-PO BPM Jasa_x000a_finish" dataDxfId="235"/>
    <tableColumn id="56" xr3:uid="{8C0436E0-5D45-4C0F-BF80-768DB2CA9319}" name="PR Jasa Aktual _x000a_(tanggal)" dataDxfId="234"/>
    <tableColumn id="57" xr3:uid="{B511E031-3E17-4E8F-A89E-D4D8A62AF06B}" name="No PR Jasa" dataDxfId="233"/>
    <tableColumn id="59" xr3:uid="{C23F0CAB-F4C9-4713-B793-997EA5E4B7B6}" name="Review PR Jasa BPM" dataDxfId="232">
      <calculatedColumnFormula>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calculatedColumnFormula>
    </tableColumn>
    <tableColumn id="60" xr3:uid="{D768C8D2-5DE9-4F9C-B83A-4CDAB7DD49CC}" name="PO Jasa Aktual _x000a_(tanggal)" dataDxfId="231"/>
    <tableColumn id="61" xr3:uid="{98EC3DD3-F765-45C4-9146-6E13FF5A193B}" name="No PO Jasa" dataDxfId="230"/>
    <tableColumn id="63" xr3:uid="{CF7213B5-998D-4C14-9393-9A482FB42402}" name="Nama Vendor" dataDxfId="229"/>
    <tableColumn id="64" xr3:uid="{5D4F5C08-96D4-43C7-9F66-3DC5FD76FFBF}" name="Review PO Jasa BPM" dataDxfId="228">
      <calculatedColumnFormula>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calculatedColumnFormula>
    </tableColumn>
    <tableColumn id="44" xr3:uid="{F3DC4398-77D0-41C8-91AA-9D029271FE2C}" name="PLAN PR-PO BPM Material_x000a_start" dataDxfId="227"/>
    <tableColumn id="230" xr3:uid="{B16C1BAE-8215-4514-A9B4-303872C3A77F}" name="Forecast PO_x000a_Start" dataDxfId="226"/>
    <tableColumn id="45" xr3:uid="{11F63701-895F-4202-BF25-EE79A0B34EA9}" name="PLAN PR-PO BPM Material_x000a_finish" dataDxfId="225"/>
    <tableColumn id="231" xr3:uid="{668BC4DF-A1D3-49F5-90D7-2377D8C8BB26}" name="Forecast PO_x000a_Finish" dataDxfId="224"/>
    <tableColumn id="46" xr3:uid="{76A0F83C-EEBE-4FB0-9BDF-2B95AF15D6DA}" name="PR Material Aktual _x000a_(tanggal)" dataDxfId="223"/>
    <tableColumn id="47" xr3:uid="{F7A09100-C853-41A9-8F0C-0D3A594B5A4D}" name="No PR Material" dataDxfId="222"/>
    <tableColumn id="112" xr3:uid="{57C1BC60-248C-4582-955F-EFFBD4692C34}" name="Line PR" dataDxfId="221"/>
    <tableColumn id="115" xr3:uid="{89DB27E3-3CB1-40C4-85C0-78C2883E45B2}" name="Line PR (kolom bantu)" dataDxfId="220"/>
    <tableColumn id="49" xr3:uid="{69C6E07F-6DA1-4D68-BF4E-EEEC1C072913}" name="Review PR Material BPM" dataDxfId="219">
      <calculatedColumnFormula>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calculatedColumnFormula>
    </tableColumn>
    <tableColumn id="199" xr3:uid="{77E019B8-9F22-4A89-A5A3-75E27D65F84D}" name="Tanggal Selesai PO Material" dataDxfId="218"/>
    <tableColumn id="114" xr3:uid="{A6009DFF-40AE-49EC-81A3-8978C72EF1F6}" name="Line PO" dataDxfId="217"/>
    <tableColumn id="109" xr3:uid="{FB3630CC-A548-46F3-B064-71B4FF80501E}" name="Line PO (kolom  bantu)2" dataDxfId="216"/>
    <tableColumn id="191" xr3:uid="{2CA364D5-F98F-4600-921D-94C3D3DCF4B4}" name="NO PO Material" dataDxfId="215"/>
    <tableColumn id="154" xr3:uid="{F0DAEE83-8F80-45E9-BB0C-4DB4C0A5EBA9}" name="PO Material Aktual _x000a_(%)" dataDxfId="214"/>
    <tableColumn id="51" xr3:uid="{7E9327A0-64D5-4958-B869-8D2B05AD158A}" name="UPDATE PO_x000a_(kolom bantu)" dataDxfId="213"/>
    <tableColumn id="53" xr3:uid="{3E8AC7D1-40C6-473B-A635-6DFB144D264A}" name="Review PO Material BPM" dataDxfId="212">
      <calculatedColumnFormula>IF(Table1[[#This Row],[PO Material Aktual 
(%)]]&gt;=100%,"Selesai PO = 100%",IF(Table1[[#This Row],[PO Material Aktual 
(%)]]&gt;=50%,"Proses PO &gt; 100%",IF(Table1[[#This Row],[PO Material Aktual 
(%)]]&gt;0%,"Proses PO &gt; 50%",IF(Table1[[#This Row],[PO Material Aktual 
(%)]]=0,"Belum PO = 0%"))))</calculatedColumnFormula>
    </tableColumn>
    <tableColumn id="100" xr3:uid="{55872181-4BFC-47AC-91C8-73AC78B34D87}" name="Review PO Material" dataDxfId="211">
      <calculatedColumnFormula>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calculatedColumnFormula>
    </tableColumn>
    <tableColumn id="81" xr3:uid="{36D3B902-94C9-49D2-BED9-65CA485502B9}" name="PLAN MOS_x000a_start" dataDxfId="210"/>
    <tableColumn id="232" xr3:uid="{61D2CA91-145C-4F94-ADAC-6E05856F9E95}" name="Forecast MOS_x000a_Start" dataDxfId="209"/>
    <tableColumn id="82" xr3:uid="{EBC5B0DC-8ECB-4D8A-816E-7D0EB7FE044B}" name="PLAN MOS_x000a_finish" dataDxfId="208"/>
    <tableColumn id="233" xr3:uid="{F87343C4-DC93-4C5B-A12D-665E512A7885}" name="Forecast MOS_x000a_Finish" dataDxfId="207"/>
    <tableColumn id="203" xr3:uid="{FCFB0F89-C781-481E-BD74-51574189659D}" name="Tanggal Selesai MOS" dataDxfId="206"/>
    <tableColumn id="113" xr3:uid="{F3F3AC32-9EB5-4DDD-AF32-1353BA69DD08}" name="Line MOS" dataDxfId="205"/>
    <tableColumn id="95" xr3:uid="{97DBA890-2BF8-4ABD-B5D4-DDFFE88687A1}" name="Line MOS (kolom bantu)" dataDxfId="204"/>
    <tableColumn id="83" xr3:uid="{E91106D0-7E8F-4330-A0B9-6F8F6D434CB1}" name="Progres MOS" dataDxfId="203"/>
    <tableColumn id="50" xr3:uid="{F4F6640A-EE63-4E81-B497-A40C8053024A}" name="UPDATE MOS_x000a_(kolom bantu)" dataDxfId="202"/>
    <tableColumn id="84" xr3:uid="{905B79D5-CAA1-4262-A829-4C9C32D582A9}" name="Status MOS" dataDxfId="201">
      <calculatedColumnFormula>IF(Table1[[#This Row],[Progres MOS]]&gt;=100%,"Selesai MOS = 100%",IF(Table1[[#This Row],[Progres MOS]]&gt;=50%,"Proses MOS &gt; 100%",IF(Table1[[#This Row],[Progres MOS]]&gt;0%,"Proses MOS &gt; 50%",IF(Table1[[#This Row],[Progres MOS]]=0,"Belum MOS = 0%"))))</calculatedColumnFormula>
    </tableColumn>
    <tableColumn id="94" xr3:uid="{D6A484BB-3C11-4AF4-9F22-9F5607C342D1}" name="Review MOS" dataDxfId="200">
      <calculatedColumnFormula>IF(Table1[[#This Row],[Tanggal Selesai MOS]]="",IF(Table1[[#This Row],[PLAN MOS
finish]]&lt;NOW(),"Delay",IF(Table1[[#This Row],[PLAN MOS
finish]]&gt;NOW(),"OnSchedule",IF(Table1[[#This Row],[PLAN MOS
finish]]&gt;Table1[[#This Row],[Tanggal Selesai MOS]],"On Schedule",IF(Table1[[#This Row],[PLAN MOS
finish]]&lt;Table1[[#This Row],[Tanggal Selesai MOS]],"Delay")))))</calculatedColumnFormula>
    </tableColumn>
    <tableColumn id="160" xr3:uid="{57986173-1622-43D9-A9C7-4C0D3F18A7C7}" name="PERMIT" dataDxfId="199"/>
    <tableColumn id="65" xr3:uid="{0FFECED0-BA18-4D56-8633-0572ECCBEE81}" name="PLAN PERMIT_x000a_start" dataDxfId="198"/>
    <tableColumn id="234" xr3:uid="{B0CFBAFF-A630-4336-85FD-109BCE206BDB}" name="Forecast Perizinan_x000a_Start" dataDxfId="197"/>
    <tableColumn id="66" xr3:uid="{3810B415-EA7B-4195-8CE2-3936386B390C}" name="PLAN PERMIT_x000a_finish" dataDxfId="196"/>
    <tableColumn id="235" xr3:uid="{53008A8C-B7CD-4AAE-A45D-DD41E36BCA19}" name="Forecast Perizinan_x000a_Finish" dataDxfId="195"/>
    <tableColumn id="93" xr3:uid="{74AE1650-9F8B-45E5-BAF8-88C72C616594}" name="IPPJU" dataDxfId="194"/>
    <tableColumn id="184" xr3:uid="{15B9AF1E-1D72-4E07-9414-35C0CA7D3C5D}" name="IPPJU2" dataDxfId="193"/>
    <tableColumn id="120" xr3:uid="{468CA414-C721-40B6-BF70-2B2EDF239D24}" name="Persiapan Dokumen" dataDxfId="192"/>
    <tableColumn id="121" xr3:uid="{960D95AC-2605-4122-822A-CF0F190052AD}" name="Upload Jakevo" dataDxfId="191"/>
    <tableColumn id="122" xr3:uid="{75742EDB-5298-4774-B6A6-EC669EF7587E}" name="Gambar Rekomtek" dataDxfId="190"/>
    <tableColumn id="123" xr3:uid="{1FA3F87B-6C02-4B89-BDD5-37A256F2BAA8}" name="Upload DBM" dataDxfId="189"/>
    <tableColumn id="129" xr3:uid="{47E88941-8402-4455-AD36-31345DBEBD82}" name="Survey IPPJU" dataDxfId="188"/>
    <tableColumn id="159" xr3:uid="{DE2E94CB-4FB6-4C48-A77D-765195360C45}" name="Revisi Gambar Rekomtek" dataDxfId="187"/>
    <tableColumn id="163" xr3:uid="{2426763A-E96F-46F0-BA14-D2534DBB65AB}" name="Proses Rekomtek" dataDxfId="186"/>
    <tableColumn id="167" xr3:uid="{933A28D4-5FF0-4B49-A660-09144D6634CA}" name="Rekomtek Terbit" dataDxfId="185"/>
    <tableColumn id="168" xr3:uid="{2F5B4719-A932-487F-9092-24EBE412576E}" name="Proses Penerbitan Izin" dataDxfId="184"/>
    <tableColumn id="172" xr3:uid="{6CE58E1F-ACB4-4846-9E0D-80A4862A1712}" name="Izin Terbit" dataDxfId="183"/>
    <tableColumn id="211" xr3:uid="{CBFF50A0-F330-4AFC-9089-55649FFE5F33}" name="Column2" dataDxfId="182"/>
    <tableColumn id="212" xr3:uid="{92C7D1AA-3F9E-477E-8832-A8EF026F3FB3}" name="Tanggal Pengajuan Dokumen" dataDxfId="181"/>
    <tableColumn id="213" xr3:uid="{BC59562B-F2EB-4FE9-AD4F-301C48B57E30}" name="Column4" dataDxfId="180">
      <calculatedColumnFormula>IF(Table1[[#This Row],[Tanggal Pengajuan Dokumen]]="","",Table1[[#This Row],[PLAN PERMIT
start]]-Table1[[#This Row],[Tanggal Pengajuan Dokumen]])</calculatedColumnFormula>
    </tableColumn>
    <tableColumn id="210" xr3:uid="{EDAE0639-3B93-4C3C-84DC-9974669095DE}" name="Tanggal Terbit/ Target Izin Terbit" dataDxfId="179"/>
    <tableColumn id="98" xr3:uid="{35CB604B-DF89-43A4-80E0-A17962377D71}" name="Crossing Sungai" dataDxfId="178"/>
    <tableColumn id="97" xr3:uid="{800BDCF5-5817-4944-8072-16EA81A201F5}" name="Crossing Kereta" dataDxfId="177"/>
    <tableColumn id="96" xr3:uid="{17217761-2453-4393-922D-E2DC1D76B146}" name="Crossing Toll" dataDxfId="176"/>
    <tableColumn id="67" xr3:uid="{8469BFDA-0941-4EF2-A9A9-A96E38C5A7A0}" name="Status Perizinan" dataDxfId="175"/>
    <tableColumn id="68" xr3:uid="{AAB9E019-3CB1-478C-A5AD-CD6A62DEB8D8}" name="Status Izin" dataDxfId="174">
      <calculatedColumnFormula>IF(ISNUMBER(SEARCH("On Going",Table1[[#This Row],[Status Perizinan]])),"On Going",IF(ISNUMBER(SEARCH("Sudah Terbit",Table1[[#This Row],[Status Perizinan]])),"Selesai",IF(NOW()&lt;Table1[[#This Row],[PLAN PERMIT
start]],"Belum",IF(AND(NOW()&gt;=Table1[[#This Row],[PLAN PERMIT
start]],NOW()&lt;=Table1[[#This Row],[PLAN PERMIT
finish]]),"On Going","Terlambat"))))</calculatedColumnFormula>
    </tableColumn>
    <tableColumn id="118" xr3:uid="{4007979D-AD4C-40C4-949B-06065397E515}" name="Remaining7" dataDxfId="173">
      <calculatedColumnFormula>IF(Table1[[#This Row],[Status Izin]]="Selesai",Table1[[#This Row],[PLAN PERMIT
finish]]-Table1[[#This Row],[Tanggal Terbit/ Target Izin Terbit]],ROUNDUP(Table1[[#This Row],[PLAN PERMIT
finish]]-NOW(),0))</calculatedColumnFormula>
    </tableColumn>
    <tableColumn id="209" xr3:uid="{022E7CAB-D7AC-4BB5-92D4-0B03E2CE8A6D}" name="Review14" dataDxfId="172">
      <calculatedColumnFormula>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calculatedColumnFormula>
    </tableColumn>
    <tableColumn id="217" xr3:uid="{A404D508-61D2-4E83-8EA3-8BE198F0061F}" name="Remain7" dataDxfId="171"/>
    <tableColumn id="161" xr3:uid="{CDB6B087-2EDB-444B-969F-E13C0DF28A62}" name="PLAN vs ACT" dataDxfId="170"/>
    <tableColumn id="117" xr3:uid="{20EE4F46-1F0B-4F17-9F00-53CFA7F10B3C}" name="PLAN Penyerahan DPPK" dataDxfId="169"/>
    <tableColumn id="116" xr3:uid="{FFB894FD-AF02-4126-A981-AFE31C0899BF}" name="Aktual DPPK" dataDxfId="168"/>
    <tableColumn id="119" xr3:uid="{3177FEDA-A0DA-4148-AECA-5AA863D17112}" name="Review" dataDxfId="167">
      <calculatedColumnFormula>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calculatedColumnFormula>
    </tableColumn>
    <tableColumn id="70" xr3:uid="{F81CEABC-9BB9-4A32-8D9B-E6F4AB6E7745}" name="PLAN PCM" dataDxfId="166"/>
    <tableColumn id="71" xr3:uid="{B9AC1394-4BCB-4848-8C45-D49BBA7BC906}" name="Tanggal Aktual PCM" dataDxfId="165"/>
    <tableColumn id="72" xr3:uid="{2F1AE22A-A46D-47F0-9254-9E9E2795743D}" name="Review PCM" dataDxfId="164">
      <calculatedColumnFormula>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calculatedColumnFormula>
    </tableColumn>
    <tableColumn id="74" xr3:uid="{C4CD36EF-DDE7-4601-ADEE-DF8997EAF286}" name="PLAN Kick Off" dataDxfId="163"/>
    <tableColumn id="75" xr3:uid="{9C97F8CA-E524-458D-808F-1C4FA063EBAB}" name="Tanggal Aktual Kick Off" dataDxfId="162"/>
    <tableColumn id="76" xr3:uid="{234DC022-7D76-413A-A107-FDFF3A01BC40}" name="Review Kick Off" dataDxfId="161">
      <calculatedColumnFormula>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calculatedColumnFormula>
    </tableColumn>
    <tableColumn id="77" xr3:uid="{9C33A1EE-F5D5-4E8E-A0C7-DD446BC0675E}" name="PLAN MC-0_x000a_start" dataDxfId="160"/>
    <tableColumn id="78" xr3:uid="{1430368B-8F97-4CBE-8A57-E2E6805C4035}" name="PLAN MC-0_x000a_finish" dataDxfId="159"/>
    <tableColumn id="79" xr3:uid="{6E01826C-C114-4D2F-A58D-A27D37F8F017}" name="Tanggal Aktual MC-0" dataDxfId="158"/>
    <tableColumn id="80" xr3:uid="{8EEE9549-B7C4-4908-BC51-5D8477F00D75}" name="Review MC-0" dataDxfId="157">
      <calculatedColumnFormula>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calculatedColumnFormula>
    </tableColumn>
    <tableColumn id="62" xr3:uid="{67B4A539-5C77-4B7D-AEB6-3B116E87F1AC}" name="PLAN KONSTRUKSI_x000a_start" dataDxfId="156"/>
    <tableColumn id="236" xr3:uid="{83298381-7BF4-41A7-8A37-6FD33B8F4BF1}" name="Forecast Konstruksi_x000a_Start" dataDxfId="155"/>
    <tableColumn id="58" xr3:uid="{213A0E1C-B054-4657-B589-C33E1FEE7444}" name="PLAN KONSTRUKSI_x000a_finish" dataDxfId="154"/>
    <tableColumn id="237" xr3:uid="{C29F2D82-15EB-4F47-B4C9-E404BFB38208}" name="Forecast Konstruksi_x000a_Finish_x000a_(s.d. Flushing)" dataDxfId="153"/>
    <tableColumn id="52" xr3:uid="{10EE1F16-F044-4A2F-91E0-CF8FC1258644}" name="Aktual Selesai Konstruksi*_x000a_(tanggal)" dataDxfId="152"/>
    <tableColumn id="48" xr3:uid="{23A134AC-BE93-4B32-B251-1284BCCD2D68}" name="Review Konstruksi" dataDxfId="151">
      <calculatedColumnFormula>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calculatedColumnFormula>
    </tableColumn>
    <tableColumn id="165" xr3:uid="{711F6392-0A3F-45BE-94D9-30120B2E5AEB}" name="PLAN Hydro Tes_x000a_start" dataDxfId="150"/>
    <tableColumn id="164" xr3:uid="{649138FB-5DF3-4EE9-BA92-501E65794317}" name="PLAN Hydro Tes_x000a_finish" dataDxfId="149"/>
    <tableColumn id="166" xr3:uid="{75DDFE1D-6BB3-4DA8-9C5D-8902A76F32FD}" name="Hydro Tes Actual_x000a_(tanggal)" dataDxfId="148"/>
    <tableColumn id="180" xr3:uid="{AFEE09A3-1782-43B1-AF58-FBB399938DB1}" name="Status Hydro" dataDxfId="147">
      <calculatedColumnFormula>IF(Table1[[#This Row],[Hydro Tes Actual
(tanggal)]]&lt;&gt;"","Sudah","Belum")</calculatedColumnFormula>
    </tableColumn>
    <tableColumn id="171" xr3:uid="{F60A442E-6179-4842-AD9C-48ADE4AB3AEB}" name="PLAN Interkoneksi_x000a_start" dataDxfId="146"/>
    <tableColumn id="170" xr3:uid="{F6EDA08A-4318-4EDD-8FCD-C4FEC10DF9BC}" name="PLAN Interkoneksi_x000a_finish" dataDxfId="145"/>
    <tableColumn id="169" xr3:uid="{2013DD1A-CE71-428C-A3E5-2D50ABE50336}" name="Interkoneksi Actual_x000a_(tanggal)" dataDxfId="144"/>
    <tableColumn id="181" xr3:uid="{2EFD4764-05C6-40C2-99B2-231AE3A1CADB}" name="Status Interkoneksi" dataDxfId="143">
      <calculatedColumnFormula>IF(Table1[[#This Row],[Interkoneksi Actual
(tanggal)]]&lt;&gt;"","Sudah","Belum")</calculatedColumnFormula>
    </tableColumn>
    <tableColumn id="175" xr3:uid="{68340165-8D0B-490A-A02D-44D1296896EB}" name="PLAN Flushing_x000a_start" dataDxfId="142"/>
    <tableColumn id="174" xr3:uid="{F39103D1-1E55-4AEB-A081-E5C8F55D7F40}" name="PLAN Flushing_x000a_finish" dataDxfId="141"/>
    <tableColumn id="173" xr3:uid="{59CF9935-20FF-4B1B-A168-82B9747CF3DE}" name="Flushing Actual_x000a_(tanggal)" dataDxfId="140"/>
    <tableColumn id="182" xr3:uid="{C3F86F73-8F56-4584-BD72-E3C317194863}" name="Status Flushing" dataDxfId="139">
      <calculatedColumnFormula>IF(Table1[[#This Row],[Flushing Actual
(tanggal)]]&lt;&gt;"","Sudah","Belum")</calculatedColumnFormula>
    </tableColumn>
    <tableColumn id="85" xr3:uid="{1F50C6DC-C552-4EB3-A01E-42F3C649197F}" name="PLAN TC_x000a_start" dataDxfId="138"/>
    <tableColumn id="238" xr3:uid="{2A34B123-36E4-4D13-9435-80E3CD3F41EE}" name="Forecast TC dan MC-100_x000a_Start" dataDxfId="137"/>
    <tableColumn id="86" xr3:uid="{4139FC01-60B7-46A0-AEDA-A8975388AFB8}" name="PLAN TC_x000a_finish" dataDxfId="136"/>
    <tableColumn id="87" xr3:uid="{636F445F-1286-4D09-BEEC-B529F26A8F70}" name="TC Aktual_x000a_(tanggal)" dataDxfId="135"/>
    <tableColumn id="88" xr3:uid="{F8C24857-15E7-4AB7-B54E-568E83EBB9E0}" name="Status TC" dataDxfId="134">
      <calculatedColumnFormula>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calculatedColumnFormula>
    </tableColumn>
    <tableColumn id="179" xr3:uid="{DC5E5B22-F465-4E65-AA27-D2593EBCC674}" name="PLAN Reinstatement_x000a_start" dataDxfId="133"/>
    <tableColumn id="178" xr3:uid="{FFEBBB89-5722-4F2F-9833-965F88D92490}" name="PLAN Reinstatement_x000a_finish" dataDxfId="132"/>
    <tableColumn id="177" xr3:uid="{1AC5809C-D532-49DF-989B-E51AB13A0536}" name="Reinstatement Aktual_x000a_(tanggal)" dataDxfId="131"/>
    <tableColumn id="176" xr3:uid="{BAF8FDB8-210A-4502-AEC6-03251902A423}" name="Status Reinstatement" dataDxfId="130"/>
    <tableColumn id="89" xr3:uid="{100AD1D4-FB65-4590-8DF9-FC51449BD16C}" name="PLAN MC-100_x000a_start" dataDxfId="129"/>
    <tableColumn id="90" xr3:uid="{20D30781-F37D-45D6-912F-C5A0051B7F32}" name="PLAN MC-100_x000a_finish" dataDxfId="128"/>
    <tableColumn id="239" xr3:uid="{BCAA4D8D-4D88-4DD0-82C8-528331D19316}" name="Forecast MC-100_x000a_Finish" dataDxfId="127"/>
    <tableColumn id="215" xr3:uid="{5C350C18-5D17-49CD-86B2-A176235D395E}" name="MC-100 (Pengukuran Lapangan)" dataDxfId="126"/>
    <tableColumn id="91" xr3:uid="{2DFFC34D-45DB-4A58-919B-9AFAD0D8B80E}" name="BA MC-100 Aktual_x000a_(Verifikasi)" dataDxfId="125"/>
    <tableColumn id="92" xr3:uid="{51DA950B-C3C1-4067-A684-00DBDF4C5D1C}" name="Review MC-100" dataDxfId="124">
      <calculatedColumnFormula>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calculatedColumnFormula>
    </tableColumn>
    <tableColumn id="188" xr3:uid="{4E66D513-DAA1-4609-8188-91B638FE6873}" name="PLAN DPPP_x000a_start" dataDxfId="123"/>
    <tableColumn id="240" xr3:uid="{CF60CFE0-B914-499C-BC0F-0BD4ABD044DB}" name="Forecast DPPP_x000a_Start" dataDxfId="122"/>
    <tableColumn id="187" xr3:uid="{8957B115-6D47-4368-89E3-7F410E102558}" name="PLAN DPPP_x000a_finish" dataDxfId="121"/>
    <tableColumn id="241" xr3:uid="{8260272E-1714-4DC1-9C44-4E74B7B727A0}" name="Forecast DPPP_x000a_Finish" dataDxfId="120"/>
    <tableColumn id="186" xr3:uid="{BBFE57EA-8137-4BA3-8972-E8B3141AB031}" name="Aktual Submit DPPP_x000a_(tanggal)" dataDxfId="119"/>
    <tableColumn id="185" xr3:uid="{30EBE966-B906-4BE0-A530-49FB97AAD8BB}" name="Review DPPP" dataDxfId="118">
      <calculatedColumnFormula>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calculatedColumnFormula>
    </tableColumn>
    <tableColumn id="158" xr3:uid="{3B2B58CD-3C72-4E35-A53C-F39AF2149D32}" name="Issue dan Forecast" dataDxfId="117"/>
    <tableColumn id="101" xr3:uid="{E9D1ADAF-6A5B-4341-9FD9-5D2BF490D66A}" name="Isu" dataDxfId="116"/>
    <tableColumn id="104" xr3:uid="{55A44C83-BEDF-48E2-95D2-58C4A1E36E2C}" name="Isu2" dataDxfId="1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6CFF75-B045-45A0-A79A-E9F1E08F5ABE}" name="Table3" displayName="Table3" ref="B3:AP467" totalsRowShown="0" headerRowDxfId="114" dataDxfId="113">
  <autoFilter ref="B3:AP467" xr:uid="{F36CFF75-B045-45A0-A79A-E9F1E08F5ABE}">
    <filterColumn colId="1">
      <filters>
        <filter val="SPAM Jatiluhur Hilir"/>
      </filters>
    </filterColumn>
    <filterColumn colId="4">
      <filters>
        <dateGroupItem year="2025" month="4" dateTimeGrouping="month"/>
      </filters>
    </filterColumn>
  </autoFilter>
  <tableColumns count="41">
    <tableColumn id="1" xr3:uid="{A4473C0F-7AB7-4178-BBAD-D67ADD2261E6}" name="No" dataDxfId="112">
      <calculatedColumnFormula>SUBTOTAL(3,$C$4:C4)</calculatedColumnFormula>
    </tableColumn>
    <tableColumn id="2" xr3:uid="{9A8E1769-C3FB-4D10-909E-826EAA4EFB49}" name="Proyek" dataDxfId="111"/>
    <tableColumn id="3" xr3:uid="{C5D0F2F5-DC91-4F6E-9D48-F04697F5BDDB}" name="Kode Program" dataDxfId="110"/>
    <tableColumn id="4" xr3:uid="{32A0241A-F396-4FC8-89DD-78D14C76304F}" name="Nama Program" dataDxfId="109"/>
    <tableColumn id="5" xr3:uid="{9270F435-04F4-4B96-9315-6257060F7484}" name="Jadwal TOK" dataDxfId="108"/>
    <tableColumn id="6" xr3:uid="{0C4F9EB1-BAB1-468F-91D2-37286515C243}" name="Schedule" dataDxfId="107"/>
    <tableColumn id="21" xr3:uid="{E0740F08-F5D9-48F7-827A-4F8BB39E19D1}" name="Status Aktual" dataDxfId="106">
      <calculatedColumnFormula>'Database MK'!Q5</calculatedColumnFormula>
    </tableColumn>
    <tableColumn id="38" xr3:uid="{CD159BDF-0D7A-4419-9049-29619A993753}" name="Target Progres_x000a_(%)" dataDxfId="105">
      <calculatedColumnFormula>'Database MK'!S5</calculatedColumnFormula>
    </tableColumn>
    <tableColumn id="37" xr3:uid="{7AA0F671-B32E-4F13-8DC8-F7E3EB96A1E7}" name="Progres Aktual_x000a_(%)" dataDxfId="104">
      <calculatedColumnFormula>'Database MK'!T5</calculatedColumnFormula>
    </tableColumn>
    <tableColumn id="36" xr3:uid="{0B09F476-2BB4-4574-B815-934524579CD7}" name="Deviasi_x000a_(%)" dataDxfId="103">
      <calculatedColumnFormula>'Database MK'!U5</calculatedColumnFormula>
    </tableColumn>
    <tableColumn id="40" xr3:uid="{0EBF9B90-153C-4629-93A0-180CE1EF82BC}" name="Volume_x000a_BA MC-0" dataDxfId="102">
      <calculatedColumnFormula>'Database MK'!V5</calculatedColumnFormula>
    </tableColumn>
    <tableColumn id="39" xr3:uid="{5F6C9AD5-EEB7-4B16-A6E9-ECFF5B9966E6}" name="Total Panjang Pipa Aktual" dataDxfId="101">
      <calculatedColumnFormula>'Database MK'!W5</calculatedColumnFormula>
    </tableColumn>
    <tableColumn id="41" xr3:uid="{E3C9F29F-7761-474E-A6E6-A173643BE695}" name="Selisih" dataDxfId="100">
      <calculatedColumnFormula>Table3[[#This Row],[Total Panjang Pipa Aktual]]-Table3[[#This Row],[Volume
BA MC-0]]</calculatedColumnFormula>
    </tableColumn>
    <tableColumn id="7" xr3:uid="{C716FF0D-189C-4F05-8F40-BF169539366B}" name="PR ABJ" dataDxfId="99">
      <calculatedColumnFormula>'Database MK'!DE5</calculatedColumnFormula>
    </tableColumn>
    <tableColumn id="8" xr3:uid="{13CFF06D-FBED-4429-9D42-392C8CBAE71C}" name="PO ABJ" dataDxfId="98">
      <calculatedColumnFormula>'Database MK'!DI5</calculatedColumnFormula>
    </tableColumn>
    <tableColumn id="9" xr3:uid="{034775A4-DB02-40E3-B913-51F850025BF6}" name="PR Jasa" dataDxfId="97">
      <calculatedColumnFormula>'Database MK'!DN5</calculatedColumnFormula>
    </tableColumn>
    <tableColumn id="10" xr3:uid="{931FF7B6-D798-427A-80BC-203E6E7B8CAD}" name="PO Jasa" dataDxfId="96">
      <calculatedColumnFormula>'Database MK'!DR5</calculatedColumnFormula>
    </tableColumn>
    <tableColumn id="11" xr3:uid="{1B3F7328-DE1C-4A0D-A07B-481DFFFAE90B}" name="PR Material" dataDxfId="95">
      <calculatedColumnFormula>'Database MK'!EA5</calculatedColumnFormula>
    </tableColumn>
    <tableColumn id="12" xr3:uid="{DA60F53E-92C2-4FBE-AFE0-ECF27B0D62D3}" name="PO Material" dataDxfId="94">
      <calculatedColumnFormula>'Database MK'!EI5</calculatedColumnFormula>
    </tableColumn>
    <tableColumn id="13" xr3:uid="{53CDE019-5AC8-43F1-8555-33C0394315AE}" name="MOS" dataDxfId="93">
      <calculatedColumnFormula>'Database MK'!ET5</calculatedColumnFormula>
    </tableColumn>
    <tableColumn id="14" xr3:uid="{E30C220D-AF23-4995-911C-AA983EEB8DF1}" name="DPPK" dataDxfId="92">
      <calculatedColumnFormula>'Database MK'!GA5</calculatedColumnFormula>
    </tableColumn>
    <tableColumn id="15" xr3:uid="{20445DDC-6453-4F75-92D4-2775B4AD9A17}" name="PCM" dataDxfId="91">
      <calculatedColumnFormula>'Database MK'!GD5</calculatedColumnFormula>
    </tableColumn>
    <tableColumn id="16" xr3:uid="{3EDF6F68-5256-4987-9AC8-A1A188D48003}" name="Kick Off" dataDxfId="90">
      <calculatedColumnFormula>'Database MK'!GG5</calculatedColumnFormula>
    </tableColumn>
    <tableColumn id="17" xr3:uid="{984AC1F2-F625-4780-84D8-A97A16A4CDA0}" name="MC-0" dataDxfId="89">
      <calculatedColumnFormula>'Database MK'!GK5</calculatedColumnFormula>
    </tableColumn>
    <tableColumn id="18" xr3:uid="{57FEACC5-4570-44A8-95BF-BD7D6E673792}" name="TC" dataDxfId="88">
      <calculatedColumnFormula>'Database MK'!HH5</calculatedColumnFormula>
    </tableColumn>
    <tableColumn id="19" xr3:uid="{C08BE1D9-35CA-40F6-BBA4-C33DE844C5AB}" name="MC-100" dataDxfId="87">
      <calculatedColumnFormula>'Database MK'!HR5</calculatedColumnFormula>
    </tableColumn>
    <tableColumn id="20" xr3:uid="{C11AE700-2795-454D-A816-8A65484A5A05}" name="DPPP" dataDxfId="86">
      <calculatedColumnFormula>'Database MK'!HX5</calculatedColumnFormula>
    </tableColumn>
    <tableColumn id="22" xr3:uid="{2ED373D4-11A2-4CBE-9E17-DACE4C963836}" name="PR ABJ_x000a_(Day)" dataDxfId="85">
      <calculatedColumnFormula>'Database MK'!DA5-'Database MK'!DB5</calculatedColumnFormula>
    </tableColumn>
    <tableColumn id="23" xr3:uid="{FCDBC17B-BFC1-4366-849B-FDB4A07653B3}" name="PO ABJ_x000a_(Day)" dataDxfId="84">
      <calculatedColumnFormula>'Database MK'!DA5-'Database MK'!DF5</calculatedColumnFormula>
    </tableColumn>
    <tableColumn id="24" xr3:uid="{0E8CF7FE-4CF1-4196-8E05-D21AA0F07848}" name="PR Jasa_x000a_(Day)" dataDxfId="83">
      <calculatedColumnFormula>'Database MK'!DK5-'Database MK'!DL5</calculatedColumnFormula>
    </tableColumn>
    <tableColumn id="25" xr3:uid="{CA30A0C3-68A5-4FFC-A199-EB083244A410}" name="PO Jasa_x000a_(Day)" dataDxfId="82">
      <calculatedColumnFormula>'Database MK'!DK5-'Database MK'!DO5</calculatedColumnFormula>
    </tableColumn>
    <tableColumn id="26" xr3:uid="{566BE2A3-7C4E-4D7D-9EC9-16E57C40D914}" name="PR Material_x000a_(Day)" dataDxfId="81">
      <calculatedColumnFormula>'Database MK'!DU5-'Database MK'!DW5</calculatedColumnFormula>
    </tableColumn>
    <tableColumn id="27" xr3:uid="{F2BEEFF9-8BCD-4C5C-97A7-218E791A5D40}" name="PO Material_x000a_(Day)" dataDxfId="80">
      <calculatedColumnFormula>IF('Database MK'!EB5="","Belum",'Database MK'!DU5-'Database MK'!EB5)</calculatedColumnFormula>
    </tableColumn>
    <tableColumn id="28" xr3:uid="{E1E9BB25-A231-45FA-B343-3DC9527B07FB}" name="MOS_x000a_(Day)" dataDxfId="79">
      <calculatedColumnFormula>IF('Database MK'!EN5="","Belum",'Database MK'!EL5-'Database MK'!EN5)</calculatedColumnFormula>
    </tableColumn>
    <tableColumn id="29" xr3:uid="{0E9AACA7-2358-406E-910A-9D0C1BA34125}" name="DPPK_x000a_(Day)" dataDxfId="78">
      <calculatedColumnFormula>'Database MK'!FY5-'Database MK'!FZ5</calculatedColumnFormula>
    </tableColumn>
    <tableColumn id="30" xr3:uid="{37FD6982-EB19-4D38-B361-11FA8C2B4BF9}" name="PCM_x000a_(Day)" dataDxfId="77">
      <calculatedColumnFormula>IF('Database MK'!GC5="","Belum",'Database MK'!GB5-'Database MK'!GC5)</calculatedColumnFormula>
    </tableColumn>
    <tableColumn id="31" xr3:uid="{477E4EC4-DC6F-4EDB-8EFD-7B8A139B3B51}" name="Kick Off_x000a_(Day)" dataDxfId="76">
      <calculatedColumnFormula>IF('Database MK'!GF5="","Belum",'Database MK'!GE5-'Database MK'!GF5)</calculatedColumnFormula>
    </tableColumn>
    <tableColumn id="32" xr3:uid="{20C34D95-E475-4E8F-836A-852EB1CF5A03}" name="MC-0_x000a_(Day)" dataDxfId="75">
      <calculatedColumnFormula>IF('Database MK'!GJ5="","Belum",'Database MK'!GI5-'Database MK'!GJ5)</calculatedColumnFormula>
    </tableColumn>
    <tableColumn id="33" xr3:uid="{B7C1B800-56B5-4CD8-AA9B-D504CFB0CB0E}" name="TC_x000a_(Day)" dataDxfId="74">
      <calculatedColumnFormula>IF('Database MK'!HG5="","Belum",'Database MK'!HF5-'Database MK'!HG5)</calculatedColumnFormula>
    </tableColumn>
    <tableColumn id="34" xr3:uid="{441F8D6B-A4E9-44FC-9C8A-66FAA94DCCDD}" name="MC-100_x000a_(Day)" dataDxfId="73">
      <calculatedColumnFormula>IF('Database MK'!HQ5="","Belum",'Database MK'!HN5-'Database MK'!HQ5)</calculatedColumnFormula>
    </tableColumn>
    <tableColumn id="35" xr3:uid="{4ECFA1F9-BD05-44D6-ADEB-8A034E580D36}" name="DPPP_x000a_(Day)" dataDxfId="72">
      <calculatedColumnFormula>IF('Database MK'!HW5="","Belum",'Database MK'!HU5-'Database MK'!HW5)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650C1-0536-4CAE-AEF5-050CBDEC4C30}">
  <sheetPr codeName="Sheet1">
    <pageSetUpPr fitToPage="1"/>
  </sheetPr>
  <dimension ref="A1:JB476"/>
  <sheetViews>
    <sheetView tabSelected="1" zoomScale="85" zoomScaleNormal="85" zoomScaleSheetLayoutView="50" workbookViewId="0">
      <pane xSplit="18" ySplit="4" topLeftCell="S346" activePane="bottomRight" state="frozen"/>
      <selection pane="topRight" activeCell="S1" sqref="S1"/>
      <selection pane="bottomLeft" activeCell="A5" sqref="A5"/>
      <selection pane="bottomRight" activeCell="G441" sqref="G441:G468"/>
    </sheetView>
  </sheetViews>
  <sheetFormatPr defaultColWidth="9.140625" defaultRowHeight="15" customHeight="1" outlineLevelCol="1" x14ac:dyDescent="0.25"/>
  <cols>
    <col min="1" max="1" width="3" style="6" customWidth="1"/>
    <col min="2" max="2" width="5.5703125" style="6" customWidth="1"/>
    <col min="3" max="3" width="9.140625" style="6" hidden="1" customWidth="1"/>
    <col min="4" max="4" width="16" style="6" customWidth="1"/>
    <col min="5" max="5" width="9.140625" customWidth="1"/>
    <col min="6" max="6" width="27.140625" style="4" customWidth="1"/>
    <col min="7" max="7" width="9.140625" style="4" customWidth="1"/>
    <col min="8" max="8" width="9.140625" style="6" customWidth="1"/>
    <col min="9" max="9" width="16.5703125" style="6" hidden="1" customWidth="1"/>
    <col min="10" max="10" width="21.5703125" style="124" customWidth="1"/>
    <col min="11" max="11" width="14" style="6" customWidth="1"/>
    <col min="12" max="12" width="21.5703125" style="6" customWidth="1"/>
    <col min="13" max="13" width="14.5703125" style="6" customWidth="1"/>
    <col min="14" max="14" width="14.140625" style="8" customWidth="1"/>
    <col min="15" max="15" width="13.42578125" style="95" customWidth="1"/>
    <col min="16" max="16" width="23.5703125" style="8" customWidth="1"/>
    <col min="17" max="17" width="15" style="63" customWidth="1"/>
    <col min="18" max="18" width="14.5703125" style="22" hidden="1" customWidth="1"/>
    <col min="19" max="19" width="12.42578125" style="66" bestFit="1" customWidth="1"/>
    <col min="20" max="20" width="9.140625" style="22" customWidth="1"/>
    <col min="21" max="21" width="9.140625" style="64" customWidth="1"/>
    <col min="22" max="22" width="14.42578125" style="64" bestFit="1" customWidth="1" collapsed="1"/>
    <col min="23" max="23" width="15.5703125" style="76" customWidth="1"/>
    <col min="24" max="24" width="9.140625" style="64" customWidth="1"/>
    <col min="25" max="25" width="62" style="251" hidden="1" customWidth="1" outlineLevel="1"/>
    <col min="26" max="27" width="26.7109375" style="200" hidden="1" customWidth="1" outlineLevel="1"/>
    <col min="28" max="28" width="22.42578125" style="8" hidden="1" customWidth="1" outlineLevel="1"/>
    <col min="29" max="30" width="23.7109375" style="6" hidden="1" customWidth="1" outlineLevel="1"/>
    <col min="31" max="31" width="25.140625" style="6" hidden="1" customWidth="1" outlineLevel="1"/>
    <col min="32" max="33" width="23.7109375" style="6" hidden="1" customWidth="1" outlineLevel="1"/>
    <col min="34" max="35" width="11.42578125" style="6" hidden="1" customWidth="1" outlineLevel="1"/>
    <col min="36" max="36" width="11.42578125" style="65" hidden="1" customWidth="1" outlineLevel="1"/>
    <col min="37" max="38" width="11.42578125" style="22" hidden="1" customWidth="1" outlineLevel="1"/>
    <col min="39" max="39" width="9.140625" style="22" customWidth="1" collapsed="1"/>
    <col min="40" max="40" width="13.7109375" style="257" hidden="1" customWidth="1" outlineLevel="1" collapsed="1"/>
    <col min="41" max="61" width="13.7109375" style="257" hidden="1" customWidth="1" outlineLevel="1"/>
    <col min="62" max="62" width="14.140625" style="22" hidden="1" customWidth="1" outlineLevel="1"/>
    <col min="63" max="83" width="10" style="4" hidden="1" customWidth="1" outlineLevel="1"/>
    <col min="84" max="86" width="17.42578125" style="4" hidden="1" customWidth="1" outlineLevel="1"/>
    <col min="87" max="88" width="17.42578125" style="8" hidden="1" customWidth="1" outlineLevel="1"/>
    <col min="89" max="89" width="9.140625" style="8" customWidth="1" collapsed="1"/>
    <col min="90" max="90" width="12.5703125" style="8" customWidth="1" outlineLevel="1" collapsed="1"/>
    <col min="91" max="92" width="12.5703125" style="8" customWidth="1" outlineLevel="1"/>
    <col min="93" max="93" width="12.5703125" style="7" customWidth="1" outlineLevel="1"/>
    <col min="94" max="94" width="12.5703125" style="22" customWidth="1" outlineLevel="1"/>
    <col min="95" max="96" width="22.42578125" style="5" customWidth="1" outlineLevel="1"/>
    <col min="97" max="101" width="22.42578125" style="66" customWidth="1" outlineLevel="1"/>
    <col min="102" max="102" width="22.42578125" style="8" customWidth="1" outlineLevel="1"/>
    <col min="103" max="103" width="9.140625" style="8" customWidth="1"/>
    <col min="104" max="104" width="19" style="8" hidden="1" customWidth="1" outlineLevel="1" collapsed="1"/>
    <col min="105" max="105" width="19" style="8" hidden="1" customWidth="1" outlineLevel="1"/>
    <col min="106" max="106" width="13.85546875" style="8" hidden="1" customWidth="1" outlineLevel="1"/>
    <col min="107" max="107" width="20.85546875" style="8" hidden="1" customWidth="1" outlineLevel="1"/>
    <col min="108" max="108" width="17.42578125" style="8" hidden="1" customWidth="1" outlineLevel="1"/>
    <col min="109" max="109" width="16.85546875" style="65" hidden="1" customWidth="1" outlineLevel="1"/>
    <col min="110" max="110" width="15.42578125" style="6" hidden="1" customWidth="1" outlineLevel="1"/>
    <col min="111" max="111" width="17.85546875" style="8" hidden="1" customWidth="1" outlineLevel="1"/>
    <col min="112" max="112" width="21.42578125" style="44" hidden="1" customWidth="1" outlineLevel="1"/>
    <col min="113" max="113" width="17" style="6" hidden="1" customWidth="1" outlineLevel="1"/>
    <col min="114" max="115" width="16.85546875" style="8" hidden="1" customWidth="1" outlineLevel="1"/>
    <col min="116" max="116" width="17.5703125" style="8" hidden="1" customWidth="1" outlineLevel="1"/>
    <col min="117" max="117" width="27.28515625" style="8" hidden="1" customWidth="1" outlineLevel="1"/>
    <col min="118" max="118" width="18.140625" style="8" hidden="1" customWidth="1" outlineLevel="1"/>
    <col min="119" max="119" width="15.42578125" style="8" hidden="1" customWidth="1" outlineLevel="1"/>
    <col min="120" max="120" width="21.42578125" style="4" hidden="1" customWidth="1" outlineLevel="1"/>
    <col min="121" max="121" width="27.140625" style="6" hidden="1" customWidth="1" outlineLevel="1"/>
    <col min="122" max="122" width="18.7109375" style="4" hidden="1" customWidth="1" outlineLevel="1"/>
    <col min="123" max="126" width="18" style="8" hidden="1" customWidth="1" outlineLevel="1"/>
    <col min="127" max="127" width="15.5703125" style="8" hidden="1" customWidth="1" outlineLevel="1"/>
    <col min="128" max="128" width="27.140625" style="8" hidden="1" customWidth="1" outlineLevel="1"/>
    <col min="129" max="130" width="12" style="8" hidden="1" customWidth="1" outlineLevel="1"/>
    <col min="131" max="131" width="17.28515625" style="68" hidden="1" customWidth="1" outlineLevel="1"/>
    <col min="132" max="132" width="16.85546875" style="8" hidden="1" customWidth="1" outlineLevel="1"/>
    <col min="133" max="133" width="13.42578125" style="8" hidden="1" customWidth="1" outlineLevel="1"/>
    <col min="134" max="134" width="10.42578125" style="8" hidden="1" customWidth="1" outlineLevel="1"/>
    <col min="135" max="135" width="18.5703125" style="69" hidden="1" customWidth="1" outlineLevel="1"/>
    <col min="136" max="136" width="12" style="69" hidden="1" customWidth="1" outlineLevel="1"/>
    <col min="137" max="137" width="12.7109375" style="80" hidden="1" customWidth="1" outlineLevel="1"/>
    <col min="138" max="138" width="22.140625" style="80" hidden="1" customWidth="1" outlineLevel="1"/>
    <col min="139" max="139" width="13.28515625" style="80" hidden="1" customWidth="1" outlineLevel="1"/>
    <col min="140" max="143" width="12.7109375" hidden="1" customWidth="1" outlineLevel="1"/>
    <col min="144" max="144" width="18.5703125" hidden="1" customWidth="1" outlineLevel="1"/>
    <col min="145" max="146" width="9.85546875" hidden="1" customWidth="1" outlineLevel="1"/>
    <col min="147" max="147" width="14.5703125" hidden="1" customWidth="1" outlineLevel="1"/>
    <col min="148" max="148" width="15.140625" hidden="1" customWidth="1" outlineLevel="1"/>
    <col min="149" max="149" width="19" hidden="1" customWidth="1" outlineLevel="1"/>
    <col min="150" max="150" width="14.42578125" hidden="1" customWidth="1" outlineLevel="1"/>
    <col min="151" max="151" width="9.140625" style="8" customWidth="1" collapsed="1"/>
    <col min="152" max="153" width="16" style="8" hidden="1" customWidth="1" outlineLevel="1"/>
    <col min="154" max="155" width="17.28515625" style="8" hidden="1" customWidth="1" outlineLevel="1"/>
    <col min="156" max="157" width="30.140625" style="8" hidden="1" customWidth="1" outlineLevel="1"/>
    <col min="158" max="158" width="15.42578125" style="8" hidden="1" customWidth="1" outlineLevel="1"/>
    <col min="159" max="159" width="15.42578125" style="80" hidden="1" customWidth="1" outlineLevel="1"/>
    <col min="160" max="160" width="17" style="80" hidden="1" customWidth="1" outlineLevel="1"/>
    <col min="161" max="161" width="16.5703125" style="80" hidden="1" customWidth="1" outlineLevel="1"/>
    <col min="162" max="162" width="12" style="8" hidden="1" customWidth="1" outlineLevel="1"/>
    <col min="163" max="163" width="17" style="8" hidden="1" customWidth="1" outlineLevel="1" collapsed="1"/>
    <col min="164" max="164" width="17" style="8" hidden="1" customWidth="1" outlineLevel="1"/>
    <col min="165" max="176" width="22.85546875" style="8" hidden="1" customWidth="1" outlineLevel="1"/>
    <col min="177" max="178" width="20.140625" style="8" hidden="1" customWidth="1" outlineLevel="1"/>
    <col min="179" max="179" width="14.5703125" style="8" hidden="1" customWidth="1" outlineLevel="1"/>
    <col min="180" max="180" width="9.140625" style="8" customWidth="1" collapsed="1"/>
    <col min="181" max="181" width="24.42578125" style="8" customWidth="1" outlineLevel="1"/>
    <col min="182" max="182" width="16.5703125" style="6" customWidth="1" outlineLevel="1"/>
    <col min="183" max="183" width="16.140625" style="8" customWidth="1" outlineLevel="1"/>
    <col min="184" max="184" width="14.85546875" style="8" customWidth="1" outlineLevel="1"/>
    <col min="185" max="185" width="18.28515625" style="6" customWidth="1" outlineLevel="1"/>
    <col min="186" max="186" width="16.140625" style="6" customWidth="1" outlineLevel="1"/>
    <col min="187" max="187" width="17.42578125" style="6" customWidth="1" outlineLevel="1"/>
    <col min="188" max="188" width="14.140625" style="6" customWidth="1" outlineLevel="1"/>
    <col min="189" max="189" width="16.140625" style="6" customWidth="1" outlineLevel="1"/>
    <col min="190" max="191" width="15.42578125" style="6" customWidth="1" outlineLevel="1"/>
    <col min="192" max="192" width="22.28515625" style="6" customWidth="1" outlineLevel="1"/>
    <col min="193" max="193" width="17.28515625" style="7" customWidth="1" outlineLevel="1"/>
    <col min="194" max="195" width="16.85546875" style="8" customWidth="1" outlineLevel="1"/>
    <col min="196" max="197" width="21.7109375" style="6" customWidth="1" outlineLevel="1"/>
    <col min="198" max="198" width="17.85546875" style="8" customWidth="1" outlineLevel="1"/>
    <col min="199" max="199" width="21.5703125" style="6" customWidth="1" outlineLevel="1"/>
    <col min="200" max="201" width="19.5703125" style="8" customWidth="1" outlineLevel="1"/>
    <col min="202" max="202" width="13.140625" style="6" customWidth="1" outlineLevel="1"/>
    <col min="203" max="203" width="16.7109375" style="8" customWidth="1" outlineLevel="1"/>
    <col min="204" max="204" width="21.5703125" style="4" customWidth="1" outlineLevel="1"/>
    <col min="205" max="205" width="21.5703125" style="116" customWidth="1" outlineLevel="1"/>
    <col min="206" max="206" width="32.28515625" customWidth="1" outlineLevel="1"/>
    <col min="207" max="207" width="16.5703125" style="4" customWidth="1" outlineLevel="1"/>
    <col min="208" max="208" width="18" style="4" customWidth="1" outlineLevel="1"/>
    <col min="209" max="209" width="18" style="49" customWidth="1" outlineLevel="1"/>
    <col min="210" max="210" width="13.42578125" style="49" customWidth="1" outlineLevel="1"/>
    <col min="211" max="211" width="18.5703125" style="49" customWidth="1" outlineLevel="1"/>
    <col min="212" max="212" width="13.28515625" style="4" customWidth="1" outlineLevel="1"/>
    <col min="213" max="213" width="21.42578125" style="4" customWidth="1" outlineLevel="1"/>
    <col min="214" max="214" width="13.28515625" style="4" customWidth="1" outlineLevel="1"/>
    <col min="215" max="215" width="14" style="49" customWidth="1" outlineLevel="1"/>
    <col min="216" max="216" width="16.28515625" customWidth="1" outlineLevel="1"/>
    <col min="217" max="217" width="18.5703125" style="49" customWidth="1" outlineLevel="1"/>
    <col min="218" max="218" width="18.5703125" style="4" customWidth="1" outlineLevel="1"/>
    <col min="219" max="220" width="18.5703125" style="49" customWidth="1" outlineLevel="1"/>
    <col min="221" max="221" width="17.42578125" customWidth="1" outlineLevel="1"/>
    <col min="222" max="224" width="17.42578125" style="49" customWidth="1" outlineLevel="1"/>
    <col min="225" max="225" width="18.5703125" style="4" customWidth="1" outlineLevel="1"/>
    <col min="226" max="226" width="19.5703125" style="70" customWidth="1" outlineLevel="1"/>
    <col min="227" max="228" width="15.42578125" customWidth="1" outlineLevel="1"/>
    <col min="229" max="230" width="15.42578125" style="67" customWidth="1" outlineLevel="1"/>
    <col min="231" max="231" width="18" style="4" customWidth="1" outlineLevel="1"/>
    <col min="232" max="232" width="17.28515625" style="49" customWidth="1" outlineLevel="1"/>
    <col min="233" max="233" width="9.140625" style="29" customWidth="1"/>
    <col min="234" max="234" width="20.140625" style="49" customWidth="1" outlineLevel="1"/>
    <col min="235" max="235" width="13.140625" style="117" customWidth="1" outlineLevel="1"/>
    <col min="236" max="236" width="9.140625" style="49" customWidth="1"/>
    <col min="237" max="237" width="9.140625" style="29" customWidth="1"/>
    <col min="238" max="239" width="9.140625" style="70" customWidth="1"/>
    <col min="240" max="240" width="9.140625" style="117" customWidth="1"/>
    <col min="241" max="241" width="9.140625" style="29" customWidth="1"/>
    <col min="242" max="244" width="9.140625" style="8" customWidth="1"/>
    <col min="245" max="245" width="9.140625" customWidth="1"/>
    <col min="246" max="249" width="9.140625" style="8" customWidth="1"/>
    <col min="250" max="250" width="9.140625" style="4" customWidth="1"/>
    <col min="251" max="251" width="9.140625" style="6" customWidth="1"/>
    <col min="252" max="252" width="9.140625" style="67" customWidth="1"/>
    <col min="253" max="253" width="9.140625" style="67" customWidth="1" collapsed="1"/>
    <col min="254" max="255" width="9.140625" style="8" customWidth="1"/>
    <col min="256" max="257" width="9.140625" style="6" customWidth="1"/>
    <col min="258" max="258" width="9.140625" style="67" customWidth="1"/>
    <col min="259" max="259" width="9.140625" style="8" customWidth="1"/>
    <col min="260" max="260" width="9.140625" style="6" customWidth="1"/>
    <col min="261" max="262" width="9.140625" style="4" customWidth="1"/>
    <col min="263" max="263" width="47" style="6" customWidth="1"/>
    <col min="264" max="264" width="31.85546875" style="6" customWidth="1"/>
    <col min="265" max="16384" width="9.140625" style="6"/>
  </cols>
  <sheetData>
    <row r="1" spans="1:238" s="4" customFormat="1" ht="85.5" customHeight="1" x14ac:dyDescent="0.25">
      <c r="A1" s="6"/>
      <c r="G1" s="6"/>
      <c r="H1" s="6"/>
      <c r="J1" s="124"/>
      <c r="L1" s="7"/>
      <c r="M1"/>
      <c r="N1" s="91" t="s">
        <v>0</v>
      </c>
      <c r="O1" s="7"/>
      <c r="P1" s="43"/>
      <c r="Q1" s="43"/>
      <c r="R1" s="21"/>
      <c r="S1" s="21"/>
      <c r="T1" s="21"/>
      <c r="U1" s="98"/>
      <c r="V1" s="98"/>
      <c r="W1" s="98"/>
      <c r="X1" s="98"/>
      <c r="Y1" s="584" t="s">
        <v>1</v>
      </c>
      <c r="Z1" s="201"/>
      <c r="AA1" s="98">
        <f>17+64</f>
        <v>81</v>
      </c>
      <c r="AC1" s="4" t="s">
        <v>2</v>
      </c>
      <c r="AG1" s="43"/>
      <c r="AH1" s="21"/>
      <c r="AI1" s="21"/>
      <c r="AJ1" s="21"/>
      <c r="AK1" s="21"/>
      <c r="AL1" s="21"/>
      <c r="AM1" s="86"/>
      <c r="AN1" s="258" t="s">
        <v>3</v>
      </c>
      <c r="AO1" s="258" t="s">
        <v>4</v>
      </c>
      <c r="AP1" s="56"/>
      <c r="AQ1" s="56"/>
      <c r="AR1" s="56"/>
      <c r="AS1" s="56"/>
      <c r="AT1" s="56"/>
      <c r="AU1" s="56"/>
      <c r="AV1" s="56"/>
      <c r="AW1" s="56"/>
      <c r="AX1" s="56"/>
      <c r="AY1" s="56"/>
      <c r="AZ1" s="56"/>
      <c r="BA1" s="56"/>
      <c r="BB1" s="56"/>
      <c r="BC1" s="56"/>
      <c r="BD1" s="56"/>
      <c r="BE1" s="56"/>
      <c r="BF1" s="56"/>
      <c r="BG1" s="56"/>
      <c r="BH1" s="257" t="s">
        <v>5</v>
      </c>
      <c r="BI1" s="56"/>
      <c r="BJ1" s="14" t="s">
        <v>6</v>
      </c>
      <c r="BK1" s="45"/>
      <c r="BL1" s="45"/>
      <c r="BM1" s="7">
        <f>678-218</f>
        <v>460</v>
      </c>
      <c r="BN1" s="120"/>
      <c r="BO1" s="7"/>
      <c r="BP1" s="7"/>
      <c r="BQ1" s="7"/>
      <c r="BR1" s="7"/>
      <c r="BS1" s="7">
        <f>18591-17446</f>
        <v>1145</v>
      </c>
      <c r="BT1" s="7"/>
      <c r="BU1" s="7"/>
      <c r="BV1" s="7"/>
      <c r="BW1" s="7"/>
      <c r="BX1" s="7"/>
      <c r="BY1" s="7"/>
      <c r="BZ1" s="7"/>
      <c r="CA1" s="7"/>
      <c r="CB1" s="7"/>
      <c r="CC1" s="7"/>
      <c r="CD1" s="7"/>
      <c r="CE1" s="7"/>
      <c r="CF1" s="7"/>
      <c r="CG1" s="7"/>
      <c r="CH1" s="7"/>
      <c r="CI1" s="7"/>
      <c r="CJ1" s="46"/>
      <c r="CK1" s="46"/>
      <c r="CL1" s="24"/>
      <c r="CM1" s="21"/>
      <c r="CN1" s="24"/>
      <c r="CO1" s="24"/>
      <c r="CP1" s="7"/>
      <c r="CQ1" s="96"/>
      <c r="CS1" s="7"/>
      <c r="CT1" s="7"/>
      <c r="CU1" s="87"/>
      <c r="CV1" s="88"/>
      <c r="CW1" s="43"/>
      <c r="CX1" s="196"/>
      <c r="CY1" s="43"/>
      <c r="CZ1" s="29"/>
      <c r="DA1" s="7"/>
      <c r="DB1" s="7"/>
      <c r="DC1" s="7"/>
      <c r="DE1" s="7"/>
      <c r="DF1" s="7"/>
      <c r="DG1" s="7"/>
      <c r="DH1" s="108"/>
      <c r="DI1" s="7"/>
      <c r="DJ1" s="7"/>
      <c r="DK1" s="7"/>
      <c r="DM1" s="7"/>
      <c r="DN1" s="7"/>
      <c r="DO1" s="4" t="s">
        <v>7</v>
      </c>
      <c r="DP1" s="7"/>
      <c r="DR1" s="7"/>
      <c r="DS1" s="7"/>
      <c r="DT1" s="7"/>
      <c r="DU1" s="7"/>
      <c r="DV1" s="7"/>
      <c r="DX1" s="7"/>
      <c r="DY1" s="7"/>
      <c r="DZ1" s="57"/>
      <c r="EA1" s="7"/>
      <c r="EB1" s="48"/>
      <c r="EC1" s="57"/>
      <c r="ED1" s="7"/>
      <c r="EE1" s="48"/>
      <c r="EF1" s="24"/>
      <c r="EG1" s="24"/>
      <c r="EH1" s="7"/>
      <c r="EI1" s="7"/>
      <c r="EJ1" s="7"/>
      <c r="EK1" s="7"/>
      <c r="EL1" s="7"/>
      <c r="EM1" s="7"/>
      <c r="EN1" s="7"/>
      <c r="EO1" s="7"/>
      <c r="EP1" s="57"/>
      <c r="EQ1" s="21"/>
      <c r="ER1" s="27"/>
      <c r="ES1" s="7"/>
      <c r="ET1" s="7"/>
      <c r="EU1" s="7"/>
      <c r="EV1" s="7"/>
      <c r="EW1" s="7"/>
      <c r="EX1" s="7"/>
      <c r="EY1" s="7"/>
      <c r="FB1" s="7"/>
      <c r="FC1" s="7"/>
      <c r="FD1" s="7"/>
      <c r="FE1" s="7"/>
      <c r="FF1" s="7"/>
      <c r="FG1" s="7"/>
      <c r="FH1" s="7"/>
      <c r="FI1" s="7"/>
      <c r="FJ1" s="7"/>
      <c r="FK1" s="7"/>
      <c r="FP1" s="7"/>
      <c r="FQ1" s="6"/>
      <c r="FR1" s="6"/>
      <c r="FT1" s="7"/>
      <c r="FU1" s="7"/>
      <c r="FV1" s="7"/>
      <c r="FW1" s="7"/>
      <c r="FX1" s="7"/>
      <c r="FY1" s="7"/>
      <c r="FZ1" s="7"/>
      <c r="GA1" s="7"/>
      <c r="GB1" s="7"/>
      <c r="GC1" s="8"/>
      <c r="GD1" s="7"/>
      <c r="GE1" s="7"/>
      <c r="GF1" s="49"/>
      <c r="GG1" s="7"/>
      <c r="GH1" s="7"/>
      <c r="GI1" s="7"/>
      <c r="GJ1" s="49"/>
      <c r="GK1" s="7"/>
      <c r="GL1" s="7"/>
      <c r="GM1" s="7"/>
      <c r="GN1" s="7"/>
      <c r="GO1" s="7"/>
      <c r="GP1" s="7"/>
      <c r="GQ1" s="7"/>
      <c r="GR1" s="29"/>
      <c r="GS1" s="29"/>
      <c r="GT1" s="121"/>
      <c r="GU1" s="7"/>
      <c r="GV1" s="29"/>
      <c r="GW1" s="29"/>
      <c r="GX1" s="29"/>
      <c r="GY1" s="7"/>
      <c r="GZ1" s="29"/>
      <c r="HA1" s="29"/>
      <c r="HB1" s="29"/>
      <c r="HC1" s="7"/>
      <c r="HD1" s="29"/>
      <c r="HE1" s="29"/>
      <c r="HF1" s="29"/>
      <c r="HG1" s="49"/>
      <c r="HH1" s="7"/>
      <c r="HI1" s="29"/>
      <c r="HJ1" s="29"/>
      <c r="HK1" s="29"/>
      <c r="HL1" s="7"/>
      <c r="HM1" s="29"/>
      <c r="HN1" s="29"/>
      <c r="HO1" s="29"/>
      <c r="HP1" s="29"/>
      <c r="HQ1" s="29"/>
      <c r="HR1" s="7"/>
      <c r="HW1" s="7"/>
      <c r="HX1" s="7"/>
      <c r="HZ1" s="6"/>
    </row>
    <row r="2" spans="1:238" s="4" customFormat="1" ht="23.25" x14ac:dyDescent="0.25">
      <c r="B2" s="50"/>
      <c r="C2" s="50"/>
      <c r="D2" s="51" t="s">
        <v>8</v>
      </c>
      <c r="E2" s="52"/>
      <c r="F2" s="7"/>
      <c r="G2" s="52"/>
      <c r="H2" s="53"/>
      <c r="I2" s="52"/>
      <c r="J2" s="124"/>
      <c r="K2" s="52"/>
      <c r="L2" s="7"/>
      <c r="M2"/>
      <c r="N2" s="91"/>
      <c r="O2" s="52"/>
      <c r="P2" s="43"/>
      <c r="Q2" s="43"/>
      <c r="R2" s="21"/>
      <c r="S2" s="125"/>
      <c r="T2" s="125"/>
      <c r="V2" s="73"/>
      <c r="W2" s="55">
        <f>W3/N3</f>
        <v>0.44879170691687603</v>
      </c>
      <c r="X2" s="52"/>
      <c r="Y2" s="52"/>
      <c r="Z2" s="200"/>
      <c r="AA2" s="98"/>
      <c r="AB2" s="52"/>
      <c r="AC2" s="52"/>
      <c r="AD2" s="52"/>
      <c r="AE2" s="52"/>
      <c r="AF2" s="52"/>
      <c r="AG2" s="43"/>
      <c r="AH2" s="21"/>
      <c r="AI2" s="21"/>
      <c r="AJ2" s="21"/>
      <c r="AK2" s="21"/>
      <c r="AL2" s="21"/>
      <c r="AM2" s="21"/>
      <c r="AN2" s="56"/>
      <c r="AO2" s="56"/>
      <c r="AP2" s="56"/>
      <c r="AQ2" s="56"/>
      <c r="AR2" s="56"/>
      <c r="AS2" s="56"/>
      <c r="AT2" s="56"/>
      <c r="AU2" s="56"/>
      <c r="AV2" s="56"/>
      <c r="AW2" s="56"/>
      <c r="AX2" s="56"/>
      <c r="AY2" s="56"/>
      <c r="AZ2" s="56"/>
      <c r="BA2" s="56"/>
      <c r="BB2" s="56"/>
      <c r="BC2" s="56"/>
      <c r="BD2" s="56"/>
      <c r="BE2" s="56"/>
      <c r="BF2" s="56"/>
      <c r="BG2" s="56"/>
      <c r="BH2" s="56"/>
      <c r="BI2" s="56"/>
      <c r="BJ2" s="7">
        <v>60.5</v>
      </c>
      <c r="BK2" s="7"/>
      <c r="BL2" s="7"/>
      <c r="BM2" s="8"/>
      <c r="BN2" s="7"/>
      <c r="BO2" s="7"/>
      <c r="BP2" s="7"/>
      <c r="BQ2" s="7"/>
      <c r="BR2" s="7"/>
      <c r="BS2" s="7"/>
      <c r="BT2" s="7"/>
      <c r="BU2" s="7"/>
      <c r="BV2" s="7"/>
      <c r="BW2" s="7"/>
      <c r="BX2" s="7"/>
      <c r="BY2" s="7"/>
      <c r="BZ2" s="7"/>
      <c r="CA2" s="7"/>
      <c r="CB2" s="7"/>
      <c r="CC2" s="7"/>
      <c r="CD2" s="7"/>
      <c r="CE2" s="7"/>
      <c r="CF2" s="7"/>
      <c r="CG2" s="7"/>
      <c r="CH2" s="7"/>
      <c r="CI2" s="7"/>
      <c r="CJ2" s="46"/>
      <c r="CK2" s="46"/>
      <c r="CL2" s="24"/>
      <c r="CM2" s="21"/>
      <c r="CN2" s="24"/>
      <c r="CO2" s="24"/>
      <c r="CP2" s="25" t="s">
        <v>9</v>
      </c>
      <c r="CQ2" s="7"/>
      <c r="CS2" s="7"/>
      <c r="CT2" s="7"/>
      <c r="CU2" s="47" t="s">
        <v>10</v>
      </c>
      <c r="CV2" s="7"/>
      <c r="CW2" s="47"/>
      <c r="CX2" s="47" t="s">
        <v>10</v>
      </c>
      <c r="CY2" s="43"/>
      <c r="CZ2" s="29"/>
      <c r="DA2" s="7"/>
      <c r="DB2" s="7"/>
      <c r="DC2" s="7"/>
      <c r="DE2" s="7"/>
      <c r="DF2" s="7"/>
      <c r="DG2" s="7"/>
      <c r="DH2" s="108"/>
      <c r="DI2" s="7"/>
      <c r="DJ2" s="7"/>
      <c r="DK2" s="7"/>
      <c r="DM2" s="7"/>
      <c r="DN2" s="7"/>
      <c r="DP2" s="7"/>
      <c r="DR2" s="7"/>
      <c r="DS2" s="7"/>
      <c r="DT2" s="7"/>
      <c r="DU2" s="7"/>
      <c r="DV2" s="7"/>
      <c r="DX2" s="7"/>
      <c r="DY2" s="7"/>
      <c r="DZ2" s="7"/>
      <c r="EA2" s="7"/>
      <c r="EB2" s="48"/>
      <c r="EC2" s="7"/>
      <c r="ED2" s="7"/>
      <c r="EE2" s="48"/>
      <c r="EF2" s="24"/>
      <c r="EG2" s="24"/>
      <c r="EH2" s="7"/>
      <c r="EI2" s="7"/>
      <c r="EJ2" s="7"/>
      <c r="EK2" s="7"/>
      <c r="EL2" s="56"/>
      <c r="EM2" s="56"/>
      <c r="EN2" s="56"/>
      <c r="EO2" s="192"/>
      <c r="EP2" s="192"/>
      <c r="EQ2" s="21"/>
      <c r="ER2" s="27"/>
      <c r="ES2" s="7"/>
      <c r="ET2" s="7"/>
      <c r="EU2" s="7"/>
      <c r="EV2" s="7"/>
      <c r="EW2" s="7"/>
      <c r="EX2" s="7"/>
      <c r="EY2" s="7"/>
      <c r="FB2" s="7"/>
      <c r="FC2" s="7"/>
      <c r="FD2" s="7"/>
      <c r="FE2" s="7"/>
      <c r="FF2" s="7"/>
      <c r="FG2" s="7"/>
      <c r="FH2" s="7"/>
      <c r="FI2" s="7"/>
      <c r="FJ2" s="7"/>
      <c r="FK2" s="7"/>
      <c r="FP2" s="7"/>
      <c r="FQ2" s="6"/>
      <c r="FR2" s="6"/>
      <c r="FT2" s="7"/>
      <c r="FU2" s="7"/>
      <c r="FV2" s="7"/>
      <c r="FW2" s="7"/>
      <c r="FX2" s="7"/>
      <c r="FY2" s="7"/>
      <c r="FZ2" s="7"/>
      <c r="GA2" s="7"/>
      <c r="GB2" s="7"/>
      <c r="GD2" s="7"/>
      <c r="GE2" s="7"/>
      <c r="GF2" s="49"/>
      <c r="GG2" s="7"/>
      <c r="GH2" s="7"/>
      <c r="GI2" s="7"/>
      <c r="GJ2" s="49"/>
      <c r="GK2" s="7"/>
      <c r="GL2" s="7"/>
      <c r="GM2" s="7"/>
      <c r="GN2" s="7"/>
      <c r="GO2" s="7"/>
      <c r="GP2" s="7"/>
      <c r="GQ2" s="7"/>
      <c r="GR2" s="29"/>
      <c r="GS2" s="29"/>
      <c r="GT2" s="121"/>
      <c r="GU2" s="7"/>
      <c r="GV2" s="29"/>
      <c r="GW2" s="29"/>
      <c r="GX2" s="29"/>
      <c r="GY2" s="7"/>
      <c r="GZ2" s="29"/>
      <c r="HA2" s="29"/>
      <c r="HB2" s="29"/>
      <c r="HC2" s="7"/>
      <c r="HD2" s="29"/>
      <c r="HE2" s="29"/>
      <c r="HF2" s="29"/>
      <c r="HG2" s="49"/>
      <c r="HH2" s="7"/>
      <c r="HI2" s="29"/>
      <c r="HJ2" s="29"/>
      <c r="HK2" s="29"/>
      <c r="HL2" s="7"/>
      <c r="HM2" s="29"/>
      <c r="HN2" s="29"/>
      <c r="HO2" s="29"/>
      <c r="HP2" s="29"/>
      <c r="HQ2" s="29"/>
      <c r="HR2" s="7"/>
      <c r="HW2" s="7"/>
      <c r="HX2" s="7"/>
    </row>
    <row r="3" spans="1:238" s="4" customFormat="1" x14ac:dyDescent="0.25">
      <c r="D3" s="57">
        <f>SUBTOTAL(3,D5:D468)</f>
        <v>464</v>
      </c>
      <c r="H3" s="6"/>
      <c r="J3" s="124"/>
      <c r="L3" s="7"/>
      <c r="M3" s="7"/>
      <c r="N3" s="92">
        <f>SUBTOTAL(9,N5:N468)</f>
        <v>1785705</v>
      </c>
      <c r="O3" s="7"/>
      <c r="P3" s="43"/>
      <c r="Q3" s="43"/>
      <c r="R3" s="54" t="e">
        <f>SUBTOTAL(101,R5:R509)</f>
        <v>#N/A</v>
      </c>
      <c r="S3" s="54">
        <f>SUBTOTAL(101,S5:S509)</f>
        <v>0.94650020776196253</v>
      </c>
      <c r="T3" s="54">
        <f>SUBTOTAL(101,T5:T509)</f>
        <v>0.61404131643169624</v>
      </c>
      <c r="U3" s="54">
        <f>SUBTOTAL(101,U5:U509)</f>
        <v>-0.30265089531593747</v>
      </c>
      <c r="V3" s="259">
        <f>SUBTOTAL(9,V5:V509)</f>
        <v>1247361.1600000004</v>
      </c>
      <c r="W3" s="259">
        <f>SUBTOTAL(9,W5:W509)</f>
        <v>801409.59500000009</v>
      </c>
      <c r="X3" s="259">
        <f>SUBTOTAL(9,W5:W468)</f>
        <v>801409.59500000009</v>
      </c>
      <c r="Y3" s="58"/>
      <c r="Z3" s="197">
        <f t="shared" ref="Z3:AF3" si="0">SUBTOTAL(9,Z5:Z440)</f>
        <v>6211754526568.3008</v>
      </c>
      <c r="AA3" s="197">
        <f t="shared" si="0"/>
        <v>5130059273839</v>
      </c>
      <c r="AB3" s="59">
        <f t="shared" si="0"/>
        <v>2148291384898.5491</v>
      </c>
      <c r="AC3" s="59">
        <f t="shared" si="0"/>
        <v>111147211209.9514</v>
      </c>
      <c r="AD3" s="59">
        <f t="shared" si="0"/>
        <v>1383126950853.5776</v>
      </c>
      <c r="AE3" s="59">
        <f t="shared" si="0"/>
        <v>643356662508.85999</v>
      </c>
      <c r="AF3" s="59">
        <f t="shared" si="0"/>
        <v>10660560326.16</v>
      </c>
      <c r="AG3" s="43"/>
      <c r="AH3" s="21"/>
      <c r="AI3" s="21"/>
      <c r="AJ3" s="21"/>
      <c r="AK3" s="21"/>
      <c r="AL3" s="21"/>
      <c r="AM3" s="21"/>
      <c r="AN3" s="254">
        <f>SUBTOTAL(9,AN5:AN468)</f>
        <v>1050956.1600000001</v>
      </c>
      <c r="AO3" s="254">
        <f>SUBTOTAL(9,AO5:AO468)</f>
        <v>891629.3600000001</v>
      </c>
      <c r="AP3" s="254"/>
      <c r="AQ3" s="254"/>
      <c r="AR3" s="254"/>
      <c r="AS3" s="254"/>
      <c r="AT3" s="254"/>
      <c r="AU3" s="254"/>
      <c r="AV3" s="254"/>
      <c r="AW3" s="254"/>
      <c r="AX3" s="254"/>
      <c r="AY3" s="254"/>
      <c r="AZ3" s="254"/>
      <c r="BA3" s="254"/>
      <c r="BB3" s="254"/>
      <c r="BC3" s="254"/>
      <c r="BD3" s="254"/>
      <c r="BE3" s="254"/>
      <c r="BF3" s="254"/>
      <c r="BG3" s="254"/>
      <c r="BH3" s="254"/>
      <c r="BI3" s="254"/>
      <c r="BJ3" s="58">
        <f>SUBTOTAL(9,BJ5:BJ468)</f>
        <v>801409.59500000009</v>
      </c>
      <c r="BK3" s="58">
        <f>SUBTOTAL(9,BK5:BK468)</f>
        <v>354606.06000000011</v>
      </c>
      <c r="BL3" s="58">
        <f t="shared" ref="BL3:CD3" si="1">SUBTOTAL(9,BL5:BL344)</f>
        <v>204036.10000000003</v>
      </c>
      <c r="BM3" s="58">
        <f t="shared" si="1"/>
        <v>87278</v>
      </c>
      <c r="BN3" s="58">
        <f t="shared" si="1"/>
        <v>48867</v>
      </c>
      <c r="BO3" s="58">
        <f t="shared" si="1"/>
        <v>18487.599999999999</v>
      </c>
      <c r="BP3" s="58">
        <f t="shared" si="1"/>
        <v>7344.4</v>
      </c>
      <c r="BQ3" s="58">
        <f t="shared" si="1"/>
        <v>13998.3</v>
      </c>
      <c r="BR3" s="58">
        <f t="shared" si="1"/>
        <v>52</v>
      </c>
      <c r="BS3" s="58">
        <f t="shared" si="1"/>
        <v>8097.83</v>
      </c>
      <c r="BT3" s="58">
        <f t="shared" si="1"/>
        <v>10980</v>
      </c>
      <c r="BU3" s="58">
        <f t="shared" si="1"/>
        <v>4706.3999999999996</v>
      </c>
      <c r="BV3" s="58">
        <f t="shared" si="1"/>
        <v>0</v>
      </c>
      <c r="BW3" s="58">
        <f t="shared" si="1"/>
        <v>7015.12</v>
      </c>
      <c r="BX3" s="58">
        <f t="shared" si="1"/>
        <v>0</v>
      </c>
      <c r="BY3" s="58">
        <f t="shared" si="1"/>
        <v>10270.645</v>
      </c>
      <c r="BZ3" s="58">
        <f t="shared" si="1"/>
        <v>4128.8</v>
      </c>
      <c r="CA3" s="58">
        <f t="shared" si="1"/>
        <v>10.1</v>
      </c>
      <c r="CB3" s="58">
        <f t="shared" si="1"/>
        <v>7994.9400000000005</v>
      </c>
      <c r="CC3" s="58">
        <f t="shared" si="1"/>
        <v>10061.299999999999</v>
      </c>
      <c r="CD3" s="58">
        <f t="shared" si="1"/>
        <v>2654</v>
      </c>
      <c r="CE3" s="58">
        <f t="shared" ref="CE3:CI3" si="2">SUBTOTAL(9,CE5:CE344)</f>
        <v>78358.8</v>
      </c>
      <c r="CF3" s="58">
        <f t="shared" si="2"/>
        <v>22064</v>
      </c>
      <c r="CG3" s="58">
        <f t="shared" si="2"/>
        <v>2386</v>
      </c>
      <c r="CH3" s="58">
        <f t="shared" si="2"/>
        <v>7393</v>
      </c>
      <c r="CI3" s="58">
        <f t="shared" si="2"/>
        <v>110201.8</v>
      </c>
      <c r="CJ3" s="58">
        <f>SUBTOTAL(9,CJ5:CJ468)</f>
        <v>168796.08</v>
      </c>
      <c r="CK3" s="58"/>
      <c r="CL3" s="26"/>
      <c r="CM3" s="27"/>
      <c r="CN3" s="26"/>
      <c r="CO3" s="26"/>
      <c r="CP3" s="28">
        <v>46033</v>
      </c>
      <c r="CQ3" s="25"/>
      <c r="CR3" s="25"/>
      <c r="CS3" s="25"/>
      <c r="CT3" s="25"/>
      <c r="CU3" s="58">
        <f>SUBTOTAL(9,CU5:CU468)</f>
        <v>3892488514831.686</v>
      </c>
      <c r="CV3" s="58">
        <f>SUBTOTAL(9,CV5:CV468)</f>
        <v>3892488514831.686</v>
      </c>
      <c r="CW3" s="58">
        <f>SUBTOTAL(9,CW5:CW468)</f>
        <v>2759515166751.4697</v>
      </c>
      <c r="CX3" s="58">
        <f>SUBTOTAL(9,CX5:CX468)</f>
        <v>2759515166751.4697</v>
      </c>
      <c r="CY3" s="58"/>
      <c r="CZ3" s="29"/>
      <c r="DA3" s="7"/>
      <c r="DB3" s="7"/>
      <c r="DC3" s="260">
        <f>SUBTOTAL(3,DC5:DC468)</f>
        <v>319</v>
      </c>
      <c r="DD3" s="58">
        <f>SUBTOTAL(9,DD5:DD468)</f>
        <v>5970852281351.3867</v>
      </c>
      <c r="DE3" s="7"/>
      <c r="DF3" s="7"/>
      <c r="DG3" s="260">
        <f>SUBTOTAL(3,DG5:DG468)</f>
        <v>316</v>
      </c>
      <c r="DH3" s="109">
        <f>SUBTOTAL(9,DH5:DH468)</f>
        <v>5937392342002.0967</v>
      </c>
      <c r="DI3" s="7"/>
      <c r="DJ3" s="7"/>
      <c r="DK3" s="7"/>
      <c r="DM3" s="7">
        <f>SUBTOTAL(3,DM345:DM439)</f>
        <v>92</v>
      </c>
      <c r="DN3" s="7">
        <f ca="1">SUBTOTAL(3,DN345:DN439)</f>
        <v>95</v>
      </c>
      <c r="DO3" s="7">
        <f>SUBTOTAL(3,DO345:DO439)</f>
        <v>92</v>
      </c>
      <c r="DP3" s="7">
        <f>SUBTOTAL(3,DP345:DP439)</f>
        <v>38</v>
      </c>
      <c r="DR3" s="7">
        <f ca="1">SUBTOTAL(3,DR345:DR439)</f>
        <v>95</v>
      </c>
      <c r="DS3" s="7"/>
      <c r="DT3" s="7"/>
      <c r="DU3" s="7"/>
      <c r="DV3" s="7"/>
      <c r="DX3" s="260">
        <f>SUBTOTAL(3,DX5:DX468)</f>
        <v>309</v>
      </c>
      <c r="DY3" s="7">
        <f>SUBTOTAL(9,DY5:DY468)</f>
        <v>11162</v>
      </c>
      <c r="DZ3" s="7">
        <f>SUBTOTAL(9,DZ5:DZ468)</f>
        <v>11145</v>
      </c>
      <c r="EA3" s="7">
        <f ca="1">SUBTOTAL(3,EA345:EA439)</f>
        <v>95</v>
      </c>
      <c r="EB3" s="48"/>
      <c r="EC3" s="7">
        <f>SUBTOTAL(9,EC5:EC468)</f>
        <v>10437</v>
      </c>
      <c r="ED3" s="7">
        <f>SUBTOTAL(9,ED5:ED468)</f>
        <v>10437</v>
      </c>
      <c r="EE3" s="48"/>
      <c r="EF3" s="21">
        <f>SUBTOTAL(101,EF5:EF468)</f>
        <v>0.97352645970631024</v>
      </c>
      <c r="EG3" s="21">
        <f>SUBTOTAL(101,EG5:EG468)</f>
        <v>0.97352645970631024</v>
      </c>
      <c r="EH3" s="7"/>
      <c r="EI3" s="7"/>
      <c r="EJ3" s="7"/>
      <c r="EK3" s="7"/>
      <c r="EL3" s="7"/>
      <c r="EM3" s="7"/>
      <c r="EN3" s="7"/>
      <c r="EO3" s="7">
        <f>SUBTOTAL(9,EO5:EO468)</f>
        <v>7318</v>
      </c>
      <c r="EP3" s="7">
        <f>SUBTOTAL(9,EP5:EP468)</f>
        <v>7318</v>
      </c>
      <c r="EQ3" s="21">
        <f>SUBTOTAL(101,EQ5:EQ468)</f>
        <v>0.84628139670285962</v>
      </c>
      <c r="ER3" s="21">
        <f>SUBTOTAL(101,ER5:ER468)</f>
        <v>0.84628139670285962</v>
      </c>
      <c r="ES3" s="7"/>
      <c r="ET3" s="7"/>
      <c r="EU3" s="7"/>
      <c r="EV3" s="7"/>
      <c r="EW3" s="7"/>
      <c r="EX3" s="7"/>
      <c r="EY3" s="7"/>
      <c r="FB3" s="7"/>
      <c r="FC3" s="7"/>
      <c r="FD3" s="7"/>
      <c r="FE3" s="7"/>
      <c r="FF3" s="7"/>
      <c r="FG3" s="7"/>
      <c r="FH3" s="7"/>
      <c r="FI3" s="7"/>
      <c r="FJ3" s="7"/>
      <c r="FK3" s="7"/>
      <c r="FP3" s="8">
        <f>SUBTOTAL(3,FP5:FP468)</f>
        <v>33</v>
      </c>
      <c r="FQ3" s="8">
        <f>SUBTOTAL(3,FQ5:FQ468)</f>
        <v>3</v>
      </c>
      <c r="FR3" s="8">
        <f>SUBTOTAL(3,FR5:FR468)</f>
        <v>13</v>
      </c>
      <c r="FT3" s="7"/>
      <c r="FU3" s="7"/>
      <c r="FV3" s="7"/>
      <c r="FW3" s="7"/>
      <c r="FX3" s="7"/>
      <c r="FY3" s="7"/>
      <c r="FZ3" s="58">
        <f>SUBTOTAL(3,FZ5:FZ468)</f>
        <v>158</v>
      </c>
      <c r="GA3" s="7"/>
      <c r="GB3" s="7"/>
      <c r="GC3" s="58">
        <f>SUBTOTAL(3,GC5:GC468)</f>
        <v>421</v>
      </c>
      <c r="GD3" s="7"/>
      <c r="GE3" s="7"/>
      <c r="GF3" s="58">
        <f>SUBTOTAL(3,GF5:GF468)</f>
        <v>423</v>
      </c>
      <c r="GG3" s="7"/>
      <c r="GH3" s="7"/>
      <c r="GI3" s="7"/>
      <c r="GJ3" s="58">
        <f>SUBTOTAL(3,GJ5:GJ468)</f>
        <v>424</v>
      </c>
      <c r="GK3" s="7"/>
      <c r="GL3" s="7"/>
      <c r="GM3" s="7"/>
      <c r="GN3" s="7"/>
      <c r="GO3" s="7"/>
      <c r="GP3" s="122" t="s">
        <v>11</v>
      </c>
      <c r="GQ3" s="7"/>
      <c r="GR3" s="29"/>
      <c r="GS3" s="29"/>
      <c r="GT3" s="58">
        <f>SUBTOTAL(3,GT5:GT468)</f>
        <v>271</v>
      </c>
      <c r="GU3" s="7"/>
      <c r="GV3" s="29"/>
      <c r="GW3" s="29"/>
      <c r="GX3" s="58">
        <f>SUBTOTAL(3,GX5:GX468)</f>
        <v>206</v>
      </c>
      <c r="GY3" s="7"/>
      <c r="GZ3" s="29"/>
      <c r="HA3" s="29"/>
      <c r="HB3" s="58">
        <f>SUBTOTAL(3,HB5:HB468)</f>
        <v>241</v>
      </c>
      <c r="HC3" s="7"/>
      <c r="HD3" s="29"/>
      <c r="HE3" s="29"/>
      <c r="HF3" s="29"/>
      <c r="HG3" s="58">
        <f>SUBTOTAL(3,HG5:HG468)</f>
        <v>248</v>
      </c>
      <c r="HH3" s="7"/>
      <c r="HI3" s="29"/>
      <c r="HJ3" s="29"/>
      <c r="HK3" s="58">
        <f>SUBTOTAL(3,HK5:HK468)</f>
        <v>0</v>
      </c>
      <c r="HL3" s="7"/>
      <c r="HM3" s="29"/>
      <c r="HN3" s="29"/>
      <c r="HO3" s="29"/>
      <c r="HP3" s="58">
        <f>SUBTOTAL(3,HP5:HP468)</f>
        <v>11</v>
      </c>
      <c r="HQ3" s="58">
        <f>SUBTOTAL(3,HQ5:HQ468)</f>
        <v>233</v>
      </c>
      <c r="HR3" s="7"/>
      <c r="HW3" s="58">
        <f>SUBTOTAL(3,HW5:HW468)</f>
        <v>233</v>
      </c>
      <c r="HX3" s="7"/>
    </row>
    <row r="4" spans="1:238" s="1" customFormat="1" ht="61.35" customHeight="1" thickBot="1" x14ac:dyDescent="0.3">
      <c r="B4" s="11" t="s">
        <v>12</v>
      </c>
      <c r="C4" s="11" t="s">
        <v>13</v>
      </c>
      <c r="D4" s="11" t="s">
        <v>14</v>
      </c>
      <c r="E4" s="11" t="s">
        <v>15</v>
      </c>
      <c r="F4" s="11" t="s">
        <v>16</v>
      </c>
      <c r="G4" s="12" t="s">
        <v>17</v>
      </c>
      <c r="H4" s="12" t="s">
        <v>18</v>
      </c>
      <c r="I4" s="2" t="s">
        <v>19</v>
      </c>
      <c r="J4" s="9" t="s">
        <v>20</v>
      </c>
      <c r="K4" s="11" t="s">
        <v>21</v>
      </c>
      <c r="L4" s="3" t="s">
        <v>22</v>
      </c>
      <c r="M4" s="97" t="s">
        <v>23</v>
      </c>
      <c r="N4" s="93" t="s">
        <v>24</v>
      </c>
      <c r="O4" s="12" t="s">
        <v>25</v>
      </c>
      <c r="P4" s="12" t="s">
        <v>26</v>
      </c>
      <c r="Q4" s="12" t="s">
        <v>27</v>
      </c>
      <c r="R4" s="81" t="s">
        <v>28</v>
      </c>
      <c r="S4" s="126" t="s">
        <v>29</v>
      </c>
      <c r="T4" s="126" t="s">
        <v>30</v>
      </c>
      <c r="U4" s="84" t="s">
        <v>31</v>
      </c>
      <c r="V4" s="74" t="s">
        <v>32</v>
      </c>
      <c r="W4" s="14" t="s">
        <v>33</v>
      </c>
      <c r="X4" s="17" t="s">
        <v>34</v>
      </c>
      <c r="Y4" s="11" t="s">
        <v>35</v>
      </c>
      <c r="Z4" s="198" t="s">
        <v>36</v>
      </c>
      <c r="AA4" s="198" t="s">
        <v>37</v>
      </c>
      <c r="AB4" s="12" t="s">
        <v>38</v>
      </c>
      <c r="AC4" s="13" t="s">
        <v>39</v>
      </c>
      <c r="AD4" s="13" t="s">
        <v>40</v>
      </c>
      <c r="AE4" s="13" t="s">
        <v>41</v>
      </c>
      <c r="AF4" s="13" t="s">
        <v>42</v>
      </c>
      <c r="AG4" s="10" t="s">
        <v>43</v>
      </c>
      <c r="AH4" s="20" t="s">
        <v>44</v>
      </c>
      <c r="AI4" s="20" t="s">
        <v>45</v>
      </c>
      <c r="AJ4" s="20" t="s">
        <v>46</v>
      </c>
      <c r="AK4" s="20" t="s">
        <v>47</v>
      </c>
      <c r="AL4" s="20" t="s">
        <v>48</v>
      </c>
      <c r="AM4" s="23" t="s">
        <v>49</v>
      </c>
      <c r="AN4" s="258" t="s">
        <v>3</v>
      </c>
      <c r="AO4" s="258" t="s">
        <v>4</v>
      </c>
      <c r="AP4" s="258" t="s">
        <v>50</v>
      </c>
      <c r="AQ4" s="258" t="s">
        <v>51</v>
      </c>
      <c r="AR4" s="258" t="s">
        <v>52</v>
      </c>
      <c r="AS4" s="258" t="s">
        <v>53</v>
      </c>
      <c r="AT4" s="258" t="s">
        <v>54</v>
      </c>
      <c r="AU4" s="258" t="s">
        <v>55</v>
      </c>
      <c r="AV4" s="258" t="s">
        <v>56</v>
      </c>
      <c r="AW4" s="258" t="s">
        <v>57</v>
      </c>
      <c r="AX4" s="258" t="s">
        <v>58</v>
      </c>
      <c r="AY4" s="258" t="s">
        <v>59</v>
      </c>
      <c r="AZ4" s="258" t="s">
        <v>60</v>
      </c>
      <c r="BA4" s="258" t="s">
        <v>61</v>
      </c>
      <c r="BB4" s="258" t="s">
        <v>62</v>
      </c>
      <c r="BC4" s="258" t="s">
        <v>63</v>
      </c>
      <c r="BD4" s="258" t="s">
        <v>64</v>
      </c>
      <c r="BE4" s="258" t="s">
        <v>65</v>
      </c>
      <c r="BF4" s="258" t="s">
        <v>66</v>
      </c>
      <c r="BG4" s="258" t="s">
        <v>67</v>
      </c>
      <c r="BH4" s="258" t="s">
        <v>68</v>
      </c>
      <c r="BI4" s="258" t="s">
        <v>69</v>
      </c>
      <c r="BJ4" s="14" t="s">
        <v>6</v>
      </c>
      <c r="BK4" s="14" t="s">
        <v>70</v>
      </c>
      <c r="BL4" s="14" t="s">
        <v>71</v>
      </c>
      <c r="BM4" s="14" t="s">
        <v>72</v>
      </c>
      <c r="BN4" s="14" t="s">
        <v>73</v>
      </c>
      <c r="BO4" s="14" t="s">
        <v>74</v>
      </c>
      <c r="BP4" s="14" t="s">
        <v>75</v>
      </c>
      <c r="BQ4" s="14" t="s">
        <v>76</v>
      </c>
      <c r="BR4" s="14" t="s">
        <v>77</v>
      </c>
      <c r="BS4" s="14" t="s">
        <v>78</v>
      </c>
      <c r="BT4" s="14" t="s">
        <v>79</v>
      </c>
      <c r="BU4" s="14" t="s">
        <v>80</v>
      </c>
      <c r="BV4" s="14" t="s">
        <v>81</v>
      </c>
      <c r="BW4" s="14" t="s">
        <v>82</v>
      </c>
      <c r="BX4" s="14" t="s">
        <v>83</v>
      </c>
      <c r="BY4" s="14" t="s">
        <v>84</v>
      </c>
      <c r="BZ4" s="14" t="s">
        <v>85</v>
      </c>
      <c r="CA4" s="14" t="s">
        <v>86</v>
      </c>
      <c r="CB4" s="14" t="s">
        <v>87</v>
      </c>
      <c r="CC4" s="14" t="s">
        <v>88</v>
      </c>
      <c r="CD4" s="14" t="s">
        <v>89</v>
      </c>
      <c r="CE4" s="12" t="s">
        <v>90</v>
      </c>
      <c r="CF4" s="12" t="s">
        <v>91</v>
      </c>
      <c r="CG4" s="12" t="s">
        <v>92</v>
      </c>
      <c r="CH4" s="12" t="s">
        <v>93</v>
      </c>
      <c r="CI4" s="12" t="s">
        <v>94</v>
      </c>
      <c r="CJ4" s="12" t="s">
        <v>95</v>
      </c>
      <c r="CK4" s="23" t="s">
        <v>96</v>
      </c>
      <c r="CL4" s="71" t="s">
        <v>97</v>
      </c>
      <c r="CM4" s="71" t="s">
        <v>98</v>
      </c>
      <c r="CN4" s="71" t="s">
        <v>99</v>
      </c>
      <c r="CO4" s="71" t="s">
        <v>100</v>
      </c>
      <c r="CP4" s="15" t="s">
        <v>101</v>
      </c>
      <c r="CQ4" s="15" t="s">
        <v>102</v>
      </c>
      <c r="CR4" s="15" t="s">
        <v>103</v>
      </c>
      <c r="CS4" s="15" t="s">
        <v>104</v>
      </c>
      <c r="CT4" s="15" t="s">
        <v>105</v>
      </c>
      <c r="CU4" s="15" t="s">
        <v>106</v>
      </c>
      <c r="CV4" s="15" t="s">
        <v>107</v>
      </c>
      <c r="CW4" s="252" t="s">
        <v>108</v>
      </c>
      <c r="CX4" s="253" t="s">
        <v>109</v>
      </c>
      <c r="CY4" s="23" t="s">
        <v>110</v>
      </c>
      <c r="CZ4" s="16" t="s">
        <v>111</v>
      </c>
      <c r="DA4" s="13" t="s">
        <v>112</v>
      </c>
      <c r="DB4" s="12" t="s">
        <v>113</v>
      </c>
      <c r="DC4" s="12" t="s">
        <v>114</v>
      </c>
      <c r="DD4" s="12" t="s">
        <v>115</v>
      </c>
      <c r="DE4" s="12" t="s">
        <v>116</v>
      </c>
      <c r="DF4" s="17" t="s">
        <v>117</v>
      </c>
      <c r="DG4" s="17" t="s">
        <v>118</v>
      </c>
      <c r="DH4" s="110" t="s">
        <v>119</v>
      </c>
      <c r="DI4" s="17" t="s">
        <v>120</v>
      </c>
      <c r="DJ4" s="13" t="s">
        <v>121</v>
      </c>
      <c r="DK4" s="13" t="s">
        <v>122</v>
      </c>
      <c r="DL4" s="12" t="s">
        <v>123</v>
      </c>
      <c r="DM4" s="12" t="s">
        <v>124</v>
      </c>
      <c r="DN4" s="12" t="s">
        <v>125</v>
      </c>
      <c r="DO4" s="17" t="s">
        <v>126</v>
      </c>
      <c r="DP4" s="89" t="s">
        <v>127</v>
      </c>
      <c r="DQ4" s="89" t="s">
        <v>128</v>
      </c>
      <c r="DR4" s="17" t="s">
        <v>129</v>
      </c>
      <c r="DS4" s="13" t="s">
        <v>130</v>
      </c>
      <c r="DT4" s="13" t="s">
        <v>131</v>
      </c>
      <c r="DU4" s="13" t="s">
        <v>132</v>
      </c>
      <c r="DV4" s="13" t="s">
        <v>133</v>
      </c>
      <c r="DW4" s="12" t="s">
        <v>134</v>
      </c>
      <c r="DX4" s="12" t="s">
        <v>135</v>
      </c>
      <c r="DY4" s="12" t="s">
        <v>136</v>
      </c>
      <c r="DZ4" s="12" t="s">
        <v>137</v>
      </c>
      <c r="EA4" s="12" t="s">
        <v>138</v>
      </c>
      <c r="EB4" s="37" t="s">
        <v>139</v>
      </c>
      <c r="EC4" s="17" t="s">
        <v>140</v>
      </c>
      <c r="ED4" s="17" t="s">
        <v>141</v>
      </c>
      <c r="EE4" s="37" t="s">
        <v>142</v>
      </c>
      <c r="EF4" s="79" t="s">
        <v>143</v>
      </c>
      <c r="EG4" s="79" t="s">
        <v>144</v>
      </c>
      <c r="EH4" s="17" t="s">
        <v>145</v>
      </c>
      <c r="EI4" s="17" t="s">
        <v>146</v>
      </c>
      <c r="EJ4" s="13" t="s">
        <v>147</v>
      </c>
      <c r="EK4" s="13" t="s">
        <v>148</v>
      </c>
      <c r="EL4" s="13" t="s">
        <v>149</v>
      </c>
      <c r="EM4" s="13" t="s">
        <v>150</v>
      </c>
      <c r="EN4" s="19" t="s">
        <v>151</v>
      </c>
      <c r="EO4" s="193" t="s">
        <v>152</v>
      </c>
      <c r="EP4" s="193" t="s">
        <v>153</v>
      </c>
      <c r="EQ4" s="81" t="s">
        <v>154</v>
      </c>
      <c r="ER4" s="81" t="s">
        <v>155</v>
      </c>
      <c r="ES4" s="12" t="s">
        <v>156</v>
      </c>
      <c r="ET4" s="10" t="s">
        <v>157</v>
      </c>
      <c r="EU4" s="23" t="s">
        <v>158</v>
      </c>
      <c r="EV4" s="13" t="s">
        <v>159</v>
      </c>
      <c r="EW4" s="13" t="s">
        <v>160</v>
      </c>
      <c r="EX4" s="13" t="s">
        <v>161</v>
      </c>
      <c r="EY4" s="13" t="s">
        <v>162</v>
      </c>
      <c r="EZ4" s="12" t="s">
        <v>163</v>
      </c>
      <c r="FA4" s="263" t="s">
        <v>164</v>
      </c>
      <c r="FB4" s="261" t="s">
        <v>165</v>
      </c>
      <c r="FC4" s="262" t="s">
        <v>166</v>
      </c>
      <c r="FD4" s="261" t="s">
        <v>167</v>
      </c>
      <c r="FE4" s="261" t="s">
        <v>168</v>
      </c>
      <c r="FF4" s="262" t="s">
        <v>169</v>
      </c>
      <c r="FG4" s="261" t="s">
        <v>170</v>
      </c>
      <c r="FH4" s="261" t="s">
        <v>171</v>
      </c>
      <c r="FI4" s="262" t="s">
        <v>172</v>
      </c>
      <c r="FJ4" s="262" t="s">
        <v>173</v>
      </c>
      <c r="FK4" s="262" t="s">
        <v>174</v>
      </c>
      <c r="FL4" s="12" t="s">
        <v>175</v>
      </c>
      <c r="FM4" s="12" t="s">
        <v>176</v>
      </c>
      <c r="FN4" s="12" t="s">
        <v>177</v>
      </c>
      <c r="FO4" s="12" t="s">
        <v>178</v>
      </c>
      <c r="FP4" s="11" t="s">
        <v>179</v>
      </c>
      <c r="FQ4" s="12" t="s">
        <v>180</v>
      </c>
      <c r="FR4" s="12" t="s">
        <v>181</v>
      </c>
      <c r="FS4" s="12" t="s">
        <v>182</v>
      </c>
      <c r="FT4" s="12" t="s">
        <v>183</v>
      </c>
      <c r="FU4" s="12" t="s">
        <v>184</v>
      </c>
      <c r="FV4" s="10" t="s">
        <v>185</v>
      </c>
      <c r="FW4" s="10" t="s">
        <v>186</v>
      </c>
      <c r="FX4" s="23" t="s">
        <v>187</v>
      </c>
      <c r="FY4" s="13" t="s">
        <v>188</v>
      </c>
      <c r="FZ4" s="205" t="s">
        <v>189</v>
      </c>
      <c r="GA4" s="205" t="s">
        <v>190</v>
      </c>
      <c r="GB4" s="13" t="s">
        <v>191</v>
      </c>
      <c r="GC4" s="12" t="s">
        <v>192</v>
      </c>
      <c r="GD4" s="12" t="s">
        <v>193</v>
      </c>
      <c r="GE4" s="13" t="s">
        <v>194</v>
      </c>
      <c r="GF4" s="18" t="s">
        <v>195</v>
      </c>
      <c r="GG4" s="12" t="s">
        <v>196</v>
      </c>
      <c r="GH4" s="13" t="s">
        <v>197</v>
      </c>
      <c r="GI4" s="13" t="s">
        <v>198</v>
      </c>
      <c r="GJ4" s="18" t="s">
        <v>199</v>
      </c>
      <c r="GK4" s="12" t="s">
        <v>200</v>
      </c>
      <c r="GL4" s="13" t="s">
        <v>201</v>
      </c>
      <c r="GM4" s="13" t="s">
        <v>202</v>
      </c>
      <c r="GN4" s="13" t="s">
        <v>203</v>
      </c>
      <c r="GO4" s="13" t="s">
        <v>204</v>
      </c>
      <c r="GP4" s="100" t="s">
        <v>205</v>
      </c>
      <c r="GQ4" s="12" t="s">
        <v>206</v>
      </c>
      <c r="GR4" s="16" t="s">
        <v>207</v>
      </c>
      <c r="GS4" s="16" t="s">
        <v>208</v>
      </c>
      <c r="GT4" s="18" t="s">
        <v>209</v>
      </c>
      <c r="GU4" s="18" t="s">
        <v>210</v>
      </c>
      <c r="GV4" s="16" t="s">
        <v>211</v>
      </c>
      <c r="GW4" s="16" t="s">
        <v>212</v>
      </c>
      <c r="GX4" s="18" t="s">
        <v>213</v>
      </c>
      <c r="GY4" s="18" t="s">
        <v>214</v>
      </c>
      <c r="GZ4" s="16" t="s">
        <v>215</v>
      </c>
      <c r="HA4" s="16" t="s">
        <v>216</v>
      </c>
      <c r="HB4" s="18" t="s">
        <v>217</v>
      </c>
      <c r="HC4" s="18" t="s">
        <v>218</v>
      </c>
      <c r="HD4" s="16" t="s">
        <v>219</v>
      </c>
      <c r="HE4" s="16" t="s">
        <v>220</v>
      </c>
      <c r="HF4" s="16" t="s">
        <v>221</v>
      </c>
      <c r="HG4" s="18" t="s">
        <v>222</v>
      </c>
      <c r="HH4" s="12" t="s">
        <v>223</v>
      </c>
      <c r="HI4" s="16" t="s">
        <v>224</v>
      </c>
      <c r="HJ4" s="16" t="s">
        <v>225</v>
      </c>
      <c r="HK4" s="18" t="s">
        <v>226</v>
      </c>
      <c r="HL4" s="12" t="s">
        <v>227</v>
      </c>
      <c r="HM4" s="16" t="s">
        <v>228</v>
      </c>
      <c r="HN4" s="16" t="s">
        <v>229</v>
      </c>
      <c r="HO4" s="16" t="s">
        <v>230</v>
      </c>
      <c r="HP4" s="619" t="s">
        <v>231</v>
      </c>
      <c r="HQ4" s="18" t="s">
        <v>232</v>
      </c>
      <c r="HR4" s="12" t="s">
        <v>233</v>
      </c>
      <c r="HS4" s="16" t="s">
        <v>234</v>
      </c>
      <c r="HT4" s="16" t="s">
        <v>235</v>
      </c>
      <c r="HU4" s="16" t="s">
        <v>236</v>
      </c>
      <c r="HV4" s="16" t="s">
        <v>237</v>
      </c>
      <c r="HW4" s="18" t="s">
        <v>238</v>
      </c>
      <c r="HX4" s="11" t="s">
        <v>239</v>
      </c>
      <c r="HY4" s="23" t="s">
        <v>240</v>
      </c>
      <c r="HZ4" s="12" t="s">
        <v>241</v>
      </c>
      <c r="IA4" s="12" t="s">
        <v>242</v>
      </c>
      <c r="IC4" s="586" t="s">
        <v>243</v>
      </c>
    </row>
    <row r="5" spans="1:238" s="4" customFormat="1" ht="15" customHeight="1" x14ac:dyDescent="0.25">
      <c r="B5" s="281">
        <f>SUBTOTAL(3,$D$5:D5)</f>
        <v>1</v>
      </c>
      <c r="C5" s="281">
        <v>1</v>
      </c>
      <c r="D5" s="282" t="s">
        <v>244</v>
      </c>
      <c r="E5" s="282" t="s">
        <v>245</v>
      </c>
      <c r="F5" s="282" t="s">
        <v>246</v>
      </c>
      <c r="G5" s="283">
        <v>45752</v>
      </c>
      <c r="H5" s="284" t="s">
        <v>247</v>
      </c>
      <c r="I5" s="285" t="s">
        <v>248</v>
      </c>
      <c r="J5" s="282"/>
      <c r="K5" s="284" t="s">
        <v>249</v>
      </c>
      <c r="L5" s="286" t="s">
        <v>250</v>
      </c>
      <c r="M5" s="286" t="s">
        <v>251</v>
      </c>
      <c r="N5" s="287">
        <v>877</v>
      </c>
      <c r="O5" s="288" t="s">
        <v>252</v>
      </c>
      <c r="P5" s="28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 s="82" t="e">
        <v>#N/A</v>
      </c>
      <c r="S5" s="82">
        <v>1</v>
      </c>
      <c r="T5" s="82">
        <f>Table1[[#This Row],[Progres Total Aktual
(%)]]</f>
        <v>1</v>
      </c>
      <c r="U5" s="105">
        <f>Table1[[#This Row],[Progres Aktual
(%)]]-Table1[[#This Row],[Target Progres
(%)]]</f>
        <v>0</v>
      </c>
      <c r="V5" s="291">
        <f>Table1[[#This Row],["Volume
BA MC-0"]]</f>
        <v>0</v>
      </c>
      <c r="W5" s="292">
        <f>Table1[[#This Row],[Total Panjang Pipa Aktual
(Sum-&gt;)3]]</f>
        <v>852.5</v>
      </c>
      <c r="X5" s="42"/>
      <c r="Y5" s="293" t="s">
        <v>253</v>
      </c>
      <c r="Z5" s="293">
        <v>55647427855</v>
      </c>
      <c r="AA5" s="293">
        <f>ROUND((Table1[[#This Row],[Nilai RAB Jaringan
(Exclude Ppn)]]-Table1[[#This Row],[RAB Perizinan]])*1.11+Table1[[#This Row],[RAB Perizinan]],0)</f>
        <v>0</v>
      </c>
      <c r="AB5" s="289">
        <f>SUM(Table1[[#This Row],[RAB Kegiatan Umum]:[RAB Perizinan]])</f>
        <v>0</v>
      </c>
      <c r="AC5" s="289"/>
      <c r="AD5" s="289"/>
      <c r="AE5" s="289"/>
      <c r="AF5" s="289"/>
      <c r="AG5" s="290">
        <v>0</v>
      </c>
      <c r="AH5" s="82" t="e">
        <f>SUM(Table1[[#This Row],[Bobot Keg Umum]:[Bobot Perizinan]])</f>
        <v>#DIV/0!</v>
      </c>
      <c r="AI5" s="82" t="e">
        <f>Table1[[#This Row],[RAB Kegiatan Umum]]/Table1[[#This Row],[Nilai RAB Jaringan
(Exclude Ppn)]]</f>
        <v>#DIV/0!</v>
      </c>
      <c r="AJ5" s="82" t="e">
        <f>Table1[[#This Row],[RAB Pemasangan]]/Table1[[#This Row],[Nilai RAB Jaringan
(Exclude Ppn)]]</f>
        <v>#DIV/0!</v>
      </c>
      <c r="AK5" s="82" t="e">
        <f>Table1[[#This Row],[RAB Pengadaan]]/Table1[[#This Row],[Nilai RAB Jaringan
(Exclude Ppn)]]</f>
        <v>#DIV/0!</v>
      </c>
      <c r="AL5" s="82" t="e">
        <f>Table1[[#This Row],[RAB Perizinan]]/Table1[[#This Row],[Nilai RAB Jaringan
(Exclude Ppn)]]</f>
        <v>#DIV/0!</v>
      </c>
      <c r="AM5" s="42"/>
      <c r="AN5" s="294"/>
      <c r="AO5" s="294">
        <f>SUM(Table1[[#This Row],[Pipa 63 mm]:[Pipa 1,800 mm]])</f>
        <v>0</v>
      </c>
      <c r="AP5" s="294"/>
      <c r="AQ5" s="294"/>
      <c r="AR5" s="294"/>
      <c r="AS5" s="294"/>
      <c r="AT5" s="294"/>
      <c r="AU5" s="294"/>
      <c r="AV5" s="294"/>
      <c r="AW5" s="294"/>
      <c r="AX5" s="294"/>
      <c r="AY5" s="294"/>
      <c r="AZ5" s="294"/>
      <c r="BA5" s="294"/>
      <c r="BB5" s="294"/>
      <c r="BC5" s="294"/>
      <c r="BD5" s="294"/>
      <c r="BE5" s="294"/>
      <c r="BF5" s="294"/>
      <c r="BG5" s="294"/>
      <c r="BH5" s="294"/>
      <c r="BI5" s="294"/>
      <c r="BJ5" s="295">
        <f>SUM(Table1[[#This Row],[Pipa 63 mm2]:[Pipa 1,800 mm21]])</f>
        <v>852.5</v>
      </c>
      <c r="BK5" s="60"/>
      <c r="BL5" s="60"/>
      <c r="BM5" s="60"/>
      <c r="BN5" s="60"/>
      <c r="BO5" s="60"/>
      <c r="BP5" s="60"/>
      <c r="BQ5" s="60"/>
      <c r="BR5" s="60"/>
      <c r="BS5" s="60"/>
      <c r="BT5" s="60"/>
      <c r="BU5" s="60"/>
      <c r="BV5" s="60"/>
      <c r="BW5" s="60"/>
      <c r="BX5" s="60"/>
      <c r="BY5" s="60"/>
      <c r="BZ5" s="60"/>
      <c r="CA5" s="60"/>
      <c r="CB5" s="60">
        <f>522.5+267.6+62.4</f>
        <v>852.5</v>
      </c>
      <c r="CC5" s="60"/>
      <c r="CD5" s="60"/>
      <c r="CE5" s="60">
        <v>0</v>
      </c>
      <c r="CF5" s="60"/>
      <c r="CG5" s="60"/>
      <c r="CH5" s="60"/>
      <c r="CI5" s="60">
        <f t="shared" ref="CI5:CI68" si="3">SUM(CE5:CH5)</f>
        <v>0</v>
      </c>
      <c r="CJ5" s="60">
        <f>IF((Table1[[#This Row],["Volume
BA MC-0"]]-Table1[[#This Row],[Total Panjang Pipa Aktual
(Sum-&gt;)3]]-Table1[[#This Row],[Total Volume
tidak dapat dipasang]])&gt;=0,Table1[[#This Row],["Volume
BA MC-0"]]-Table1[[#This Row],[Total Panjang Pipa Aktual
(Sum-&gt;)3]]-Table1[[#This Row],[Total Volume
tidak dapat dipasang]],0)</f>
        <v>0</v>
      </c>
      <c r="CK5" s="42"/>
      <c r="CL5" s="296"/>
      <c r="CM5" s="82"/>
      <c r="CN5" s="296"/>
      <c r="CO5" s="296"/>
      <c r="CP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 s="298">
        <f>IFERROR(Table1[[#This Row],[Progres Keg. Umum
(%)]]*Table1[[#This Row],[Nilai RAB Jaringan
(file pa aji)]],0)</f>
        <v>0</v>
      </c>
      <c r="CR5" s="298">
        <f>IFERROR(Table1[[#This Row],[Progres MOS
(%)]]*Table1[[#This Row],[Nilai RAB Jaringan
(file pa aji)]],0)</f>
        <v>0</v>
      </c>
      <c r="CS5" s="298">
        <f>IFERROR(Table1[[#This Row],[Progres Pemasangan
(%)]]*Table1[[#This Row],[Nilai RAB Jaringan
(file pa aji)]],0)</f>
        <v>0</v>
      </c>
      <c r="CT5" s="298">
        <f>IFERROR(Table1[[#This Row],[Progres Perizinan
(%)]]*Table1[[#This Row],[Nilai RAB Jaringan
(file pa aji)]],0)</f>
        <v>0</v>
      </c>
      <c r="CU5" s="789">
        <v>49593687220</v>
      </c>
      <c r="CV5" s="299">
        <v>49593687220</v>
      </c>
      <c r="CW5" s="299">
        <v>49593687220</v>
      </c>
      <c r="CX5" s="789">
        <f>_xlfn.XLOOKUP(Table1[[#This Row],[Kode Program]],'[1]Breakdown VOWD Greenfield'!$E:$E,'[1]Breakdown VOWD Greenfield'!$AT:$AT)</f>
        <v>49593687220</v>
      </c>
      <c r="CY5" s="42"/>
      <c r="CZ5" s="300">
        <v>45194</v>
      </c>
      <c r="DA5" s="300">
        <v>45228</v>
      </c>
      <c r="DB5" s="301">
        <v>45210</v>
      </c>
      <c r="DC5" s="302" t="s">
        <v>254</v>
      </c>
      <c r="DD5" s="293">
        <v>537590677279</v>
      </c>
      <c r="DE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5" s="301">
        <v>45250</v>
      </c>
      <c r="DG5" s="302" t="s">
        <v>255</v>
      </c>
      <c r="DH5" s="293">
        <v>537590677279</v>
      </c>
      <c r="DI5" s="302"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5" s="300">
        <v>45229</v>
      </c>
      <c r="DK5" s="300">
        <v>45445</v>
      </c>
      <c r="DL5" s="301">
        <v>45520</v>
      </c>
      <c r="DM5" s="303" t="s">
        <v>256</v>
      </c>
      <c r="DN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5" s="301">
        <v>45657</v>
      </c>
      <c r="DP5" s="302" t="s">
        <v>257</v>
      </c>
      <c r="DQ5" s="284" t="s">
        <v>258</v>
      </c>
      <c r="DR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 s="300">
        <v>45229</v>
      </c>
      <c r="DT5" s="300" t="e">
        <v>#N/A</v>
      </c>
      <c r="DU5" s="301">
        <v>45277</v>
      </c>
      <c r="DV5" s="301" t="e">
        <v>#N/A</v>
      </c>
      <c r="DW5" s="301"/>
      <c r="DX5" s="302"/>
      <c r="DY5" s="305"/>
      <c r="DZ5" s="305"/>
      <c r="EA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 s="301"/>
      <c r="EC5" s="302"/>
      <c r="ED5" s="302"/>
      <c r="EE5" s="300"/>
      <c r="EF5" s="82">
        <v>1</v>
      </c>
      <c r="EG5" s="307">
        <v>1</v>
      </c>
      <c r="EH5" s="286" t="str">
        <f>IF(Table1[[#This Row],[PO Material Aktual 
(%)]]&gt;=100%,"Selesai PO = 100%",IF(Table1[[#This Row],[PO Material Aktual 
(%)]]&gt;=50%,"Proses PO &gt; 100%",IF(Table1[[#This Row],[PO Material Aktual 
(%)]]&gt;0%,"Proses PO &gt; 50%",IF(Table1[[#This Row],[PO Material Aktual 
(%)]]=0,"Belum PO = 0%"))))</f>
        <v>Selesai PO = 100%</v>
      </c>
      <c r="EI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 s="300">
        <v>45278</v>
      </c>
      <c r="EK5" s="300" t="e">
        <v>#N/A</v>
      </c>
      <c r="EL5" s="300">
        <v>45564</v>
      </c>
      <c r="EM5" s="300" t="e">
        <v>#N/A</v>
      </c>
      <c r="EN5" s="301"/>
      <c r="EO5" s="302"/>
      <c r="EP5" s="302"/>
      <c r="EQ5" s="82">
        <v>1</v>
      </c>
      <c r="ER5" s="82">
        <v>1</v>
      </c>
      <c r="ES5" s="286" t="str">
        <f>IF(Table1[[#This Row],[Progres MOS]]&gt;=100%,"Selesai MOS = 100%",IF(Table1[[#This Row],[Progres MOS]]&gt;=50%,"Proses MOS &gt; 100%",IF(Table1[[#This Row],[Progres MOS]]&gt;0%,"Proses MOS &gt; 50%",IF(Table1[[#This Row],[Progres MOS]]=0,"Belum MOS = 0%"))))</f>
        <v>Selesai MOS = 100%</v>
      </c>
      <c r="ET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 s="42"/>
      <c r="EV5" s="300">
        <v>45229</v>
      </c>
      <c r="EW5" s="300" t="e">
        <v>#N/A</v>
      </c>
      <c r="EX5" s="300">
        <v>45473</v>
      </c>
      <c r="EY5" s="300" t="e">
        <v>#N/A</v>
      </c>
      <c r="EZ5" s="306" t="s">
        <v>259</v>
      </c>
      <c r="FA5" s="306" t="s">
        <v>259</v>
      </c>
      <c r="FB5" s="300" t="s">
        <v>260</v>
      </c>
      <c r="FC5" s="300">
        <v>45014</v>
      </c>
      <c r="FD5" s="300" t="s">
        <v>260</v>
      </c>
      <c r="FE5" s="300"/>
      <c r="FF5" s="300">
        <v>45097</v>
      </c>
      <c r="FG5" s="300" t="s">
        <v>260</v>
      </c>
      <c r="FH5" s="300" t="s">
        <v>260</v>
      </c>
      <c r="FI5" s="300">
        <v>45187</v>
      </c>
      <c r="FJ5" s="300" t="s">
        <v>260</v>
      </c>
      <c r="FK5" s="300">
        <v>45434</v>
      </c>
      <c r="FL5" s="306" t="s">
        <v>259</v>
      </c>
      <c r="FM5" s="306">
        <v>45014</v>
      </c>
      <c r="FN5" s="284">
        <f>IF(Table1[[#This Row],[Tanggal Pengajuan Dokumen]]="","",Table1[[#This Row],[PLAN PERMIT
start]]-Table1[[#This Row],[Tanggal Pengajuan Dokumen]])</f>
        <v>215</v>
      </c>
      <c r="FO5" s="306">
        <v>45434</v>
      </c>
      <c r="FP5" s="286" t="s">
        <v>174</v>
      </c>
      <c r="FQ5" s="286"/>
      <c r="FR5" s="286" t="s">
        <v>174</v>
      </c>
      <c r="FS5" s="308" t="str">
        <f t="shared" ref="FS5:FS36" si="4">IF(COUNTIF(EZ5:FR5,"*terbit*")&gt;=1,"Sudah Terbit","On Going")</f>
        <v>Sudah Terbit</v>
      </c>
      <c r="FT5" s="302"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 s="309">
        <f ca="1">IF(Table1[[#This Row],[Status Izin]]="Selesai",Table1[[#This Row],[PLAN PERMIT
finish]]-Table1[[#This Row],[Tanggal Terbit/ Target Izin Terbit]],ROUNDUP(Table1[[#This Row],[PLAN PERMIT
finish]]-NOW(),0))</f>
        <v>39</v>
      </c>
      <c r="FV5" s="309"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5" s="309"/>
      <c r="FX5" s="42"/>
      <c r="FY5" s="310"/>
      <c r="FZ5" s="311"/>
      <c r="GA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 s="300">
        <v>45447</v>
      </c>
      <c r="GC5" s="300">
        <v>45414</v>
      </c>
      <c r="GD5"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 s="300">
        <v>45454</v>
      </c>
      <c r="GF5" s="300">
        <v>45414</v>
      </c>
      <c r="GG5"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 s="300">
        <v>45460</v>
      </c>
      <c r="GI5" s="300">
        <v>45466</v>
      </c>
      <c r="GJ5" s="312">
        <v>45443</v>
      </c>
      <c r="GK5"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 s="300">
        <v>45474</v>
      </c>
      <c r="GM5" s="300" t="e">
        <v>#N/A</v>
      </c>
      <c r="GN5" s="300">
        <v>45641</v>
      </c>
      <c r="GO5" s="300" t="e">
        <v>#N/A</v>
      </c>
      <c r="GP5" s="302"/>
      <c r="GQ5"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 s="300" t="s">
        <v>261</v>
      </c>
      <c r="GS5" s="300" t="s">
        <v>261</v>
      </c>
      <c r="GT5" s="313">
        <v>45637</v>
      </c>
      <c r="GU5" s="309" t="str">
        <f>IF(Table1[[#This Row],[Hydro Tes Actual
(tanggal)]]&lt;&gt;"","Sudah","Belum")</f>
        <v>Sudah</v>
      </c>
      <c r="GV5" s="300" t="s">
        <v>261</v>
      </c>
      <c r="GW5" s="300" t="s">
        <v>261</v>
      </c>
      <c r="GX5" s="300"/>
      <c r="GY5" s="314" t="str">
        <f>IF(Table1[[#This Row],[Interkoneksi Actual
(tanggal)]]&lt;&gt;"","Sudah","Belum")</f>
        <v>Belum</v>
      </c>
      <c r="GZ5" s="300" t="s">
        <v>261</v>
      </c>
      <c r="HA5" s="300" t="s">
        <v>261</v>
      </c>
      <c r="HB5" s="300">
        <v>44965</v>
      </c>
      <c r="HC5" s="314" t="str">
        <f>IF(Table1[[#This Row],[Flushing Actual
(tanggal)]]&lt;&gt;"","Sudah","Belum")</f>
        <v>Sudah</v>
      </c>
      <c r="HD5" s="300">
        <v>45614</v>
      </c>
      <c r="HE5" s="300" t="e">
        <v>#N/A</v>
      </c>
      <c r="HF5" s="300">
        <v>45620</v>
      </c>
      <c r="HG5" s="315">
        <v>45699</v>
      </c>
      <c r="HH5"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 s="300" t="s">
        <v>261</v>
      </c>
      <c r="HJ5" s="300" t="s">
        <v>261</v>
      </c>
      <c r="HK5" s="300"/>
      <c r="HL5" s="302"/>
      <c r="HM5" s="300">
        <v>45646</v>
      </c>
      <c r="HN5" s="300">
        <v>45646</v>
      </c>
      <c r="HO5" s="300" t="e">
        <v>#N/A</v>
      </c>
      <c r="HP5" s="300"/>
      <c r="HQ5" s="315">
        <v>45737</v>
      </c>
      <c r="HR5" s="30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 s="300">
        <v>45653</v>
      </c>
      <c r="HT5" s="300"/>
      <c r="HU5" s="300">
        <v>45653</v>
      </c>
      <c r="HV5" s="497"/>
      <c r="HW5" s="300">
        <v>45751</v>
      </c>
      <c r="HX5" s="30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 s="42"/>
      <c r="HZ5" s="306"/>
      <c r="IA5" s="306"/>
      <c r="IC5" s="585">
        <f>IFERROR(ROUND((Table1[[#This Row],[PLAN TC
finish]]-Table1[[#This Row],[PLAN MC-0
start]])/30,2),"")</f>
        <v>5.33</v>
      </c>
      <c r="ID5">
        <f>DATEDIF(Table1[[#This Row],[PLAN MC-0
start]],Table1[[#This Row],[PLAN TC
finish]],"m")</f>
        <v>5</v>
      </c>
    </row>
    <row r="6" spans="1:238" s="4" customFormat="1" ht="15" customHeight="1" x14ac:dyDescent="0.25">
      <c r="B6" s="281">
        <f>SUBTOTAL(3,$D$5:D6)</f>
        <v>2</v>
      </c>
      <c r="C6" s="318">
        <v>2</v>
      </c>
      <c r="D6" s="285" t="s">
        <v>244</v>
      </c>
      <c r="E6" s="285" t="s">
        <v>262</v>
      </c>
      <c r="F6" s="285" t="s">
        <v>263</v>
      </c>
      <c r="G6" s="319">
        <v>45752</v>
      </c>
      <c r="H6" s="284" t="s">
        <v>247</v>
      </c>
      <c r="I6" s="285" t="s">
        <v>248</v>
      </c>
      <c r="J6" s="285"/>
      <c r="K6" s="308" t="s">
        <v>249</v>
      </c>
      <c r="L6" s="286" t="s">
        <v>250</v>
      </c>
      <c r="M6" s="286" t="s">
        <v>251</v>
      </c>
      <c r="N6" s="94">
        <v>1112</v>
      </c>
      <c r="O6" s="31" t="s">
        <v>252</v>
      </c>
      <c r="P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 s="82" t="e">
        <v>#N/A</v>
      </c>
      <c r="S6" s="82">
        <v>1</v>
      </c>
      <c r="T6" s="35">
        <f>Table1[[#This Row],[Progres Total Aktual
(%)]]</f>
        <v>1</v>
      </c>
      <c r="U6" s="106">
        <f>Table1[[#This Row],[Progres Aktual
(%)]]-Table1[[#This Row],[Target Progres
(%)]]</f>
        <v>0</v>
      </c>
      <c r="V6" s="320">
        <f>Table1[[#This Row],["Volume
BA MC-0"]]</f>
        <v>1083</v>
      </c>
      <c r="W6" s="321">
        <f>Table1[[#This Row],[Total Panjang Pipa Aktual
(Sum-&gt;)3]]</f>
        <v>1071.72</v>
      </c>
      <c r="X6" s="42"/>
      <c r="Y6" s="62" t="s">
        <v>264</v>
      </c>
      <c r="Z6" s="62">
        <v>50476486470</v>
      </c>
      <c r="AA6" s="62">
        <f>ROUND((Table1[[#This Row],[Nilai RAB Jaringan
(Exclude Ppn)]]-Table1[[#This Row],[RAB Perizinan]])*1.11+Table1[[#This Row],[RAB Perizinan]],0)</f>
        <v>0</v>
      </c>
      <c r="AB6" s="290">
        <f>SUM(Table1[[#This Row],[RAB Kegiatan Umum]:[RAB Perizinan]])</f>
        <v>0</v>
      </c>
      <c r="AC6" s="290"/>
      <c r="AD6" s="290"/>
      <c r="AE6" s="290"/>
      <c r="AF6" s="290"/>
      <c r="AG6" s="290">
        <v>0</v>
      </c>
      <c r="AH6" s="35" t="e">
        <f>SUM(Table1[[#This Row],[Bobot Keg Umum]:[Bobot Perizinan]])</f>
        <v>#DIV/0!</v>
      </c>
      <c r="AI6" s="35" t="e">
        <f>Table1[[#This Row],[RAB Kegiatan Umum]]/Table1[[#This Row],[Nilai RAB Jaringan
(Exclude Ppn)]]</f>
        <v>#DIV/0!</v>
      </c>
      <c r="AJ6" s="35" t="e">
        <f>Table1[[#This Row],[RAB Pemasangan]]/Table1[[#This Row],[Nilai RAB Jaringan
(Exclude Ppn)]]</f>
        <v>#DIV/0!</v>
      </c>
      <c r="AK6" s="35" t="e">
        <f>Table1[[#This Row],[RAB Pengadaan]]/Table1[[#This Row],[Nilai RAB Jaringan
(Exclude Ppn)]]</f>
        <v>#DIV/0!</v>
      </c>
      <c r="AL6" s="35" t="e">
        <f>Table1[[#This Row],[RAB Perizinan]]/Table1[[#This Row],[Nilai RAB Jaringan
(Exclude Ppn)]]</f>
        <v>#DIV/0!</v>
      </c>
      <c r="AM6" s="42"/>
      <c r="AN6" s="256">
        <v>1083</v>
      </c>
      <c r="AO6" s="256">
        <f>SUM(Table1[[#This Row],[Pipa 63 mm]:[Pipa 1,800 mm]])</f>
        <v>0</v>
      </c>
      <c r="AP6" s="256"/>
      <c r="AQ6" s="256"/>
      <c r="AR6" s="256"/>
      <c r="AS6" s="256"/>
      <c r="AT6" s="256"/>
      <c r="AU6" s="256"/>
      <c r="AV6" s="256"/>
      <c r="AW6" s="256"/>
      <c r="AX6" s="256"/>
      <c r="AY6" s="256"/>
      <c r="AZ6" s="256"/>
      <c r="BA6" s="256"/>
      <c r="BB6" s="256"/>
      <c r="BC6" s="256"/>
      <c r="BD6" s="256"/>
      <c r="BE6" s="256"/>
      <c r="BF6" s="256"/>
      <c r="BG6" s="256"/>
      <c r="BH6" s="256"/>
      <c r="BI6" s="256"/>
      <c r="BJ6" s="36">
        <f>SUM(Table1[[#This Row],[Pipa 63 mm2]:[Pipa 1,800 mm21]])</f>
        <v>1071.72</v>
      </c>
      <c r="BK6" s="32"/>
      <c r="BL6" s="32"/>
      <c r="BM6" s="32"/>
      <c r="BN6" s="32"/>
      <c r="BO6" s="32"/>
      <c r="BP6" s="32"/>
      <c r="BQ6" s="32"/>
      <c r="BR6" s="32"/>
      <c r="BS6" s="32"/>
      <c r="BT6" s="32"/>
      <c r="BU6" s="32"/>
      <c r="BV6" s="32"/>
      <c r="BW6" s="32"/>
      <c r="BX6" s="32"/>
      <c r="BY6" s="60">
        <f>380.8+644.7+46.22</f>
        <v>1071.72</v>
      </c>
      <c r="BZ6" s="32"/>
      <c r="CA6" s="32"/>
      <c r="CB6" s="32"/>
      <c r="CC6" s="32"/>
      <c r="CD6" s="32"/>
      <c r="CE6" s="32">
        <v>0</v>
      </c>
      <c r="CF6" s="32"/>
      <c r="CG6" s="32"/>
      <c r="CH6" s="32"/>
      <c r="CI6" s="32">
        <f t="shared" si="3"/>
        <v>0</v>
      </c>
      <c r="CJ6" s="60">
        <f>IF((Table1[[#This Row],["Volume
BA MC-0"]]-Table1[[#This Row],[Total Panjang Pipa Aktual
(Sum-&gt;)3]]-Table1[[#This Row],[Total Volume
tidak dapat dipasang]])&gt;=0,Table1[[#This Row],["Volume
BA MC-0"]]-Table1[[#This Row],[Total Panjang Pipa Aktual
(Sum-&gt;)3]]-Table1[[#This Row],[Total Volume
tidak dapat dipasang]],0)</f>
        <v>11.279999999999973</v>
      </c>
      <c r="CK6" s="42"/>
      <c r="CL6" s="113"/>
      <c r="CM6" s="35"/>
      <c r="CN6" s="113"/>
      <c r="CO6" s="113"/>
      <c r="CP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 s="61">
        <f>IFERROR(Table1[[#This Row],[Progres Keg. Umum
(%)]]*Table1[[#This Row],[Nilai RAB Jaringan
(file pa aji)]],0)</f>
        <v>0</v>
      </c>
      <c r="CR6" s="61">
        <f>IFERROR(Table1[[#This Row],[Progres MOS
(%)]]*Table1[[#This Row],[Nilai RAB Jaringan
(file pa aji)]],0)</f>
        <v>0</v>
      </c>
      <c r="CS6" s="61">
        <f>IFERROR(Table1[[#This Row],[Progres Pemasangan
(%)]]*Table1[[#This Row],[Nilai RAB Jaringan
(file pa aji)]],0)</f>
        <v>0</v>
      </c>
      <c r="CT6" s="61">
        <f>IFERROR(Table1[[#This Row],[Progres Perizinan
(%)]]*Table1[[#This Row],[Nilai RAB Jaringan
(file pa aji)]],0)</f>
        <v>0</v>
      </c>
      <c r="CU6" s="789">
        <v>51407089365</v>
      </c>
      <c r="CV6" s="299">
        <v>51407089365</v>
      </c>
      <c r="CW6" s="552">
        <v>51407089365</v>
      </c>
      <c r="CX6" s="789">
        <f>_xlfn.XLOOKUP(Table1[[#This Row],[Kode Program]],'[1]Breakdown VOWD Greenfield'!$E:$E,'[1]Breakdown VOWD Greenfield'!$AT:$AT)</f>
        <v>51407089365</v>
      </c>
      <c r="CY6" s="42"/>
      <c r="CZ6" s="300">
        <v>45194</v>
      </c>
      <c r="DA6" s="300">
        <v>45228</v>
      </c>
      <c r="DB6" s="301">
        <v>45240</v>
      </c>
      <c r="DC6" s="286" t="s">
        <v>254</v>
      </c>
      <c r="DD6" s="62">
        <v>50448936470</v>
      </c>
      <c r="DE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6" s="301">
        <v>45250</v>
      </c>
      <c r="DG6" s="286" t="s">
        <v>255</v>
      </c>
      <c r="DH6" s="62">
        <v>50448936470</v>
      </c>
      <c r="DI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6" s="300">
        <v>45229</v>
      </c>
      <c r="DK6" s="300">
        <v>45445</v>
      </c>
      <c r="DL6" s="301">
        <v>45274.711006944446</v>
      </c>
      <c r="DM6" s="286" t="s">
        <v>265</v>
      </c>
      <c r="DN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 s="301">
        <v>45456.291666666664</v>
      </c>
      <c r="DP6" s="286" t="s">
        <v>266</v>
      </c>
      <c r="DQ6" s="308" t="s">
        <v>258</v>
      </c>
      <c r="DR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 s="300">
        <v>45229</v>
      </c>
      <c r="DT6" s="300" t="e">
        <v>#N/A</v>
      </c>
      <c r="DU6" s="300">
        <v>45277</v>
      </c>
      <c r="DV6" s="300" t="e">
        <v>#N/A</v>
      </c>
      <c r="DW6" s="301"/>
      <c r="DX6" s="286"/>
      <c r="DY6" s="304"/>
      <c r="DZ6" s="304"/>
      <c r="EA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 s="301"/>
      <c r="EC6" s="302"/>
      <c r="ED6" s="302"/>
      <c r="EE6" s="300"/>
      <c r="EF6" s="35">
        <v>1</v>
      </c>
      <c r="EG6" s="307">
        <v>1</v>
      </c>
      <c r="EH6" s="286" t="str">
        <f>IF(Table1[[#This Row],[PO Material Aktual 
(%)]]&gt;=100%,"Selesai PO = 100%",IF(Table1[[#This Row],[PO Material Aktual 
(%)]]&gt;=50%,"Proses PO &gt; 100%",IF(Table1[[#This Row],[PO Material Aktual 
(%)]]&gt;0%,"Proses PO &gt; 50%",IF(Table1[[#This Row],[PO Material Aktual 
(%)]]=0,"Belum PO = 0%"))))</f>
        <v>Selesai PO = 100%</v>
      </c>
      <c r="EI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 s="300">
        <v>45278</v>
      </c>
      <c r="EK6" s="300" t="e">
        <v>#N/A</v>
      </c>
      <c r="EL6" s="300">
        <v>45564</v>
      </c>
      <c r="EM6" s="300" t="e">
        <v>#N/A</v>
      </c>
      <c r="EN6" s="301"/>
      <c r="EO6" s="302"/>
      <c r="EP6" s="302"/>
      <c r="EQ6" s="82">
        <v>1</v>
      </c>
      <c r="ER6" s="82">
        <v>1</v>
      </c>
      <c r="ES6" s="286" t="str">
        <f>IF(Table1[[#This Row],[Progres MOS]]&gt;=100%,"Selesai MOS = 100%",IF(Table1[[#This Row],[Progres MOS]]&gt;=50%,"Proses MOS &gt; 100%",IF(Table1[[#This Row],[Progres MOS]]&gt;0%,"Proses MOS &gt; 50%",IF(Table1[[#This Row],[Progres MOS]]=0,"Belum MOS = 0%"))))</f>
        <v>Selesai MOS = 100%</v>
      </c>
      <c r="ET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 s="42"/>
      <c r="EV6" s="300">
        <v>45229</v>
      </c>
      <c r="EW6" s="300" t="e">
        <v>#N/A</v>
      </c>
      <c r="EX6" s="300">
        <v>45473</v>
      </c>
      <c r="EY6" s="300" t="e">
        <v>#N/A</v>
      </c>
      <c r="EZ6" s="322" t="s">
        <v>259</v>
      </c>
      <c r="FA6" s="306" t="s">
        <v>259</v>
      </c>
      <c r="FB6" s="300" t="s">
        <v>260</v>
      </c>
      <c r="FC6" s="300">
        <v>45013</v>
      </c>
      <c r="FD6" s="300" t="s">
        <v>260</v>
      </c>
      <c r="FE6" s="300"/>
      <c r="FF6" s="300">
        <v>45097</v>
      </c>
      <c r="FG6" s="300" t="s">
        <v>260</v>
      </c>
      <c r="FH6" s="300" t="s">
        <v>260</v>
      </c>
      <c r="FI6" s="300">
        <v>45187</v>
      </c>
      <c r="FJ6" s="300" t="s">
        <v>260</v>
      </c>
      <c r="FK6" s="300">
        <v>45434</v>
      </c>
      <c r="FL6" s="306" t="s">
        <v>259</v>
      </c>
      <c r="FM6" s="306">
        <v>45013</v>
      </c>
      <c r="FN6" s="284">
        <f>IF(Table1[[#This Row],[Tanggal Pengajuan Dokumen]]="","",Table1[[#This Row],[PLAN PERMIT
start]]-Table1[[#This Row],[Tanggal Pengajuan Dokumen]])</f>
        <v>216</v>
      </c>
      <c r="FO6" s="306">
        <v>45434</v>
      </c>
      <c r="FP6" s="286"/>
      <c r="FQ6" s="308"/>
      <c r="FR6" s="322"/>
      <c r="FS6" s="308" t="str">
        <f t="shared" si="4"/>
        <v>Sudah Terbit</v>
      </c>
      <c r="FT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 s="314">
        <f ca="1">IF(Table1[[#This Row],[Status Izin]]="Selesai",Table1[[#This Row],[PLAN PERMIT
finish]]-Table1[[#This Row],[Tanggal Terbit/ Target Izin Terbit]],ROUNDUP(Table1[[#This Row],[PLAN PERMIT
finish]]-NOW(),0))</f>
        <v>39</v>
      </c>
      <c r="FV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6" s="314"/>
      <c r="FX6" s="42"/>
      <c r="FY6" s="310"/>
      <c r="FZ6" s="311"/>
      <c r="GA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 s="300">
        <v>45447</v>
      </c>
      <c r="GC6" s="300">
        <v>45414</v>
      </c>
      <c r="GD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 s="300">
        <v>45454</v>
      </c>
      <c r="GF6" s="300">
        <v>45414</v>
      </c>
      <c r="GG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 s="300">
        <v>45460</v>
      </c>
      <c r="GI6" s="300">
        <v>45466</v>
      </c>
      <c r="GJ6" s="323">
        <v>45443</v>
      </c>
      <c r="GK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 s="300">
        <v>45474</v>
      </c>
      <c r="GM6" s="300" t="e">
        <v>#N/A</v>
      </c>
      <c r="GN6" s="300">
        <v>45641</v>
      </c>
      <c r="GO6" s="300" t="e">
        <v>#N/A</v>
      </c>
      <c r="GP6" s="286"/>
      <c r="GQ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 s="300" t="s">
        <v>261</v>
      </c>
      <c r="GS6" s="300" t="s">
        <v>261</v>
      </c>
      <c r="GT6" s="324">
        <v>45635</v>
      </c>
      <c r="GU6" s="314" t="str">
        <f>IF(Table1[[#This Row],[Hydro Tes Actual
(tanggal)]]&lt;&gt;"","Sudah","Belum")</f>
        <v>Sudah</v>
      </c>
      <c r="GV6" s="300" t="s">
        <v>261</v>
      </c>
      <c r="GW6" s="300" t="s">
        <v>261</v>
      </c>
      <c r="GX6" s="301">
        <v>45563</v>
      </c>
      <c r="GY6" s="314" t="str">
        <f>IF(Table1[[#This Row],[Interkoneksi Actual
(tanggal)]]&lt;&gt;"","Sudah","Belum")</f>
        <v>Sudah</v>
      </c>
      <c r="GZ6" s="300" t="s">
        <v>261</v>
      </c>
      <c r="HA6" s="300" t="s">
        <v>261</v>
      </c>
      <c r="HB6" s="301">
        <v>44965</v>
      </c>
      <c r="HC6" s="314" t="str">
        <f>IF(Table1[[#This Row],[Flushing Actual
(tanggal)]]&lt;&gt;"","Sudah","Belum")</f>
        <v>Sudah</v>
      </c>
      <c r="HD6" s="300">
        <v>45614</v>
      </c>
      <c r="HE6" s="300" t="e">
        <v>#N/A</v>
      </c>
      <c r="HF6" s="300">
        <v>45620</v>
      </c>
      <c r="HG6" s="316">
        <v>45699</v>
      </c>
      <c r="HH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 s="300" t="s">
        <v>261</v>
      </c>
      <c r="HJ6" s="300" t="s">
        <v>261</v>
      </c>
      <c r="HK6" s="301"/>
      <c r="HL6" s="286"/>
      <c r="HM6" s="300">
        <v>45646</v>
      </c>
      <c r="HN6" s="300">
        <v>45646</v>
      </c>
      <c r="HO6" s="300" t="e">
        <v>#N/A</v>
      </c>
      <c r="HP6" s="300"/>
      <c r="HQ6" s="316">
        <v>45737</v>
      </c>
      <c r="HR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 s="300">
        <v>45653</v>
      </c>
      <c r="HT6" s="300"/>
      <c r="HU6" s="300">
        <v>45653</v>
      </c>
      <c r="HV6" s="497"/>
      <c r="HW6" s="300">
        <v>45751</v>
      </c>
      <c r="HX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 s="42"/>
      <c r="HZ6" s="322"/>
      <c r="IA6" s="306"/>
      <c r="IC6" s="585">
        <f>IFERROR(ROUND((Table1[[#This Row],[PLAN TC
finish]]-Table1[[#This Row],[PLAN MC-0
start]])/30,2),"")</f>
        <v>5.33</v>
      </c>
      <c r="ID6">
        <f>DATEDIF(Table1[[#This Row],[PLAN MC-0
start]],Table1[[#This Row],[PLAN TC
finish]],"m")</f>
        <v>5</v>
      </c>
    </row>
    <row r="7" spans="1:238" s="4" customFormat="1" ht="15" customHeight="1" x14ac:dyDescent="0.25">
      <c r="B7" s="281">
        <f>SUBTOTAL(3,$D$5:D7)</f>
        <v>3</v>
      </c>
      <c r="C7" s="318">
        <v>3</v>
      </c>
      <c r="D7" s="285" t="s">
        <v>244</v>
      </c>
      <c r="E7" s="285" t="s">
        <v>267</v>
      </c>
      <c r="F7" s="285" t="s">
        <v>268</v>
      </c>
      <c r="G7" s="319">
        <v>45752</v>
      </c>
      <c r="H7" s="284" t="s">
        <v>247</v>
      </c>
      <c r="I7" s="285" t="s">
        <v>248</v>
      </c>
      <c r="J7" s="285"/>
      <c r="K7" s="308" t="s">
        <v>249</v>
      </c>
      <c r="L7" s="286" t="s">
        <v>250</v>
      </c>
      <c r="M7" s="286" t="s">
        <v>269</v>
      </c>
      <c r="N7" s="94">
        <v>616</v>
      </c>
      <c r="O7" s="31" t="s">
        <v>252</v>
      </c>
      <c r="P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 s="82" t="e">
        <v>#N/A</v>
      </c>
      <c r="S7" s="82">
        <v>1</v>
      </c>
      <c r="T7" s="35">
        <f>Table1[[#This Row],[Progres Total Aktual
(%)]]</f>
        <v>1</v>
      </c>
      <c r="U7" s="106">
        <f>Table1[[#This Row],[Progres Aktual
(%)]]-Table1[[#This Row],[Target Progres
(%)]]</f>
        <v>0</v>
      </c>
      <c r="V7" s="320">
        <f>Table1[[#This Row],["Volume
BA MC-0"]]</f>
        <v>593</v>
      </c>
      <c r="W7" s="321">
        <f>Table1[[#This Row],[Total Panjang Pipa Aktual
(Sum-&gt;)3]]</f>
        <v>606.9</v>
      </c>
      <c r="X7" s="42"/>
      <c r="Y7" s="62" t="s">
        <v>270</v>
      </c>
      <c r="Z7" s="62">
        <v>11427917081</v>
      </c>
      <c r="AA7" s="62">
        <f>ROUND((Table1[[#This Row],[Nilai RAB Jaringan
(Exclude Ppn)]]-Table1[[#This Row],[RAB Perizinan]])*1.11+Table1[[#This Row],[RAB Perizinan]],0)</f>
        <v>0</v>
      </c>
      <c r="AB7" s="290">
        <f>SUM(Table1[[#This Row],[RAB Kegiatan Umum]:[RAB Perizinan]])</f>
        <v>0</v>
      </c>
      <c r="AC7" s="290"/>
      <c r="AD7" s="290"/>
      <c r="AE7" s="290"/>
      <c r="AF7" s="290"/>
      <c r="AG7" s="290">
        <v>0</v>
      </c>
      <c r="AH7" s="35" t="e">
        <f>SUM(Table1[[#This Row],[Bobot Keg Umum]:[Bobot Perizinan]])</f>
        <v>#DIV/0!</v>
      </c>
      <c r="AI7" s="35" t="e">
        <f>Table1[[#This Row],[RAB Kegiatan Umum]]/Table1[[#This Row],[Nilai RAB Jaringan
(Exclude Ppn)]]</f>
        <v>#DIV/0!</v>
      </c>
      <c r="AJ7" s="35" t="e">
        <f>Table1[[#This Row],[RAB Pemasangan]]/Table1[[#This Row],[Nilai RAB Jaringan
(Exclude Ppn)]]</f>
        <v>#DIV/0!</v>
      </c>
      <c r="AK7" s="35" t="e">
        <f>Table1[[#This Row],[RAB Pengadaan]]/Table1[[#This Row],[Nilai RAB Jaringan
(Exclude Ppn)]]</f>
        <v>#DIV/0!</v>
      </c>
      <c r="AL7" s="35" t="e">
        <f>Table1[[#This Row],[RAB Perizinan]]/Table1[[#This Row],[Nilai RAB Jaringan
(Exclude Ppn)]]</f>
        <v>#DIV/0!</v>
      </c>
      <c r="AM7" s="42"/>
      <c r="AN7" s="256">
        <v>593</v>
      </c>
      <c r="AO7" s="256">
        <f>SUM(Table1[[#This Row],[Pipa 63 mm]:[Pipa 1,800 mm]])</f>
        <v>0</v>
      </c>
      <c r="AP7" s="256"/>
      <c r="AQ7" s="256"/>
      <c r="AR7" s="256"/>
      <c r="AS7" s="256"/>
      <c r="AT7" s="256"/>
      <c r="AU7" s="256"/>
      <c r="AV7" s="256"/>
      <c r="AW7" s="256"/>
      <c r="AX7" s="256"/>
      <c r="AY7" s="256"/>
      <c r="AZ7" s="256"/>
      <c r="BA7" s="256"/>
      <c r="BB7" s="256"/>
      <c r="BC7" s="256"/>
      <c r="BD7" s="256"/>
      <c r="BE7" s="256"/>
      <c r="BF7" s="256"/>
      <c r="BG7" s="256"/>
      <c r="BH7" s="256"/>
      <c r="BI7" s="256"/>
      <c r="BJ7" s="36">
        <f>SUM(Table1[[#This Row],[Pipa 63 mm2]:[Pipa 1,800 mm21]])</f>
        <v>606.9</v>
      </c>
      <c r="BK7" s="326"/>
      <c r="BL7" s="326"/>
      <c r="BM7" s="326"/>
      <c r="BN7" s="326"/>
      <c r="BO7" s="326"/>
      <c r="BP7" s="326">
        <v>15</v>
      </c>
      <c r="BQ7" s="326"/>
      <c r="BR7" s="326"/>
      <c r="BS7" s="326"/>
      <c r="BT7" s="326"/>
      <c r="BU7" s="326">
        <v>591.9</v>
      </c>
      <c r="BV7" s="326"/>
      <c r="BW7" s="326"/>
      <c r="BX7" s="326"/>
      <c r="BY7" s="326"/>
      <c r="BZ7" s="326"/>
      <c r="CA7" s="326"/>
      <c r="CB7" s="326"/>
      <c r="CC7" s="326"/>
      <c r="CD7" s="326"/>
      <c r="CE7" s="32">
        <v>0</v>
      </c>
      <c r="CF7" s="32"/>
      <c r="CG7" s="32"/>
      <c r="CH7" s="32"/>
      <c r="CI7" s="32">
        <f t="shared" si="3"/>
        <v>0</v>
      </c>
      <c r="CJ7" s="60">
        <f>IF((Table1[[#This Row],["Volume
BA MC-0"]]-Table1[[#This Row],[Total Panjang Pipa Aktual
(Sum-&gt;)3]]-Table1[[#This Row],[Total Volume
tidak dapat dipasang]])&gt;=0,Table1[[#This Row],["Volume
BA MC-0"]]-Table1[[#This Row],[Total Panjang Pipa Aktual
(Sum-&gt;)3]]-Table1[[#This Row],[Total Volume
tidak dapat dipasang]],0)</f>
        <v>0</v>
      </c>
      <c r="CK7" s="42"/>
      <c r="CL7" s="113"/>
      <c r="CM7" s="35"/>
      <c r="CN7" s="113"/>
      <c r="CO7" s="113"/>
      <c r="CP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 s="61">
        <f>IFERROR(Table1[[#This Row],[Progres Keg. Umum
(%)]]*Table1[[#This Row],[Nilai RAB Jaringan
(file pa aji)]],0)</f>
        <v>0</v>
      </c>
      <c r="CR7" s="61">
        <f>IFERROR(Table1[[#This Row],[Progres MOS
(%)]]*Table1[[#This Row],[Nilai RAB Jaringan
(file pa aji)]],0)</f>
        <v>0</v>
      </c>
      <c r="CS7" s="61">
        <f>IFERROR(Table1[[#This Row],[Progres Pemasangan
(%)]]*Table1[[#This Row],[Nilai RAB Jaringan
(file pa aji)]],0)</f>
        <v>0</v>
      </c>
      <c r="CT7" s="61">
        <f>IFERROR(Table1[[#This Row],[Progres Perizinan
(%)]]*Table1[[#This Row],[Nilai RAB Jaringan
(file pa aji)]],0)</f>
        <v>0</v>
      </c>
      <c r="CU7" s="789">
        <v>10843356260</v>
      </c>
      <c r="CV7" s="299">
        <v>10843356260</v>
      </c>
      <c r="CW7" s="552">
        <v>10843356260</v>
      </c>
      <c r="CX7" s="789">
        <f>_xlfn.XLOOKUP(Table1[[#This Row],[Kode Program]],'[1]Breakdown VOWD Greenfield'!$E:$E,'[1]Breakdown VOWD Greenfield'!$AT:$AT)</f>
        <v>10843356260</v>
      </c>
      <c r="CY7" s="42"/>
      <c r="CZ7" s="300">
        <v>45194</v>
      </c>
      <c r="DA7" s="300">
        <v>45207</v>
      </c>
      <c r="DB7" s="301">
        <v>45164</v>
      </c>
      <c r="DC7" s="286" t="s">
        <v>271</v>
      </c>
      <c r="DD7" s="62">
        <v>5358010944</v>
      </c>
      <c r="DE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7" s="301">
        <v>45222</v>
      </c>
      <c r="DG7" s="286" t="s">
        <v>272</v>
      </c>
      <c r="DH7" s="62">
        <v>5358010944</v>
      </c>
      <c r="DI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7" s="300">
        <v>45208</v>
      </c>
      <c r="DK7" s="300">
        <v>45228</v>
      </c>
      <c r="DL7" s="301">
        <v>45226</v>
      </c>
      <c r="DM7" s="286" t="s">
        <v>273</v>
      </c>
      <c r="DN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 s="301">
        <v>45258</v>
      </c>
      <c r="DP7" s="286" t="s">
        <v>274</v>
      </c>
      <c r="DQ7" s="308" t="s">
        <v>275</v>
      </c>
      <c r="DR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 s="300">
        <v>45208</v>
      </c>
      <c r="DT7" s="300" t="e">
        <v>#N/A</v>
      </c>
      <c r="DU7" s="300">
        <v>45235</v>
      </c>
      <c r="DV7" s="300" t="e">
        <v>#N/A</v>
      </c>
      <c r="DW7" s="301"/>
      <c r="DX7" s="286"/>
      <c r="DY7" s="304"/>
      <c r="DZ7" s="304"/>
      <c r="EA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 s="301"/>
      <c r="EC7" s="302"/>
      <c r="ED7" s="302"/>
      <c r="EE7" s="300"/>
      <c r="EF7" s="35">
        <v>1</v>
      </c>
      <c r="EG7" s="307">
        <v>1</v>
      </c>
      <c r="EH7" s="286" t="str">
        <f>IF(Table1[[#This Row],[PO Material Aktual 
(%)]]&gt;=100%,"Selesai PO = 100%",IF(Table1[[#This Row],[PO Material Aktual 
(%)]]&gt;=50%,"Proses PO &gt; 100%",IF(Table1[[#This Row],[PO Material Aktual 
(%)]]&gt;0%,"Proses PO &gt; 50%",IF(Table1[[#This Row],[PO Material Aktual 
(%)]]=0,"Belum PO = 0%"))))</f>
        <v>Selesai PO = 100%</v>
      </c>
      <c r="EI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 s="300">
        <v>45236</v>
      </c>
      <c r="EK7" s="300" t="e">
        <v>#N/A</v>
      </c>
      <c r="EL7" s="300">
        <v>45291</v>
      </c>
      <c r="EM7" s="300" t="e">
        <v>#N/A</v>
      </c>
      <c r="EN7" s="301"/>
      <c r="EO7" s="302"/>
      <c r="EP7" s="302"/>
      <c r="EQ7" s="82">
        <v>1</v>
      </c>
      <c r="ER7" s="82">
        <v>1</v>
      </c>
      <c r="ES7" s="286" t="str">
        <f>IF(Table1[[#This Row],[Progres MOS]]&gt;=100%,"Selesai MOS = 100%",IF(Table1[[#This Row],[Progres MOS]]&gt;=50%,"Proses MOS &gt; 100%",IF(Table1[[#This Row],[Progres MOS]]&gt;0%,"Proses MOS &gt; 50%",IF(Table1[[#This Row],[Progres MOS]]=0,"Belum MOS = 0%"))))</f>
        <v>Selesai MOS = 100%</v>
      </c>
      <c r="ET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 s="42"/>
      <c r="EV7" s="300">
        <v>45208</v>
      </c>
      <c r="EW7" s="300" t="e">
        <v>#N/A</v>
      </c>
      <c r="EX7" s="300">
        <v>45256</v>
      </c>
      <c r="EY7" s="300" t="e">
        <v>#N/A</v>
      </c>
      <c r="EZ7" s="322" t="s">
        <v>259</v>
      </c>
      <c r="FA7" s="306" t="s">
        <v>259</v>
      </c>
      <c r="FB7" s="300" t="s">
        <v>260</v>
      </c>
      <c r="FC7" s="300"/>
      <c r="FD7" s="300" t="s">
        <v>260</v>
      </c>
      <c r="FE7" s="300"/>
      <c r="FF7" s="300"/>
      <c r="FG7" s="300" t="s">
        <v>260</v>
      </c>
      <c r="FH7" s="300" t="s">
        <v>260</v>
      </c>
      <c r="FI7" s="300"/>
      <c r="FJ7" s="300" t="s">
        <v>260</v>
      </c>
      <c r="FK7" s="300"/>
      <c r="FL7" s="306" t="s">
        <v>259</v>
      </c>
      <c r="FM7" s="306"/>
      <c r="FN7" s="284" t="str">
        <f>IF(Table1[[#This Row],[Tanggal Pengajuan Dokumen]]="","",Table1[[#This Row],[PLAN PERMIT
start]]-Table1[[#This Row],[Tanggal Pengajuan Dokumen]])</f>
        <v/>
      </c>
      <c r="FO7" s="306"/>
      <c r="FP7" s="286"/>
      <c r="FQ7" s="308"/>
      <c r="FR7" s="322"/>
      <c r="FS7" s="308" t="str">
        <f t="shared" si="4"/>
        <v>Sudah Terbit</v>
      </c>
      <c r="FT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 s="314">
        <f ca="1">IF(Table1[[#This Row],[Status Izin]]="Selesai",Table1[[#This Row],[PLAN PERMIT
finish]]-Table1[[#This Row],[Tanggal Terbit/ Target Izin Terbit]],ROUNDUP(Table1[[#This Row],[PLAN PERMIT
finish]]-NOW(),0))</f>
        <v>45256</v>
      </c>
      <c r="FV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 s="314"/>
      <c r="FX7" s="42"/>
      <c r="FY7" s="310"/>
      <c r="FZ7" s="311"/>
      <c r="GA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 s="300">
        <v>45230</v>
      </c>
      <c r="GC7" s="301">
        <v>45215</v>
      </c>
      <c r="GD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 s="300">
        <v>45237</v>
      </c>
      <c r="GF7" s="301">
        <v>45215</v>
      </c>
      <c r="GG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 s="300">
        <v>45243</v>
      </c>
      <c r="GI7" s="300">
        <v>45249</v>
      </c>
      <c r="GJ7" s="323">
        <v>45030</v>
      </c>
      <c r="GK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 s="300">
        <v>45257</v>
      </c>
      <c r="GM7" s="300" t="e">
        <v>#N/A</v>
      </c>
      <c r="GN7" s="300">
        <v>45333</v>
      </c>
      <c r="GO7" s="300" t="e">
        <v>#N/A</v>
      </c>
      <c r="GP7" s="286"/>
      <c r="GQ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 s="300" t="s">
        <v>261</v>
      </c>
      <c r="GS7" s="300" t="s">
        <v>261</v>
      </c>
      <c r="GT7" s="324">
        <v>45288</v>
      </c>
      <c r="GU7" s="314" t="str">
        <f>IF(Table1[[#This Row],[Hydro Tes Actual
(tanggal)]]&lt;&gt;"","Sudah","Belum")</f>
        <v>Sudah</v>
      </c>
      <c r="GV7" s="300" t="s">
        <v>261</v>
      </c>
      <c r="GW7" s="300" t="s">
        <v>261</v>
      </c>
      <c r="GX7" s="301">
        <v>45342</v>
      </c>
      <c r="GY7" s="314" t="str">
        <f>IF(Table1[[#This Row],[Interkoneksi Actual
(tanggal)]]&lt;&gt;"","Sudah","Belum")</f>
        <v>Sudah</v>
      </c>
      <c r="GZ7" s="300" t="s">
        <v>261</v>
      </c>
      <c r="HA7" s="300" t="s">
        <v>261</v>
      </c>
      <c r="HB7" s="301">
        <v>44965</v>
      </c>
      <c r="HC7" s="314" t="str">
        <f>IF(Table1[[#This Row],[Flushing Actual
(tanggal)]]&lt;&gt;"","Sudah","Belum")</f>
        <v>Sudah</v>
      </c>
      <c r="HD7" s="300">
        <v>45320</v>
      </c>
      <c r="HE7" s="300" t="e">
        <v>#N/A</v>
      </c>
      <c r="HF7" s="300">
        <v>45326</v>
      </c>
      <c r="HG7" s="316">
        <v>45351</v>
      </c>
      <c r="HH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 s="300" t="s">
        <v>261</v>
      </c>
      <c r="HJ7" s="300" t="s">
        <v>261</v>
      </c>
      <c r="HK7" s="301"/>
      <c r="HL7" s="286"/>
      <c r="HM7" s="300">
        <v>45338</v>
      </c>
      <c r="HN7" s="300">
        <v>45338</v>
      </c>
      <c r="HO7" s="300" t="e">
        <v>#N/A</v>
      </c>
      <c r="HP7" s="300"/>
      <c r="HQ7" s="316">
        <v>45358</v>
      </c>
      <c r="HR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 s="300">
        <v>45345</v>
      </c>
      <c r="HT7" s="300"/>
      <c r="HU7" s="300">
        <v>45345</v>
      </c>
      <c r="HV7" s="497"/>
      <c r="HW7" s="300">
        <v>45714</v>
      </c>
      <c r="HX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 s="42"/>
      <c r="HZ7" s="322"/>
      <c r="IA7" s="306"/>
      <c r="IC7" s="585">
        <f>IFERROR(ROUND((Table1[[#This Row],[PLAN TC
finish]]-Table1[[#This Row],[PLAN MC-0
start]])/30,2),"")</f>
        <v>2.77</v>
      </c>
      <c r="ID7">
        <f>DATEDIF(Table1[[#This Row],[PLAN MC-0
start]],Table1[[#This Row],[PLAN TC
finish]],"m")</f>
        <v>2</v>
      </c>
    </row>
    <row r="8" spans="1:238" s="4" customFormat="1" ht="15" customHeight="1" x14ac:dyDescent="0.25">
      <c r="B8" s="281">
        <f>SUBTOTAL(3,$D$5:D8)</f>
        <v>4</v>
      </c>
      <c r="C8" s="318">
        <v>4</v>
      </c>
      <c r="D8" s="285" t="s">
        <v>244</v>
      </c>
      <c r="E8" s="285" t="s">
        <v>276</v>
      </c>
      <c r="F8" s="285" t="s">
        <v>277</v>
      </c>
      <c r="G8" s="319">
        <v>45752</v>
      </c>
      <c r="H8" s="284" t="s">
        <v>247</v>
      </c>
      <c r="I8" s="285" t="s">
        <v>278</v>
      </c>
      <c r="J8" s="285"/>
      <c r="K8" s="308" t="s">
        <v>249</v>
      </c>
      <c r="L8" s="286" t="s">
        <v>250</v>
      </c>
      <c r="M8" s="286" t="s">
        <v>269</v>
      </c>
      <c r="N8" s="94">
        <v>1234</v>
      </c>
      <c r="O8" s="31" t="s">
        <v>252</v>
      </c>
      <c r="P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 s="82" t="e">
        <v>#N/A</v>
      </c>
      <c r="S8" s="82">
        <v>1</v>
      </c>
      <c r="T8" s="35">
        <f>Table1[[#This Row],[Progres Total Aktual
(%)]]</f>
        <v>1</v>
      </c>
      <c r="U8" s="106">
        <f>Table1[[#This Row],[Progres Aktual
(%)]]-Table1[[#This Row],[Target Progres
(%)]]</f>
        <v>0</v>
      </c>
      <c r="V8" s="320">
        <f>Table1[[#This Row],["Volume
BA MC-0"]]</f>
        <v>1215</v>
      </c>
      <c r="W8" s="321">
        <f>Table1[[#This Row],[Total Panjang Pipa Aktual
(Sum-&gt;)3]]</f>
        <v>1215</v>
      </c>
      <c r="X8" s="42"/>
      <c r="Y8" s="62" t="s">
        <v>279</v>
      </c>
      <c r="Z8" s="62">
        <v>1511883276</v>
      </c>
      <c r="AA8" s="62">
        <f>ROUND((Table1[[#This Row],[Nilai RAB Jaringan
(Exclude Ppn)]]-Table1[[#This Row],[RAB Perizinan]])*1.11+Table1[[#This Row],[RAB Perizinan]],0)</f>
        <v>0</v>
      </c>
      <c r="AB8" s="290">
        <f>SUM(Table1[[#This Row],[RAB Kegiatan Umum]:[RAB Perizinan]])</f>
        <v>0</v>
      </c>
      <c r="AC8" s="290"/>
      <c r="AD8" s="290"/>
      <c r="AE8" s="290"/>
      <c r="AF8" s="290"/>
      <c r="AG8" s="290">
        <v>1024974000</v>
      </c>
      <c r="AH8" s="35" t="e">
        <f>SUM(Table1[[#This Row],[Bobot Keg Umum]:[Bobot Perizinan]])</f>
        <v>#DIV/0!</v>
      </c>
      <c r="AI8" s="35" t="e">
        <f>Table1[[#This Row],[RAB Kegiatan Umum]]/Table1[[#This Row],[Nilai RAB Jaringan
(Exclude Ppn)]]</f>
        <v>#DIV/0!</v>
      </c>
      <c r="AJ8" s="35" t="e">
        <f>Table1[[#This Row],[RAB Pemasangan]]/Table1[[#This Row],[Nilai RAB Jaringan
(Exclude Ppn)]]</f>
        <v>#DIV/0!</v>
      </c>
      <c r="AK8" s="35" t="e">
        <f>Table1[[#This Row],[RAB Pengadaan]]/Table1[[#This Row],[Nilai RAB Jaringan
(Exclude Ppn)]]</f>
        <v>#DIV/0!</v>
      </c>
      <c r="AL8" s="35" t="e">
        <f>Table1[[#This Row],[RAB Perizinan]]/Table1[[#This Row],[Nilai RAB Jaringan
(Exclude Ppn)]]</f>
        <v>#DIV/0!</v>
      </c>
      <c r="AM8" s="42"/>
      <c r="AN8" s="256">
        <v>1215</v>
      </c>
      <c r="AO8" s="256">
        <f>SUM(Table1[[#This Row],[Pipa 63 mm]:[Pipa 1,800 mm]])</f>
        <v>0</v>
      </c>
      <c r="AP8" s="256"/>
      <c r="AQ8" s="256"/>
      <c r="AR8" s="256"/>
      <c r="AS8" s="256"/>
      <c r="AT8" s="256"/>
      <c r="AU8" s="256"/>
      <c r="AV8" s="256"/>
      <c r="AW8" s="256"/>
      <c r="AX8" s="256"/>
      <c r="AY8" s="256"/>
      <c r="AZ8" s="256"/>
      <c r="BA8" s="256"/>
      <c r="BB8" s="256"/>
      <c r="BC8" s="256"/>
      <c r="BD8" s="256"/>
      <c r="BE8" s="256"/>
      <c r="BF8" s="256"/>
      <c r="BG8" s="256"/>
      <c r="BH8" s="256"/>
      <c r="BI8" s="256"/>
      <c r="BJ8" s="36">
        <f>SUM(Table1[[#This Row],[Pipa 63 mm2]:[Pipa 1,800 mm21]])</f>
        <v>1215</v>
      </c>
      <c r="BK8" s="32"/>
      <c r="BL8" s="32">
        <v>611</v>
      </c>
      <c r="BM8" s="32">
        <v>382</v>
      </c>
      <c r="BN8" s="32">
        <v>210</v>
      </c>
      <c r="BO8" s="32">
        <v>12</v>
      </c>
      <c r="BP8" s="32"/>
      <c r="BQ8" s="32"/>
      <c r="BR8" s="32"/>
      <c r="BS8" s="32"/>
      <c r="BT8" s="32"/>
      <c r="BU8" s="32"/>
      <c r="BV8" s="32"/>
      <c r="BW8" s="32"/>
      <c r="BX8" s="32"/>
      <c r="BY8" s="32"/>
      <c r="BZ8" s="32"/>
      <c r="CA8" s="32"/>
      <c r="CB8" s="32"/>
      <c r="CC8" s="32"/>
      <c r="CD8" s="32"/>
      <c r="CE8" s="32">
        <v>0</v>
      </c>
      <c r="CF8" s="32"/>
      <c r="CG8" s="32"/>
      <c r="CH8" s="32"/>
      <c r="CI8" s="32">
        <f t="shared" si="3"/>
        <v>0</v>
      </c>
      <c r="CJ8" s="60">
        <f>IF((Table1[[#This Row],["Volume
BA MC-0"]]-Table1[[#This Row],[Total Panjang Pipa Aktual
(Sum-&gt;)3]]-Table1[[#This Row],[Total Volume
tidak dapat dipasang]])&gt;=0,Table1[[#This Row],["Volume
BA MC-0"]]-Table1[[#This Row],[Total Panjang Pipa Aktual
(Sum-&gt;)3]]-Table1[[#This Row],[Total Volume
tidak dapat dipasang]],0)</f>
        <v>0</v>
      </c>
      <c r="CK8" s="42"/>
      <c r="CL8" s="113"/>
      <c r="CM8" s="35"/>
      <c r="CN8" s="113"/>
      <c r="CO8" s="113"/>
      <c r="CP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 s="61">
        <f>IFERROR(Table1[[#This Row],[Progres Keg. Umum
(%)]]*Table1[[#This Row],[Nilai RAB Jaringan
(file pa aji)]],0)</f>
        <v>0</v>
      </c>
      <c r="CR8" s="61">
        <f>IFERROR(Table1[[#This Row],[Progres MOS
(%)]]*Table1[[#This Row],[Nilai RAB Jaringan
(file pa aji)]],0)</f>
        <v>0</v>
      </c>
      <c r="CS8" s="61">
        <f>IFERROR(Table1[[#This Row],[Progres Pemasangan
(%)]]*Table1[[#This Row],[Nilai RAB Jaringan
(file pa aji)]],0)</f>
        <v>0</v>
      </c>
      <c r="CT8" s="61">
        <f>IFERROR(Table1[[#This Row],[Progres Perizinan
(%)]]*Table1[[#This Row],[Nilai RAB Jaringan
(file pa aji)]],0)</f>
        <v>0</v>
      </c>
      <c r="CU8" s="789">
        <v>2042804053</v>
      </c>
      <c r="CV8" s="299">
        <v>2042804053</v>
      </c>
      <c r="CW8" s="552">
        <v>2042804053</v>
      </c>
      <c r="CX8" s="789">
        <f>_xlfn.XLOOKUP(Table1[[#This Row],[Kode Program]],'[1]Breakdown VOWD Greenfield'!$E:$E,'[1]Breakdown VOWD Greenfield'!$AT:$AT)</f>
        <v>2042804053</v>
      </c>
      <c r="CY8" s="42"/>
      <c r="CZ8" s="300">
        <v>45102</v>
      </c>
      <c r="DA8" s="300">
        <v>45129</v>
      </c>
      <c r="DB8" s="301">
        <v>45161</v>
      </c>
      <c r="DC8" s="286" t="s">
        <v>280</v>
      </c>
      <c r="DD8" s="62">
        <v>1511883275</v>
      </c>
      <c r="DE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8" s="301">
        <v>45257</v>
      </c>
      <c r="DG8" s="286" t="s">
        <v>281</v>
      </c>
      <c r="DH8" s="62">
        <v>1511883275</v>
      </c>
      <c r="DI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8" s="300">
        <v>45130</v>
      </c>
      <c r="DK8" s="300">
        <v>45171</v>
      </c>
      <c r="DL8" s="301"/>
      <c r="DM8" s="286"/>
      <c r="DN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 s="301"/>
      <c r="DP8" s="286"/>
      <c r="DQ8" s="308"/>
      <c r="DR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 s="300">
        <v>45130</v>
      </c>
      <c r="DT8" s="300" t="e">
        <v>#N/A</v>
      </c>
      <c r="DU8" s="300">
        <v>45171</v>
      </c>
      <c r="DV8" s="300" t="e">
        <v>#N/A</v>
      </c>
      <c r="DW8" s="301"/>
      <c r="DX8" s="286"/>
      <c r="DY8" s="304"/>
      <c r="DZ8" s="304"/>
      <c r="EA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 s="301"/>
      <c r="EC8" s="302"/>
      <c r="ED8" s="302"/>
      <c r="EE8" s="300"/>
      <c r="EF8" s="35">
        <v>1</v>
      </c>
      <c r="EG8" s="307">
        <v>1</v>
      </c>
      <c r="EH8" s="286" t="str">
        <f>IF(Table1[[#This Row],[PO Material Aktual 
(%)]]&gt;=100%,"Selesai PO = 100%",IF(Table1[[#This Row],[PO Material Aktual 
(%)]]&gt;=50%,"Proses PO &gt; 100%",IF(Table1[[#This Row],[PO Material Aktual 
(%)]]&gt;0%,"Proses PO &gt; 50%",IF(Table1[[#This Row],[PO Material Aktual 
(%)]]=0,"Belum PO = 0%"))))</f>
        <v>Selesai PO = 100%</v>
      </c>
      <c r="EI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 s="300">
        <v>45137</v>
      </c>
      <c r="EK8" s="300" t="e">
        <v>#N/A</v>
      </c>
      <c r="EL8" s="300">
        <v>45227</v>
      </c>
      <c r="EM8" s="300" t="e">
        <v>#N/A</v>
      </c>
      <c r="EN8" s="301"/>
      <c r="EO8" s="302"/>
      <c r="EP8" s="302"/>
      <c r="EQ8" s="82">
        <v>1</v>
      </c>
      <c r="ER8" s="82">
        <v>1</v>
      </c>
      <c r="ES8" s="286" t="str">
        <f>IF(Table1[[#This Row],[Progres MOS]]&gt;=100%,"Selesai MOS = 100%",IF(Table1[[#This Row],[Progres MOS]]&gt;=50%,"Proses MOS &gt; 100%",IF(Table1[[#This Row],[Progres MOS]]&gt;0%,"Proses MOS &gt; 50%",IF(Table1[[#This Row],[Progres MOS]]=0,"Belum MOS = 0%"))))</f>
        <v>Selesai MOS = 100%</v>
      </c>
      <c r="ET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 s="42"/>
      <c r="EV8" s="300">
        <v>45130</v>
      </c>
      <c r="EW8" s="300" t="e">
        <v>#N/A</v>
      </c>
      <c r="EX8" s="300">
        <v>45199</v>
      </c>
      <c r="EY8" s="300" t="e">
        <v>#N/A</v>
      </c>
      <c r="EZ8" s="322" t="s">
        <v>259</v>
      </c>
      <c r="FA8" s="306" t="s">
        <v>259</v>
      </c>
      <c r="FB8" s="300" t="s">
        <v>260</v>
      </c>
      <c r="FC8" s="300" t="s">
        <v>282</v>
      </c>
      <c r="FD8" s="300" t="s">
        <v>282</v>
      </c>
      <c r="FE8" s="300" t="s">
        <v>282</v>
      </c>
      <c r="FF8" s="300" t="s">
        <v>282</v>
      </c>
      <c r="FG8" s="300" t="s">
        <v>282</v>
      </c>
      <c r="FH8" s="300" t="s">
        <v>282</v>
      </c>
      <c r="FI8" s="300" t="s">
        <v>282</v>
      </c>
      <c r="FJ8" s="300" t="s">
        <v>282</v>
      </c>
      <c r="FK8" s="300" t="s">
        <v>283</v>
      </c>
      <c r="FL8" s="306" t="s">
        <v>259</v>
      </c>
      <c r="FM8" s="306"/>
      <c r="FN8" s="284" t="str">
        <f>IF(Table1[[#This Row],[Tanggal Pengajuan Dokumen]]="","",Table1[[#This Row],[PLAN PERMIT
start]]-Table1[[#This Row],[Tanggal Pengajuan Dokumen]])</f>
        <v/>
      </c>
      <c r="FO8" s="306"/>
      <c r="FP8" s="286"/>
      <c r="FQ8" s="308"/>
      <c r="FR8" s="322"/>
      <c r="FS8" s="308" t="str">
        <f t="shared" si="4"/>
        <v>Sudah Terbit</v>
      </c>
      <c r="FT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 s="314">
        <f ca="1">IF(Table1[[#This Row],[Status Izin]]="Selesai",Table1[[#This Row],[PLAN PERMIT
finish]]-Table1[[#This Row],[Tanggal Terbit/ Target Izin Terbit]],ROUNDUP(Table1[[#This Row],[PLAN PERMIT
finish]]-NOW(),0))</f>
        <v>45199</v>
      </c>
      <c r="FV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 s="314"/>
      <c r="FX8" s="42"/>
      <c r="FY8" s="310"/>
      <c r="FZ8" s="311"/>
      <c r="GA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 s="300">
        <v>45823</v>
      </c>
      <c r="GC8" s="301">
        <v>45914</v>
      </c>
      <c r="GD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 s="300">
        <v>45823</v>
      </c>
      <c r="GF8" s="301">
        <v>45914</v>
      </c>
      <c r="GG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 s="300">
        <v>45817</v>
      </c>
      <c r="GI8" s="300">
        <v>45823</v>
      </c>
      <c r="GJ8" s="323">
        <v>45090</v>
      </c>
      <c r="GK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 s="300">
        <v>45200</v>
      </c>
      <c r="GM8" s="300" t="e">
        <v>#N/A</v>
      </c>
      <c r="GN8" s="300">
        <v>45262</v>
      </c>
      <c r="GO8" s="300" t="e">
        <v>#N/A</v>
      </c>
      <c r="GP8" s="286"/>
      <c r="GQ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 s="300" t="s">
        <v>261</v>
      </c>
      <c r="GS8" s="300" t="s">
        <v>261</v>
      </c>
      <c r="GT8" s="324">
        <v>45253</v>
      </c>
      <c r="GU8" s="314" t="str">
        <f>IF(Table1[[#This Row],[Hydro Tes Actual
(tanggal)]]&lt;&gt;"","Sudah","Belum")</f>
        <v>Sudah</v>
      </c>
      <c r="GV8" s="300" t="s">
        <v>261</v>
      </c>
      <c r="GW8" s="300" t="s">
        <v>261</v>
      </c>
      <c r="GX8" s="301">
        <v>45232</v>
      </c>
      <c r="GY8" s="314" t="str">
        <f>IF(Table1[[#This Row],[Interkoneksi Actual
(tanggal)]]&lt;&gt;"","Sudah","Belum")</f>
        <v>Sudah</v>
      </c>
      <c r="GZ8" s="300" t="s">
        <v>261</v>
      </c>
      <c r="HA8" s="300" t="s">
        <v>261</v>
      </c>
      <c r="HB8" s="301">
        <v>45255</v>
      </c>
      <c r="HC8" s="314" t="str">
        <f>IF(Table1[[#This Row],[Flushing Actual
(tanggal)]]&lt;&gt;"","Sudah","Belum")</f>
        <v>Sudah</v>
      </c>
      <c r="HD8" s="300">
        <v>45263</v>
      </c>
      <c r="HE8" s="300" t="e">
        <v>#N/A</v>
      </c>
      <c r="HF8" s="300">
        <v>45269</v>
      </c>
      <c r="HG8" s="316">
        <v>45303</v>
      </c>
      <c r="HH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 s="300" t="s">
        <v>261</v>
      </c>
      <c r="HJ8" s="300" t="s">
        <v>261</v>
      </c>
      <c r="HK8" s="301"/>
      <c r="HL8" s="286"/>
      <c r="HM8" s="300">
        <v>45281</v>
      </c>
      <c r="HN8" s="300">
        <v>45281</v>
      </c>
      <c r="HO8" s="300" t="e">
        <v>#N/A</v>
      </c>
      <c r="HP8" s="300"/>
      <c r="HQ8" s="316">
        <v>45335</v>
      </c>
      <c r="HR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 s="300">
        <v>45288</v>
      </c>
      <c r="HT8" s="300"/>
      <c r="HU8" s="300">
        <v>45288</v>
      </c>
      <c r="HV8" s="497"/>
      <c r="HW8" s="300">
        <v>45714</v>
      </c>
      <c r="HX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 s="42"/>
      <c r="HZ8" s="322"/>
      <c r="IA8" s="306"/>
      <c r="IC8" s="585">
        <f>IFERROR(ROUND((Table1[[#This Row],[PLAN TC
finish]]-Table1[[#This Row],[PLAN MC-0
start]])/30,2),"")</f>
        <v>-18.27</v>
      </c>
      <c r="ID8" t="e">
        <f>DATEDIF(Table1[[#This Row],[PLAN MC-0
start]],Table1[[#This Row],[PLAN TC
finish]],"m")</f>
        <v>#NUM!</v>
      </c>
    </row>
    <row r="9" spans="1:238" s="4" customFormat="1" ht="15" customHeight="1" x14ac:dyDescent="0.25">
      <c r="B9" s="281">
        <f>SUBTOTAL(3,$D$5:D9)</f>
        <v>5</v>
      </c>
      <c r="C9" s="318">
        <v>5</v>
      </c>
      <c r="D9" s="285" t="s">
        <v>244</v>
      </c>
      <c r="E9" s="285" t="s">
        <v>284</v>
      </c>
      <c r="F9" s="285" t="s">
        <v>285</v>
      </c>
      <c r="G9" s="319">
        <v>45752</v>
      </c>
      <c r="H9" s="284" t="s">
        <v>247</v>
      </c>
      <c r="I9" s="285" t="s">
        <v>278</v>
      </c>
      <c r="J9" s="285"/>
      <c r="K9" s="308" t="s">
        <v>249</v>
      </c>
      <c r="L9" s="286" t="s">
        <v>250</v>
      </c>
      <c r="M9" s="286" t="s">
        <v>269</v>
      </c>
      <c r="N9" s="94">
        <v>3273</v>
      </c>
      <c r="O9" s="31" t="s">
        <v>252</v>
      </c>
      <c r="P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 s="82" t="e">
        <v>#N/A</v>
      </c>
      <c r="S9" s="82">
        <v>1</v>
      </c>
      <c r="T9" s="35">
        <f>Table1[[#This Row],[Progres Total Aktual
(%)]]</f>
        <v>1</v>
      </c>
      <c r="U9" s="106">
        <f>Table1[[#This Row],[Progres Aktual
(%)]]-Table1[[#This Row],[Target Progres
(%)]]</f>
        <v>0</v>
      </c>
      <c r="V9" s="320">
        <f>Table1[[#This Row],["Volume
BA MC-0"]]</f>
        <v>3274</v>
      </c>
      <c r="W9" s="321">
        <f>Table1[[#This Row],[Total Panjang Pipa Aktual
(Sum-&gt;)3]]</f>
        <v>3075</v>
      </c>
      <c r="X9" s="42"/>
      <c r="Y9" s="62" t="s">
        <v>286</v>
      </c>
      <c r="Z9" s="62">
        <v>2876031183</v>
      </c>
      <c r="AA9" s="62">
        <f>ROUND((Table1[[#This Row],[Nilai RAB Jaringan
(Exclude Ppn)]]-Table1[[#This Row],[RAB Perizinan]])*1.11+Table1[[#This Row],[RAB Perizinan]],0)</f>
        <v>0</v>
      </c>
      <c r="AB9" s="290">
        <f>SUM(Table1[[#This Row],[RAB Kegiatan Umum]:[RAB Perizinan]])</f>
        <v>0</v>
      </c>
      <c r="AC9" s="290"/>
      <c r="AD9" s="290"/>
      <c r="AE9" s="290"/>
      <c r="AF9" s="290"/>
      <c r="AG9" s="290">
        <v>951048000</v>
      </c>
      <c r="AH9" s="35" t="e">
        <f>SUM(Table1[[#This Row],[Bobot Keg Umum]:[Bobot Perizinan]])</f>
        <v>#DIV/0!</v>
      </c>
      <c r="AI9" s="35" t="e">
        <f>Table1[[#This Row],[RAB Kegiatan Umum]]/Table1[[#This Row],[Nilai RAB Jaringan
(Exclude Ppn)]]</f>
        <v>#DIV/0!</v>
      </c>
      <c r="AJ9" s="35" t="e">
        <f>Table1[[#This Row],[RAB Pemasangan]]/Table1[[#This Row],[Nilai RAB Jaringan
(Exclude Ppn)]]</f>
        <v>#DIV/0!</v>
      </c>
      <c r="AK9" s="35" t="e">
        <f>Table1[[#This Row],[RAB Pengadaan]]/Table1[[#This Row],[Nilai RAB Jaringan
(Exclude Ppn)]]</f>
        <v>#DIV/0!</v>
      </c>
      <c r="AL9" s="35" t="e">
        <f>Table1[[#This Row],[RAB Perizinan]]/Table1[[#This Row],[Nilai RAB Jaringan
(Exclude Ppn)]]</f>
        <v>#DIV/0!</v>
      </c>
      <c r="AM9" s="42"/>
      <c r="AN9" s="256">
        <v>3274</v>
      </c>
      <c r="AO9" s="256">
        <f>SUM(Table1[[#This Row],[Pipa 63 mm]:[Pipa 1,800 mm]])</f>
        <v>0</v>
      </c>
      <c r="AP9" s="256"/>
      <c r="AQ9" s="256"/>
      <c r="AR9" s="256"/>
      <c r="AS9" s="256"/>
      <c r="AT9" s="256"/>
      <c r="AU9" s="256"/>
      <c r="AV9" s="256"/>
      <c r="AW9" s="256"/>
      <c r="AX9" s="256"/>
      <c r="AY9" s="256"/>
      <c r="AZ9" s="256"/>
      <c r="BA9" s="256"/>
      <c r="BB9" s="256"/>
      <c r="BC9" s="256"/>
      <c r="BD9" s="256"/>
      <c r="BE9" s="256"/>
      <c r="BF9" s="256"/>
      <c r="BG9" s="256"/>
      <c r="BH9" s="256"/>
      <c r="BI9" s="256"/>
      <c r="BJ9" s="36">
        <f>SUM(Table1[[#This Row],[Pipa 63 mm2]:[Pipa 1,800 mm21]])</f>
        <v>3075</v>
      </c>
      <c r="BK9" s="32"/>
      <c r="BL9" s="32">
        <v>1463</v>
      </c>
      <c r="BM9" s="32">
        <v>827</v>
      </c>
      <c r="BN9" s="32">
        <v>716</v>
      </c>
      <c r="BO9" s="32">
        <v>54</v>
      </c>
      <c r="BP9" s="32">
        <v>15</v>
      </c>
      <c r="BQ9" s="32"/>
      <c r="BR9" s="32"/>
      <c r="BS9" s="32"/>
      <c r="BT9" s="32"/>
      <c r="BU9" s="32"/>
      <c r="BV9" s="32"/>
      <c r="BW9" s="32"/>
      <c r="BX9" s="32"/>
      <c r="BY9" s="32"/>
      <c r="BZ9" s="32"/>
      <c r="CA9" s="32"/>
      <c r="CB9" s="32"/>
      <c r="CC9" s="32"/>
      <c r="CD9" s="32"/>
      <c r="CE9" s="32">
        <v>0</v>
      </c>
      <c r="CF9" s="32"/>
      <c r="CG9" s="32"/>
      <c r="CH9" s="32"/>
      <c r="CI9" s="32">
        <f t="shared" si="3"/>
        <v>0</v>
      </c>
      <c r="CJ9" s="60">
        <f>IF((Table1[[#This Row],["Volume
BA MC-0"]]-Table1[[#This Row],[Total Panjang Pipa Aktual
(Sum-&gt;)3]]-Table1[[#This Row],[Total Volume
tidak dapat dipasang]])&gt;=0,Table1[[#This Row],["Volume
BA MC-0"]]-Table1[[#This Row],[Total Panjang Pipa Aktual
(Sum-&gt;)3]]-Table1[[#This Row],[Total Volume
tidak dapat dipasang]],0)</f>
        <v>199</v>
      </c>
      <c r="CK9" s="42"/>
      <c r="CL9" s="113"/>
      <c r="CM9" s="35"/>
      <c r="CN9" s="113"/>
      <c r="CO9" s="113"/>
      <c r="CP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 s="61">
        <f>IFERROR(Table1[[#This Row],[Progres Keg. Umum
(%)]]*Table1[[#This Row],[Nilai RAB Jaringan
(file pa aji)]],0)</f>
        <v>0</v>
      </c>
      <c r="CR9" s="61">
        <f>IFERROR(Table1[[#This Row],[Progres MOS
(%)]]*Table1[[#This Row],[Nilai RAB Jaringan
(file pa aji)]],0)</f>
        <v>0</v>
      </c>
      <c r="CS9" s="61">
        <f>IFERROR(Table1[[#This Row],[Progres Pemasangan
(%)]]*Table1[[#This Row],[Nilai RAB Jaringan
(file pa aji)]],0)</f>
        <v>0</v>
      </c>
      <c r="CT9" s="61">
        <f>IFERROR(Table1[[#This Row],[Progres Perizinan
(%)]]*Table1[[#This Row],[Nilai RAB Jaringan
(file pa aji)]],0)</f>
        <v>0</v>
      </c>
      <c r="CU9" s="789">
        <v>4221109988</v>
      </c>
      <c r="CV9" s="299">
        <v>4221109988</v>
      </c>
      <c r="CW9" s="552">
        <v>4221109988</v>
      </c>
      <c r="CX9" s="789">
        <f>_xlfn.XLOOKUP(Table1[[#This Row],[Kode Program]],'[1]Breakdown VOWD Greenfield'!$E:$E,'[1]Breakdown VOWD Greenfield'!$AT:$AT)</f>
        <v>4221109988</v>
      </c>
      <c r="CY9" s="42"/>
      <c r="CZ9" s="300">
        <v>45165</v>
      </c>
      <c r="DA9" s="300">
        <v>45192</v>
      </c>
      <c r="DB9" s="301">
        <v>45164</v>
      </c>
      <c r="DC9" s="286" t="s">
        <v>287</v>
      </c>
      <c r="DD9" s="62">
        <v>2876031188</v>
      </c>
      <c r="DE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9" s="301">
        <v>45257</v>
      </c>
      <c r="DG9" s="286" t="s">
        <v>288</v>
      </c>
      <c r="DH9" s="62">
        <v>2876031188</v>
      </c>
      <c r="DI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9" s="300">
        <v>45193</v>
      </c>
      <c r="DK9" s="300">
        <v>45234</v>
      </c>
      <c r="DL9" s="301"/>
      <c r="DM9" s="286"/>
      <c r="DN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 s="301"/>
      <c r="DP9" s="286"/>
      <c r="DQ9" s="308"/>
      <c r="DR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 s="300">
        <v>45193</v>
      </c>
      <c r="DT9" s="300" t="e">
        <v>#N/A</v>
      </c>
      <c r="DU9" s="300">
        <v>45234</v>
      </c>
      <c r="DV9" s="300" t="e">
        <v>#N/A</v>
      </c>
      <c r="DW9" s="301"/>
      <c r="DX9" s="286"/>
      <c r="DY9" s="304"/>
      <c r="DZ9" s="304"/>
      <c r="EA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 s="301"/>
      <c r="EC9" s="302"/>
      <c r="ED9" s="302"/>
      <c r="EE9" s="300"/>
      <c r="EF9" s="35">
        <v>1</v>
      </c>
      <c r="EG9" s="307">
        <v>1</v>
      </c>
      <c r="EH9" s="286" t="str">
        <f>IF(Table1[[#This Row],[PO Material Aktual 
(%)]]&gt;=100%,"Selesai PO = 100%",IF(Table1[[#This Row],[PO Material Aktual 
(%)]]&gt;=50%,"Proses PO &gt; 100%",IF(Table1[[#This Row],[PO Material Aktual 
(%)]]&gt;0%,"Proses PO &gt; 50%",IF(Table1[[#This Row],[PO Material Aktual 
(%)]]=0,"Belum PO = 0%"))))</f>
        <v>Selesai PO = 100%</v>
      </c>
      <c r="EI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 s="300">
        <v>45200</v>
      </c>
      <c r="EK9" s="300" t="e">
        <v>#N/A</v>
      </c>
      <c r="EL9" s="300">
        <v>45290</v>
      </c>
      <c r="EM9" s="300" t="e">
        <v>#N/A</v>
      </c>
      <c r="EN9" s="301"/>
      <c r="EO9" s="302"/>
      <c r="EP9" s="302"/>
      <c r="EQ9" s="82">
        <v>1</v>
      </c>
      <c r="ER9" s="82">
        <v>1</v>
      </c>
      <c r="ES9" s="286" t="str">
        <f>IF(Table1[[#This Row],[Progres MOS]]&gt;=100%,"Selesai MOS = 100%",IF(Table1[[#This Row],[Progres MOS]]&gt;=50%,"Proses MOS &gt; 100%",IF(Table1[[#This Row],[Progres MOS]]&gt;0%,"Proses MOS &gt; 50%",IF(Table1[[#This Row],[Progres MOS]]=0,"Belum MOS = 0%"))))</f>
        <v>Selesai MOS = 100%</v>
      </c>
      <c r="ET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 s="42"/>
      <c r="EV9" s="300">
        <v>45193</v>
      </c>
      <c r="EW9" s="300" t="e">
        <v>#N/A</v>
      </c>
      <c r="EX9" s="300">
        <v>45255</v>
      </c>
      <c r="EY9" s="300" t="e">
        <v>#N/A</v>
      </c>
      <c r="EZ9" s="322" t="s">
        <v>259</v>
      </c>
      <c r="FA9" s="306" t="s">
        <v>259</v>
      </c>
      <c r="FB9" s="300" t="s">
        <v>260</v>
      </c>
      <c r="FC9" s="300" t="s">
        <v>282</v>
      </c>
      <c r="FD9" s="300" t="s">
        <v>282</v>
      </c>
      <c r="FE9" s="300" t="s">
        <v>282</v>
      </c>
      <c r="FF9" s="300" t="s">
        <v>282</v>
      </c>
      <c r="FG9" s="300" t="s">
        <v>282</v>
      </c>
      <c r="FH9" s="300" t="s">
        <v>282</v>
      </c>
      <c r="FI9" s="300" t="s">
        <v>282</v>
      </c>
      <c r="FJ9" s="300" t="s">
        <v>282</v>
      </c>
      <c r="FK9" s="300" t="s">
        <v>283</v>
      </c>
      <c r="FL9" s="306" t="s">
        <v>259</v>
      </c>
      <c r="FM9" s="306"/>
      <c r="FN9" s="284" t="str">
        <f>IF(Table1[[#This Row],[Tanggal Pengajuan Dokumen]]="","",Table1[[#This Row],[PLAN PERMIT
start]]-Table1[[#This Row],[Tanggal Pengajuan Dokumen]])</f>
        <v/>
      </c>
      <c r="FO9" s="306"/>
      <c r="FP9" s="286"/>
      <c r="FQ9" s="308"/>
      <c r="FR9" s="322"/>
      <c r="FS9" s="308" t="str">
        <f t="shared" si="4"/>
        <v>Sudah Terbit</v>
      </c>
      <c r="FT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 s="314">
        <f ca="1">IF(Table1[[#This Row],[Status Izin]]="Selesai",Table1[[#This Row],[PLAN PERMIT
finish]]-Table1[[#This Row],[Tanggal Terbit/ Target Izin Terbit]],ROUNDUP(Table1[[#This Row],[PLAN PERMIT
finish]]-NOW(),0))</f>
        <v>45255</v>
      </c>
      <c r="FV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 s="314"/>
      <c r="FX9" s="42"/>
      <c r="FY9" s="310"/>
      <c r="FZ9" s="311"/>
      <c r="GA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 s="300">
        <v>45823</v>
      </c>
      <c r="GC9" s="301">
        <v>45914</v>
      </c>
      <c r="GD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9" s="300">
        <v>45823</v>
      </c>
      <c r="GF9" s="301">
        <v>45914</v>
      </c>
      <c r="GG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9" s="300">
        <v>45817</v>
      </c>
      <c r="GI9" s="300">
        <v>45823</v>
      </c>
      <c r="GJ9" s="323">
        <v>45092</v>
      </c>
      <c r="GK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 s="300">
        <v>45256</v>
      </c>
      <c r="GM9" s="300" t="e">
        <v>#N/A</v>
      </c>
      <c r="GN9" s="300">
        <v>45318</v>
      </c>
      <c r="GO9" s="300" t="e">
        <v>#N/A</v>
      </c>
      <c r="GP9" s="286"/>
      <c r="GQ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 s="300" t="s">
        <v>261</v>
      </c>
      <c r="GS9" s="300" t="s">
        <v>261</v>
      </c>
      <c r="GT9" s="324">
        <v>45296</v>
      </c>
      <c r="GU9" s="314" t="str">
        <f>IF(Table1[[#This Row],[Hydro Tes Actual
(tanggal)]]&lt;&gt;"","Sudah","Belum")</f>
        <v>Sudah</v>
      </c>
      <c r="GV9" s="300" t="s">
        <v>261</v>
      </c>
      <c r="GW9" s="300" t="s">
        <v>261</v>
      </c>
      <c r="GX9" s="301">
        <v>45232</v>
      </c>
      <c r="GY9" s="314" t="str">
        <f>IF(Table1[[#This Row],[Interkoneksi Actual
(tanggal)]]&lt;&gt;"","Sudah","Belum")</f>
        <v>Sudah</v>
      </c>
      <c r="GZ9" s="300" t="s">
        <v>261</v>
      </c>
      <c r="HA9" s="300" t="s">
        <v>261</v>
      </c>
      <c r="HB9" s="301">
        <v>45298</v>
      </c>
      <c r="HC9" s="314" t="str">
        <f>IF(Table1[[#This Row],[Flushing Actual
(tanggal)]]&lt;&gt;"","Sudah","Belum")</f>
        <v>Sudah</v>
      </c>
      <c r="HD9" s="300">
        <v>45319</v>
      </c>
      <c r="HE9" s="300" t="e">
        <v>#N/A</v>
      </c>
      <c r="HF9" s="300">
        <v>45325</v>
      </c>
      <c r="HG9" s="316">
        <v>45304</v>
      </c>
      <c r="HH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 s="300" t="s">
        <v>261</v>
      </c>
      <c r="HJ9" s="300" t="s">
        <v>261</v>
      </c>
      <c r="HK9" s="301"/>
      <c r="HL9" s="286"/>
      <c r="HM9" s="300">
        <v>45337</v>
      </c>
      <c r="HN9" s="300">
        <v>45337</v>
      </c>
      <c r="HO9" s="300" t="e">
        <v>#N/A</v>
      </c>
      <c r="HP9" s="300"/>
      <c r="HQ9" s="316">
        <v>45335</v>
      </c>
      <c r="HR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9" s="300">
        <v>45344</v>
      </c>
      <c r="HT9" s="300"/>
      <c r="HU9" s="300">
        <v>45344</v>
      </c>
      <c r="HV9" s="497"/>
      <c r="HW9" s="300">
        <v>45714</v>
      </c>
      <c r="HX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 s="42"/>
      <c r="HZ9" s="322"/>
      <c r="IA9" s="306"/>
      <c r="IC9" s="585">
        <f>IFERROR(ROUND((Table1[[#This Row],[PLAN TC
finish]]-Table1[[#This Row],[PLAN MC-0
start]])/30,2),"")</f>
        <v>-16.399999999999999</v>
      </c>
      <c r="ID9" t="e">
        <f>DATEDIF(Table1[[#This Row],[PLAN MC-0
start]],Table1[[#This Row],[PLAN TC
finish]],"m")</f>
        <v>#NUM!</v>
      </c>
    </row>
    <row r="10" spans="1:238" s="4" customFormat="1" ht="15" customHeight="1" x14ac:dyDescent="0.25">
      <c r="B10" s="281">
        <f>SUBTOTAL(3,$D$5:D10)</f>
        <v>6</v>
      </c>
      <c r="C10" s="318">
        <v>6</v>
      </c>
      <c r="D10" s="285" t="s">
        <v>244</v>
      </c>
      <c r="E10" s="285" t="s">
        <v>289</v>
      </c>
      <c r="F10" s="285" t="s">
        <v>290</v>
      </c>
      <c r="G10" s="319">
        <v>45752</v>
      </c>
      <c r="H10" s="284" t="s">
        <v>247</v>
      </c>
      <c r="I10" s="285" t="s">
        <v>278</v>
      </c>
      <c r="J10" s="285"/>
      <c r="K10" s="308" t="s">
        <v>249</v>
      </c>
      <c r="L10" s="286" t="s">
        <v>250</v>
      </c>
      <c r="M10" s="286" t="s">
        <v>269</v>
      </c>
      <c r="N10" s="94">
        <v>85</v>
      </c>
      <c r="O10" s="31" t="s">
        <v>252</v>
      </c>
      <c r="P1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 s="82" t="e">
        <v>#N/A</v>
      </c>
      <c r="S10" s="82">
        <v>1</v>
      </c>
      <c r="T10" s="35">
        <f>Table1[[#This Row],[Progres Total Aktual
(%)]]</f>
        <v>1</v>
      </c>
      <c r="U10" s="106">
        <f>Table1[[#This Row],[Progres Aktual
(%)]]-Table1[[#This Row],[Target Progres
(%)]]</f>
        <v>0</v>
      </c>
      <c r="V10" s="320">
        <f>Table1[[#This Row],["Volume
BA MC-0"]]</f>
        <v>85</v>
      </c>
      <c r="W10" s="321">
        <f>Table1[[#This Row],[Total Panjang Pipa Aktual
(Sum-&gt;)3]]</f>
        <v>85</v>
      </c>
      <c r="X10" s="42"/>
      <c r="Y10" s="62" t="s">
        <v>291</v>
      </c>
      <c r="Z10" s="62">
        <v>122645794</v>
      </c>
      <c r="AA10" s="62">
        <f>ROUND((Table1[[#This Row],[Nilai RAB Jaringan
(Exclude Ppn)]]-Table1[[#This Row],[RAB Perizinan]])*1.11+Table1[[#This Row],[RAB Perizinan]],0)</f>
        <v>0</v>
      </c>
      <c r="AB10" s="290">
        <f>SUM(Table1[[#This Row],[RAB Kegiatan Umum]:[RAB Perizinan]])</f>
        <v>0</v>
      </c>
      <c r="AC10" s="290"/>
      <c r="AD10" s="290"/>
      <c r="AE10" s="290"/>
      <c r="AF10" s="290"/>
      <c r="AG10" s="290">
        <v>17982000</v>
      </c>
      <c r="AH10" s="35" t="e">
        <f>SUM(Table1[[#This Row],[Bobot Keg Umum]:[Bobot Perizinan]])</f>
        <v>#DIV/0!</v>
      </c>
      <c r="AI10" s="35" t="e">
        <f>Table1[[#This Row],[RAB Kegiatan Umum]]/Table1[[#This Row],[Nilai RAB Jaringan
(Exclude Ppn)]]</f>
        <v>#DIV/0!</v>
      </c>
      <c r="AJ10" s="35" t="e">
        <f>Table1[[#This Row],[RAB Pemasangan]]/Table1[[#This Row],[Nilai RAB Jaringan
(Exclude Ppn)]]</f>
        <v>#DIV/0!</v>
      </c>
      <c r="AK10" s="35" t="e">
        <f>Table1[[#This Row],[RAB Pengadaan]]/Table1[[#This Row],[Nilai RAB Jaringan
(Exclude Ppn)]]</f>
        <v>#DIV/0!</v>
      </c>
      <c r="AL10" s="35" t="e">
        <f>Table1[[#This Row],[RAB Perizinan]]/Table1[[#This Row],[Nilai RAB Jaringan
(Exclude Ppn)]]</f>
        <v>#DIV/0!</v>
      </c>
      <c r="AM10" s="42"/>
      <c r="AN10" s="256">
        <v>85</v>
      </c>
      <c r="AO10" s="256">
        <f>SUM(Table1[[#This Row],[Pipa 63 mm]:[Pipa 1,800 mm]])</f>
        <v>0</v>
      </c>
      <c r="AP10" s="256"/>
      <c r="AQ10" s="256"/>
      <c r="AR10" s="256"/>
      <c r="AS10" s="256"/>
      <c r="AT10" s="256"/>
      <c r="AU10" s="256"/>
      <c r="AV10" s="256"/>
      <c r="AW10" s="256"/>
      <c r="AX10" s="256"/>
      <c r="AY10" s="256"/>
      <c r="AZ10" s="256"/>
      <c r="BA10" s="256"/>
      <c r="BB10" s="256"/>
      <c r="BC10" s="256"/>
      <c r="BD10" s="256"/>
      <c r="BE10" s="256"/>
      <c r="BF10" s="256"/>
      <c r="BG10" s="256"/>
      <c r="BH10" s="256"/>
      <c r="BI10" s="256"/>
      <c r="BJ10" s="36">
        <f>SUM(Table1[[#This Row],[Pipa 63 mm2]:[Pipa 1,800 mm21]])</f>
        <v>85</v>
      </c>
      <c r="BK10" s="32"/>
      <c r="BL10" s="32">
        <v>85</v>
      </c>
      <c r="BM10" s="32" t="s">
        <v>292</v>
      </c>
      <c r="BN10" s="32"/>
      <c r="BO10" s="32"/>
      <c r="BP10" s="32"/>
      <c r="BQ10" s="32"/>
      <c r="BR10" s="32"/>
      <c r="BS10" s="32"/>
      <c r="BT10" s="32"/>
      <c r="BU10" s="32"/>
      <c r="BV10" s="32"/>
      <c r="BW10" s="32"/>
      <c r="BX10" s="32"/>
      <c r="BY10" s="32"/>
      <c r="BZ10" s="32"/>
      <c r="CA10" s="32"/>
      <c r="CB10" s="32"/>
      <c r="CC10" s="32"/>
      <c r="CD10" s="32"/>
      <c r="CE10" s="32">
        <v>0</v>
      </c>
      <c r="CF10" s="32"/>
      <c r="CG10" s="32"/>
      <c r="CH10" s="32"/>
      <c r="CI10" s="32">
        <f t="shared" si="3"/>
        <v>0</v>
      </c>
      <c r="CJ10" s="60">
        <f>IF((Table1[[#This Row],["Volume
BA MC-0"]]-Table1[[#This Row],[Total Panjang Pipa Aktual
(Sum-&gt;)3]]-Table1[[#This Row],[Total Volume
tidak dapat dipasang]])&gt;=0,Table1[[#This Row],["Volume
BA MC-0"]]-Table1[[#This Row],[Total Panjang Pipa Aktual
(Sum-&gt;)3]]-Table1[[#This Row],[Total Volume
tidak dapat dipasang]],0)</f>
        <v>0</v>
      </c>
      <c r="CK10" s="42"/>
      <c r="CL10" s="113"/>
      <c r="CM10" s="35"/>
      <c r="CN10" s="113"/>
      <c r="CO10" s="113"/>
      <c r="CP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 s="61">
        <f>IFERROR(Table1[[#This Row],[Progres Keg. Umum
(%)]]*Table1[[#This Row],[Nilai RAB Jaringan
(file pa aji)]],0)</f>
        <v>0</v>
      </c>
      <c r="CR10" s="61">
        <f>IFERROR(Table1[[#This Row],[Progres MOS
(%)]]*Table1[[#This Row],[Nilai RAB Jaringan
(file pa aji)]],0)</f>
        <v>0</v>
      </c>
      <c r="CS10" s="61">
        <f>IFERROR(Table1[[#This Row],[Progres Pemasangan
(%)]]*Table1[[#This Row],[Nilai RAB Jaringan
(file pa aji)]],0)</f>
        <v>0</v>
      </c>
      <c r="CT10" s="61">
        <f>IFERROR(Table1[[#This Row],[Progres Perizinan
(%)]]*Table1[[#This Row],[Nilai RAB Jaringan
(file pa aji)]],0)</f>
        <v>0</v>
      </c>
      <c r="CU10" s="789">
        <v>90892413</v>
      </c>
      <c r="CV10" s="299">
        <v>90892413</v>
      </c>
      <c r="CW10" s="552">
        <v>90892413</v>
      </c>
      <c r="CX10" s="789">
        <f>_xlfn.XLOOKUP(Table1[[#This Row],[Kode Program]],'[1]Breakdown VOWD Greenfield'!$E:$E,'[1]Breakdown VOWD Greenfield'!$AT:$AT)</f>
        <v>90892413</v>
      </c>
      <c r="CY10" s="42"/>
      <c r="CZ10" s="300">
        <v>45229</v>
      </c>
      <c r="DA10" s="300">
        <v>45242</v>
      </c>
      <c r="DB10" s="301">
        <v>45432</v>
      </c>
      <c r="DC10" s="286" t="s">
        <v>293</v>
      </c>
      <c r="DD10" s="62">
        <v>74265217</v>
      </c>
      <c r="DE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0" s="301">
        <v>45464</v>
      </c>
      <c r="DG10" s="286" t="s">
        <v>294</v>
      </c>
      <c r="DH10" s="62">
        <v>74265217</v>
      </c>
      <c r="DI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0" s="300">
        <v>45243</v>
      </c>
      <c r="DK10" s="300">
        <v>45291</v>
      </c>
      <c r="DL10" s="301">
        <v>45546</v>
      </c>
      <c r="DM10" s="327" t="s">
        <v>295</v>
      </c>
      <c r="DN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 s="301">
        <v>45700</v>
      </c>
      <c r="DP10" s="286" t="s">
        <v>296</v>
      </c>
      <c r="DQ10" s="308" t="s">
        <v>297</v>
      </c>
      <c r="DR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 s="300">
        <v>45243</v>
      </c>
      <c r="DT10" s="300" t="e">
        <v>#N/A</v>
      </c>
      <c r="DU10" s="300">
        <v>45270</v>
      </c>
      <c r="DV10" s="300" t="e">
        <v>#N/A</v>
      </c>
      <c r="DW10" s="301"/>
      <c r="DX10" s="286"/>
      <c r="DY10" s="304"/>
      <c r="DZ10" s="304"/>
      <c r="EA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 s="301"/>
      <c r="EC10" s="302"/>
      <c r="ED10" s="302"/>
      <c r="EE10" s="300"/>
      <c r="EF10" s="35">
        <v>1</v>
      </c>
      <c r="EG10" s="307">
        <v>1</v>
      </c>
      <c r="EH10" s="286" t="str">
        <f>IF(Table1[[#This Row],[PO Material Aktual 
(%)]]&gt;=100%,"Selesai PO = 100%",IF(Table1[[#This Row],[PO Material Aktual 
(%)]]&gt;=50%,"Proses PO &gt; 100%",IF(Table1[[#This Row],[PO Material Aktual 
(%)]]&gt;0%,"Proses PO &gt; 50%",IF(Table1[[#This Row],[PO Material Aktual 
(%)]]=0,"Belum PO = 0%"))))</f>
        <v>Selesai PO = 100%</v>
      </c>
      <c r="EI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 s="300">
        <v>45271</v>
      </c>
      <c r="EK10" s="300" t="e">
        <v>#N/A</v>
      </c>
      <c r="EL10" s="300">
        <v>45319</v>
      </c>
      <c r="EM10" s="300" t="e">
        <v>#N/A</v>
      </c>
      <c r="EN10" s="301"/>
      <c r="EO10" s="302"/>
      <c r="EP10" s="302"/>
      <c r="EQ10" s="82">
        <v>1</v>
      </c>
      <c r="ER10" s="82">
        <v>1</v>
      </c>
      <c r="ES10" s="286" t="str">
        <f>IF(Table1[[#This Row],[Progres MOS]]&gt;=100%,"Selesai MOS = 100%",IF(Table1[[#This Row],[Progres MOS]]&gt;=50%,"Proses MOS &gt; 100%",IF(Table1[[#This Row],[Progres MOS]]&gt;0%,"Proses MOS &gt; 50%",IF(Table1[[#This Row],[Progres MOS]]=0,"Belum MOS = 0%"))))</f>
        <v>Selesai MOS = 100%</v>
      </c>
      <c r="ET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 s="42"/>
      <c r="EV10" s="300">
        <v>45243</v>
      </c>
      <c r="EW10" s="300" t="e">
        <v>#N/A</v>
      </c>
      <c r="EX10" s="300">
        <v>45319</v>
      </c>
      <c r="EY10" s="300" t="e">
        <v>#N/A</v>
      </c>
      <c r="EZ10" s="322" t="s">
        <v>298</v>
      </c>
      <c r="FA10" s="306" t="s">
        <v>259</v>
      </c>
      <c r="FB10" s="300" t="s">
        <v>260</v>
      </c>
      <c r="FC10" s="300">
        <v>45796</v>
      </c>
      <c r="FD10" s="300" t="s">
        <v>260</v>
      </c>
      <c r="FE10" s="300">
        <v>45895</v>
      </c>
      <c r="FF10" s="300">
        <v>45944</v>
      </c>
      <c r="FG10" s="300" t="s">
        <v>260</v>
      </c>
      <c r="FH10" s="300" t="s">
        <v>260</v>
      </c>
      <c r="FI10" s="300">
        <v>46021</v>
      </c>
      <c r="FJ10" s="300" t="s">
        <v>260</v>
      </c>
      <c r="FK10" s="300">
        <v>46087</v>
      </c>
      <c r="FL10" s="306" t="s">
        <v>298</v>
      </c>
      <c r="FM10" s="306">
        <v>45796</v>
      </c>
      <c r="FN10" s="284">
        <f>IF(Table1[[#This Row],[Tanggal Pengajuan Dokumen]]="","",Table1[[#This Row],[PLAN PERMIT
start]]-Table1[[#This Row],[Tanggal Pengajuan Dokumen]])</f>
        <v>-553</v>
      </c>
      <c r="FO10" s="306"/>
      <c r="FP10" s="286"/>
      <c r="FQ10" s="308"/>
      <c r="FR10" s="322"/>
      <c r="FS10" s="308" t="str">
        <f t="shared" si="4"/>
        <v>Sudah Terbit</v>
      </c>
      <c r="FT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 s="314">
        <f ca="1">IF(Table1[[#This Row],[Status Izin]]="Selesai",Table1[[#This Row],[PLAN PERMIT
finish]]-Table1[[#This Row],[Tanggal Terbit/ Target Izin Terbit]],ROUNDUP(Table1[[#This Row],[PLAN PERMIT
finish]]-NOW(),0))</f>
        <v>45319</v>
      </c>
      <c r="FV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 s="314"/>
      <c r="FX10" s="42"/>
      <c r="FY10" s="310"/>
      <c r="FZ10" s="311"/>
      <c r="GA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 s="300">
        <v>45293</v>
      </c>
      <c r="GC10" s="301">
        <v>45280</v>
      </c>
      <c r="GD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 s="300">
        <v>45300</v>
      </c>
      <c r="GF10" s="301">
        <v>45280</v>
      </c>
      <c r="GG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 s="300">
        <v>45306</v>
      </c>
      <c r="GI10" s="300">
        <v>45312</v>
      </c>
      <c r="GJ10" s="323">
        <v>45299</v>
      </c>
      <c r="GK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 s="300">
        <v>45320</v>
      </c>
      <c r="GM10" s="300" t="e">
        <v>#N/A</v>
      </c>
      <c r="GN10" s="300">
        <v>45326</v>
      </c>
      <c r="GO10" s="300" t="e">
        <v>#N/A</v>
      </c>
      <c r="GP10" s="286"/>
      <c r="GQ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 s="300" t="s">
        <v>261</v>
      </c>
      <c r="GS10" s="300" t="s">
        <v>261</v>
      </c>
      <c r="GT10" s="324">
        <v>45348</v>
      </c>
      <c r="GU10" s="314" t="str">
        <f>IF(Table1[[#This Row],[Hydro Tes Actual
(tanggal)]]&lt;&gt;"","Sudah","Belum")</f>
        <v>Sudah</v>
      </c>
      <c r="GV10" s="300" t="s">
        <v>261</v>
      </c>
      <c r="GW10" s="300" t="s">
        <v>261</v>
      </c>
      <c r="GX10" s="301">
        <v>45344</v>
      </c>
      <c r="GY10" s="314" t="str">
        <f>IF(Table1[[#This Row],[Interkoneksi Actual
(tanggal)]]&lt;&gt;"","Sudah","Belum")</f>
        <v>Sudah</v>
      </c>
      <c r="GZ10" s="300" t="s">
        <v>261</v>
      </c>
      <c r="HA10" s="300" t="s">
        <v>261</v>
      </c>
      <c r="HB10" s="301">
        <v>45350</v>
      </c>
      <c r="HC10" s="314" t="str">
        <f>IF(Table1[[#This Row],[Flushing Actual
(tanggal)]]&lt;&gt;"","Sudah","Belum")</f>
        <v>Sudah</v>
      </c>
      <c r="HD10" s="300">
        <v>45327</v>
      </c>
      <c r="HE10" s="300" t="e">
        <v>#N/A</v>
      </c>
      <c r="HF10" s="300">
        <v>45333</v>
      </c>
      <c r="HG10" s="316">
        <v>45350</v>
      </c>
      <c r="HH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 s="300" t="s">
        <v>261</v>
      </c>
      <c r="HJ10" s="300" t="s">
        <v>261</v>
      </c>
      <c r="HK10" s="301"/>
      <c r="HL10" s="286"/>
      <c r="HM10" s="300">
        <v>45338</v>
      </c>
      <c r="HN10" s="300">
        <v>45338</v>
      </c>
      <c r="HO10" s="300" t="e">
        <v>#N/A</v>
      </c>
      <c r="HP10" s="300"/>
      <c r="HQ10" s="316">
        <v>45352</v>
      </c>
      <c r="HR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 s="300">
        <v>45345</v>
      </c>
      <c r="HT10" s="300"/>
      <c r="HU10" s="300">
        <v>45345</v>
      </c>
      <c r="HV10" s="497"/>
      <c r="HW10" s="300">
        <v>45714</v>
      </c>
      <c r="HX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 s="42"/>
      <c r="HZ10" s="322"/>
      <c r="IA10" s="306"/>
      <c r="IC10" s="585">
        <f>IFERROR(ROUND((Table1[[#This Row],[PLAN TC
finish]]-Table1[[#This Row],[PLAN MC-0
start]])/30,2),"")</f>
        <v>0.9</v>
      </c>
      <c r="ID10">
        <f>DATEDIF(Table1[[#This Row],[PLAN MC-0
start]],Table1[[#This Row],[PLAN TC
finish]],"m")</f>
        <v>0</v>
      </c>
    </row>
    <row r="11" spans="1:238" s="4" customFormat="1" ht="15" customHeight="1" x14ac:dyDescent="0.25">
      <c r="B11" s="281">
        <f>SUBTOTAL(3,$D$5:D11)</f>
        <v>7</v>
      </c>
      <c r="C11" s="318">
        <v>7</v>
      </c>
      <c r="D11" s="285" t="s">
        <v>244</v>
      </c>
      <c r="E11" s="285" t="s">
        <v>299</v>
      </c>
      <c r="F11" s="285" t="s">
        <v>300</v>
      </c>
      <c r="G11" s="319">
        <v>45752</v>
      </c>
      <c r="H11" s="284" t="s">
        <v>247</v>
      </c>
      <c r="I11" s="285" t="s">
        <v>278</v>
      </c>
      <c r="J11" s="285"/>
      <c r="K11" s="308" t="s">
        <v>249</v>
      </c>
      <c r="L11" s="286" t="s">
        <v>250</v>
      </c>
      <c r="M11" s="286" t="s">
        <v>269</v>
      </c>
      <c r="N11" s="94">
        <v>80</v>
      </c>
      <c r="O11" s="31" t="s">
        <v>252</v>
      </c>
      <c r="P1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 s="82" t="e">
        <v>#N/A</v>
      </c>
      <c r="S11" s="82">
        <v>1</v>
      </c>
      <c r="T11" s="35">
        <f>Table1[[#This Row],[Progres Total Aktual
(%)]]</f>
        <v>1</v>
      </c>
      <c r="U11" s="106">
        <f>Table1[[#This Row],[Progres Aktual
(%)]]-Table1[[#This Row],[Target Progres
(%)]]</f>
        <v>0</v>
      </c>
      <c r="V11" s="320">
        <f>Table1[[#This Row],["Volume
BA MC-0"]]</f>
        <v>80</v>
      </c>
      <c r="W11" s="321">
        <f>Table1[[#This Row],[Total Panjang Pipa Aktual
(Sum-&gt;)3]]</f>
        <v>80</v>
      </c>
      <c r="X11" s="42"/>
      <c r="Y11" s="62" t="s">
        <v>301</v>
      </c>
      <c r="Z11" s="62">
        <v>188572819.63999999</v>
      </c>
      <c r="AA11" s="62">
        <f>ROUND((Table1[[#This Row],[Nilai RAB Jaringan
(Exclude Ppn)]]-Table1[[#This Row],[RAB Perizinan]])*1.11+Table1[[#This Row],[RAB Perizinan]],0)</f>
        <v>0</v>
      </c>
      <c r="AB11" s="290">
        <f>SUM(Table1[[#This Row],[RAB Kegiatan Umum]:[RAB Perizinan]])</f>
        <v>0</v>
      </c>
      <c r="AC11" s="290"/>
      <c r="AD11" s="290"/>
      <c r="AE11" s="290"/>
      <c r="AF11" s="290"/>
      <c r="AG11" s="290">
        <v>24595780</v>
      </c>
      <c r="AH11" s="35" t="e">
        <f>SUM(Table1[[#This Row],[Bobot Keg Umum]:[Bobot Perizinan]])</f>
        <v>#DIV/0!</v>
      </c>
      <c r="AI11" s="35" t="e">
        <f>Table1[[#This Row],[RAB Kegiatan Umum]]/Table1[[#This Row],[Nilai RAB Jaringan
(Exclude Ppn)]]</f>
        <v>#DIV/0!</v>
      </c>
      <c r="AJ11" s="35" t="e">
        <f>Table1[[#This Row],[RAB Pemasangan]]/Table1[[#This Row],[Nilai RAB Jaringan
(Exclude Ppn)]]</f>
        <v>#DIV/0!</v>
      </c>
      <c r="AK11" s="35" t="e">
        <f>Table1[[#This Row],[RAB Pengadaan]]/Table1[[#This Row],[Nilai RAB Jaringan
(Exclude Ppn)]]</f>
        <v>#DIV/0!</v>
      </c>
      <c r="AL11" s="35" t="e">
        <f>Table1[[#This Row],[RAB Perizinan]]/Table1[[#This Row],[Nilai RAB Jaringan
(Exclude Ppn)]]</f>
        <v>#DIV/0!</v>
      </c>
      <c r="AM11" s="42"/>
      <c r="AN11" s="256">
        <v>80</v>
      </c>
      <c r="AO11" s="256">
        <f>SUM(Table1[[#This Row],[Pipa 63 mm]:[Pipa 1,800 mm]])</f>
        <v>0</v>
      </c>
      <c r="AP11" s="256"/>
      <c r="AQ11" s="256"/>
      <c r="AR11" s="256"/>
      <c r="AS11" s="256"/>
      <c r="AT11" s="256"/>
      <c r="AU11" s="256"/>
      <c r="AV11" s="256"/>
      <c r="AW11" s="256"/>
      <c r="AX11" s="256"/>
      <c r="AY11" s="256"/>
      <c r="AZ11" s="256"/>
      <c r="BA11" s="256"/>
      <c r="BB11" s="256"/>
      <c r="BC11" s="256"/>
      <c r="BD11" s="256"/>
      <c r="BE11" s="256"/>
      <c r="BF11" s="256"/>
      <c r="BG11" s="256"/>
      <c r="BH11" s="256"/>
      <c r="BI11" s="256"/>
      <c r="BJ11" s="36">
        <f>SUM(Table1[[#This Row],[Pipa 63 mm2]:[Pipa 1,800 mm21]])</f>
        <v>80</v>
      </c>
      <c r="BK11" s="32"/>
      <c r="BL11" s="32">
        <v>80</v>
      </c>
      <c r="BM11" s="32"/>
      <c r="BN11" s="32"/>
      <c r="BO11" s="32"/>
      <c r="BP11" s="32"/>
      <c r="BQ11" s="32"/>
      <c r="BR11" s="32"/>
      <c r="BS11" s="32"/>
      <c r="BT11" s="32"/>
      <c r="BU11" s="32"/>
      <c r="BV11" s="32"/>
      <c r="BW11" s="32"/>
      <c r="BX11" s="32"/>
      <c r="BY11" s="32"/>
      <c r="BZ11" s="32"/>
      <c r="CA11" s="32"/>
      <c r="CB11" s="32"/>
      <c r="CC11" s="32"/>
      <c r="CD11" s="32"/>
      <c r="CE11" s="32">
        <v>0</v>
      </c>
      <c r="CF11" s="32"/>
      <c r="CG11" s="32"/>
      <c r="CH11" s="32"/>
      <c r="CI11" s="32">
        <f t="shared" si="3"/>
        <v>0</v>
      </c>
      <c r="CJ11" s="60">
        <f>IF((Table1[[#This Row],["Volume
BA MC-0"]]-Table1[[#This Row],[Total Panjang Pipa Aktual
(Sum-&gt;)3]]-Table1[[#This Row],[Total Volume
tidak dapat dipasang]])&gt;=0,Table1[[#This Row],["Volume
BA MC-0"]]-Table1[[#This Row],[Total Panjang Pipa Aktual
(Sum-&gt;)3]]-Table1[[#This Row],[Total Volume
tidak dapat dipasang]],0)</f>
        <v>0</v>
      </c>
      <c r="CK11" s="42"/>
      <c r="CL11" s="113"/>
      <c r="CM11" s="35"/>
      <c r="CN11" s="113"/>
      <c r="CO11" s="113"/>
      <c r="CP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 s="61">
        <f>IFERROR(Table1[[#This Row],[Progres Keg. Umum
(%)]]*Table1[[#This Row],[Nilai RAB Jaringan
(file pa aji)]],0)</f>
        <v>0</v>
      </c>
      <c r="CR11" s="61">
        <f>IFERROR(Table1[[#This Row],[Progres MOS
(%)]]*Table1[[#This Row],[Nilai RAB Jaringan
(file pa aji)]],0)</f>
        <v>0</v>
      </c>
      <c r="CS11" s="61">
        <f>IFERROR(Table1[[#This Row],[Progres Pemasangan
(%)]]*Table1[[#This Row],[Nilai RAB Jaringan
(file pa aji)]],0)</f>
        <v>0</v>
      </c>
      <c r="CT11" s="61">
        <f>IFERROR(Table1[[#This Row],[Progres Perizinan
(%)]]*Table1[[#This Row],[Nilai RAB Jaringan
(file pa aji)]],0)</f>
        <v>0</v>
      </c>
      <c r="CU11" s="789">
        <v>289307432</v>
      </c>
      <c r="CV11" s="299">
        <v>289307432</v>
      </c>
      <c r="CW11" s="552">
        <v>289307432</v>
      </c>
      <c r="CX11" s="789">
        <f>_xlfn.XLOOKUP(Table1[[#This Row],[Kode Program]],'[1]Breakdown VOWD Greenfield'!$E:$E,'[1]Breakdown VOWD Greenfield'!$AT:$AT)</f>
        <v>289307432</v>
      </c>
      <c r="CY11" s="42"/>
      <c r="CZ11" s="300">
        <v>45383</v>
      </c>
      <c r="DA11" s="300">
        <v>45417</v>
      </c>
      <c r="DB11" s="301">
        <v>45344</v>
      </c>
      <c r="DC11" s="286" t="s">
        <v>302</v>
      </c>
      <c r="DD11" s="62">
        <v>188572819</v>
      </c>
      <c r="DE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1" s="301">
        <v>45370</v>
      </c>
      <c r="DG11" s="286" t="s">
        <v>303</v>
      </c>
      <c r="DH11" s="62">
        <v>188572819</v>
      </c>
      <c r="DI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1" s="300">
        <v>45418</v>
      </c>
      <c r="DK11" s="300">
        <v>45466</v>
      </c>
      <c r="DL11" s="301"/>
      <c r="DM11" s="286"/>
      <c r="DN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1" s="301"/>
      <c r="DP11" s="286"/>
      <c r="DQ11" s="308"/>
      <c r="DR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 s="300">
        <v>45418</v>
      </c>
      <c r="DT11" s="300" t="e">
        <v>#N/A</v>
      </c>
      <c r="DU11" s="300">
        <v>45466</v>
      </c>
      <c r="DV11" s="300" t="e">
        <v>#N/A</v>
      </c>
      <c r="DW11" s="301"/>
      <c r="DX11" s="286"/>
      <c r="DY11" s="304"/>
      <c r="DZ11" s="304"/>
      <c r="EA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 s="301"/>
      <c r="EC11" s="302"/>
      <c r="ED11" s="302"/>
      <c r="EE11" s="300"/>
      <c r="EF11" s="35">
        <v>1</v>
      </c>
      <c r="EG11" s="307">
        <v>1</v>
      </c>
      <c r="EH11" s="286" t="str">
        <f>IF(Table1[[#This Row],[PO Material Aktual 
(%)]]&gt;=100%,"Selesai PO = 100%",IF(Table1[[#This Row],[PO Material Aktual 
(%)]]&gt;=50%,"Proses PO &gt; 100%",IF(Table1[[#This Row],[PO Material Aktual 
(%)]]&gt;0%,"Proses PO &gt; 50%",IF(Table1[[#This Row],[PO Material Aktual 
(%)]]=0,"Belum PO = 0%"))))</f>
        <v>Selesai PO = 100%</v>
      </c>
      <c r="EI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 s="300">
        <v>45467</v>
      </c>
      <c r="EK11" s="300" t="e">
        <v>#N/A</v>
      </c>
      <c r="EL11" s="300">
        <v>45529</v>
      </c>
      <c r="EM11" s="300" t="e">
        <v>#N/A</v>
      </c>
      <c r="EN11" s="301"/>
      <c r="EO11" s="302"/>
      <c r="EP11" s="302"/>
      <c r="EQ11" s="82">
        <v>1</v>
      </c>
      <c r="ER11" s="82">
        <v>1</v>
      </c>
      <c r="ES11" s="286" t="str">
        <f>IF(Table1[[#This Row],[Progres MOS]]&gt;=100%,"Selesai MOS = 100%",IF(Table1[[#This Row],[Progres MOS]]&gt;=50%,"Proses MOS &gt; 100%",IF(Table1[[#This Row],[Progres MOS]]&gt;0%,"Proses MOS &gt; 50%",IF(Table1[[#This Row],[Progres MOS]]=0,"Belum MOS = 0%"))))</f>
        <v>Selesai MOS = 100%</v>
      </c>
      <c r="ET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1" s="42"/>
      <c r="EV11" s="300">
        <v>45418</v>
      </c>
      <c r="EW11" s="300" t="e">
        <v>#N/A</v>
      </c>
      <c r="EX11" s="300">
        <v>45529</v>
      </c>
      <c r="EY11" s="300" t="e">
        <v>#N/A</v>
      </c>
      <c r="EZ11" s="322" t="s">
        <v>298</v>
      </c>
      <c r="FA11" s="306" t="s">
        <v>259</v>
      </c>
      <c r="FB11" s="300" t="s">
        <v>260</v>
      </c>
      <c r="FC11" s="300">
        <v>45796</v>
      </c>
      <c r="FD11" s="300" t="s">
        <v>260</v>
      </c>
      <c r="FE11" s="300">
        <v>45895</v>
      </c>
      <c r="FF11" s="300">
        <v>45944</v>
      </c>
      <c r="FG11" s="300" t="s">
        <v>260</v>
      </c>
      <c r="FH11" s="300" t="s">
        <v>260</v>
      </c>
      <c r="FI11" s="300">
        <v>46021</v>
      </c>
      <c r="FJ11" s="300" t="s">
        <v>260</v>
      </c>
      <c r="FK11" s="300">
        <v>46087</v>
      </c>
      <c r="FL11" s="306" t="s">
        <v>298</v>
      </c>
      <c r="FM11" s="306">
        <v>45796</v>
      </c>
      <c r="FN11" s="284">
        <f>IF(Table1[[#This Row],[Tanggal Pengajuan Dokumen]]="","",Table1[[#This Row],[PLAN PERMIT
start]]-Table1[[#This Row],[Tanggal Pengajuan Dokumen]])</f>
        <v>-378</v>
      </c>
      <c r="FO11" s="306"/>
      <c r="FP11" s="286"/>
      <c r="FQ11" s="308"/>
      <c r="FR11" s="322"/>
      <c r="FS11" s="308" t="str">
        <f t="shared" si="4"/>
        <v>Sudah Terbit</v>
      </c>
      <c r="FT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 s="314">
        <f ca="1">IF(Table1[[#This Row],[Status Izin]]="Selesai",Table1[[#This Row],[PLAN PERMIT
finish]]-Table1[[#This Row],[Tanggal Terbit/ Target Izin Terbit]],ROUNDUP(Table1[[#This Row],[PLAN PERMIT
finish]]-NOW(),0))</f>
        <v>45529</v>
      </c>
      <c r="FV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 s="314"/>
      <c r="FX11" s="42"/>
      <c r="FY11" s="310"/>
      <c r="FZ11" s="311"/>
      <c r="GA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 s="300">
        <v>45503</v>
      </c>
      <c r="GC11" s="301">
        <v>45425</v>
      </c>
      <c r="GD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1" s="300">
        <v>45510</v>
      </c>
      <c r="GF11" s="301">
        <v>45425</v>
      </c>
      <c r="GG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1" s="300">
        <v>45516</v>
      </c>
      <c r="GI11" s="300">
        <v>45522</v>
      </c>
      <c r="GJ11" s="323">
        <v>45428</v>
      </c>
      <c r="GK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 s="300">
        <v>45530</v>
      </c>
      <c r="GM11" s="300" t="e">
        <v>#N/A</v>
      </c>
      <c r="GN11" s="300">
        <v>45536</v>
      </c>
      <c r="GO11" s="300" t="e">
        <v>#N/A</v>
      </c>
      <c r="GP11" s="286"/>
      <c r="GQ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 s="300" t="s">
        <v>261</v>
      </c>
      <c r="GS11" s="300" t="s">
        <v>261</v>
      </c>
      <c r="GT11" s="324">
        <v>45543</v>
      </c>
      <c r="GU11" s="314" t="str">
        <f>IF(Table1[[#This Row],[Hydro Tes Actual
(tanggal)]]&lt;&gt;"","Sudah","Belum")</f>
        <v>Sudah</v>
      </c>
      <c r="GV11" s="300" t="s">
        <v>261</v>
      </c>
      <c r="GW11" s="300" t="s">
        <v>261</v>
      </c>
      <c r="GX11" s="301">
        <v>45544</v>
      </c>
      <c r="GY11" s="314" t="str">
        <f>IF(Table1[[#This Row],[Interkoneksi Actual
(tanggal)]]&lt;&gt;"","Sudah","Belum")</f>
        <v>Sudah</v>
      </c>
      <c r="GZ11" s="300" t="s">
        <v>261</v>
      </c>
      <c r="HA11" s="300" t="s">
        <v>261</v>
      </c>
      <c r="HB11" s="301">
        <v>45544</v>
      </c>
      <c r="HC11" s="314" t="str">
        <f>IF(Table1[[#This Row],[Flushing Actual
(tanggal)]]&lt;&gt;"","Sudah","Belum")</f>
        <v>Sudah</v>
      </c>
      <c r="HD11" s="300">
        <v>45537</v>
      </c>
      <c r="HE11" s="300" t="e">
        <v>#N/A</v>
      </c>
      <c r="HF11" s="300">
        <v>45543</v>
      </c>
      <c r="HG11" s="316">
        <v>45553</v>
      </c>
      <c r="HH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 s="300" t="s">
        <v>261</v>
      </c>
      <c r="HJ11" s="300" t="s">
        <v>261</v>
      </c>
      <c r="HK11" s="301"/>
      <c r="HL11" s="286"/>
      <c r="HM11" s="300">
        <v>45548</v>
      </c>
      <c r="HN11" s="300">
        <v>45548</v>
      </c>
      <c r="HO11" s="300" t="e">
        <v>#N/A</v>
      </c>
      <c r="HP11" s="300"/>
      <c r="HQ11" s="316">
        <v>45553</v>
      </c>
      <c r="HR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 s="300">
        <v>45555</v>
      </c>
      <c r="HT11" s="300"/>
      <c r="HU11" s="300">
        <v>45555</v>
      </c>
      <c r="HV11" s="497"/>
      <c r="HW11" s="300">
        <v>45714</v>
      </c>
      <c r="HX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 s="42"/>
      <c r="HZ11" s="322"/>
      <c r="IA11" s="306"/>
      <c r="IC11" s="585">
        <f>IFERROR(ROUND((Table1[[#This Row],[PLAN TC
finish]]-Table1[[#This Row],[PLAN MC-0
start]])/30,2),"")</f>
        <v>0.9</v>
      </c>
      <c r="ID11">
        <f>DATEDIF(Table1[[#This Row],[PLAN MC-0
start]],Table1[[#This Row],[PLAN TC
finish]],"m")</f>
        <v>0</v>
      </c>
    </row>
    <row r="12" spans="1:238" s="4" customFormat="1" ht="15" customHeight="1" x14ac:dyDescent="0.25">
      <c r="B12" s="281">
        <f>SUBTOTAL(3,$D$5:D12)</f>
        <v>8</v>
      </c>
      <c r="C12" s="318">
        <v>8</v>
      </c>
      <c r="D12" s="285" t="s">
        <v>244</v>
      </c>
      <c r="E12" s="285" t="s">
        <v>304</v>
      </c>
      <c r="F12" s="285" t="s">
        <v>305</v>
      </c>
      <c r="G12" s="319">
        <v>45752</v>
      </c>
      <c r="H12" s="284" t="s">
        <v>247</v>
      </c>
      <c r="I12" s="285" t="s">
        <v>278</v>
      </c>
      <c r="J12" s="285"/>
      <c r="K12" s="308" t="s">
        <v>249</v>
      </c>
      <c r="L12" s="286" t="s">
        <v>250</v>
      </c>
      <c r="M12" s="286" t="s">
        <v>269</v>
      </c>
      <c r="N12" s="94">
        <v>231</v>
      </c>
      <c r="O12" s="31" t="s">
        <v>252</v>
      </c>
      <c r="P1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 s="82" t="e">
        <v>#N/A</v>
      </c>
      <c r="S12" s="82">
        <v>1</v>
      </c>
      <c r="T12" s="35">
        <f>Table1[[#This Row],[Progres Total Aktual
(%)]]</f>
        <v>1</v>
      </c>
      <c r="U12" s="106">
        <f>Table1[[#This Row],[Progres Aktual
(%)]]-Table1[[#This Row],[Target Progres
(%)]]</f>
        <v>0</v>
      </c>
      <c r="V12" s="320">
        <f>Table1[[#This Row],["Volume
BA MC-0"]]</f>
        <v>240</v>
      </c>
      <c r="W12" s="321">
        <f>Table1[[#This Row],[Total Panjang Pipa Aktual
(Sum-&gt;)3]]</f>
        <v>175</v>
      </c>
      <c r="X12" s="42"/>
      <c r="Y12" s="62" t="s">
        <v>306</v>
      </c>
      <c r="Z12" s="62">
        <v>433097946</v>
      </c>
      <c r="AA12" s="62">
        <f>ROUND((Table1[[#This Row],[Nilai RAB Jaringan
(Exclude Ppn)]]-Table1[[#This Row],[RAB Perizinan]])*1.11+Table1[[#This Row],[RAB Perizinan]],0)</f>
        <v>0</v>
      </c>
      <c r="AB12" s="290">
        <f>SUM(Table1[[#This Row],[RAB Kegiatan Umum]:[RAB Perizinan]])</f>
        <v>0</v>
      </c>
      <c r="AC12" s="290"/>
      <c r="AD12" s="290"/>
      <c r="AE12" s="290"/>
      <c r="AF12" s="290"/>
      <c r="AG12" s="290">
        <v>24595780</v>
      </c>
      <c r="AH12" s="35" t="e">
        <f>SUM(Table1[[#This Row],[Bobot Keg Umum]:[Bobot Perizinan]])</f>
        <v>#DIV/0!</v>
      </c>
      <c r="AI12" s="35" t="e">
        <f>Table1[[#This Row],[RAB Kegiatan Umum]]/Table1[[#This Row],[Nilai RAB Jaringan
(Exclude Ppn)]]</f>
        <v>#DIV/0!</v>
      </c>
      <c r="AJ12" s="35" t="e">
        <f>Table1[[#This Row],[RAB Pemasangan]]/Table1[[#This Row],[Nilai RAB Jaringan
(Exclude Ppn)]]</f>
        <v>#DIV/0!</v>
      </c>
      <c r="AK12" s="35" t="e">
        <f>Table1[[#This Row],[RAB Pengadaan]]/Table1[[#This Row],[Nilai RAB Jaringan
(Exclude Ppn)]]</f>
        <v>#DIV/0!</v>
      </c>
      <c r="AL12" s="35" t="e">
        <f>Table1[[#This Row],[RAB Perizinan]]/Table1[[#This Row],[Nilai RAB Jaringan
(Exclude Ppn)]]</f>
        <v>#DIV/0!</v>
      </c>
      <c r="AM12" s="42"/>
      <c r="AN12" s="256">
        <v>240</v>
      </c>
      <c r="AO12" s="256">
        <f>SUM(Table1[[#This Row],[Pipa 63 mm]:[Pipa 1,800 mm]])</f>
        <v>0</v>
      </c>
      <c r="AP12" s="256"/>
      <c r="AQ12" s="256"/>
      <c r="AR12" s="256"/>
      <c r="AS12" s="256"/>
      <c r="AT12" s="256"/>
      <c r="AU12" s="256"/>
      <c r="AV12" s="256"/>
      <c r="AW12" s="256"/>
      <c r="AX12" s="256"/>
      <c r="AY12" s="256"/>
      <c r="AZ12" s="256"/>
      <c r="BA12" s="256"/>
      <c r="BB12" s="256"/>
      <c r="BC12" s="256"/>
      <c r="BD12" s="256"/>
      <c r="BE12" s="256"/>
      <c r="BF12" s="256"/>
      <c r="BG12" s="256"/>
      <c r="BH12" s="256"/>
      <c r="BI12" s="256"/>
      <c r="BJ12" s="36">
        <f>SUM(Table1[[#This Row],[Pipa 63 mm2]:[Pipa 1,800 mm21]])</f>
        <v>175</v>
      </c>
      <c r="BK12" s="32"/>
      <c r="BL12" s="32">
        <v>175</v>
      </c>
      <c r="BM12" s="32"/>
      <c r="BN12" s="32"/>
      <c r="BO12" s="32"/>
      <c r="BP12" s="32"/>
      <c r="BQ12" s="32"/>
      <c r="BR12" s="32"/>
      <c r="BS12" s="32"/>
      <c r="BT12" s="32"/>
      <c r="BU12" s="32"/>
      <c r="BV12" s="32"/>
      <c r="BW12" s="32"/>
      <c r="BX12" s="32"/>
      <c r="BY12" s="32"/>
      <c r="BZ12" s="32"/>
      <c r="CA12" s="32"/>
      <c r="CB12" s="32"/>
      <c r="CC12" s="32"/>
      <c r="CD12" s="32"/>
      <c r="CE12" s="32">
        <v>0</v>
      </c>
      <c r="CF12" s="32"/>
      <c r="CG12" s="32"/>
      <c r="CH12" s="32"/>
      <c r="CI12" s="32">
        <f t="shared" si="3"/>
        <v>0</v>
      </c>
      <c r="CJ12" s="60">
        <f>IF((Table1[[#This Row],["Volume
BA MC-0"]]-Table1[[#This Row],[Total Panjang Pipa Aktual
(Sum-&gt;)3]]-Table1[[#This Row],[Total Volume
tidak dapat dipasang]])&gt;=0,Table1[[#This Row],["Volume
BA MC-0"]]-Table1[[#This Row],[Total Panjang Pipa Aktual
(Sum-&gt;)3]]-Table1[[#This Row],[Total Volume
tidak dapat dipasang]],0)</f>
        <v>65</v>
      </c>
      <c r="CK12" s="42"/>
      <c r="CL12" s="113"/>
      <c r="CM12" s="35"/>
      <c r="CN12" s="113"/>
      <c r="CO12" s="113"/>
      <c r="CP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 s="61">
        <f>IFERROR(Table1[[#This Row],[Progres Keg. Umum
(%)]]*Table1[[#This Row],[Nilai RAB Jaringan
(file pa aji)]],0)</f>
        <v>0</v>
      </c>
      <c r="CR12" s="61">
        <f>IFERROR(Table1[[#This Row],[Progres MOS
(%)]]*Table1[[#This Row],[Nilai RAB Jaringan
(file pa aji)]],0)</f>
        <v>0</v>
      </c>
      <c r="CS12" s="61">
        <f>IFERROR(Table1[[#This Row],[Progres Pemasangan
(%)]]*Table1[[#This Row],[Nilai RAB Jaringan
(file pa aji)]],0)</f>
        <v>0</v>
      </c>
      <c r="CT12" s="61">
        <f>IFERROR(Table1[[#This Row],[Progres Perizinan
(%)]]*Table1[[#This Row],[Nilai RAB Jaringan
(file pa aji)]],0)</f>
        <v>0</v>
      </c>
      <c r="CU12" s="789">
        <v>243741183</v>
      </c>
      <c r="CV12" s="299">
        <v>243741183</v>
      </c>
      <c r="CW12" s="552">
        <v>243741183</v>
      </c>
      <c r="CX12" s="789">
        <f>_xlfn.XLOOKUP(Table1[[#This Row],[Kode Program]],'[1]Breakdown VOWD Greenfield'!$E:$E,'[1]Breakdown VOWD Greenfield'!$AT:$AT)</f>
        <v>243741183</v>
      </c>
      <c r="CY12" s="42"/>
      <c r="CZ12" s="300">
        <v>45383</v>
      </c>
      <c r="DA12" s="300">
        <v>45417</v>
      </c>
      <c r="DB12" s="301"/>
      <c r="DC12" s="286"/>
      <c r="DD12" s="62"/>
      <c r="DE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 s="301"/>
      <c r="DG12" s="286"/>
      <c r="DH12" s="62"/>
      <c r="DI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 s="300">
        <v>45418</v>
      </c>
      <c r="DK12" s="300">
        <v>45466</v>
      </c>
      <c r="DL12" s="301"/>
      <c r="DM12" s="286"/>
      <c r="DN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 s="301"/>
      <c r="DP12" s="286"/>
      <c r="DQ12" s="308"/>
      <c r="DR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 s="300">
        <v>45418</v>
      </c>
      <c r="DT12" s="300" t="e">
        <v>#N/A</v>
      </c>
      <c r="DU12" s="300">
        <v>45466</v>
      </c>
      <c r="DV12" s="300" t="e">
        <v>#N/A</v>
      </c>
      <c r="DW12" s="301"/>
      <c r="DX12" s="286"/>
      <c r="DY12" s="304"/>
      <c r="DZ12" s="304"/>
      <c r="EA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 s="301"/>
      <c r="EC12" s="302"/>
      <c r="ED12" s="302"/>
      <c r="EE12" s="300"/>
      <c r="EF12" s="35">
        <v>1</v>
      </c>
      <c r="EG12" s="307">
        <v>1</v>
      </c>
      <c r="EH12" s="286" t="str">
        <f>IF(Table1[[#This Row],[PO Material Aktual 
(%)]]&gt;=100%,"Selesai PO = 100%",IF(Table1[[#This Row],[PO Material Aktual 
(%)]]&gt;=50%,"Proses PO &gt; 100%",IF(Table1[[#This Row],[PO Material Aktual 
(%)]]&gt;0%,"Proses PO &gt; 50%",IF(Table1[[#This Row],[PO Material Aktual 
(%)]]=0,"Belum PO = 0%"))))</f>
        <v>Selesai PO = 100%</v>
      </c>
      <c r="EI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 s="300">
        <v>45467</v>
      </c>
      <c r="EK12" s="300" t="e">
        <v>#N/A</v>
      </c>
      <c r="EL12" s="300">
        <v>45529</v>
      </c>
      <c r="EM12" s="300" t="e">
        <v>#N/A</v>
      </c>
      <c r="EN12" s="301"/>
      <c r="EO12" s="302"/>
      <c r="EP12" s="302"/>
      <c r="EQ12" s="82">
        <v>1</v>
      </c>
      <c r="ER12" s="82">
        <v>1</v>
      </c>
      <c r="ES12" s="286" t="str">
        <f>IF(Table1[[#This Row],[Progres MOS]]&gt;=100%,"Selesai MOS = 100%",IF(Table1[[#This Row],[Progres MOS]]&gt;=50%,"Proses MOS &gt; 100%",IF(Table1[[#This Row],[Progres MOS]]&gt;0%,"Proses MOS &gt; 50%",IF(Table1[[#This Row],[Progres MOS]]=0,"Belum MOS = 0%"))))</f>
        <v>Selesai MOS = 100%</v>
      </c>
      <c r="ET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 s="42"/>
      <c r="EV12" s="300">
        <v>45418</v>
      </c>
      <c r="EW12" s="300" t="e">
        <v>#N/A</v>
      </c>
      <c r="EX12" s="300">
        <v>45529</v>
      </c>
      <c r="EY12" s="300" t="e">
        <v>#N/A</v>
      </c>
      <c r="EZ12" s="322" t="s">
        <v>259</v>
      </c>
      <c r="FA12" s="306" t="s">
        <v>259</v>
      </c>
      <c r="FB12" s="300" t="s">
        <v>260</v>
      </c>
      <c r="FC12" s="300">
        <v>45428</v>
      </c>
      <c r="FD12" s="300" t="s">
        <v>260</v>
      </c>
      <c r="FE12" s="300"/>
      <c r="FF12" s="300">
        <v>45463</v>
      </c>
      <c r="FG12" s="300" t="s">
        <v>260</v>
      </c>
      <c r="FH12" s="300" t="s">
        <v>260</v>
      </c>
      <c r="FI12" s="300">
        <v>45485</v>
      </c>
      <c r="FJ12" s="300" t="s">
        <v>260</v>
      </c>
      <c r="FK12" s="300">
        <v>45544</v>
      </c>
      <c r="FL12" s="306" t="s">
        <v>259</v>
      </c>
      <c r="FM12" s="306">
        <v>45428</v>
      </c>
      <c r="FN12" s="284">
        <f>IF(Table1[[#This Row],[Tanggal Pengajuan Dokumen]]="","",Table1[[#This Row],[PLAN PERMIT
start]]-Table1[[#This Row],[Tanggal Pengajuan Dokumen]])</f>
        <v>-10</v>
      </c>
      <c r="FO12" s="306">
        <v>45544</v>
      </c>
      <c r="FP12" s="286"/>
      <c r="FQ12" s="308"/>
      <c r="FR12" s="322"/>
      <c r="FS12" s="308" t="str">
        <f t="shared" si="4"/>
        <v>Sudah Terbit</v>
      </c>
      <c r="FT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 s="314">
        <f ca="1">IF(Table1[[#This Row],[Status Izin]]="Selesai",Table1[[#This Row],[PLAN PERMIT
finish]]-Table1[[#This Row],[Tanggal Terbit/ Target Izin Terbit]],ROUNDUP(Table1[[#This Row],[PLAN PERMIT
finish]]-NOW(),0))</f>
        <v>-15</v>
      </c>
      <c r="FV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 s="314"/>
      <c r="FX12" s="42"/>
      <c r="FY12" s="310"/>
      <c r="FZ12" s="311"/>
      <c r="GA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 s="300">
        <v>45503</v>
      </c>
      <c r="GC12" s="301">
        <v>45425</v>
      </c>
      <c r="GD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 s="300">
        <v>45510</v>
      </c>
      <c r="GF12" s="301">
        <v>45425</v>
      </c>
      <c r="GG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 s="300">
        <v>45516</v>
      </c>
      <c r="GI12" s="300">
        <v>45522</v>
      </c>
      <c r="GJ12" s="323">
        <v>45428</v>
      </c>
      <c r="GK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 s="300">
        <v>45530</v>
      </c>
      <c r="GM12" s="300" t="e">
        <v>#N/A</v>
      </c>
      <c r="GN12" s="300">
        <v>45536</v>
      </c>
      <c r="GO12" s="300" t="e">
        <v>#N/A</v>
      </c>
      <c r="GP12" s="286"/>
      <c r="GQ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 s="300" t="s">
        <v>261</v>
      </c>
      <c r="GS12" s="300" t="s">
        <v>261</v>
      </c>
      <c r="GT12" s="324">
        <v>45558</v>
      </c>
      <c r="GU12" s="314" t="str">
        <f>IF(Table1[[#This Row],[Hydro Tes Actual
(tanggal)]]&lt;&gt;"","Sudah","Belum")</f>
        <v>Sudah</v>
      </c>
      <c r="GV12" s="300" t="s">
        <v>261</v>
      </c>
      <c r="GW12" s="300" t="s">
        <v>261</v>
      </c>
      <c r="GX12" s="301">
        <v>45560</v>
      </c>
      <c r="GY12" s="314" t="str">
        <f>IF(Table1[[#This Row],[Interkoneksi Actual
(tanggal)]]&lt;&gt;"","Sudah","Belum")</f>
        <v>Sudah</v>
      </c>
      <c r="GZ12" s="300" t="s">
        <v>261</v>
      </c>
      <c r="HA12" s="300" t="s">
        <v>261</v>
      </c>
      <c r="HB12" s="301">
        <v>45560</v>
      </c>
      <c r="HC12" s="314" t="str">
        <f>IF(Table1[[#This Row],[Flushing Actual
(tanggal)]]&lt;&gt;"","Sudah","Belum")</f>
        <v>Sudah</v>
      </c>
      <c r="HD12" s="300">
        <v>45537</v>
      </c>
      <c r="HE12" s="300" t="e">
        <v>#N/A</v>
      </c>
      <c r="HF12" s="300">
        <v>45543</v>
      </c>
      <c r="HG12" s="316">
        <v>45565</v>
      </c>
      <c r="HH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 s="300" t="s">
        <v>261</v>
      </c>
      <c r="HJ12" s="300" t="s">
        <v>261</v>
      </c>
      <c r="HK12" s="301"/>
      <c r="HL12" s="286"/>
      <c r="HM12" s="300">
        <v>45548</v>
      </c>
      <c r="HN12" s="300">
        <v>45548</v>
      </c>
      <c r="HO12" s="300" t="e">
        <v>#N/A</v>
      </c>
      <c r="HP12" s="300"/>
      <c r="HQ12" s="316">
        <v>45565</v>
      </c>
      <c r="HR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 s="300">
        <v>45555</v>
      </c>
      <c r="HT12" s="300"/>
      <c r="HU12" s="300">
        <v>45555</v>
      </c>
      <c r="HV12" s="497"/>
      <c r="HW12" s="300">
        <v>45714</v>
      </c>
      <c r="HX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 s="42"/>
      <c r="HZ12" s="322"/>
      <c r="IA12" s="306"/>
      <c r="IC12" s="585">
        <f>IFERROR(ROUND((Table1[[#This Row],[PLAN TC
finish]]-Table1[[#This Row],[PLAN MC-0
start]])/30,2),"")</f>
        <v>0.9</v>
      </c>
      <c r="ID12">
        <f>DATEDIF(Table1[[#This Row],[PLAN MC-0
start]],Table1[[#This Row],[PLAN TC
finish]],"m")</f>
        <v>0</v>
      </c>
    </row>
    <row r="13" spans="1:238" s="4" customFormat="1" ht="15" customHeight="1" x14ac:dyDescent="0.25">
      <c r="B13" s="281">
        <f>SUBTOTAL(3,$D$5:D13)</f>
        <v>9</v>
      </c>
      <c r="C13" s="318">
        <v>9</v>
      </c>
      <c r="D13" s="285" t="s">
        <v>244</v>
      </c>
      <c r="E13" s="285" t="s">
        <v>307</v>
      </c>
      <c r="F13" s="285" t="s">
        <v>308</v>
      </c>
      <c r="G13" s="319">
        <v>45752</v>
      </c>
      <c r="H13" s="284" t="s">
        <v>247</v>
      </c>
      <c r="I13" s="285" t="s">
        <v>278</v>
      </c>
      <c r="J13" s="285"/>
      <c r="K13" s="308" t="s">
        <v>249</v>
      </c>
      <c r="L13" s="286" t="s">
        <v>250</v>
      </c>
      <c r="M13" s="286" t="s">
        <v>269</v>
      </c>
      <c r="N13" s="94">
        <v>118</v>
      </c>
      <c r="O13" s="31" t="s">
        <v>252</v>
      </c>
      <c r="P1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 s="82" t="e">
        <v>#N/A</v>
      </c>
      <c r="S13" s="82">
        <v>1</v>
      </c>
      <c r="T13" s="35">
        <f>Table1[[#This Row],[Progres Total Aktual
(%)]]</f>
        <v>1</v>
      </c>
      <c r="U13" s="106">
        <f>Table1[[#This Row],[Progres Aktual
(%)]]-Table1[[#This Row],[Target Progres
(%)]]</f>
        <v>0</v>
      </c>
      <c r="V13" s="320">
        <f>Table1[[#This Row],["Volume
BA MC-0"]]</f>
        <v>108</v>
      </c>
      <c r="W13" s="321">
        <f>Table1[[#This Row],[Total Panjang Pipa Aktual
(Sum-&gt;)3]]</f>
        <v>104.4</v>
      </c>
      <c r="X13" s="42"/>
      <c r="Y13" s="62" t="s">
        <v>309</v>
      </c>
      <c r="Z13" s="62">
        <v>217141733</v>
      </c>
      <c r="AA13" s="62">
        <f>ROUND((Table1[[#This Row],[Nilai RAB Jaringan
(Exclude Ppn)]]-Table1[[#This Row],[RAB Perizinan]])*1.11+Table1[[#This Row],[RAB Perizinan]],0)</f>
        <v>0</v>
      </c>
      <c r="AB13" s="290">
        <f>SUM(Table1[[#This Row],[RAB Kegiatan Umum]:[RAB Perizinan]])</f>
        <v>0</v>
      </c>
      <c r="AC13" s="290"/>
      <c r="AD13" s="290"/>
      <c r="AE13" s="290"/>
      <c r="AF13" s="290"/>
      <c r="AG13" s="290">
        <v>53290856</v>
      </c>
      <c r="AH13" s="35" t="e">
        <f>SUM(Table1[[#This Row],[Bobot Keg Umum]:[Bobot Perizinan]])</f>
        <v>#DIV/0!</v>
      </c>
      <c r="AI13" s="35" t="e">
        <f>Table1[[#This Row],[RAB Kegiatan Umum]]/Table1[[#This Row],[Nilai RAB Jaringan
(Exclude Ppn)]]</f>
        <v>#DIV/0!</v>
      </c>
      <c r="AJ13" s="35" t="e">
        <f>Table1[[#This Row],[RAB Pemasangan]]/Table1[[#This Row],[Nilai RAB Jaringan
(Exclude Ppn)]]</f>
        <v>#DIV/0!</v>
      </c>
      <c r="AK13" s="35" t="e">
        <f>Table1[[#This Row],[RAB Pengadaan]]/Table1[[#This Row],[Nilai RAB Jaringan
(Exclude Ppn)]]</f>
        <v>#DIV/0!</v>
      </c>
      <c r="AL13" s="35" t="e">
        <f>Table1[[#This Row],[RAB Perizinan]]/Table1[[#This Row],[Nilai RAB Jaringan
(Exclude Ppn)]]</f>
        <v>#DIV/0!</v>
      </c>
      <c r="AM13" s="42"/>
      <c r="AN13" s="256">
        <v>108</v>
      </c>
      <c r="AO13" s="256">
        <f>SUM(Table1[[#This Row],[Pipa 63 mm]:[Pipa 1,800 mm]])</f>
        <v>0</v>
      </c>
      <c r="AP13" s="256"/>
      <c r="AQ13" s="256"/>
      <c r="AR13" s="256"/>
      <c r="AS13" s="256"/>
      <c r="AT13" s="256"/>
      <c r="AU13" s="256"/>
      <c r="AV13" s="256"/>
      <c r="AW13" s="256"/>
      <c r="AX13" s="256"/>
      <c r="AY13" s="256"/>
      <c r="AZ13" s="256"/>
      <c r="BA13" s="256"/>
      <c r="BB13" s="256"/>
      <c r="BC13" s="256"/>
      <c r="BD13" s="256"/>
      <c r="BE13" s="256"/>
      <c r="BF13" s="256"/>
      <c r="BG13" s="256"/>
      <c r="BH13" s="256"/>
      <c r="BI13" s="256"/>
      <c r="BJ13" s="36">
        <f>SUM(Table1[[#This Row],[Pipa 63 mm2]:[Pipa 1,800 mm21]])</f>
        <v>104.4</v>
      </c>
      <c r="BK13" s="32">
        <v>104.4</v>
      </c>
      <c r="BL13" s="32"/>
      <c r="BM13" s="32"/>
      <c r="BN13" s="32"/>
      <c r="BO13" s="32"/>
      <c r="BP13" s="32"/>
      <c r="BQ13" s="32"/>
      <c r="BR13" s="32"/>
      <c r="BS13" s="32"/>
      <c r="BT13" s="32"/>
      <c r="BU13" s="32"/>
      <c r="BV13" s="32"/>
      <c r="BW13" s="32"/>
      <c r="BX13" s="32"/>
      <c r="BY13" s="32"/>
      <c r="BZ13" s="32"/>
      <c r="CA13" s="32"/>
      <c r="CB13" s="32"/>
      <c r="CC13" s="32"/>
      <c r="CD13" s="32"/>
      <c r="CE13" s="32">
        <v>0</v>
      </c>
      <c r="CF13" s="32"/>
      <c r="CG13" s="32"/>
      <c r="CH13" s="32"/>
      <c r="CI13" s="32">
        <f t="shared" si="3"/>
        <v>0</v>
      </c>
      <c r="CJ13" s="60">
        <f>IF((Table1[[#This Row],["Volume
BA MC-0"]]-Table1[[#This Row],[Total Panjang Pipa Aktual
(Sum-&gt;)3]]-Table1[[#This Row],[Total Volume
tidak dapat dipasang]])&gt;=0,Table1[[#This Row],["Volume
BA MC-0"]]-Table1[[#This Row],[Total Panjang Pipa Aktual
(Sum-&gt;)3]]-Table1[[#This Row],[Total Volume
tidak dapat dipasang]],0)</f>
        <v>3.5999999999999943</v>
      </c>
      <c r="CK13" s="42"/>
      <c r="CL13" s="113"/>
      <c r="CM13" s="35"/>
      <c r="CN13" s="113"/>
      <c r="CO13" s="113"/>
      <c r="CP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 s="61">
        <f>IFERROR(Table1[[#This Row],[Progres Keg. Umum
(%)]]*Table1[[#This Row],[Nilai RAB Jaringan
(file pa aji)]],0)</f>
        <v>0</v>
      </c>
      <c r="CR13" s="61">
        <f>IFERROR(Table1[[#This Row],[Progres MOS
(%)]]*Table1[[#This Row],[Nilai RAB Jaringan
(file pa aji)]],0)</f>
        <v>0</v>
      </c>
      <c r="CS13" s="61">
        <f>IFERROR(Table1[[#This Row],[Progres Pemasangan
(%)]]*Table1[[#This Row],[Nilai RAB Jaringan
(file pa aji)]],0)</f>
        <v>0</v>
      </c>
      <c r="CT13" s="61">
        <f>IFERROR(Table1[[#This Row],[Progres Perizinan
(%)]]*Table1[[#This Row],[Nilai RAB Jaringan
(file pa aji)]],0)</f>
        <v>0</v>
      </c>
      <c r="CU13" s="789">
        <v>135088591</v>
      </c>
      <c r="CV13" s="299">
        <v>135088591</v>
      </c>
      <c r="CW13" s="552">
        <v>135088591</v>
      </c>
      <c r="CX13" s="789">
        <f>_xlfn.XLOOKUP(Table1[[#This Row],[Kode Program]],'[1]Breakdown VOWD Greenfield'!$E:$E,'[1]Breakdown VOWD Greenfield'!$AT:$AT)</f>
        <v>135088591</v>
      </c>
      <c r="CY13" s="42"/>
      <c r="CZ13" s="300">
        <v>45383</v>
      </c>
      <c r="DA13" s="300">
        <v>45417</v>
      </c>
      <c r="DB13" s="301"/>
      <c r="DC13" s="286"/>
      <c r="DD13" s="62"/>
      <c r="DE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3" s="301"/>
      <c r="DG13" s="286"/>
      <c r="DH13" s="62"/>
      <c r="DI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3" s="300">
        <v>45418</v>
      </c>
      <c r="DK13" s="300">
        <v>45466</v>
      </c>
      <c r="DL13" s="301">
        <v>45430</v>
      </c>
      <c r="DM13" s="327" t="s">
        <v>310</v>
      </c>
      <c r="DN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 s="301">
        <v>45449</v>
      </c>
      <c r="DP13" s="286" t="s">
        <v>311</v>
      </c>
      <c r="DQ13" s="308" t="s">
        <v>312</v>
      </c>
      <c r="DR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 s="300">
        <v>45418</v>
      </c>
      <c r="DT13" s="300" t="e">
        <v>#N/A</v>
      </c>
      <c r="DU13" s="300">
        <v>45466</v>
      </c>
      <c r="DV13" s="300" t="e">
        <v>#N/A</v>
      </c>
      <c r="DW13" s="301"/>
      <c r="DX13" s="286"/>
      <c r="DY13" s="304"/>
      <c r="DZ13" s="304"/>
      <c r="EA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3" s="301"/>
      <c r="EC13" s="302"/>
      <c r="ED13" s="302"/>
      <c r="EE13" s="300"/>
      <c r="EF13" s="35">
        <v>1</v>
      </c>
      <c r="EG13" s="307">
        <v>1</v>
      </c>
      <c r="EH13" s="286" t="str">
        <f>IF(Table1[[#This Row],[PO Material Aktual 
(%)]]&gt;=100%,"Selesai PO = 100%",IF(Table1[[#This Row],[PO Material Aktual 
(%)]]&gt;=50%,"Proses PO &gt; 100%",IF(Table1[[#This Row],[PO Material Aktual 
(%)]]&gt;0%,"Proses PO &gt; 50%",IF(Table1[[#This Row],[PO Material Aktual 
(%)]]=0,"Belum PO = 0%"))))</f>
        <v>Selesai PO = 100%</v>
      </c>
      <c r="EI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3" s="300">
        <v>45467</v>
      </c>
      <c r="EK13" s="300" t="e">
        <v>#N/A</v>
      </c>
      <c r="EL13" s="300">
        <v>45529</v>
      </c>
      <c r="EM13" s="300" t="e">
        <v>#N/A</v>
      </c>
      <c r="EN13" s="301"/>
      <c r="EO13" s="302"/>
      <c r="EP13" s="302"/>
      <c r="EQ13" s="82">
        <v>1</v>
      </c>
      <c r="ER13" s="82">
        <v>1</v>
      </c>
      <c r="ES13" s="286" t="str">
        <f>IF(Table1[[#This Row],[Progres MOS]]&gt;=100%,"Selesai MOS = 100%",IF(Table1[[#This Row],[Progres MOS]]&gt;=50%,"Proses MOS &gt; 100%",IF(Table1[[#This Row],[Progres MOS]]&gt;0%,"Proses MOS &gt; 50%",IF(Table1[[#This Row],[Progres MOS]]=0,"Belum MOS = 0%"))))</f>
        <v>Selesai MOS = 100%</v>
      </c>
      <c r="ET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 s="42"/>
      <c r="EV13" s="300">
        <v>45418</v>
      </c>
      <c r="EW13" s="300" t="e">
        <v>#N/A</v>
      </c>
      <c r="EX13" s="300">
        <v>45529</v>
      </c>
      <c r="EY13" s="300" t="e">
        <v>#N/A</v>
      </c>
      <c r="EZ13" s="322" t="s">
        <v>259</v>
      </c>
      <c r="FA13" s="306" t="s">
        <v>259</v>
      </c>
      <c r="FB13" s="300" t="s">
        <v>260</v>
      </c>
      <c r="FC13" s="300">
        <v>45488</v>
      </c>
      <c r="FD13" s="300" t="s">
        <v>260</v>
      </c>
      <c r="FE13" s="300"/>
      <c r="FF13" s="300">
        <v>45519</v>
      </c>
      <c r="FG13" s="300" t="s">
        <v>260</v>
      </c>
      <c r="FH13" s="300" t="s">
        <v>260</v>
      </c>
      <c r="FI13" s="300">
        <v>45552</v>
      </c>
      <c r="FJ13" s="300" t="s">
        <v>260</v>
      </c>
      <c r="FK13" s="300">
        <v>45575</v>
      </c>
      <c r="FL13" s="306" t="s">
        <v>259</v>
      </c>
      <c r="FM13" s="306">
        <v>45488</v>
      </c>
      <c r="FN13" s="284">
        <f>IF(Table1[[#This Row],[Tanggal Pengajuan Dokumen]]="","",Table1[[#This Row],[PLAN PERMIT
start]]-Table1[[#This Row],[Tanggal Pengajuan Dokumen]])</f>
        <v>-70</v>
      </c>
      <c r="FO13" s="306">
        <v>45575</v>
      </c>
      <c r="FP13" s="286"/>
      <c r="FQ13" s="308"/>
      <c r="FR13" s="322"/>
      <c r="FS13" s="308" t="str">
        <f t="shared" si="4"/>
        <v>Sudah Terbit</v>
      </c>
      <c r="FT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 s="314">
        <f ca="1">IF(Table1[[#This Row],[Status Izin]]="Selesai",Table1[[#This Row],[PLAN PERMIT
finish]]-Table1[[#This Row],[Tanggal Terbit/ Target Izin Terbit]],ROUNDUP(Table1[[#This Row],[PLAN PERMIT
finish]]-NOW(),0))</f>
        <v>-46</v>
      </c>
      <c r="FV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 s="314"/>
      <c r="FX13" s="42"/>
      <c r="FY13" s="310"/>
      <c r="FZ13" s="311"/>
      <c r="GA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3" s="300">
        <v>45503</v>
      </c>
      <c r="GC13" s="301">
        <v>45425</v>
      </c>
      <c r="GD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 s="300">
        <v>45510</v>
      </c>
      <c r="GF13" s="301">
        <v>45425</v>
      </c>
      <c r="GG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 s="300">
        <v>45516</v>
      </c>
      <c r="GI13" s="300">
        <v>45522</v>
      </c>
      <c r="GJ13" s="323">
        <v>45427</v>
      </c>
      <c r="GK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 s="300">
        <v>45530</v>
      </c>
      <c r="GM13" s="300" t="e">
        <v>#N/A</v>
      </c>
      <c r="GN13" s="300">
        <v>45536</v>
      </c>
      <c r="GO13" s="300" t="e">
        <v>#N/A</v>
      </c>
      <c r="GP13" s="286"/>
      <c r="GQ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 s="300" t="s">
        <v>261</v>
      </c>
      <c r="GS13" s="300" t="s">
        <v>261</v>
      </c>
      <c r="GT13" s="324">
        <v>45496</v>
      </c>
      <c r="GU13" s="314" t="str">
        <f>IF(Table1[[#This Row],[Hydro Tes Actual
(tanggal)]]&lt;&gt;"","Sudah","Belum")</f>
        <v>Sudah</v>
      </c>
      <c r="GV13" s="300" t="s">
        <v>261</v>
      </c>
      <c r="GW13" s="300" t="s">
        <v>261</v>
      </c>
      <c r="GX13" s="301">
        <v>45867</v>
      </c>
      <c r="GY13" s="314" t="str">
        <f>IF(Table1[[#This Row],[Interkoneksi Actual
(tanggal)]]&lt;&gt;"","Sudah","Belum")</f>
        <v>Sudah</v>
      </c>
      <c r="GZ13" s="300" t="s">
        <v>261</v>
      </c>
      <c r="HA13" s="300" t="s">
        <v>261</v>
      </c>
      <c r="HB13" s="301">
        <v>45867</v>
      </c>
      <c r="HC13" s="314" t="str">
        <f>IF(Table1[[#This Row],[Flushing Actual
(tanggal)]]&lt;&gt;"","Sudah","Belum")</f>
        <v>Sudah</v>
      </c>
      <c r="HD13" s="300">
        <v>45537</v>
      </c>
      <c r="HE13" s="300" t="e">
        <v>#N/A</v>
      </c>
      <c r="HF13" s="300">
        <v>45543</v>
      </c>
      <c r="HG13" s="316">
        <v>45525</v>
      </c>
      <c r="HH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3" s="300" t="s">
        <v>261</v>
      </c>
      <c r="HJ13" s="300" t="s">
        <v>261</v>
      </c>
      <c r="HK13" s="301"/>
      <c r="HL13" s="286"/>
      <c r="HM13" s="300">
        <v>45548</v>
      </c>
      <c r="HN13" s="300">
        <v>45548</v>
      </c>
      <c r="HO13" s="300" t="e">
        <v>#N/A</v>
      </c>
      <c r="HP13" s="300"/>
      <c r="HQ13" s="316">
        <v>45525</v>
      </c>
      <c r="HR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3" s="300">
        <v>45555</v>
      </c>
      <c r="HT13" s="300"/>
      <c r="HU13" s="300">
        <v>45555</v>
      </c>
      <c r="HV13" s="497"/>
      <c r="HW13" s="300">
        <v>45714</v>
      </c>
      <c r="HX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 s="42"/>
      <c r="HZ13" s="322"/>
      <c r="IA13" s="306"/>
      <c r="IC13" s="585">
        <f>IFERROR(ROUND((Table1[[#This Row],[PLAN TC
finish]]-Table1[[#This Row],[PLAN MC-0
start]])/30,2),"")</f>
        <v>0.9</v>
      </c>
      <c r="ID13">
        <f>DATEDIF(Table1[[#This Row],[PLAN MC-0
start]],Table1[[#This Row],[PLAN TC
finish]],"m")</f>
        <v>0</v>
      </c>
    </row>
    <row r="14" spans="1:238" s="4" customFormat="1" ht="15" customHeight="1" x14ac:dyDescent="0.25">
      <c r="B14" s="281">
        <f>SUBTOTAL(3,$D$5:D14)</f>
        <v>10</v>
      </c>
      <c r="C14" s="318">
        <v>10</v>
      </c>
      <c r="D14" s="285" t="s">
        <v>244</v>
      </c>
      <c r="E14" s="285" t="s">
        <v>313</v>
      </c>
      <c r="F14" s="285" t="s">
        <v>314</v>
      </c>
      <c r="G14" s="319">
        <v>45752</v>
      </c>
      <c r="H14" s="284" t="s">
        <v>247</v>
      </c>
      <c r="I14" s="285" t="s">
        <v>278</v>
      </c>
      <c r="J14" s="285"/>
      <c r="K14" s="308" t="s">
        <v>249</v>
      </c>
      <c r="L14" s="286" t="s">
        <v>250</v>
      </c>
      <c r="M14" s="286" t="s">
        <v>269</v>
      </c>
      <c r="N14" s="94">
        <v>117</v>
      </c>
      <c r="O14" s="31" t="s">
        <v>252</v>
      </c>
      <c r="P1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 s="82" t="e">
        <v>#N/A</v>
      </c>
      <c r="S14" s="82">
        <v>1</v>
      </c>
      <c r="T14" s="35">
        <f>Table1[[#This Row],[Progres Total Aktual
(%)]]</f>
        <v>1</v>
      </c>
      <c r="U14" s="106">
        <f>Table1[[#This Row],[Progres Aktual
(%)]]-Table1[[#This Row],[Target Progres
(%)]]</f>
        <v>0</v>
      </c>
      <c r="V14" s="320">
        <f>Table1[[#This Row],["Volume
BA MC-0"]]</f>
        <v>9</v>
      </c>
      <c r="W14" s="321">
        <f>Table1[[#This Row],[Total Panjang Pipa Aktual
(Sum-&gt;)3]]</f>
        <v>298.7</v>
      </c>
      <c r="X14" s="42"/>
      <c r="Y14" s="62" t="s">
        <v>315</v>
      </c>
      <c r="Z14" s="62">
        <v>811178020</v>
      </c>
      <c r="AA14" s="62">
        <f>ROUND((Table1[[#This Row],[Nilai RAB Jaringan
(Exclude Ppn)]]-Table1[[#This Row],[RAB Perizinan]])*1.11+Table1[[#This Row],[RAB Perizinan]],0)</f>
        <v>0</v>
      </c>
      <c r="AB14" s="290">
        <f>SUM(Table1[[#This Row],[RAB Kegiatan Umum]:[RAB Perizinan]])</f>
        <v>0</v>
      </c>
      <c r="AC14" s="290"/>
      <c r="AD14" s="290"/>
      <c r="AE14" s="290"/>
      <c r="AF14" s="290"/>
      <c r="AG14" s="290">
        <v>106581712</v>
      </c>
      <c r="AH14" s="35" t="e">
        <f>SUM(Table1[[#This Row],[Bobot Keg Umum]:[Bobot Perizinan]])</f>
        <v>#DIV/0!</v>
      </c>
      <c r="AI14" s="35" t="e">
        <f>Table1[[#This Row],[RAB Kegiatan Umum]]/Table1[[#This Row],[Nilai RAB Jaringan
(Exclude Ppn)]]</f>
        <v>#DIV/0!</v>
      </c>
      <c r="AJ14" s="35" t="e">
        <f>Table1[[#This Row],[RAB Pemasangan]]/Table1[[#This Row],[Nilai RAB Jaringan
(Exclude Ppn)]]</f>
        <v>#DIV/0!</v>
      </c>
      <c r="AK14" s="35" t="e">
        <f>Table1[[#This Row],[RAB Pengadaan]]/Table1[[#This Row],[Nilai RAB Jaringan
(Exclude Ppn)]]</f>
        <v>#DIV/0!</v>
      </c>
      <c r="AL14" s="35" t="e">
        <f>Table1[[#This Row],[RAB Perizinan]]/Table1[[#This Row],[Nilai RAB Jaringan
(Exclude Ppn)]]</f>
        <v>#DIV/0!</v>
      </c>
      <c r="AM14" s="42"/>
      <c r="AN14" s="256">
        <v>9</v>
      </c>
      <c r="AO14" s="256">
        <f>SUM(Table1[[#This Row],[Pipa 63 mm]:[Pipa 1,800 mm]])</f>
        <v>0</v>
      </c>
      <c r="AP14" s="256"/>
      <c r="AQ14" s="256"/>
      <c r="AR14" s="256"/>
      <c r="AS14" s="256"/>
      <c r="AT14" s="256"/>
      <c r="AU14" s="256"/>
      <c r="AV14" s="256"/>
      <c r="AW14" s="256"/>
      <c r="AX14" s="256"/>
      <c r="AY14" s="256"/>
      <c r="AZ14" s="256"/>
      <c r="BA14" s="256"/>
      <c r="BB14" s="256"/>
      <c r="BC14" s="256"/>
      <c r="BD14" s="256"/>
      <c r="BE14" s="256"/>
      <c r="BF14" s="256"/>
      <c r="BG14" s="256"/>
      <c r="BH14" s="256"/>
      <c r="BI14" s="256"/>
      <c r="BJ14" s="36">
        <f>SUM(Table1[[#This Row],[Pipa 63 mm2]:[Pipa 1,800 mm21]])</f>
        <v>298.7</v>
      </c>
      <c r="BK14" s="326">
        <v>298.7</v>
      </c>
      <c r="BL14" s="326"/>
      <c r="BM14" s="326"/>
      <c r="BN14" s="326"/>
      <c r="BO14" s="326"/>
      <c r="BP14" s="326"/>
      <c r="BQ14" s="326"/>
      <c r="BR14" s="326"/>
      <c r="BS14" s="326"/>
      <c r="BT14" s="326"/>
      <c r="BU14" s="326"/>
      <c r="BV14" s="326"/>
      <c r="BW14" s="326"/>
      <c r="BX14" s="326"/>
      <c r="BY14" s="326"/>
      <c r="BZ14" s="326"/>
      <c r="CA14" s="326"/>
      <c r="CB14" s="326"/>
      <c r="CC14" s="326"/>
      <c r="CD14" s="326"/>
      <c r="CE14" s="32">
        <v>0</v>
      </c>
      <c r="CF14" s="32"/>
      <c r="CG14" s="32"/>
      <c r="CH14" s="32"/>
      <c r="CI14" s="32">
        <f t="shared" si="3"/>
        <v>0</v>
      </c>
      <c r="CJ14" s="60">
        <f>IF((Table1[[#This Row],["Volume
BA MC-0"]]-Table1[[#This Row],[Total Panjang Pipa Aktual
(Sum-&gt;)3]]-Table1[[#This Row],[Total Volume
tidak dapat dipasang]])&gt;=0,Table1[[#This Row],["Volume
BA MC-0"]]-Table1[[#This Row],[Total Panjang Pipa Aktual
(Sum-&gt;)3]]-Table1[[#This Row],[Total Volume
tidak dapat dipasang]],0)</f>
        <v>0</v>
      </c>
      <c r="CK14" s="42"/>
      <c r="CL14" s="113"/>
      <c r="CM14" s="35"/>
      <c r="CN14" s="113"/>
      <c r="CO14" s="113"/>
      <c r="CP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 s="61">
        <f>IFERROR(Table1[[#This Row],[Progres Keg. Umum
(%)]]*Table1[[#This Row],[Nilai RAB Jaringan
(file pa aji)]],0)</f>
        <v>0</v>
      </c>
      <c r="CR14" s="61">
        <f>IFERROR(Table1[[#This Row],[Progres MOS
(%)]]*Table1[[#This Row],[Nilai RAB Jaringan
(file pa aji)]],0)</f>
        <v>0</v>
      </c>
      <c r="CS14" s="61">
        <f>IFERROR(Table1[[#This Row],[Progres Pemasangan
(%)]]*Table1[[#This Row],[Nilai RAB Jaringan
(file pa aji)]],0)</f>
        <v>0</v>
      </c>
      <c r="CT14" s="61">
        <f>IFERROR(Table1[[#This Row],[Progres Perizinan
(%)]]*Table1[[#This Row],[Nilai RAB Jaringan
(file pa aji)]],0)</f>
        <v>0</v>
      </c>
      <c r="CU14" s="789">
        <v>432875247</v>
      </c>
      <c r="CV14" s="299">
        <v>432875247</v>
      </c>
      <c r="CW14" s="552">
        <v>432875247</v>
      </c>
      <c r="CX14" s="789">
        <f>_xlfn.XLOOKUP(Table1[[#This Row],[Kode Program]],'[1]Breakdown VOWD Greenfield'!$E:$E,'[1]Breakdown VOWD Greenfield'!$AT:$AT)</f>
        <v>432875247</v>
      </c>
      <c r="CY14" s="42"/>
      <c r="CZ14" s="300">
        <v>45383</v>
      </c>
      <c r="DA14" s="300">
        <v>45417</v>
      </c>
      <c r="DB14" s="301"/>
      <c r="DC14" s="286"/>
      <c r="DD14" s="62"/>
      <c r="DE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4" s="301"/>
      <c r="DG14" s="286"/>
      <c r="DH14" s="62"/>
      <c r="DI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4" s="300">
        <v>45418</v>
      </c>
      <c r="DK14" s="300">
        <v>45466</v>
      </c>
      <c r="DL14" s="301"/>
      <c r="DM14" s="286"/>
      <c r="DN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4" s="301"/>
      <c r="DP14" s="286"/>
      <c r="DQ14" s="308"/>
      <c r="DR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4" s="300">
        <v>45418</v>
      </c>
      <c r="DT14" s="300" t="e">
        <v>#N/A</v>
      </c>
      <c r="DU14" s="300">
        <v>45466</v>
      </c>
      <c r="DV14" s="300" t="e">
        <v>#N/A</v>
      </c>
      <c r="DW14" s="301"/>
      <c r="DX14" s="286"/>
      <c r="DY14" s="304"/>
      <c r="DZ14" s="304"/>
      <c r="EA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4" s="301"/>
      <c r="EC14" s="302"/>
      <c r="ED14" s="302"/>
      <c r="EE14" s="300"/>
      <c r="EF14" s="35">
        <v>1</v>
      </c>
      <c r="EG14" s="307">
        <v>1</v>
      </c>
      <c r="EH14" s="286" t="str">
        <f>IF(Table1[[#This Row],[PO Material Aktual 
(%)]]&gt;=100%,"Selesai PO = 100%",IF(Table1[[#This Row],[PO Material Aktual 
(%)]]&gt;=50%,"Proses PO &gt; 100%",IF(Table1[[#This Row],[PO Material Aktual 
(%)]]&gt;0%,"Proses PO &gt; 50%",IF(Table1[[#This Row],[PO Material Aktual 
(%)]]=0,"Belum PO = 0%"))))</f>
        <v>Selesai PO = 100%</v>
      </c>
      <c r="EI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4" s="300">
        <v>45467</v>
      </c>
      <c r="EK14" s="300" t="e">
        <v>#N/A</v>
      </c>
      <c r="EL14" s="300">
        <v>45529</v>
      </c>
      <c r="EM14" s="300" t="e">
        <v>#N/A</v>
      </c>
      <c r="EN14" s="301"/>
      <c r="EO14" s="302"/>
      <c r="EP14" s="302"/>
      <c r="EQ14" s="82">
        <v>1</v>
      </c>
      <c r="ER14" s="82">
        <v>1</v>
      </c>
      <c r="ES14" s="286" t="str">
        <f>IF(Table1[[#This Row],[Progres MOS]]&gt;=100%,"Selesai MOS = 100%",IF(Table1[[#This Row],[Progres MOS]]&gt;=50%,"Proses MOS &gt; 100%",IF(Table1[[#This Row],[Progres MOS]]&gt;0%,"Proses MOS &gt; 50%",IF(Table1[[#This Row],[Progres MOS]]=0,"Belum MOS = 0%"))))</f>
        <v>Selesai MOS = 100%</v>
      </c>
      <c r="ET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4" s="42"/>
      <c r="EV14" s="300">
        <v>45418</v>
      </c>
      <c r="EW14" s="300" t="e">
        <v>#N/A</v>
      </c>
      <c r="EX14" s="300">
        <v>45529</v>
      </c>
      <c r="EY14" s="300" t="e">
        <v>#N/A</v>
      </c>
      <c r="EZ14" s="322" t="s">
        <v>259</v>
      </c>
      <c r="FA14" s="306" t="s">
        <v>259</v>
      </c>
      <c r="FB14" s="300" t="s">
        <v>260</v>
      </c>
      <c r="FC14" s="300">
        <v>45427</v>
      </c>
      <c r="FD14" s="300" t="s">
        <v>260</v>
      </c>
      <c r="FE14" s="300"/>
      <c r="FF14" s="300">
        <v>45463</v>
      </c>
      <c r="FG14" s="300" t="s">
        <v>260</v>
      </c>
      <c r="FH14" s="300" t="s">
        <v>260</v>
      </c>
      <c r="FI14" s="300">
        <v>45485</v>
      </c>
      <c r="FJ14" s="300" t="s">
        <v>260</v>
      </c>
      <c r="FK14" s="300">
        <v>45546</v>
      </c>
      <c r="FL14" s="306" t="s">
        <v>259</v>
      </c>
      <c r="FM14" s="306">
        <v>45427</v>
      </c>
      <c r="FN14" s="284">
        <f>IF(Table1[[#This Row],[Tanggal Pengajuan Dokumen]]="","",Table1[[#This Row],[PLAN PERMIT
start]]-Table1[[#This Row],[Tanggal Pengajuan Dokumen]])</f>
        <v>-9</v>
      </c>
      <c r="FO14" s="306">
        <v>45546</v>
      </c>
      <c r="FP14" s="286"/>
      <c r="FQ14" s="308"/>
      <c r="FR14" s="322"/>
      <c r="FS14" s="308" t="str">
        <f t="shared" si="4"/>
        <v>Sudah Terbit</v>
      </c>
      <c r="FT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 s="314">
        <f ca="1">IF(Table1[[#This Row],[Status Izin]]="Selesai",Table1[[#This Row],[PLAN PERMIT
finish]]-Table1[[#This Row],[Tanggal Terbit/ Target Izin Terbit]],ROUNDUP(Table1[[#This Row],[PLAN PERMIT
finish]]-NOW(),0))</f>
        <v>-17</v>
      </c>
      <c r="FV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 s="314"/>
      <c r="FX14" s="42"/>
      <c r="FY14" s="310"/>
      <c r="FZ14" s="311"/>
      <c r="GA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4" s="300">
        <v>45503</v>
      </c>
      <c r="GC14" s="301">
        <v>45425</v>
      </c>
      <c r="GD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4" s="300">
        <v>45510</v>
      </c>
      <c r="GF14" s="301">
        <v>45425</v>
      </c>
      <c r="GG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 s="300">
        <v>45516</v>
      </c>
      <c r="GI14" s="300">
        <v>45522</v>
      </c>
      <c r="GJ14" s="323">
        <v>45427</v>
      </c>
      <c r="GK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 s="300">
        <v>45530</v>
      </c>
      <c r="GM14" s="300" t="e">
        <v>#N/A</v>
      </c>
      <c r="GN14" s="300">
        <v>45536</v>
      </c>
      <c r="GO14" s="300" t="e">
        <v>#N/A</v>
      </c>
      <c r="GP14" s="286"/>
      <c r="GQ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 s="300" t="s">
        <v>261</v>
      </c>
      <c r="GS14" s="300" t="s">
        <v>261</v>
      </c>
      <c r="GT14" s="324">
        <v>45504</v>
      </c>
      <c r="GU14" s="314" t="str">
        <f>IF(Table1[[#This Row],[Hydro Tes Actual
(tanggal)]]&lt;&gt;"","Sudah","Belum")</f>
        <v>Sudah</v>
      </c>
      <c r="GV14" s="300" t="s">
        <v>261</v>
      </c>
      <c r="GW14" s="300" t="s">
        <v>261</v>
      </c>
      <c r="GX14" s="301">
        <v>45874</v>
      </c>
      <c r="GY14" s="314" t="str">
        <f>IF(Table1[[#This Row],[Interkoneksi Actual
(tanggal)]]&lt;&gt;"","Sudah","Belum")</f>
        <v>Sudah</v>
      </c>
      <c r="GZ14" s="300" t="s">
        <v>261</v>
      </c>
      <c r="HA14" s="300" t="s">
        <v>261</v>
      </c>
      <c r="HB14" s="301">
        <v>45516</v>
      </c>
      <c r="HC14" s="314" t="str">
        <f>IF(Table1[[#This Row],[Flushing Actual
(tanggal)]]&lt;&gt;"","Sudah","Belum")</f>
        <v>Sudah</v>
      </c>
      <c r="HD14" s="300">
        <v>45537</v>
      </c>
      <c r="HE14" s="300" t="e">
        <v>#N/A</v>
      </c>
      <c r="HF14" s="300">
        <v>45543</v>
      </c>
      <c r="HG14" s="316">
        <v>45525</v>
      </c>
      <c r="HH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4" s="300" t="s">
        <v>261</v>
      </c>
      <c r="HJ14" s="300" t="s">
        <v>261</v>
      </c>
      <c r="HK14" s="301"/>
      <c r="HL14" s="286"/>
      <c r="HM14" s="300">
        <v>45548</v>
      </c>
      <c r="HN14" s="300">
        <v>45548</v>
      </c>
      <c r="HO14" s="300" t="e">
        <v>#N/A</v>
      </c>
      <c r="HP14" s="300"/>
      <c r="HQ14" s="316">
        <v>45525</v>
      </c>
      <c r="HR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4" s="300">
        <v>45555</v>
      </c>
      <c r="HT14" s="300"/>
      <c r="HU14" s="300">
        <v>45555</v>
      </c>
      <c r="HV14" s="497"/>
      <c r="HW14" s="300">
        <v>45714</v>
      </c>
      <c r="HX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 s="42"/>
      <c r="HZ14" s="322"/>
      <c r="IA14" s="306"/>
      <c r="IC14" s="585">
        <f>IFERROR(ROUND((Table1[[#This Row],[PLAN TC
finish]]-Table1[[#This Row],[PLAN MC-0
start]])/30,2),"")</f>
        <v>0.9</v>
      </c>
      <c r="ID14">
        <f>DATEDIF(Table1[[#This Row],[PLAN MC-0
start]],Table1[[#This Row],[PLAN TC
finish]],"m")</f>
        <v>0</v>
      </c>
    </row>
    <row r="15" spans="1:238" s="4" customFormat="1" ht="15" customHeight="1" x14ac:dyDescent="0.25">
      <c r="B15" s="281">
        <f>SUBTOTAL(3,$D$5:D15)</f>
        <v>11</v>
      </c>
      <c r="C15" s="318">
        <v>11</v>
      </c>
      <c r="D15" s="285" t="s">
        <v>244</v>
      </c>
      <c r="E15" s="285" t="s">
        <v>316</v>
      </c>
      <c r="F15" s="285" t="s">
        <v>317</v>
      </c>
      <c r="G15" s="319">
        <v>45752</v>
      </c>
      <c r="H15" s="284" t="s">
        <v>247</v>
      </c>
      <c r="I15" s="285" t="s">
        <v>278</v>
      </c>
      <c r="J15" s="285"/>
      <c r="K15" s="308" t="s">
        <v>249</v>
      </c>
      <c r="L15" s="286" t="s">
        <v>250</v>
      </c>
      <c r="M15" s="286" t="s">
        <v>269</v>
      </c>
      <c r="N15" s="94">
        <v>69</v>
      </c>
      <c r="O15" s="31" t="s">
        <v>252</v>
      </c>
      <c r="P1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 s="82" t="e">
        <v>#N/A</v>
      </c>
      <c r="S15" s="82">
        <v>1</v>
      </c>
      <c r="T15" s="35">
        <f>Table1[[#This Row],[Progres Total Aktual
(%)]]</f>
        <v>1</v>
      </c>
      <c r="U15" s="106">
        <f>Table1[[#This Row],[Progres Aktual
(%)]]-Table1[[#This Row],[Target Progres
(%)]]</f>
        <v>0</v>
      </c>
      <c r="V15" s="320">
        <f>Table1[[#This Row],["Volume
BA MC-0"]]</f>
        <v>63</v>
      </c>
      <c r="W15" s="321">
        <f>Table1[[#This Row],[Total Panjang Pipa Aktual
(Sum-&gt;)3]]</f>
        <v>63</v>
      </c>
      <c r="X15" s="42"/>
      <c r="Y15" s="62" t="s">
        <v>318</v>
      </c>
      <c r="Z15" s="62">
        <v>185361311</v>
      </c>
      <c r="AA15" s="62">
        <f>ROUND((Table1[[#This Row],[Nilai RAB Jaringan
(Exclude Ppn)]]-Table1[[#This Row],[RAB Perizinan]])*1.11+Table1[[#This Row],[RAB Perizinan]],0)</f>
        <v>0</v>
      </c>
      <c r="AB15" s="290">
        <f>SUM(Table1[[#This Row],[RAB Kegiatan Umum]:[RAB Perizinan]])</f>
        <v>0</v>
      </c>
      <c r="AC15" s="290"/>
      <c r="AD15" s="290"/>
      <c r="AE15" s="290"/>
      <c r="AF15" s="290"/>
      <c r="AG15" s="290">
        <v>24595780</v>
      </c>
      <c r="AH15" s="35" t="e">
        <f>SUM(Table1[[#This Row],[Bobot Keg Umum]:[Bobot Perizinan]])</f>
        <v>#DIV/0!</v>
      </c>
      <c r="AI15" s="35" t="e">
        <f>Table1[[#This Row],[RAB Kegiatan Umum]]/Table1[[#This Row],[Nilai RAB Jaringan
(Exclude Ppn)]]</f>
        <v>#DIV/0!</v>
      </c>
      <c r="AJ15" s="35" t="e">
        <f>Table1[[#This Row],[RAB Pemasangan]]/Table1[[#This Row],[Nilai RAB Jaringan
(Exclude Ppn)]]</f>
        <v>#DIV/0!</v>
      </c>
      <c r="AK15" s="35" t="e">
        <f>Table1[[#This Row],[RAB Pengadaan]]/Table1[[#This Row],[Nilai RAB Jaringan
(Exclude Ppn)]]</f>
        <v>#DIV/0!</v>
      </c>
      <c r="AL15" s="35" t="e">
        <f>Table1[[#This Row],[RAB Perizinan]]/Table1[[#This Row],[Nilai RAB Jaringan
(Exclude Ppn)]]</f>
        <v>#DIV/0!</v>
      </c>
      <c r="AM15" s="42"/>
      <c r="AN15" s="256">
        <v>63</v>
      </c>
      <c r="AO15" s="256">
        <f>SUM(Table1[[#This Row],[Pipa 63 mm]:[Pipa 1,800 mm]])</f>
        <v>0</v>
      </c>
      <c r="AP15" s="256"/>
      <c r="AQ15" s="256"/>
      <c r="AR15" s="256"/>
      <c r="AS15" s="256"/>
      <c r="AT15" s="256"/>
      <c r="AU15" s="256"/>
      <c r="AV15" s="256"/>
      <c r="AW15" s="256"/>
      <c r="AX15" s="256"/>
      <c r="AY15" s="256"/>
      <c r="AZ15" s="256"/>
      <c r="BA15" s="256"/>
      <c r="BB15" s="256"/>
      <c r="BC15" s="256"/>
      <c r="BD15" s="256"/>
      <c r="BE15" s="256"/>
      <c r="BF15" s="256"/>
      <c r="BG15" s="256"/>
      <c r="BH15" s="256"/>
      <c r="BI15" s="256"/>
      <c r="BJ15" s="36">
        <f>SUM(Table1[[#This Row],[Pipa 63 mm2]:[Pipa 1,800 mm21]])</f>
        <v>63</v>
      </c>
      <c r="BK15" s="32"/>
      <c r="BL15" s="32">
        <v>63</v>
      </c>
      <c r="BM15" s="32"/>
      <c r="BN15" s="32"/>
      <c r="BO15" s="32"/>
      <c r="BP15" s="32"/>
      <c r="BQ15" s="32"/>
      <c r="BR15" s="32"/>
      <c r="BS15" s="32"/>
      <c r="BT15" s="32"/>
      <c r="BU15" s="32"/>
      <c r="BV15" s="32"/>
      <c r="BW15" s="32"/>
      <c r="BX15" s="32"/>
      <c r="BY15" s="32"/>
      <c r="BZ15" s="32"/>
      <c r="CA15" s="32"/>
      <c r="CB15" s="32"/>
      <c r="CC15" s="32"/>
      <c r="CD15" s="32"/>
      <c r="CE15" s="32">
        <v>0</v>
      </c>
      <c r="CF15" s="32"/>
      <c r="CG15" s="32"/>
      <c r="CH15" s="32"/>
      <c r="CI15" s="32">
        <f t="shared" si="3"/>
        <v>0</v>
      </c>
      <c r="CJ15" s="60">
        <f>IF((Table1[[#This Row],["Volume
BA MC-0"]]-Table1[[#This Row],[Total Panjang Pipa Aktual
(Sum-&gt;)3]]-Table1[[#This Row],[Total Volume
tidak dapat dipasang]])&gt;=0,Table1[[#This Row],["Volume
BA MC-0"]]-Table1[[#This Row],[Total Panjang Pipa Aktual
(Sum-&gt;)3]]-Table1[[#This Row],[Total Volume
tidak dapat dipasang]],0)</f>
        <v>0</v>
      </c>
      <c r="CK15" s="42"/>
      <c r="CL15" s="113"/>
      <c r="CM15" s="35"/>
      <c r="CN15" s="113"/>
      <c r="CO15" s="113"/>
      <c r="CP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 s="61">
        <f>IFERROR(Table1[[#This Row],[Progres Keg. Umum
(%)]]*Table1[[#This Row],[Nilai RAB Jaringan
(file pa aji)]],0)</f>
        <v>0</v>
      </c>
      <c r="CR15" s="61">
        <f>IFERROR(Table1[[#This Row],[Progres MOS
(%)]]*Table1[[#This Row],[Nilai RAB Jaringan
(file pa aji)]],0)</f>
        <v>0</v>
      </c>
      <c r="CS15" s="61">
        <f>IFERROR(Table1[[#This Row],[Progres Pemasangan
(%)]]*Table1[[#This Row],[Nilai RAB Jaringan
(file pa aji)]],0)</f>
        <v>0</v>
      </c>
      <c r="CT15" s="61">
        <f>IFERROR(Table1[[#This Row],[Progres Perizinan
(%)]]*Table1[[#This Row],[Nilai RAB Jaringan
(file pa aji)]],0)</f>
        <v>0</v>
      </c>
      <c r="CU15" s="789">
        <v>107299965</v>
      </c>
      <c r="CV15" s="299">
        <v>107299965</v>
      </c>
      <c r="CW15" s="552">
        <v>107299965</v>
      </c>
      <c r="CX15" s="789">
        <f>_xlfn.XLOOKUP(Table1[[#This Row],[Kode Program]],'[1]Breakdown VOWD Greenfield'!$E:$E,'[1]Breakdown VOWD Greenfield'!$AT:$AT)</f>
        <v>107299965</v>
      </c>
      <c r="CY15" s="42"/>
      <c r="CZ15" s="300">
        <v>45383</v>
      </c>
      <c r="DA15" s="300">
        <v>45417</v>
      </c>
      <c r="DB15" s="301"/>
      <c r="DC15" s="286"/>
      <c r="DD15" s="62"/>
      <c r="DE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5" s="301"/>
      <c r="DG15" s="286"/>
      <c r="DH15" s="62"/>
      <c r="DI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5" s="300">
        <v>45418</v>
      </c>
      <c r="DK15" s="300">
        <v>45466</v>
      </c>
      <c r="DL15" s="301">
        <v>45408</v>
      </c>
      <c r="DM15" s="327" t="s">
        <v>319</v>
      </c>
      <c r="DN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 s="301">
        <v>45448</v>
      </c>
      <c r="DP15" s="286" t="s">
        <v>320</v>
      </c>
      <c r="DQ15" s="308" t="s">
        <v>312</v>
      </c>
      <c r="DR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 s="300">
        <v>45418</v>
      </c>
      <c r="DT15" s="300" t="e">
        <v>#N/A</v>
      </c>
      <c r="DU15" s="300">
        <v>45466</v>
      </c>
      <c r="DV15" s="300" t="e">
        <v>#N/A</v>
      </c>
      <c r="DW15" s="301"/>
      <c r="DX15" s="286"/>
      <c r="DY15" s="304"/>
      <c r="DZ15" s="304"/>
      <c r="EA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5" s="301"/>
      <c r="EC15" s="302"/>
      <c r="ED15" s="302"/>
      <c r="EE15" s="300"/>
      <c r="EF15" s="35">
        <v>1</v>
      </c>
      <c r="EG15" s="307">
        <v>1</v>
      </c>
      <c r="EH15" s="286" t="str">
        <f>IF(Table1[[#This Row],[PO Material Aktual 
(%)]]&gt;=100%,"Selesai PO = 100%",IF(Table1[[#This Row],[PO Material Aktual 
(%)]]&gt;=50%,"Proses PO &gt; 100%",IF(Table1[[#This Row],[PO Material Aktual 
(%)]]&gt;0%,"Proses PO &gt; 50%",IF(Table1[[#This Row],[PO Material Aktual 
(%)]]=0,"Belum PO = 0%"))))</f>
        <v>Selesai PO = 100%</v>
      </c>
      <c r="EI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5" s="300">
        <v>45467</v>
      </c>
      <c r="EK15" s="300" t="e">
        <v>#N/A</v>
      </c>
      <c r="EL15" s="300">
        <v>45529</v>
      </c>
      <c r="EM15" s="300" t="e">
        <v>#N/A</v>
      </c>
      <c r="EN15" s="301"/>
      <c r="EO15" s="302"/>
      <c r="EP15" s="302"/>
      <c r="EQ15" s="82">
        <v>1</v>
      </c>
      <c r="ER15" s="82">
        <v>1</v>
      </c>
      <c r="ES15" s="286" t="str">
        <f>IF(Table1[[#This Row],[Progres MOS]]&gt;=100%,"Selesai MOS = 100%",IF(Table1[[#This Row],[Progres MOS]]&gt;=50%,"Proses MOS &gt; 100%",IF(Table1[[#This Row],[Progres MOS]]&gt;0%,"Proses MOS &gt; 50%",IF(Table1[[#This Row],[Progres MOS]]=0,"Belum MOS = 0%"))))</f>
        <v>Selesai MOS = 100%</v>
      </c>
      <c r="ET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 s="42"/>
      <c r="EV15" s="300">
        <v>45418</v>
      </c>
      <c r="EW15" s="300" t="e">
        <v>#N/A</v>
      </c>
      <c r="EX15" s="300">
        <v>45529</v>
      </c>
      <c r="EY15" s="300" t="e">
        <v>#N/A</v>
      </c>
      <c r="EZ15" s="322" t="s">
        <v>259</v>
      </c>
      <c r="FA15" s="306" t="s">
        <v>259</v>
      </c>
      <c r="FB15" s="300" t="s">
        <v>260</v>
      </c>
      <c r="FC15" s="300" t="s">
        <v>282</v>
      </c>
      <c r="FD15" s="300" t="s">
        <v>282</v>
      </c>
      <c r="FE15" s="300" t="s">
        <v>282</v>
      </c>
      <c r="FF15" s="300" t="s">
        <v>282</v>
      </c>
      <c r="FG15" s="300" t="s">
        <v>282</v>
      </c>
      <c r="FH15" s="300" t="s">
        <v>282</v>
      </c>
      <c r="FI15" s="300" t="s">
        <v>282</v>
      </c>
      <c r="FJ15" s="300" t="s">
        <v>282</v>
      </c>
      <c r="FK15" s="300" t="s">
        <v>283</v>
      </c>
      <c r="FL15" s="306" t="s">
        <v>259</v>
      </c>
      <c r="FM15" s="306"/>
      <c r="FN15" s="284" t="str">
        <f>IF(Table1[[#This Row],[Tanggal Pengajuan Dokumen]]="","",Table1[[#This Row],[PLAN PERMIT
start]]-Table1[[#This Row],[Tanggal Pengajuan Dokumen]])</f>
        <v/>
      </c>
      <c r="FO15" s="306"/>
      <c r="FP15" s="286"/>
      <c r="FQ15" s="308"/>
      <c r="FR15" s="322"/>
      <c r="FS15" s="308" t="str">
        <f t="shared" si="4"/>
        <v>Sudah Terbit</v>
      </c>
      <c r="FT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 s="314">
        <f ca="1">IF(Table1[[#This Row],[Status Izin]]="Selesai",Table1[[#This Row],[PLAN PERMIT
finish]]-Table1[[#This Row],[Tanggal Terbit/ Target Izin Terbit]],ROUNDUP(Table1[[#This Row],[PLAN PERMIT
finish]]-NOW(),0))</f>
        <v>45529</v>
      </c>
      <c r="FV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 s="314"/>
      <c r="FX15" s="42"/>
      <c r="FY15" s="310"/>
      <c r="FZ15" s="311"/>
      <c r="GA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 s="300">
        <v>45503</v>
      </c>
      <c r="GC15" s="301">
        <v>45425</v>
      </c>
      <c r="GD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 s="300">
        <v>45510</v>
      </c>
      <c r="GF15" s="301">
        <v>45425</v>
      </c>
      <c r="GG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 s="300">
        <v>45516</v>
      </c>
      <c r="GI15" s="300">
        <v>45522</v>
      </c>
      <c r="GJ15" s="323">
        <v>45428</v>
      </c>
      <c r="GK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 s="300">
        <v>45530</v>
      </c>
      <c r="GM15" s="300" t="e">
        <v>#N/A</v>
      </c>
      <c r="GN15" s="300">
        <v>45536</v>
      </c>
      <c r="GO15" s="300" t="e">
        <v>#N/A</v>
      </c>
      <c r="GP15" s="286"/>
      <c r="GQ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 s="300" t="s">
        <v>261</v>
      </c>
      <c r="GS15" s="300" t="s">
        <v>261</v>
      </c>
      <c r="GT15" s="324">
        <v>45499</v>
      </c>
      <c r="GU15" s="314" t="str">
        <f>IF(Table1[[#This Row],[Hydro Tes Actual
(tanggal)]]&lt;&gt;"","Sudah","Belum")</f>
        <v>Sudah</v>
      </c>
      <c r="GV15" s="300" t="s">
        <v>261</v>
      </c>
      <c r="GW15" s="300" t="s">
        <v>261</v>
      </c>
      <c r="GX15" s="301">
        <v>45500</v>
      </c>
      <c r="GY15" s="314" t="str">
        <f>IF(Table1[[#This Row],[Interkoneksi Actual
(tanggal)]]&lt;&gt;"","Sudah","Belum")</f>
        <v>Sudah</v>
      </c>
      <c r="GZ15" s="300" t="s">
        <v>261</v>
      </c>
      <c r="HA15" s="300" t="s">
        <v>261</v>
      </c>
      <c r="HB15" s="301">
        <v>45500</v>
      </c>
      <c r="HC15" s="314" t="str">
        <f>IF(Table1[[#This Row],[Flushing Actual
(tanggal)]]&lt;&gt;"","Sudah","Belum")</f>
        <v>Sudah</v>
      </c>
      <c r="HD15" s="300">
        <v>45537</v>
      </c>
      <c r="HE15" s="300" t="e">
        <v>#N/A</v>
      </c>
      <c r="HF15" s="300">
        <v>45543</v>
      </c>
      <c r="HG15" s="316">
        <v>45525</v>
      </c>
      <c r="HH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5" s="300" t="s">
        <v>261</v>
      </c>
      <c r="HJ15" s="300" t="s">
        <v>261</v>
      </c>
      <c r="HK15" s="301"/>
      <c r="HL15" s="286"/>
      <c r="HM15" s="300">
        <v>45548</v>
      </c>
      <c r="HN15" s="300">
        <v>45548</v>
      </c>
      <c r="HO15" s="300" t="e">
        <v>#N/A</v>
      </c>
      <c r="HP15" s="300"/>
      <c r="HQ15" s="316">
        <v>45525</v>
      </c>
      <c r="HR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5" s="300">
        <v>45555</v>
      </c>
      <c r="HT15" s="300"/>
      <c r="HU15" s="300">
        <v>45555</v>
      </c>
      <c r="HV15" s="497"/>
      <c r="HW15" s="300">
        <v>45714</v>
      </c>
      <c r="HX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 s="42"/>
      <c r="HZ15" s="322"/>
      <c r="IA15" s="306"/>
      <c r="IC15" s="585">
        <f>IFERROR(ROUND((Table1[[#This Row],[PLAN TC
finish]]-Table1[[#This Row],[PLAN MC-0
start]])/30,2),"")</f>
        <v>0.9</v>
      </c>
      <c r="ID15">
        <f>DATEDIF(Table1[[#This Row],[PLAN MC-0
start]],Table1[[#This Row],[PLAN TC
finish]],"m")</f>
        <v>0</v>
      </c>
    </row>
    <row r="16" spans="1:238" s="4" customFormat="1" ht="15" customHeight="1" x14ac:dyDescent="0.25">
      <c r="B16" s="281">
        <f>SUBTOTAL(3,$D$5:D16)</f>
        <v>12</v>
      </c>
      <c r="C16" s="318">
        <v>12</v>
      </c>
      <c r="D16" s="285" t="s">
        <v>244</v>
      </c>
      <c r="E16" s="282" t="s">
        <v>321</v>
      </c>
      <c r="F16" s="285" t="s">
        <v>322</v>
      </c>
      <c r="G16" s="319">
        <v>45752</v>
      </c>
      <c r="H16" s="284" t="s">
        <v>247</v>
      </c>
      <c r="I16" s="285" t="s">
        <v>248</v>
      </c>
      <c r="J16" s="285"/>
      <c r="K16" s="308" t="s">
        <v>249</v>
      </c>
      <c r="L16" s="286" t="s">
        <v>250</v>
      </c>
      <c r="M16" s="286" t="s">
        <v>251</v>
      </c>
      <c r="N16" s="94">
        <v>1776</v>
      </c>
      <c r="O16" s="31" t="s">
        <v>252</v>
      </c>
      <c r="P1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 s="82" t="e">
        <v>#N/A</v>
      </c>
      <c r="S16" s="82">
        <v>1</v>
      </c>
      <c r="T16" s="35">
        <f>Table1[[#This Row],[Progres Total Aktual
(%)]]</f>
        <v>1</v>
      </c>
      <c r="U16" s="106">
        <f>Table1[[#This Row],[Progres Aktual
(%)]]-Table1[[#This Row],[Target Progres
(%)]]</f>
        <v>0</v>
      </c>
      <c r="V16" s="320">
        <f>Table1[[#This Row],["Volume
BA MC-0"]]</f>
        <v>1800</v>
      </c>
      <c r="W16" s="321">
        <f>Table1[[#This Row],[Total Panjang Pipa Aktual
(Sum-&gt;)3]]</f>
        <v>1817.1299999999999</v>
      </c>
      <c r="X16" s="42"/>
      <c r="Y16" s="62" t="s">
        <v>253</v>
      </c>
      <c r="Z16" s="62">
        <v>363985840579</v>
      </c>
      <c r="AA16" s="62">
        <f>ROUND((Table1[[#This Row],[Nilai RAB Jaringan
(Exclude Ppn)]]-Table1[[#This Row],[RAB Perizinan]])*1.11+Table1[[#This Row],[RAB Perizinan]],0)</f>
        <v>0</v>
      </c>
      <c r="AB16" s="290">
        <f>SUM(Table1[[#This Row],[RAB Kegiatan Umum]:[RAB Perizinan]])</f>
        <v>0</v>
      </c>
      <c r="AC16" s="290"/>
      <c r="AD16" s="290"/>
      <c r="AE16" s="290"/>
      <c r="AF16" s="290"/>
      <c r="AG16" s="290">
        <v>0</v>
      </c>
      <c r="AH16" s="35" t="e">
        <f>SUM(Table1[[#This Row],[Bobot Keg Umum]:[Bobot Perizinan]])</f>
        <v>#DIV/0!</v>
      </c>
      <c r="AI16" s="35" t="e">
        <f>Table1[[#This Row],[RAB Kegiatan Umum]]/Table1[[#This Row],[Nilai RAB Jaringan
(Exclude Ppn)]]</f>
        <v>#DIV/0!</v>
      </c>
      <c r="AJ16" s="35" t="e">
        <f>Table1[[#This Row],[RAB Pemasangan]]/Table1[[#This Row],[Nilai RAB Jaringan
(Exclude Ppn)]]</f>
        <v>#DIV/0!</v>
      </c>
      <c r="AK16" s="35" t="e">
        <f>Table1[[#This Row],[RAB Pengadaan]]/Table1[[#This Row],[Nilai RAB Jaringan
(Exclude Ppn)]]</f>
        <v>#DIV/0!</v>
      </c>
      <c r="AL16" s="35" t="e">
        <f>Table1[[#This Row],[RAB Perizinan]]/Table1[[#This Row],[Nilai RAB Jaringan
(Exclude Ppn)]]</f>
        <v>#DIV/0!</v>
      </c>
      <c r="AM16" s="42"/>
      <c r="AN16" s="256">
        <v>1800</v>
      </c>
      <c r="AO16" s="256">
        <f>SUM(Table1[[#This Row],[Pipa 63 mm]:[Pipa 1,800 mm]])</f>
        <v>0</v>
      </c>
      <c r="AP16" s="256"/>
      <c r="AQ16" s="256"/>
      <c r="AR16" s="256"/>
      <c r="AS16" s="256"/>
      <c r="AT16" s="256"/>
      <c r="AU16" s="256"/>
      <c r="AV16" s="256"/>
      <c r="AW16" s="256"/>
      <c r="AX16" s="256"/>
      <c r="AY16" s="256"/>
      <c r="AZ16" s="256"/>
      <c r="BA16" s="256"/>
      <c r="BB16" s="256"/>
      <c r="BC16" s="256"/>
      <c r="BD16" s="256"/>
      <c r="BE16" s="256"/>
      <c r="BF16" s="256"/>
      <c r="BG16" s="256"/>
      <c r="BH16" s="256"/>
      <c r="BI16" s="256"/>
      <c r="BJ16" s="36">
        <f>SUM(Table1[[#This Row],[Pipa 63 mm2]:[Pipa 1,800 mm21]])</f>
        <v>1817.1299999999999</v>
      </c>
      <c r="BK16" s="32"/>
      <c r="BL16" s="32"/>
      <c r="BM16" s="32"/>
      <c r="BN16" s="32"/>
      <c r="BO16" s="32"/>
      <c r="BP16" s="32"/>
      <c r="BQ16" s="32"/>
      <c r="BR16" s="32"/>
      <c r="BS16" s="32">
        <v>17</v>
      </c>
      <c r="BT16" s="32"/>
      <c r="BU16" s="32"/>
      <c r="BV16" s="32"/>
      <c r="BW16" s="32">
        <f>18+5.5</f>
        <v>23.5</v>
      </c>
      <c r="BX16" s="32"/>
      <c r="BY16" s="32"/>
      <c r="BZ16" s="32"/>
      <c r="CA16" s="32"/>
      <c r="CB16" s="328">
        <f>1727.5+38.33+10.8</f>
        <v>1776.6299999999999</v>
      </c>
      <c r="CC16" s="32"/>
      <c r="CD16" s="32"/>
      <c r="CE16" s="32">
        <v>0</v>
      </c>
      <c r="CF16" s="32"/>
      <c r="CG16" s="32"/>
      <c r="CH16" s="32"/>
      <c r="CI16" s="32">
        <f t="shared" si="3"/>
        <v>0</v>
      </c>
      <c r="CJ16" s="60">
        <f>IF((Table1[[#This Row],["Volume
BA MC-0"]]-Table1[[#This Row],[Total Panjang Pipa Aktual
(Sum-&gt;)3]]-Table1[[#This Row],[Total Volume
tidak dapat dipasang]])&gt;=0,Table1[[#This Row],["Volume
BA MC-0"]]-Table1[[#This Row],[Total Panjang Pipa Aktual
(Sum-&gt;)3]]-Table1[[#This Row],[Total Volume
tidak dapat dipasang]],0)</f>
        <v>0</v>
      </c>
      <c r="CK16" s="42"/>
      <c r="CL16" s="113"/>
      <c r="CM16" s="35"/>
      <c r="CN16" s="113"/>
      <c r="CO16" s="113"/>
      <c r="CP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 s="61">
        <f>IFERROR(Table1[[#This Row],[Progres Keg. Umum
(%)]]*Table1[[#This Row],[Nilai RAB Jaringan
(file pa aji)]],0)</f>
        <v>0</v>
      </c>
      <c r="CR16" s="61">
        <f>IFERROR(Table1[[#This Row],[Progres MOS
(%)]]*Table1[[#This Row],[Nilai RAB Jaringan
(file pa aji)]],0)</f>
        <v>0</v>
      </c>
      <c r="CS16" s="61">
        <f>IFERROR(Table1[[#This Row],[Progres Pemasangan
(%)]]*Table1[[#This Row],[Nilai RAB Jaringan
(file pa aji)]],0)</f>
        <v>0</v>
      </c>
      <c r="CT16" s="61">
        <f>IFERROR(Table1[[#This Row],[Progres Perizinan
(%)]]*Table1[[#This Row],[Nilai RAB Jaringan
(file pa aji)]],0)</f>
        <v>0</v>
      </c>
      <c r="CU16" s="789">
        <v>113327355245</v>
      </c>
      <c r="CV16" s="299">
        <v>113327355245</v>
      </c>
      <c r="CW16" s="552">
        <v>113327355245</v>
      </c>
      <c r="CX16" s="789">
        <f>_xlfn.XLOOKUP(Table1[[#This Row],[Kode Program]],'[1]Breakdown VOWD Greenfield'!$E:$E,'[1]Breakdown VOWD Greenfield'!$AT:$AT)</f>
        <v>113327355245</v>
      </c>
      <c r="CY16" s="42"/>
      <c r="CZ16" s="300">
        <v>45348</v>
      </c>
      <c r="DA16" s="300">
        <v>45382</v>
      </c>
      <c r="DB16" s="301"/>
      <c r="DC16" s="286"/>
      <c r="DD16" s="62"/>
      <c r="DE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6" s="301"/>
      <c r="DG16" s="286"/>
      <c r="DH16" s="62"/>
      <c r="DI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6" s="300">
        <v>45383</v>
      </c>
      <c r="DK16" s="300">
        <v>45536</v>
      </c>
      <c r="DL16" s="301">
        <v>45520</v>
      </c>
      <c r="DM16" s="303" t="s">
        <v>256</v>
      </c>
      <c r="DN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 s="301">
        <v>45657</v>
      </c>
      <c r="DP16" s="302" t="s">
        <v>257</v>
      </c>
      <c r="DQ16" s="284" t="s">
        <v>258</v>
      </c>
      <c r="DR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 s="300">
        <v>45383</v>
      </c>
      <c r="DT16" s="300" t="e">
        <v>#N/A</v>
      </c>
      <c r="DU16" s="300">
        <v>45431</v>
      </c>
      <c r="DV16" s="300" t="e">
        <v>#N/A</v>
      </c>
      <c r="DW16" s="301"/>
      <c r="DX16" s="286"/>
      <c r="DY16" s="304"/>
      <c r="DZ16" s="304"/>
      <c r="EA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6" s="301"/>
      <c r="EC16" s="302"/>
      <c r="ED16" s="302"/>
      <c r="EE16" s="300"/>
      <c r="EF16" s="35">
        <v>1</v>
      </c>
      <c r="EG16" s="307">
        <v>1</v>
      </c>
      <c r="EH16" s="286" t="str">
        <f>IF(Table1[[#This Row],[PO Material Aktual 
(%)]]&gt;=100%,"Selesai PO = 100%",IF(Table1[[#This Row],[PO Material Aktual 
(%)]]&gt;=50%,"Proses PO &gt; 100%",IF(Table1[[#This Row],[PO Material Aktual 
(%)]]&gt;0%,"Proses PO &gt; 50%",IF(Table1[[#This Row],[PO Material Aktual 
(%)]]=0,"Belum PO = 0%"))))</f>
        <v>Selesai PO = 100%</v>
      </c>
      <c r="EI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6" s="300">
        <v>45432</v>
      </c>
      <c r="EK16" s="300" t="e">
        <v>#N/A</v>
      </c>
      <c r="EL16" s="300">
        <v>45620</v>
      </c>
      <c r="EM16" s="300" t="e">
        <v>#N/A</v>
      </c>
      <c r="EN16" s="301"/>
      <c r="EO16" s="302"/>
      <c r="EP16" s="302"/>
      <c r="EQ16" s="82">
        <v>1</v>
      </c>
      <c r="ER16" s="82">
        <v>1</v>
      </c>
      <c r="ES16" s="286" t="str">
        <f>IF(Table1[[#This Row],[Progres MOS]]&gt;=100%,"Selesai MOS = 100%",IF(Table1[[#This Row],[Progres MOS]]&gt;=50%,"Proses MOS &gt; 100%",IF(Table1[[#This Row],[Progres MOS]]&gt;0%,"Proses MOS &gt; 50%",IF(Table1[[#This Row],[Progres MOS]]=0,"Belum MOS = 0%"))))</f>
        <v>Selesai MOS = 100%</v>
      </c>
      <c r="ET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 s="42"/>
      <c r="EV16" s="300">
        <v>45383</v>
      </c>
      <c r="EW16" s="300" t="e">
        <v>#N/A</v>
      </c>
      <c r="EX16" s="300">
        <v>45564</v>
      </c>
      <c r="EY16" s="300" t="e">
        <v>#N/A</v>
      </c>
      <c r="EZ16" s="322" t="s">
        <v>259</v>
      </c>
      <c r="FA16" s="306" t="s">
        <v>259</v>
      </c>
      <c r="FB16" s="300" t="s">
        <v>260</v>
      </c>
      <c r="FC16" s="300">
        <v>45014</v>
      </c>
      <c r="FD16" s="300" t="s">
        <v>260</v>
      </c>
      <c r="FE16" s="300"/>
      <c r="FF16" s="300">
        <v>45097</v>
      </c>
      <c r="FG16" s="300" t="s">
        <v>260</v>
      </c>
      <c r="FH16" s="300" t="s">
        <v>260</v>
      </c>
      <c r="FI16" s="300">
        <v>45187</v>
      </c>
      <c r="FJ16" s="300" t="s">
        <v>260</v>
      </c>
      <c r="FK16" s="300">
        <v>45434</v>
      </c>
      <c r="FL16" s="306" t="s">
        <v>259</v>
      </c>
      <c r="FM16" s="306">
        <v>45014</v>
      </c>
      <c r="FN16" s="284">
        <f>IF(Table1[[#This Row],[Tanggal Pengajuan Dokumen]]="","",Table1[[#This Row],[PLAN PERMIT
start]]-Table1[[#This Row],[Tanggal Pengajuan Dokumen]])</f>
        <v>369</v>
      </c>
      <c r="FO16" s="306">
        <v>45434</v>
      </c>
      <c r="FP16" s="286" t="s">
        <v>174</v>
      </c>
      <c r="FQ16" s="308"/>
      <c r="FR16" s="322"/>
      <c r="FS16" s="308" t="str">
        <f t="shared" si="4"/>
        <v>Sudah Terbit</v>
      </c>
      <c r="FT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 s="314">
        <f ca="1">IF(Table1[[#This Row],[Status Izin]]="Selesai",Table1[[#This Row],[PLAN PERMIT
finish]]-Table1[[#This Row],[Tanggal Terbit/ Target Izin Terbit]],ROUNDUP(Table1[[#This Row],[PLAN PERMIT
finish]]-NOW(),0))</f>
        <v>130</v>
      </c>
      <c r="FV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 s="314"/>
      <c r="FX16" s="42"/>
      <c r="FY16" s="310"/>
      <c r="FZ16" s="311"/>
      <c r="GA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 s="300">
        <v>45538</v>
      </c>
      <c r="GC16" s="301">
        <v>45417</v>
      </c>
      <c r="GD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 s="300">
        <v>45545</v>
      </c>
      <c r="GF16" s="301">
        <v>45417</v>
      </c>
      <c r="GG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 s="300">
        <v>45551</v>
      </c>
      <c r="GI16" s="300">
        <v>45557</v>
      </c>
      <c r="GJ16" s="323">
        <v>45808</v>
      </c>
      <c r="GK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 s="300">
        <v>45565</v>
      </c>
      <c r="GM16" s="300" t="e">
        <v>#N/A</v>
      </c>
      <c r="GN16" s="300">
        <v>45739</v>
      </c>
      <c r="GO16" s="300" t="e">
        <v>#N/A</v>
      </c>
      <c r="GP16" s="286"/>
      <c r="GQ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 s="300" t="s">
        <v>261</v>
      </c>
      <c r="GS16" s="300" t="s">
        <v>261</v>
      </c>
      <c r="GT16" s="324">
        <v>45743</v>
      </c>
      <c r="GU16" s="314" t="str">
        <f>IF(Table1[[#This Row],[Hydro Tes Actual
(tanggal)]]&lt;&gt;"","Sudah","Belum")</f>
        <v>Sudah</v>
      </c>
      <c r="GV16" s="300" t="s">
        <v>261</v>
      </c>
      <c r="GW16" s="300" t="s">
        <v>261</v>
      </c>
      <c r="GX16" s="301">
        <v>45737</v>
      </c>
      <c r="GY16" s="314" t="str">
        <f>IF(Table1[[#This Row],[Interkoneksi Actual
(tanggal)]]&lt;&gt;"","Sudah","Belum")</f>
        <v>Sudah</v>
      </c>
      <c r="GZ16" s="300" t="s">
        <v>261</v>
      </c>
      <c r="HA16" s="300" t="s">
        <v>261</v>
      </c>
      <c r="HB16" s="301">
        <v>45777</v>
      </c>
      <c r="HC16" s="314" t="str">
        <f>IF(Table1[[#This Row],[Flushing Actual
(tanggal)]]&lt;&gt;"","Sudah","Belum")</f>
        <v>Sudah</v>
      </c>
      <c r="HD16" s="300">
        <v>45712</v>
      </c>
      <c r="HE16" s="300" t="e">
        <v>#N/A</v>
      </c>
      <c r="HF16" s="300">
        <v>45718</v>
      </c>
      <c r="HG16" s="316">
        <v>45782</v>
      </c>
      <c r="HH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 s="300" t="s">
        <v>261</v>
      </c>
      <c r="HJ16" s="300" t="s">
        <v>261</v>
      </c>
      <c r="HK16" s="301"/>
      <c r="HL16" s="286"/>
      <c r="HM16" s="300">
        <v>45737</v>
      </c>
      <c r="HN16" s="300">
        <v>45737</v>
      </c>
      <c r="HO16" s="300" t="e">
        <v>#N/A</v>
      </c>
      <c r="HP16" s="300"/>
      <c r="HQ16" s="316">
        <v>45791</v>
      </c>
      <c r="HR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 s="300">
        <v>45744</v>
      </c>
      <c r="HT16" s="300"/>
      <c r="HU16" s="300">
        <v>45744</v>
      </c>
      <c r="HV16" s="497"/>
      <c r="HW16" s="300">
        <v>45751</v>
      </c>
      <c r="HX16" s="325"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 s="42"/>
      <c r="HZ16" s="322"/>
      <c r="IA16" s="306"/>
      <c r="IC16" s="585">
        <f>IFERROR(ROUND((Table1[[#This Row],[PLAN TC
finish]]-Table1[[#This Row],[PLAN MC-0
start]])/30,2),"")</f>
        <v>5.57</v>
      </c>
      <c r="ID16">
        <f>DATEDIF(Table1[[#This Row],[PLAN MC-0
start]],Table1[[#This Row],[PLAN TC
finish]],"m")</f>
        <v>5</v>
      </c>
    </row>
    <row r="17" spans="1:238" s="4" customFormat="1" ht="15" customHeight="1" x14ac:dyDescent="0.25">
      <c r="B17" s="281">
        <f>SUBTOTAL(3,$D$5:D17)</f>
        <v>13</v>
      </c>
      <c r="C17" s="318">
        <v>13</v>
      </c>
      <c r="D17" s="285" t="s">
        <v>244</v>
      </c>
      <c r="E17" s="285" t="s">
        <v>323</v>
      </c>
      <c r="F17" s="285" t="s">
        <v>324</v>
      </c>
      <c r="G17" s="319">
        <v>45752</v>
      </c>
      <c r="H17" s="284" t="s">
        <v>247</v>
      </c>
      <c r="I17" s="285" t="s">
        <v>325</v>
      </c>
      <c r="J17" s="285"/>
      <c r="K17" s="308" t="s">
        <v>249</v>
      </c>
      <c r="L17" s="286" t="s">
        <v>326</v>
      </c>
      <c r="M17" s="286" t="s">
        <v>269</v>
      </c>
      <c r="N17" s="94">
        <v>1</v>
      </c>
      <c r="O17" s="31" t="s">
        <v>327</v>
      </c>
      <c r="P1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 s="82" t="e">
        <v>#N/A</v>
      </c>
      <c r="S17" s="82">
        <v>1</v>
      </c>
      <c r="T17" s="35">
        <f>Table1[[#This Row],[Progres Total Aktual
(%)]]</f>
        <v>1</v>
      </c>
      <c r="U17" s="106">
        <f>Table1[[#This Row],[Progres Aktual
(%)]]-Table1[[#This Row],[Target Progres
(%)]]</f>
        <v>0</v>
      </c>
      <c r="V17" s="320">
        <f>Table1[[#This Row],["Volume
BA MC-0"]]</f>
        <v>0</v>
      </c>
      <c r="W17" s="321">
        <f>Table1[[#This Row],[Total Panjang Pipa Aktual
(Sum-&gt;)3]]</f>
        <v>0</v>
      </c>
      <c r="X17" s="42"/>
      <c r="Y17" s="62" t="s">
        <v>324</v>
      </c>
      <c r="Z17" s="62">
        <v>38745964634</v>
      </c>
      <c r="AA17" s="62">
        <f>ROUND((Table1[[#This Row],[Nilai RAB Jaringan
(Exclude Ppn)]]-Table1[[#This Row],[RAB Perizinan]])*1.11+Table1[[#This Row],[RAB Perizinan]],0)</f>
        <v>0</v>
      </c>
      <c r="AB17" s="290">
        <f>SUM(Table1[[#This Row],[RAB Kegiatan Umum]:[RAB Perizinan]])</f>
        <v>0</v>
      </c>
      <c r="AC17" s="290"/>
      <c r="AD17" s="290"/>
      <c r="AE17" s="290"/>
      <c r="AF17" s="290"/>
      <c r="AG17" s="290">
        <v>0</v>
      </c>
      <c r="AH17" s="35" t="e">
        <f>SUM(Table1[[#This Row],[Bobot Keg Umum]:[Bobot Perizinan]])</f>
        <v>#DIV/0!</v>
      </c>
      <c r="AI17" s="35" t="e">
        <f>Table1[[#This Row],[RAB Kegiatan Umum]]/Table1[[#This Row],[Nilai RAB Jaringan
(Exclude Ppn)]]</f>
        <v>#DIV/0!</v>
      </c>
      <c r="AJ17" s="35" t="e">
        <f>Table1[[#This Row],[RAB Pemasangan]]/Table1[[#This Row],[Nilai RAB Jaringan
(Exclude Ppn)]]</f>
        <v>#DIV/0!</v>
      </c>
      <c r="AK17" s="35" t="e">
        <f>Table1[[#This Row],[RAB Pengadaan]]/Table1[[#This Row],[Nilai RAB Jaringan
(Exclude Ppn)]]</f>
        <v>#DIV/0!</v>
      </c>
      <c r="AL17" s="35" t="e">
        <f>Table1[[#This Row],[RAB Perizinan]]/Table1[[#This Row],[Nilai RAB Jaringan
(Exclude Ppn)]]</f>
        <v>#DIV/0!</v>
      </c>
      <c r="AM17" s="42"/>
      <c r="AN17" s="256">
        <v>0</v>
      </c>
      <c r="AO17" s="256">
        <f>SUM(Table1[[#This Row],[Pipa 63 mm]:[Pipa 1,800 mm]])</f>
        <v>0</v>
      </c>
      <c r="AP17" s="256"/>
      <c r="AQ17" s="256"/>
      <c r="AR17" s="256"/>
      <c r="AS17" s="256"/>
      <c r="AT17" s="256"/>
      <c r="AU17" s="256"/>
      <c r="AV17" s="256"/>
      <c r="AW17" s="256"/>
      <c r="AX17" s="256"/>
      <c r="AY17" s="256"/>
      <c r="AZ17" s="256"/>
      <c r="BA17" s="256"/>
      <c r="BB17" s="256"/>
      <c r="BC17" s="256"/>
      <c r="BD17" s="256"/>
      <c r="BE17" s="256"/>
      <c r="BF17" s="256"/>
      <c r="BG17" s="256"/>
      <c r="BH17" s="256"/>
      <c r="BI17" s="256"/>
      <c r="BJ17" s="36">
        <f>SUM(Table1[[#This Row],[Pipa 63 mm2]:[Pipa 1,800 mm21]])</f>
        <v>0</v>
      </c>
      <c r="BK17" s="32"/>
      <c r="BL17" s="32"/>
      <c r="BM17" s="32"/>
      <c r="BN17" s="32"/>
      <c r="BO17" s="32"/>
      <c r="BP17" s="32"/>
      <c r="BQ17" s="32"/>
      <c r="BR17" s="32"/>
      <c r="BS17" s="32"/>
      <c r="BT17" s="32"/>
      <c r="BU17" s="32"/>
      <c r="BV17" s="32"/>
      <c r="BW17" s="32"/>
      <c r="BX17" s="32"/>
      <c r="BY17" s="32"/>
      <c r="BZ17" s="32"/>
      <c r="CA17" s="32"/>
      <c r="CB17" s="32"/>
      <c r="CC17" s="32"/>
      <c r="CD17" s="32"/>
      <c r="CE17" s="32">
        <v>0</v>
      </c>
      <c r="CF17" s="32"/>
      <c r="CG17" s="32"/>
      <c r="CH17" s="32"/>
      <c r="CI17" s="32">
        <f t="shared" si="3"/>
        <v>0</v>
      </c>
      <c r="CJ17" s="60">
        <f>IF((Table1[[#This Row],["Volume
BA MC-0"]]-Table1[[#This Row],[Total Panjang Pipa Aktual
(Sum-&gt;)3]]-Table1[[#This Row],[Total Volume
tidak dapat dipasang]])&gt;=0,Table1[[#This Row],["Volume
BA MC-0"]]-Table1[[#This Row],[Total Panjang Pipa Aktual
(Sum-&gt;)3]]-Table1[[#This Row],[Total Volume
tidak dapat dipasang]],0)</f>
        <v>0</v>
      </c>
      <c r="CK17" s="42"/>
      <c r="CL17" s="113"/>
      <c r="CM17" s="35"/>
      <c r="CN17" s="113"/>
      <c r="CO17" s="113"/>
      <c r="CP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 s="61">
        <f>IFERROR(Table1[[#This Row],[Progres Keg. Umum
(%)]]*Table1[[#This Row],[Nilai RAB Jaringan
(file pa aji)]],0)</f>
        <v>0</v>
      </c>
      <c r="CR17" s="61">
        <f>IFERROR(Table1[[#This Row],[Progres MOS
(%)]]*Table1[[#This Row],[Nilai RAB Jaringan
(file pa aji)]],0)</f>
        <v>0</v>
      </c>
      <c r="CS17" s="61">
        <f>IFERROR(Table1[[#This Row],[Progres Pemasangan
(%)]]*Table1[[#This Row],[Nilai RAB Jaringan
(file pa aji)]],0)</f>
        <v>0</v>
      </c>
      <c r="CT17" s="61">
        <f>IFERROR(Table1[[#This Row],[Progres Perizinan
(%)]]*Table1[[#This Row],[Nilai RAB Jaringan
(file pa aji)]],0)</f>
        <v>0</v>
      </c>
      <c r="CU17" s="789">
        <v>44468102292</v>
      </c>
      <c r="CV17" s="299">
        <v>44468102292</v>
      </c>
      <c r="CW17" s="552">
        <v>44468102292</v>
      </c>
      <c r="CX17" s="789">
        <f>_xlfn.XLOOKUP(Table1[[#This Row],[Kode Program]],'[1]Breakdown VOWD Greenfield'!$E:$E,'[1]Breakdown VOWD Greenfield'!$AT:$AT)</f>
        <v>44468102292</v>
      </c>
      <c r="CY17" s="42"/>
      <c r="CZ17" s="300">
        <v>45348</v>
      </c>
      <c r="DA17" s="300">
        <v>45382</v>
      </c>
      <c r="DB17" s="301"/>
      <c r="DC17" s="286"/>
      <c r="DD17" s="62"/>
      <c r="DE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 s="301"/>
      <c r="DG17" s="286"/>
      <c r="DH17" s="62"/>
      <c r="DI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 s="300">
        <v>45383</v>
      </c>
      <c r="DK17" s="300">
        <v>45536</v>
      </c>
      <c r="DL17" s="301">
        <v>45475</v>
      </c>
      <c r="DM17" s="327" t="s">
        <v>328</v>
      </c>
      <c r="DN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 s="301">
        <v>45478</v>
      </c>
      <c r="DP17" s="286" t="s">
        <v>329</v>
      </c>
      <c r="DQ17" s="308" t="s">
        <v>330</v>
      </c>
      <c r="DR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7" s="300">
        <v>45383</v>
      </c>
      <c r="DT17" s="300" t="e">
        <v>#N/A</v>
      </c>
      <c r="DU17" s="300">
        <v>45431</v>
      </c>
      <c r="DV17" s="300" t="e">
        <v>#N/A</v>
      </c>
      <c r="DW17" s="301"/>
      <c r="DX17" s="286"/>
      <c r="DY17" s="304"/>
      <c r="DZ17" s="304"/>
      <c r="EA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 s="301"/>
      <c r="EC17" s="302"/>
      <c r="ED17" s="302"/>
      <c r="EE17" s="300"/>
      <c r="EF17" s="35">
        <v>1</v>
      </c>
      <c r="EG17" s="307">
        <v>1</v>
      </c>
      <c r="EH17" s="286" t="str">
        <f>IF(Table1[[#This Row],[PO Material Aktual 
(%)]]&gt;=100%,"Selesai PO = 100%",IF(Table1[[#This Row],[PO Material Aktual 
(%)]]&gt;=50%,"Proses PO &gt; 100%",IF(Table1[[#This Row],[PO Material Aktual 
(%)]]&gt;0%,"Proses PO &gt; 50%",IF(Table1[[#This Row],[PO Material Aktual 
(%)]]=0,"Belum PO = 0%"))))</f>
        <v>Selesai PO = 100%</v>
      </c>
      <c r="EI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 s="300">
        <v>45432</v>
      </c>
      <c r="EK17" s="300" t="e">
        <v>#N/A</v>
      </c>
      <c r="EL17" s="300">
        <v>45620</v>
      </c>
      <c r="EM17" s="300" t="e">
        <v>#N/A</v>
      </c>
      <c r="EN17" s="301"/>
      <c r="EO17" s="302"/>
      <c r="EP17" s="302"/>
      <c r="EQ17" s="82">
        <v>1</v>
      </c>
      <c r="ER17" s="82">
        <v>1</v>
      </c>
      <c r="ES17" s="286" t="str">
        <f>IF(Table1[[#This Row],[Progres MOS]]&gt;=100%,"Selesai MOS = 100%",IF(Table1[[#This Row],[Progres MOS]]&gt;=50%,"Proses MOS &gt; 100%",IF(Table1[[#This Row],[Progres MOS]]&gt;0%,"Proses MOS &gt; 50%",IF(Table1[[#This Row],[Progres MOS]]=0,"Belum MOS = 0%"))))</f>
        <v>Selesai MOS = 100%</v>
      </c>
      <c r="ET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 s="42"/>
      <c r="EV17" s="300">
        <v>45383</v>
      </c>
      <c r="EW17" s="300" t="e">
        <v>#N/A</v>
      </c>
      <c r="EX17" s="300">
        <v>45564</v>
      </c>
      <c r="EY17" s="300" t="e">
        <v>#N/A</v>
      </c>
      <c r="EZ17" s="322" t="s">
        <v>259</v>
      </c>
      <c r="FA17" s="306" t="s">
        <v>259</v>
      </c>
      <c r="FB17" s="300" t="s">
        <v>260</v>
      </c>
      <c r="FC17" s="300"/>
      <c r="FD17" s="300" t="s">
        <v>260</v>
      </c>
      <c r="FE17" s="300"/>
      <c r="FF17" s="300"/>
      <c r="FG17" s="300" t="s">
        <v>260</v>
      </c>
      <c r="FH17" s="300" t="s">
        <v>260</v>
      </c>
      <c r="FI17" s="300"/>
      <c r="FJ17" s="300" t="s">
        <v>260</v>
      </c>
      <c r="FK17" s="300"/>
      <c r="FL17" s="306" t="s">
        <v>259</v>
      </c>
      <c r="FM17" s="306"/>
      <c r="FN17" s="284" t="str">
        <f>IF(Table1[[#This Row],[Tanggal Pengajuan Dokumen]]="","",Table1[[#This Row],[PLAN PERMIT
start]]-Table1[[#This Row],[Tanggal Pengajuan Dokumen]])</f>
        <v/>
      </c>
      <c r="FO17" s="306"/>
      <c r="FP17" s="286"/>
      <c r="FQ17" s="308"/>
      <c r="FR17" s="322"/>
      <c r="FS17" s="308" t="str">
        <f t="shared" si="4"/>
        <v>Sudah Terbit</v>
      </c>
      <c r="FT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 s="314">
        <f ca="1">IF(Table1[[#This Row],[Status Izin]]="Selesai",Table1[[#This Row],[PLAN PERMIT
finish]]-Table1[[#This Row],[Tanggal Terbit/ Target Izin Terbit]],ROUNDUP(Table1[[#This Row],[PLAN PERMIT
finish]]-NOW(),0))</f>
        <v>45564</v>
      </c>
      <c r="FV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 s="314"/>
      <c r="FX17" s="42"/>
      <c r="FY17" s="310"/>
      <c r="FZ17" s="311"/>
      <c r="GA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 s="300">
        <v>45538</v>
      </c>
      <c r="GC17" s="301">
        <v>45771</v>
      </c>
      <c r="GD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 s="300">
        <v>45545</v>
      </c>
      <c r="GF17" s="301">
        <v>45771</v>
      </c>
      <c r="GG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 s="300">
        <v>45551</v>
      </c>
      <c r="GI17" s="300">
        <v>45557</v>
      </c>
      <c r="GJ17" s="323">
        <v>45252</v>
      </c>
      <c r="GK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 s="300">
        <v>45565</v>
      </c>
      <c r="GM17" s="300" t="e">
        <v>#N/A</v>
      </c>
      <c r="GN17" s="300">
        <v>45725</v>
      </c>
      <c r="GO17" s="300" t="e">
        <v>#N/A</v>
      </c>
      <c r="GP17" s="286"/>
      <c r="GQ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 s="300" t="s">
        <v>261</v>
      </c>
      <c r="GS17" s="300" t="s">
        <v>261</v>
      </c>
      <c r="GT17" s="324"/>
      <c r="GU17" s="314" t="str">
        <f>IF(Table1[[#This Row],[Hydro Tes Actual
(tanggal)]]&lt;&gt;"","Sudah","Belum")</f>
        <v>Belum</v>
      </c>
      <c r="GV17" s="300" t="s">
        <v>261</v>
      </c>
      <c r="GW17" s="300" t="s">
        <v>261</v>
      </c>
      <c r="GX17" s="301"/>
      <c r="GY17" s="314" t="str">
        <f>IF(Table1[[#This Row],[Interkoneksi Actual
(tanggal)]]&lt;&gt;"","Sudah","Belum")</f>
        <v>Belum</v>
      </c>
      <c r="GZ17" s="300" t="s">
        <v>261</v>
      </c>
      <c r="HA17" s="300" t="s">
        <v>261</v>
      </c>
      <c r="HB17" s="301"/>
      <c r="HC17" s="314" t="str">
        <f>IF(Table1[[#This Row],[Flushing Actual
(tanggal)]]&lt;&gt;"","Sudah","Belum")</f>
        <v>Belum</v>
      </c>
      <c r="HD17" s="300">
        <v>45712</v>
      </c>
      <c r="HE17" s="300" t="e">
        <v>#N/A</v>
      </c>
      <c r="HF17" s="300">
        <v>45718</v>
      </c>
      <c r="HG17" s="316">
        <v>45771</v>
      </c>
      <c r="HH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 s="300" t="s">
        <v>261</v>
      </c>
      <c r="HJ17" s="300" t="s">
        <v>261</v>
      </c>
      <c r="HK17" s="301"/>
      <c r="HL17" s="286"/>
      <c r="HM17" s="300">
        <v>45737</v>
      </c>
      <c r="HN17" s="300">
        <v>45737</v>
      </c>
      <c r="HO17" s="300" t="e">
        <v>#N/A</v>
      </c>
      <c r="HP17" s="300"/>
      <c r="HQ17" s="316">
        <v>45805</v>
      </c>
      <c r="HR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 s="300">
        <v>45744</v>
      </c>
      <c r="HT17" s="300"/>
      <c r="HU17" s="300">
        <v>45744</v>
      </c>
      <c r="HV17" s="497"/>
      <c r="HW17" s="300">
        <v>45981</v>
      </c>
      <c r="HX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 s="42"/>
      <c r="HZ17" s="322"/>
      <c r="IA17" s="306"/>
      <c r="IC17" s="585">
        <f>IFERROR(ROUND((Table1[[#This Row],[PLAN TC
finish]]-Table1[[#This Row],[PLAN MC-0
start]])/30,2),"")</f>
        <v>5.57</v>
      </c>
      <c r="ID17">
        <f>DATEDIF(Table1[[#This Row],[PLAN MC-0
start]],Table1[[#This Row],[PLAN TC
finish]],"m")</f>
        <v>5</v>
      </c>
    </row>
    <row r="18" spans="1:238" s="4" customFormat="1" ht="15" customHeight="1" x14ac:dyDescent="0.25">
      <c r="B18" s="281">
        <f>SUBTOTAL(3,$D$5:D18)</f>
        <v>14</v>
      </c>
      <c r="C18" s="318">
        <v>14</v>
      </c>
      <c r="D18" s="285" t="s">
        <v>244</v>
      </c>
      <c r="E18" s="285" t="s">
        <v>331</v>
      </c>
      <c r="F18" s="285" t="s">
        <v>332</v>
      </c>
      <c r="G18" s="319">
        <v>45752</v>
      </c>
      <c r="H18" s="284" t="s">
        <v>247</v>
      </c>
      <c r="I18" s="285" t="s">
        <v>325</v>
      </c>
      <c r="J18" s="285"/>
      <c r="K18" s="308" t="s">
        <v>249</v>
      </c>
      <c r="L18" s="286" t="s">
        <v>326</v>
      </c>
      <c r="M18" s="286" t="s">
        <v>269</v>
      </c>
      <c r="N18" s="94">
        <v>1</v>
      </c>
      <c r="O18" s="31" t="s">
        <v>327</v>
      </c>
      <c r="P1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 s="82" t="e">
        <v>#N/A</v>
      </c>
      <c r="S18" s="82">
        <v>1</v>
      </c>
      <c r="T18" s="35">
        <f>Table1[[#This Row],[Progres Total Aktual
(%)]]</f>
        <v>1</v>
      </c>
      <c r="U18" s="106">
        <f>Table1[[#This Row],[Progres Aktual
(%)]]-Table1[[#This Row],[Target Progres
(%)]]</f>
        <v>0</v>
      </c>
      <c r="V18" s="320">
        <f>Table1[[#This Row],["Volume
BA MC-0"]]</f>
        <v>0</v>
      </c>
      <c r="W18" s="321">
        <f>Table1[[#This Row],[Total Panjang Pipa Aktual
(Sum-&gt;)3]]</f>
        <v>0</v>
      </c>
      <c r="X18" s="42"/>
      <c r="Y18" s="62" t="s">
        <v>324</v>
      </c>
      <c r="Z18" s="62">
        <v>1620470619</v>
      </c>
      <c r="AA18" s="62">
        <f>ROUND((Table1[[#This Row],[Nilai RAB Jaringan
(Exclude Ppn)]]-Table1[[#This Row],[RAB Perizinan]])*1.11+Table1[[#This Row],[RAB Perizinan]],0)</f>
        <v>0</v>
      </c>
      <c r="AB18" s="290">
        <f>SUM(Table1[[#This Row],[RAB Kegiatan Umum]:[RAB Perizinan]])</f>
        <v>0</v>
      </c>
      <c r="AC18" s="290"/>
      <c r="AD18" s="290"/>
      <c r="AE18" s="290"/>
      <c r="AF18" s="290"/>
      <c r="AG18" s="290">
        <v>0</v>
      </c>
      <c r="AH18" s="35" t="e">
        <f>SUM(Table1[[#This Row],[Bobot Keg Umum]:[Bobot Perizinan]])</f>
        <v>#DIV/0!</v>
      </c>
      <c r="AI18" s="35" t="e">
        <f>Table1[[#This Row],[RAB Kegiatan Umum]]/Table1[[#This Row],[Nilai RAB Jaringan
(Exclude Ppn)]]</f>
        <v>#DIV/0!</v>
      </c>
      <c r="AJ18" s="35" t="e">
        <f>Table1[[#This Row],[RAB Pemasangan]]/Table1[[#This Row],[Nilai RAB Jaringan
(Exclude Ppn)]]</f>
        <v>#DIV/0!</v>
      </c>
      <c r="AK18" s="35" t="e">
        <f>Table1[[#This Row],[RAB Pengadaan]]/Table1[[#This Row],[Nilai RAB Jaringan
(Exclude Ppn)]]</f>
        <v>#DIV/0!</v>
      </c>
      <c r="AL18" s="35" t="e">
        <f>Table1[[#This Row],[RAB Perizinan]]/Table1[[#This Row],[Nilai RAB Jaringan
(Exclude Ppn)]]</f>
        <v>#DIV/0!</v>
      </c>
      <c r="AM18" s="42"/>
      <c r="AN18" s="256">
        <v>0</v>
      </c>
      <c r="AO18" s="256">
        <f>SUM(Table1[[#This Row],[Pipa 63 mm]:[Pipa 1,800 mm]])</f>
        <v>0</v>
      </c>
      <c r="AP18" s="256"/>
      <c r="AQ18" s="256"/>
      <c r="AR18" s="256"/>
      <c r="AS18" s="256"/>
      <c r="AT18" s="256"/>
      <c r="AU18" s="256"/>
      <c r="AV18" s="256"/>
      <c r="AW18" s="256"/>
      <c r="AX18" s="256"/>
      <c r="AY18" s="256"/>
      <c r="AZ18" s="256"/>
      <c r="BA18" s="256"/>
      <c r="BB18" s="256"/>
      <c r="BC18" s="256"/>
      <c r="BD18" s="256"/>
      <c r="BE18" s="256"/>
      <c r="BF18" s="256"/>
      <c r="BG18" s="256"/>
      <c r="BH18" s="256"/>
      <c r="BI18" s="256"/>
      <c r="BJ18" s="36">
        <f>SUM(Table1[[#This Row],[Pipa 63 mm2]:[Pipa 1,800 mm21]])</f>
        <v>0</v>
      </c>
      <c r="BK18" s="32"/>
      <c r="BL18" s="32"/>
      <c r="BM18" s="32"/>
      <c r="BN18" s="32"/>
      <c r="BO18" s="32"/>
      <c r="BP18" s="32"/>
      <c r="BQ18" s="32"/>
      <c r="BR18" s="32"/>
      <c r="BS18" s="32"/>
      <c r="BT18" s="32"/>
      <c r="BU18" s="32"/>
      <c r="BV18" s="32"/>
      <c r="BW18" s="32"/>
      <c r="BX18" s="32"/>
      <c r="BY18" s="32"/>
      <c r="BZ18" s="32"/>
      <c r="CA18" s="32"/>
      <c r="CB18" s="32"/>
      <c r="CC18" s="32"/>
      <c r="CD18" s="32"/>
      <c r="CE18" s="32">
        <v>0</v>
      </c>
      <c r="CF18" s="32"/>
      <c r="CG18" s="32"/>
      <c r="CH18" s="32"/>
      <c r="CI18" s="32">
        <f t="shared" si="3"/>
        <v>0</v>
      </c>
      <c r="CJ18" s="60">
        <f>IF((Table1[[#This Row],["Volume
BA MC-0"]]-Table1[[#This Row],[Total Panjang Pipa Aktual
(Sum-&gt;)3]]-Table1[[#This Row],[Total Volume
tidak dapat dipasang]])&gt;=0,Table1[[#This Row],["Volume
BA MC-0"]]-Table1[[#This Row],[Total Panjang Pipa Aktual
(Sum-&gt;)3]]-Table1[[#This Row],[Total Volume
tidak dapat dipasang]],0)</f>
        <v>0</v>
      </c>
      <c r="CK18" s="42"/>
      <c r="CL18" s="113"/>
      <c r="CM18" s="35"/>
      <c r="CN18" s="113"/>
      <c r="CO18" s="113"/>
      <c r="CP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 s="61">
        <f>IFERROR(Table1[[#This Row],[Progres Keg. Umum
(%)]]*Table1[[#This Row],[Nilai RAB Jaringan
(file pa aji)]],0)</f>
        <v>0</v>
      </c>
      <c r="CR18" s="61">
        <f>IFERROR(Table1[[#This Row],[Progres MOS
(%)]]*Table1[[#This Row],[Nilai RAB Jaringan
(file pa aji)]],0)</f>
        <v>0</v>
      </c>
      <c r="CS18" s="61">
        <f>IFERROR(Table1[[#This Row],[Progres Pemasangan
(%)]]*Table1[[#This Row],[Nilai RAB Jaringan
(file pa aji)]],0)</f>
        <v>0</v>
      </c>
      <c r="CT18" s="61">
        <f>IFERROR(Table1[[#This Row],[Progres Perizinan
(%)]]*Table1[[#This Row],[Nilai RAB Jaringan
(file pa aji)]],0)</f>
        <v>0</v>
      </c>
      <c r="CU18" s="789">
        <v>1878107243</v>
      </c>
      <c r="CV18" s="299">
        <v>1878107243</v>
      </c>
      <c r="CW18" s="552">
        <v>1878107243</v>
      </c>
      <c r="CX18" s="789">
        <f>_xlfn.XLOOKUP(Table1[[#This Row],[Kode Program]],'[1]Breakdown VOWD Greenfield'!$E:$E,'[1]Breakdown VOWD Greenfield'!$AT:$AT)</f>
        <v>1878107243</v>
      </c>
      <c r="CY18" s="42"/>
      <c r="CZ18" s="300">
        <v>45348</v>
      </c>
      <c r="DA18" s="300">
        <v>45382</v>
      </c>
      <c r="DB18" s="301"/>
      <c r="DC18" s="286"/>
      <c r="DD18" s="62"/>
      <c r="DE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8" s="301"/>
      <c r="DG18" s="286"/>
      <c r="DH18" s="62"/>
      <c r="DI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8" s="300">
        <v>45383</v>
      </c>
      <c r="DK18" s="300">
        <v>45536</v>
      </c>
      <c r="DL18" s="301">
        <v>45504</v>
      </c>
      <c r="DM18" s="327" t="s">
        <v>333</v>
      </c>
      <c r="DN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 s="301">
        <v>45478</v>
      </c>
      <c r="DP18" s="286" t="s">
        <v>329</v>
      </c>
      <c r="DQ18" s="308" t="s">
        <v>330</v>
      </c>
      <c r="DR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 s="300">
        <v>45383</v>
      </c>
      <c r="DT18" s="300" t="e">
        <v>#N/A</v>
      </c>
      <c r="DU18" s="300">
        <v>45431</v>
      </c>
      <c r="DV18" s="300" t="e">
        <v>#N/A</v>
      </c>
      <c r="DW18" s="301"/>
      <c r="DX18" s="286"/>
      <c r="DY18" s="304"/>
      <c r="DZ18" s="304"/>
      <c r="EA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 s="301"/>
      <c r="EC18" s="302"/>
      <c r="ED18" s="302"/>
      <c r="EE18" s="300"/>
      <c r="EF18" s="35">
        <v>1</v>
      </c>
      <c r="EG18" s="307">
        <v>1</v>
      </c>
      <c r="EH18" s="286" t="str">
        <f>IF(Table1[[#This Row],[PO Material Aktual 
(%)]]&gt;=100%,"Selesai PO = 100%",IF(Table1[[#This Row],[PO Material Aktual 
(%)]]&gt;=50%,"Proses PO &gt; 100%",IF(Table1[[#This Row],[PO Material Aktual 
(%)]]&gt;0%,"Proses PO &gt; 50%",IF(Table1[[#This Row],[PO Material Aktual 
(%)]]=0,"Belum PO = 0%"))))</f>
        <v>Selesai PO = 100%</v>
      </c>
      <c r="EI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 s="300">
        <v>45432</v>
      </c>
      <c r="EK18" s="300" t="e">
        <v>#N/A</v>
      </c>
      <c r="EL18" s="300">
        <v>45620</v>
      </c>
      <c r="EM18" s="300" t="e">
        <v>#N/A</v>
      </c>
      <c r="EN18" s="301"/>
      <c r="EO18" s="302"/>
      <c r="EP18" s="302"/>
      <c r="EQ18" s="82">
        <v>1</v>
      </c>
      <c r="ER18" s="82">
        <v>1</v>
      </c>
      <c r="ES18" s="286" t="str">
        <f>IF(Table1[[#This Row],[Progres MOS]]&gt;=100%,"Selesai MOS = 100%",IF(Table1[[#This Row],[Progres MOS]]&gt;=50%,"Proses MOS &gt; 100%",IF(Table1[[#This Row],[Progres MOS]]&gt;0%,"Proses MOS &gt; 50%",IF(Table1[[#This Row],[Progres MOS]]=0,"Belum MOS = 0%"))))</f>
        <v>Selesai MOS = 100%</v>
      </c>
      <c r="ET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 s="42"/>
      <c r="EV18" s="300">
        <v>45383</v>
      </c>
      <c r="EW18" s="300" t="e">
        <v>#N/A</v>
      </c>
      <c r="EX18" s="300">
        <v>45564</v>
      </c>
      <c r="EY18" s="300" t="e">
        <v>#N/A</v>
      </c>
      <c r="EZ18" s="322" t="s">
        <v>259</v>
      </c>
      <c r="FA18" s="306" t="s">
        <v>259</v>
      </c>
      <c r="FB18" s="300" t="s">
        <v>260</v>
      </c>
      <c r="FC18" s="300"/>
      <c r="FD18" s="300" t="s">
        <v>260</v>
      </c>
      <c r="FE18" s="300"/>
      <c r="FF18" s="300"/>
      <c r="FG18" s="300" t="s">
        <v>260</v>
      </c>
      <c r="FH18" s="300" t="s">
        <v>260</v>
      </c>
      <c r="FI18" s="300"/>
      <c r="FJ18" s="300" t="s">
        <v>260</v>
      </c>
      <c r="FK18" s="300"/>
      <c r="FL18" s="306" t="s">
        <v>259</v>
      </c>
      <c r="FM18" s="306"/>
      <c r="FN18" s="284" t="str">
        <f>IF(Table1[[#This Row],[Tanggal Pengajuan Dokumen]]="","",Table1[[#This Row],[PLAN PERMIT
start]]-Table1[[#This Row],[Tanggal Pengajuan Dokumen]])</f>
        <v/>
      </c>
      <c r="FO18" s="306"/>
      <c r="FP18" s="286"/>
      <c r="FQ18" s="308"/>
      <c r="FR18" s="322"/>
      <c r="FS18" s="308" t="str">
        <f t="shared" si="4"/>
        <v>Sudah Terbit</v>
      </c>
      <c r="FT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 s="314">
        <f ca="1">IF(Table1[[#This Row],[Status Izin]]="Selesai",Table1[[#This Row],[PLAN PERMIT
finish]]-Table1[[#This Row],[Tanggal Terbit/ Target Izin Terbit]],ROUNDUP(Table1[[#This Row],[PLAN PERMIT
finish]]-NOW(),0))</f>
        <v>45564</v>
      </c>
      <c r="FV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 s="314"/>
      <c r="FX18" s="42"/>
      <c r="FY18" s="310"/>
      <c r="FZ18" s="311"/>
      <c r="GA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 s="300">
        <v>45538</v>
      </c>
      <c r="GC18" s="301">
        <v>45771</v>
      </c>
      <c r="GD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 s="300">
        <v>45545</v>
      </c>
      <c r="GF18" s="301">
        <v>45771</v>
      </c>
      <c r="GG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 s="300">
        <v>45551</v>
      </c>
      <c r="GI18" s="300">
        <v>45557</v>
      </c>
      <c r="GJ18" s="323">
        <v>45252</v>
      </c>
      <c r="GK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 s="300">
        <v>45565</v>
      </c>
      <c r="GM18" s="300" t="e">
        <v>#N/A</v>
      </c>
      <c r="GN18" s="300">
        <v>45725</v>
      </c>
      <c r="GO18" s="300" t="e">
        <v>#N/A</v>
      </c>
      <c r="GP18" s="286"/>
      <c r="GQ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 s="300" t="s">
        <v>261</v>
      </c>
      <c r="GS18" s="300" t="s">
        <v>261</v>
      </c>
      <c r="GT18" s="329">
        <v>45731</v>
      </c>
      <c r="GU18" s="314" t="str">
        <f>IF(Table1[[#This Row],[Hydro Tes Actual
(tanggal)]]&lt;&gt;"","Sudah","Belum")</f>
        <v>Sudah</v>
      </c>
      <c r="GV18" s="300" t="s">
        <v>261</v>
      </c>
      <c r="GW18" s="300" t="s">
        <v>261</v>
      </c>
      <c r="GX18" s="301">
        <v>45735</v>
      </c>
      <c r="GY18" s="314" t="str">
        <f>IF(Table1[[#This Row],[Interkoneksi Actual
(tanggal)]]&lt;&gt;"","Sudah","Belum")</f>
        <v>Sudah</v>
      </c>
      <c r="GZ18" s="300" t="s">
        <v>261</v>
      </c>
      <c r="HA18" s="300" t="s">
        <v>261</v>
      </c>
      <c r="HB18" s="301">
        <v>45735</v>
      </c>
      <c r="HC18" s="314" t="str">
        <f>IF(Table1[[#This Row],[Flushing Actual
(tanggal)]]&lt;&gt;"","Sudah","Belum")</f>
        <v>Sudah</v>
      </c>
      <c r="HD18" s="300">
        <v>45712</v>
      </c>
      <c r="HE18" s="300" t="e">
        <v>#N/A</v>
      </c>
      <c r="HF18" s="300">
        <v>45718</v>
      </c>
      <c r="HG18" s="316">
        <v>45771</v>
      </c>
      <c r="HH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 s="300" t="s">
        <v>261</v>
      </c>
      <c r="HJ18" s="300" t="s">
        <v>261</v>
      </c>
      <c r="HK18" s="301"/>
      <c r="HL18" s="286"/>
      <c r="HM18" s="300">
        <v>45737</v>
      </c>
      <c r="HN18" s="300">
        <v>45737</v>
      </c>
      <c r="HO18" s="300" t="e">
        <v>#N/A</v>
      </c>
      <c r="HP18" s="300"/>
      <c r="HQ18" s="316">
        <v>45791</v>
      </c>
      <c r="HR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 s="300">
        <v>45744</v>
      </c>
      <c r="HT18" s="300"/>
      <c r="HU18" s="300">
        <v>45744</v>
      </c>
      <c r="HV18" s="497"/>
      <c r="HW18" s="300">
        <v>45981</v>
      </c>
      <c r="HX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 s="42"/>
      <c r="HZ18" s="322"/>
      <c r="IA18" s="306"/>
      <c r="IC18" s="585">
        <f>IFERROR(ROUND((Table1[[#This Row],[PLAN TC
finish]]-Table1[[#This Row],[PLAN MC-0
start]])/30,2),"")</f>
        <v>5.57</v>
      </c>
      <c r="ID18">
        <f>DATEDIF(Table1[[#This Row],[PLAN MC-0
start]],Table1[[#This Row],[PLAN TC
finish]],"m")</f>
        <v>5</v>
      </c>
    </row>
    <row r="19" spans="1:238" s="4" customFormat="1" ht="15" customHeight="1" x14ac:dyDescent="0.25">
      <c r="B19" s="281">
        <f>SUBTOTAL(3,$D$5:D19)</f>
        <v>15</v>
      </c>
      <c r="C19" s="318">
        <v>15</v>
      </c>
      <c r="D19" s="285" t="s">
        <v>244</v>
      </c>
      <c r="E19" s="285" t="s">
        <v>334</v>
      </c>
      <c r="F19" s="285" t="s">
        <v>335</v>
      </c>
      <c r="G19" s="319">
        <v>45752</v>
      </c>
      <c r="H19" s="284" t="s">
        <v>247</v>
      </c>
      <c r="I19" s="285" t="s">
        <v>325</v>
      </c>
      <c r="J19" s="285"/>
      <c r="K19" s="308" t="s">
        <v>249</v>
      </c>
      <c r="L19" s="286" t="s">
        <v>326</v>
      </c>
      <c r="M19" s="286" t="s">
        <v>269</v>
      </c>
      <c r="N19" s="94">
        <v>1</v>
      </c>
      <c r="O19" s="31" t="s">
        <v>327</v>
      </c>
      <c r="P1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 s="82" t="e">
        <v>#N/A</v>
      </c>
      <c r="S19" s="82">
        <v>1</v>
      </c>
      <c r="T19" s="35">
        <f>Table1[[#This Row],[Progres Total Aktual
(%)]]</f>
        <v>1</v>
      </c>
      <c r="U19" s="106">
        <f>Table1[[#This Row],[Progres Aktual
(%)]]-Table1[[#This Row],[Target Progres
(%)]]</f>
        <v>0</v>
      </c>
      <c r="V19" s="320">
        <f>Table1[[#This Row],["Volume
BA MC-0"]]</f>
        <v>0</v>
      </c>
      <c r="W19" s="321">
        <f>Table1[[#This Row],[Total Panjang Pipa Aktual
(Sum-&gt;)3]]</f>
        <v>0</v>
      </c>
      <c r="X19" s="42"/>
      <c r="Y19" s="62" t="s">
        <v>324</v>
      </c>
      <c r="Z19" s="62">
        <v>369813983</v>
      </c>
      <c r="AA19" s="62">
        <f>ROUND((Table1[[#This Row],[Nilai RAB Jaringan
(Exclude Ppn)]]-Table1[[#This Row],[RAB Perizinan]])*1.11+Table1[[#This Row],[RAB Perizinan]],0)</f>
        <v>0</v>
      </c>
      <c r="AB19" s="290">
        <f>SUM(Table1[[#This Row],[RAB Kegiatan Umum]:[RAB Perizinan]])</f>
        <v>0</v>
      </c>
      <c r="AC19" s="290"/>
      <c r="AD19" s="290"/>
      <c r="AE19" s="290"/>
      <c r="AF19" s="290"/>
      <c r="AG19" s="290">
        <v>0</v>
      </c>
      <c r="AH19" s="35" t="e">
        <f>SUM(Table1[[#This Row],[Bobot Keg Umum]:[Bobot Perizinan]])</f>
        <v>#DIV/0!</v>
      </c>
      <c r="AI19" s="35" t="e">
        <f>Table1[[#This Row],[RAB Kegiatan Umum]]/Table1[[#This Row],[Nilai RAB Jaringan
(Exclude Ppn)]]</f>
        <v>#DIV/0!</v>
      </c>
      <c r="AJ19" s="35" t="e">
        <f>Table1[[#This Row],[RAB Pemasangan]]/Table1[[#This Row],[Nilai RAB Jaringan
(Exclude Ppn)]]</f>
        <v>#DIV/0!</v>
      </c>
      <c r="AK19" s="35" t="e">
        <f>Table1[[#This Row],[RAB Pengadaan]]/Table1[[#This Row],[Nilai RAB Jaringan
(Exclude Ppn)]]</f>
        <v>#DIV/0!</v>
      </c>
      <c r="AL19" s="35" t="e">
        <f>Table1[[#This Row],[RAB Perizinan]]/Table1[[#This Row],[Nilai RAB Jaringan
(Exclude Ppn)]]</f>
        <v>#DIV/0!</v>
      </c>
      <c r="AM19" s="42"/>
      <c r="AN19" s="256">
        <v>0</v>
      </c>
      <c r="AO19" s="256">
        <f>SUM(Table1[[#This Row],[Pipa 63 mm]:[Pipa 1,800 mm]])</f>
        <v>0</v>
      </c>
      <c r="AP19" s="256"/>
      <c r="AQ19" s="256"/>
      <c r="AR19" s="256"/>
      <c r="AS19" s="256"/>
      <c r="AT19" s="256"/>
      <c r="AU19" s="256"/>
      <c r="AV19" s="256"/>
      <c r="AW19" s="256"/>
      <c r="AX19" s="256"/>
      <c r="AY19" s="256"/>
      <c r="AZ19" s="256"/>
      <c r="BA19" s="256"/>
      <c r="BB19" s="256"/>
      <c r="BC19" s="256"/>
      <c r="BD19" s="256"/>
      <c r="BE19" s="256"/>
      <c r="BF19" s="256"/>
      <c r="BG19" s="256"/>
      <c r="BH19" s="256"/>
      <c r="BI19" s="256"/>
      <c r="BJ19" s="36">
        <f>SUM(Table1[[#This Row],[Pipa 63 mm2]:[Pipa 1,800 mm21]])</f>
        <v>0</v>
      </c>
      <c r="BK19" s="32"/>
      <c r="BL19" s="32"/>
      <c r="BM19" s="32"/>
      <c r="BN19" s="32"/>
      <c r="BO19" s="32"/>
      <c r="BP19" s="32"/>
      <c r="BQ19" s="32"/>
      <c r="BR19" s="32"/>
      <c r="BS19" s="32"/>
      <c r="BT19" s="32"/>
      <c r="BU19" s="32"/>
      <c r="BV19" s="32"/>
      <c r="BW19" s="32"/>
      <c r="BX19" s="32"/>
      <c r="BY19" s="32"/>
      <c r="BZ19" s="32"/>
      <c r="CA19" s="32"/>
      <c r="CB19" s="32"/>
      <c r="CC19" s="32"/>
      <c r="CD19" s="32"/>
      <c r="CE19" s="32">
        <v>0</v>
      </c>
      <c r="CF19" s="32"/>
      <c r="CG19" s="32"/>
      <c r="CH19" s="32"/>
      <c r="CI19" s="32">
        <f t="shared" si="3"/>
        <v>0</v>
      </c>
      <c r="CJ19" s="60">
        <f>IF((Table1[[#This Row],["Volume
BA MC-0"]]-Table1[[#This Row],[Total Panjang Pipa Aktual
(Sum-&gt;)3]]-Table1[[#This Row],[Total Volume
tidak dapat dipasang]])&gt;=0,Table1[[#This Row],["Volume
BA MC-0"]]-Table1[[#This Row],[Total Panjang Pipa Aktual
(Sum-&gt;)3]]-Table1[[#This Row],[Total Volume
tidak dapat dipasang]],0)</f>
        <v>0</v>
      </c>
      <c r="CK19" s="42"/>
      <c r="CL19" s="113"/>
      <c r="CM19" s="35"/>
      <c r="CN19" s="113"/>
      <c r="CO19" s="113"/>
      <c r="CP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 s="61">
        <f>IFERROR(Table1[[#This Row],[Progres Keg. Umum
(%)]]*Table1[[#This Row],[Nilai RAB Jaringan
(file pa aji)]],0)</f>
        <v>0</v>
      </c>
      <c r="CR19" s="61">
        <f>IFERROR(Table1[[#This Row],[Progres MOS
(%)]]*Table1[[#This Row],[Nilai RAB Jaringan
(file pa aji)]],0)</f>
        <v>0</v>
      </c>
      <c r="CS19" s="61">
        <f>IFERROR(Table1[[#This Row],[Progres Pemasangan
(%)]]*Table1[[#This Row],[Nilai RAB Jaringan
(file pa aji)]],0)</f>
        <v>0</v>
      </c>
      <c r="CT19" s="61">
        <f>IFERROR(Table1[[#This Row],[Progres Perizinan
(%)]]*Table1[[#This Row],[Nilai RAB Jaringan
(file pa aji)]],0)</f>
        <v>0</v>
      </c>
      <c r="CU19" s="789">
        <v>657769801</v>
      </c>
      <c r="CV19" s="299">
        <v>657769801</v>
      </c>
      <c r="CW19" s="552">
        <v>657769801</v>
      </c>
      <c r="CX19" s="789">
        <f>_xlfn.XLOOKUP(Table1[[#This Row],[Kode Program]],'[1]Breakdown VOWD Greenfield'!$E:$E,'[1]Breakdown VOWD Greenfield'!$AT:$AT)</f>
        <v>657769801</v>
      </c>
      <c r="CY19" s="42"/>
      <c r="CZ19" s="300">
        <v>45348</v>
      </c>
      <c r="DA19" s="300">
        <v>45382</v>
      </c>
      <c r="DB19" s="301"/>
      <c r="DC19" s="286"/>
      <c r="DD19" s="62"/>
      <c r="DE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9" s="301"/>
      <c r="DG19" s="286"/>
      <c r="DH19" s="62"/>
      <c r="DI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9" s="300">
        <v>45383</v>
      </c>
      <c r="DK19" s="300">
        <v>45536</v>
      </c>
      <c r="DL19" s="301"/>
      <c r="DM19" s="286"/>
      <c r="DN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9" s="301"/>
      <c r="DP19" s="286"/>
      <c r="DQ19" s="308"/>
      <c r="DR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9" s="300">
        <v>45383</v>
      </c>
      <c r="DT19" s="300" t="e">
        <v>#N/A</v>
      </c>
      <c r="DU19" s="300">
        <v>45431</v>
      </c>
      <c r="DV19" s="300" t="e">
        <v>#N/A</v>
      </c>
      <c r="DW19" s="301"/>
      <c r="DX19" s="286"/>
      <c r="DY19" s="304"/>
      <c r="DZ19" s="304"/>
      <c r="EA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 s="301"/>
      <c r="EC19" s="302"/>
      <c r="ED19" s="302"/>
      <c r="EE19" s="300"/>
      <c r="EF19" s="35">
        <v>1</v>
      </c>
      <c r="EG19" s="307">
        <v>1</v>
      </c>
      <c r="EH19" s="286" t="str">
        <f>IF(Table1[[#This Row],[PO Material Aktual 
(%)]]&gt;=100%,"Selesai PO = 100%",IF(Table1[[#This Row],[PO Material Aktual 
(%)]]&gt;=50%,"Proses PO &gt; 100%",IF(Table1[[#This Row],[PO Material Aktual 
(%)]]&gt;0%,"Proses PO &gt; 50%",IF(Table1[[#This Row],[PO Material Aktual 
(%)]]=0,"Belum PO = 0%"))))</f>
        <v>Selesai PO = 100%</v>
      </c>
      <c r="EI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 s="300">
        <v>45432</v>
      </c>
      <c r="EK19" s="300" t="e">
        <v>#N/A</v>
      </c>
      <c r="EL19" s="300">
        <v>45620</v>
      </c>
      <c r="EM19" s="300" t="e">
        <v>#N/A</v>
      </c>
      <c r="EN19" s="301"/>
      <c r="EO19" s="302"/>
      <c r="EP19" s="302"/>
      <c r="EQ19" s="82">
        <v>1</v>
      </c>
      <c r="ER19" s="82">
        <v>1</v>
      </c>
      <c r="ES19" s="286" t="str">
        <f>IF(Table1[[#This Row],[Progres MOS]]&gt;=100%,"Selesai MOS = 100%",IF(Table1[[#This Row],[Progres MOS]]&gt;=50%,"Proses MOS &gt; 100%",IF(Table1[[#This Row],[Progres MOS]]&gt;0%,"Proses MOS &gt; 50%",IF(Table1[[#This Row],[Progres MOS]]=0,"Belum MOS = 0%"))))</f>
        <v>Selesai MOS = 100%</v>
      </c>
      <c r="ET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 s="42"/>
      <c r="EV19" s="300">
        <v>45383</v>
      </c>
      <c r="EW19" s="300" t="e">
        <v>#N/A</v>
      </c>
      <c r="EX19" s="300">
        <v>45564</v>
      </c>
      <c r="EY19" s="300" t="e">
        <v>#N/A</v>
      </c>
      <c r="EZ19" s="322" t="s">
        <v>259</v>
      </c>
      <c r="FA19" s="306" t="s">
        <v>259</v>
      </c>
      <c r="FB19" s="300" t="s">
        <v>260</v>
      </c>
      <c r="FC19" s="300"/>
      <c r="FD19" s="300" t="s">
        <v>260</v>
      </c>
      <c r="FE19" s="300"/>
      <c r="FF19" s="300"/>
      <c r="FG19" s="300" t="s">
        <v>260</v>
      </c>
      <c r="FH19" s="300" t="s">
        <v>260</v>
      </c>
      <c r="FI19" s="300"/>
      <c r="FJ19" s="300" t="s">
        <v>260</v>
      </c>
      <c r="FK19" s="300"/>
      <c r="FL19" s="306" t="s">
        <v>259</v>
      </c>
      <c r="FM19" s="306"/>
      <c r="FN19" s="284" t="str">
        <f>IF(Table1[[#This Row],[Tanggal Pengajuan Dokumen]]="","",Table1[[#This Row],[PLAN PERMIT
start]]-Table1[[#This Row],[Tanggal Pengajuan Dokumen]])</f>
        <v/>
      </c>
      <c r="FO19" s="306"/>
      <c r="FP19" s="286"/>
      <c r="FQ19" s="308"/>
      <c r="FR19" s="322"/>
      <c r="FS19" s="308" t="str">
        <f t="shared" si="4"/>
        <v>Sudah Terbit</v>
      </c>
      <c r="FT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 s="314">
        <f ca="1">IF(Table1[[#This Row],[Status Izin]]="Selesai",Table1[[#This Row],[PLAN PERMIT
finish]]-Table1[[#This Row],[Tanggal Terbit/ Target Izin Terbit]],ROUNDUP(Table1[[#This Row],[PLAN PERMIT
finish]]-NOW(),0))</f>
        <v>45564</v>
      </c>
      <c r="FV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 s="314"/>
      <c r="FX19" s="42"/>
      <c r="FY19" s="310"/>
      <c r="FZ19" s="311"/>
      <c r="GA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 s="300">
        <v>45538</v>
      </c>
      <c r="GC19" s="301">
        <v>45509</v>
      </c>
      <c r="GD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 s="300">
        <v>45545</v>
      </c>
      <c r="GF19" s="301">
        <v>45509</v>
      </c>
      <c r="GG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9" s="300">
        <v>45551</v>
      </c>
      <c r="GI19" s="300">
        <v>45557</v>
      </c>
      <c r="GJ19" s="323">
        <v>45252</v>
      </c>
      <c r="GK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 s="300">
        <v>45565</v>
      </c>
      <c r="GM19" s="300" t="e">
        <v>#N/A</v>
      </c>
      <c r="GN19" s="300">
        <v>45725</v>
      </c>
      <c r="GO19" s="300" t="e">
        <v>#N/A</v>
      </c>
      <c r="GP19" s="286"/>
      <c r="GQ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 s="300" t="s">
        <v>261</v>
      </c>
      <c r="GS19" s="300" t="s">
        <v>261</v>
      </c>
      <c r="GT19" s="324"/>
      <c r="GU19" s="314" t="str">
        <f>IF(Table1[[#This Row],[Hydro Tes Actual
(tanggal)]]&lt;&gt;"","Sudah","Belum")</f>
        <v>Belum</v>
      </c>
      <c r="GV19" s="300" t="s">
        <v>261</v>
      </c>
      <c r="GW19" s="300" t="s">
        <v>261</v>
      </c>
      <c r="GX19" s="301"/>
      <c r="GY19" s="314" t="str">
        <f>IF(Table1[[#This Row],[Interkoneksi Actual
(tanggal)]]&lt;&gt;"","Sudah","Belum")</f>
        <v>Belum</v>
      </c>
      <c r="GZ19" s="300" t="s">
        <v>261</v>
      </c>
      <c r="HA19" s="300" t="s">
        <v>261</v>
      </c>
      <c r="HB19" s="301"/>
      <c r="HC19" s="314" t="str">
        <f>IF(Table1[[#This Row],[Flushing Actual
(tanggal)]]&lt;&gt;"","Sudah","Belum")</f>
        <v>Belum</v>
      </c>
      <c r="HD19" s="300">
        <v>45712</v>
      </c>
      <c r="HE19" s="300" t="e">
        <v>#N/A</v>
      </c>
      <c r="HF19" s="300">
        <v>45718</v>
      </c>
      <c r="HG19" s="316">
        <v>45509</v>
      </c>
      <c r="HH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 s="300" t="s">
        <v>261</v>
      </c>
      <c r="HJ19" s="300" t="s">
        <v>261</v>
      </c>
      <c r="HK19" s="301"/>
      <c r="HL19" s="286"/>
      <c r="HM19" s="300">
        <v>45737</v>
      </c>
      <c r="HN19" s="300">
        <v>45737</v>
      </c>
      <c r="HO19" s="300" t="e">
        <v>#N/A</v>
      </c>
      <c r="HP19" s="300"/>
      <c r="HQ19" s="316">
        <v>45743</v>
      </c>
      <c r="HR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 s="300">
        <v>45744</v>
      </c>
      <c r="HT19" s="300"/>
      <c r="HU19" s="300">
        <v>45744</v>
      </c>
      <c r="HV19" s="497"/>
      <c r="HW19" s="300">
        <v>45751</v>
      </c>
      <c r="HX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 s="42"/>
      <c r="HZ19" s="322"/>
      <c r="IA19" s="306"/>
      <c r="IC19" s="585">
        <f>IFERROR(ROUND((Table1[[#This Row],[PLAN TC
finish]]-Table1[[#This Row],[PLAN MC-0
start]])/30,2),"")</f>
        <v>5.57</v>
      </c>
      <c r="ID19">
        <f>DATEDIF(Table1[[#This Row],[PLAN MC-0
start]],Table1[[#This Row],[PLAN TC
finish]],"m")</f>
        <v>5</v>
      </c>
    </row>
    <row r="20" spans="1:238" s="4" customFormat="1" ht="15" customHeight="1" x14ac:dyDescent="0.25">
      <c r="B20" s="281">
        <f>SUBTOTAL(3,$D$5:D20)</f>
        <v>16</v>
      </c>
      <c r="C20" s="318">
        <v>16</v>
      </c>
      <c r="D20" s="285" t="s">
        <v>244</v>
      </c>
      <c r="E20" s="285" t="s">
        <v>336</v>
      </c>
      <c r="F20" s="285" t="s">
        <v>337</v>
      </c>
      <c r="G20" s="319">
        <v>45752</v>
      </c>
      <c r="H20" s="284" t="s">
        <v>247</v>
      </c>
      <c r="I20" s="285" t="s">
        <v>278</v>
      </c>
      <c r="J20" s="285"/>
      <c r="K20" s="308" t="s">
        <v>249</v>
      </c>
      <c r="L20" s="286" t="s">
        <v>250</v>
      </c>
      <c r="M20" s="286" t="s">
        <v>269</v>
      </c>
      <c r="N20" s="94">
        <v>4484</v>
      </c>
      <c r="O20" s="31" t="s">
        <v>252</v>
      </c>
      <c r="P2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 s="82" t="e">
        <v>#N/A</v>
      </c>
      <c r="S20" s="82">
        <v>1</v>
      </c>
      <c r="T20" s="35">
        <f>Table1[[#This Row],[Progres Total Aktual
(%)]]</f>
        <v>1</v>
      </c>
      <c r="U20" s="106">
        <f>Table1[[#This Row],[Progres Aktual
(%)]]-Table1[[#This Row],[Target Progres
(%)]]</f>
        <v>0</v>
      </c>
      <c r="V20" s="320">
        <f>Table1[[#This Row],["Volume
BA MC-0"]]</f>
        <v>4661</v>
      </c>
      <c r="W20" s="321">
        <f>Table1[[#This Row],[Total Panjang Pipa Aktual
(Sum-&gt;)3]]</f>
        <v>4433</v>
      </c>
      <c r="X20" s="42"/>
      <c r="Y20" s="62" t="s">
        <v>338</v>
      </c>
      <c r="Z20" s="62">
        <v>7171712184</v>
      </c>
      <c r="AA20" s="62">
        <f>ROUND((Table1[[#This Row],[Nilai RAB Jaringan
(Exclude Ppn)]]-Table1[[#This Row],[RAB Perizinan]])*1.11+Table1[[#This Row],[RAB Perizinan]],0)</f>
        <v>0</v>
      </c>
      <c r="AB20" s="290">
        <f>SUM(Table1[[#This Row],[RAB Kegiatan Umum]:[RAB Perizinan]])</f>
        <v>0</v>
      </c>
      <c r="AC20" s="290"/>
      <c r="AD20" s="290"/>
      <c r="AE20" s="290"/>
      <c r="AF20" s="290"/>
      <c r="AG20" s="290">
        <v>889547363</v>
      </c>
      <c r="AH20" s="35" t="e">
        <f>SUM(Table1[[#This Row],[Bobot Keg Umum]:[Bobot Perizinan]])</f>
        <v>#DIV/0!</v>
      </c>
      <c r="AI20" s="35" t="e">
        <f>Table1[[#This Row],[RAB Kegiatan Umum]]/Table1[[#This Row],[Nilai RAB Jaringan
(Exclude Ppn)]]</f>
        <v>#DIV/0!</v>
      </c>
      <c r="AJ20" s="35" t="e">
        <f>Table1[[#This Row],[RAB Pemasangan]]/Table1[[#This Row],[Nilai RAB Jaringan
(Exclude Ppn)]]</f>
        <v>#DIV/0!</v>
      </c>
      <c r="AK20" s="35" t="e">
        <f>Table1[[#This Row],[RAB Pengadaan]]/Table1[[#This Row],[Nilai RAB Jaringan
(Exclude Ppn)]]</f>
        <v>#DIV/0!</v>
      </c>
      <c r="AL20" s="35" t="e">
        <f>Table1[[#This Row],[RAB Perizinan]]/Table1[[#This Row],[Nilai RAB Jaringan
(Exclude Ppn)]]</f>
        <v>#DIV/0!</v>
      </c>
      <c r="AM20" s="42"/>
      <c r="AN20" s="256">
        <v>4661</v>
      </c>
      <c r="AO20" s="256">
        <f>SUM(Table1[[#This Row],[Pipa 63 mm]:[Pipa 1,800 mm]])</f>
        <v>0</v>
      </c>
      <c r="AP20" s="256"/>
      <c r="AQ20" s="256"/>
      <c r="AR20" s="256"/>
      <c r="AS20" s="256"/>
      <c r="AT20" s="256"/>
      <c r="AU20" s="256"/>
      <c r="AV20" s="256"/>
      <c r="AW20" s="256"/>
      <c r="AX20" s="256"/>
      <c r="AY20" s="256"/>
      <c r="AZ20" s="256"/>
      <c r="BA20" s="256"/>
      <c r="BB20" s="256"/>
      <c r="BC20" s="256"/>
      <c r="BD20" s="256"/>
      <c r="BE20" s="256"/>
      <c r="BF20" s="256"/>
      <c r="BG20" s="256"/>
      <c r="BH20" s="256"/>
      <c r="BI20" s="256"/>
      <c r="BJ20" s="36">
        <f>SUM(Table1[[#This Row],[Pipa 63 mm2]:[Pipa 1,800 mm21]])</f>
        <v>4433</v>
      </c>
      <c r="BK20" s="32">
        <v>2763</v>
      </c>
      <c r="BL20" s="32">
        <v>1185</v>
      </c>
      <c r="BM20" s="32"/>
      <c r="BN20" s="32">
        <v>262</v>
      </c>
      <c r="BO20" s="32">
        <v>142</v>
      </c>
      <c r="BP20" s="32">
        <v>81</v>
      </c>
      <c r="BQ20" s="32"/>
      <c r="BR20" s="32"/>
      <c r="BS20" s="32"/>
      <c r="BT20" s="32"/>
      <c r="BU20" s="32"/>
      <c r="BV20" s="32"/>
      <c r="BW20" s="32"/>
      <c r="BX20" s="32"/>
      <c r="BY20" s="32"/>
      <c r="BZ20" s="32"/>
      <c r="CA20" s="32"/>
      <c r="CB20" s="32"/>
      <c r="CC20" s="32"/>
      <c r="CD20" s="32"/>
      <c r="CE20" s="32">
        <v>0</v>
      </c>
      <c r="CF20" s="32"/>
      <c r="CG20" s="32"/>
      <c r="CH20" s="32"/>
      <c r="CI20" s="32">
        <f t="shared" si="3"/>
        <v>0</v>
      </c>
      <c r="CJ20" s="60">
        <f>IF((Table1[[#This Row],["Volume
BA MC-0"]]-Table1[[#This Row],[Total Panjang Pipa Aktual
(Sum-&gt;)3]]-Table1[[#This Row],[Total Volume
tidak dapat dipasang]])&gt;=0,Table1[[#This Row],["Volume
BA MC-0"]]-Table1[[#This Row],[Total Panjang Pipa Aktual
(Sum-&gt;)3]]-Table1[[#This Row],[Total Volume
tidak dapat dipasang]],0)</f>
        <v>228</v>
      </c>
      <c r="CK20" s="42"/>
      <c r="CL20" s="113"/>
      <c r="CM20" s="35"/>
      <c r="CN20" s="113"/>
      <c r="CO20" s="113"/>
      <c r="CP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 s="61">
        <f>IFERROR(Table1[[#This Row],[Progres Keg. Umum
(%)]]*Table1[[#This Row],[Nilai RAB Jaringan
(file pa aji)]],0)</f>
        <v>0</v>
      </c>
      <c r="CR20" s="61">
        <f>IFERROR(Table1[[#This Row],[Progres MOS
(%)]]*Table1[[#This Row],[Nilai RAB Jaringan
(file pa aji)]],0)</f>
        <v>0</v>
      </c>
      <c r="CS20" s="61">
        <f>IFERROR(Table1[[#This Row],[Progres Pemasangan
(%)]]*Table1[[#This Row],[Nilai RAB Jaringan
(file pa aji)]],0)</f>
        <v>0</v>
      </c>
      <c r="CT20" s="61">
        <f>IFERROR(Table1[[#This Row],[Progres Perizinan
(%)]]*Table1[[#This Row],[Nilai RAB Jaringan
(file pa aji)]],0)</f>
        <v>0</v>
      </c>
      <c r="CU20" s="789">
        <v>5584101508</v>
      </c>
      <c r="CV20" s="299">
        <v>5584101508</v>
      </c>
      <c r="CW20" s="552">
        <v>5584101508</v>
      </c>
      <c r="CX20" s="789">
        <f>_xlfn.XLOOKUP(Table1[[#This Row],[Kode Program]],'[1]Breakdown VOWD Greenfield'!$E:$E,'[1]Breakdown VOWD Greenfield'!$AT:$AT)</f>
        <v>5584101508</v>
      </c>
      <c r="CY20" s="42"/>
      <c r="CZ20" s="300">
        <v>45474</v>
      </c>
      <c r="DA20" s="300">
        <v>45501</v>
      </c>
      <c r="DB20" s="301"/>
      <c r="DC20" s="286"/>
      <c r="DD20" s="62"/>
      <c r="DE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0" s="301"/>
      <c r="DG20" s="286"/>
      <c r="DH20" s="62"/>
      <c r="DI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0" s="300">
        <v>45502</v>
      </c>
      <c r="DK20" s="300">
        <v>45564</v>
      </c>
      <c r="DL20" s="301"/>
      <c r="DM20" s="286"/>
      <c r="DN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0" s="301"/>
      <c r="DP20" s="286"/>
      <c r="DQ20" s="308"/>
      <c r="DR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0" s="300">
        <v>45502</v>
      </c>
      <c r="DT20" s="300" t="e">
        <v>#N/A</v>
      </c>
      <c r="DU20" s="300">
        <v>45543</v>
      </c>
      <c r="DV20" s="300" t="e">
        <v>#N/A</v>
      </c>
      <c r="DW20" s="301"/>
      <c r="DX20" s="286"/>
      <c r="DY20" s="304"/>
      <c r="DZ20" s="304"/>
      <c r="EA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0" s="301"/>
      <c r="EC20" s="302"/>
      <c r="ED20" s="302"/>
      <c r="EE20" s="300"/>
      <c r="EF20" s="35">
        <v>1</v>
      </c>
      <c r="EG20" s="307">
        <v>1</v>
      </c>
      <c r="EH20" s="286" t="str">
        <f>IF(Table1[[#This Row],[PO Material Aktual 
(%)]]&gt;=100%,"Selesai PO = 100%",IF(Table1[[#This Row],[PO Material Aktual 
(%)]]&gt;=50%,"Proses PO &gt; 100%",IF(Table1[[#This Row],[PO Material Aktual 
(%)]]&gt;0%,"Proses PO &gt; 50%",IF(Table1[[#This Row],[PO Material Aktual 
(%)]]=0,"Belum PO = 0%"))))</f>
        <v>Selesai PO = 100%</v>
      </c>
      <c r="EI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 s="300">
        <v>45544</v>
      </c>
      <c r="EK20" s="300" t="e">
        <v>#N/A</v>
      </c>
      <c r="EL20" s="300">
        <v>45620</v>
      </c>
      <c r="EM20" s="300" t="e">
        <v>#N/A</v>
      </c>
      <c r="EN20" s="301"/>
      <c r="EO20" s="302"/>
      <c r="EP20" s="302"/>
      <c r="EQ20" s="82">
        <v>1</v>
      </c>
      <c r="ER20" s="82">
        <v>1</v>
      </c>
      <c r="ES20" s="286" t="str">
        <f>IF(Table1[[#This Row],[Progres MOS]]&gt;=100%,"Selesai MOS = 100%",IF(Table1[[#This Row],[Progres MOS]]&gt;=50%,"Proses MOS &gt; 100%",IF(Table1[[#This Row],[Progres MOS]]&gt;0%,"Proses MOS &gt; 50%",IF(Table1[[#This Row],[Progres MOS]]=0,"Belum MOS = 0%"))))</f>
        <v>Selesai MOS = 100%</v>
      </c>
      <c r="ET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 s="42"/>
      <c r="EV20" s="300">
        <v>45502</v>
      </c>
      <c r="EW20" s="300" t="e">
        <v>#N/A</v>
      </c>
      <c r="EX20" s="300">
        <v>45592</v>
      </c>
      <c r="EY20" s="300" t="e">
        <v>#N/A</v>
      </c>
      <c r="EZ20" s="322" t="s">
        <v>259</v>
      </c>
      <c r="FA20" s="306" t="s">
        <v>259</v>
      </c>
      <c r="FB20" s="300" t="s">
        <v>260</v>
      </c>
      <c r="FC20" s="300" t="s">
        <v>282</v>
      </c>
      <c r="FD20" s="300" t="s">
        <v>282</v>
      </c>
      <c r="FE20" s="300" t="s">
        <v>282</v>
      </c>
      <c r="FF20" s="300" t="s">
        <v>282</v>
      </c>
      <c r="FG20" s="300" t="s">
        <v>282</v>
      </c>
      <c r="FH20" s="300" t="s">
        <v>282</v>
      </c>
      <c r="FI20" s="300" t="s">
        <v>282</v>
      </c>
      <c r="FJ20" s="300" t="s">
        <v>282</v>
      </c>
      <c r="FK20" s="300" t="s">
        <v>283</v>
      </c>
      <c r="FL20" s="306" t="s">
        <v>259</v>
      </c>
      <c r="FM20" s="306"/>
      <c r="FN20" s="284" t="str">
        <f>IF(Table1[[#This Row],[Tanggal Pengajuan Dokumen]]="","",Table1[[#This Row],[PLAN PERMIT
start]]-Table1[[#This Row],[Tanggal Pengajuan Dokumen]])</f>
        <v/>
      </c>
      <c r="FO20" s="306"/>
      <c r="FP20" s="286"/>
      <c r="FQ20" s="308"/>
      <c r="FR20" s="322"/>
      <c r="FS20" s="308" t="str">
        <f t="shared" si="4"/>
        <v>Sudah Terbit</v>
      </c>
      <c r="FT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 s="314">
        <f ca="1">IF(Table1[[#This Row],[Status Izin]]="Selesai",Table1[[#This Row],[PLAN PERMIT
finish]]-Table1[[#This Row],[Tanggal Terbit/ Target Izin Terbit]],ROUNDUP(Table1[[#This Row],[PLAN PERMIT
finish]]-NOW(),0))</f>
        <v>45592</v>
      </c>
      <c r="FV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 s="314"/>
      <c r="FX20" s="42"/>
      <c r="FY20" s="310"/>
      <c r="FZ20" s="311"/>
      <c r="GA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 s="300">
        <v>45566</v>
      </c>
      <c r="GC20" s="301">
        <v>45425</v>
      </c>
      <c r="GD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 s="300">
        <v>45573</v>
      </c>
      <c r="GF20" s="301">
        <v>45425</v>
      </c>
      <c r="GG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 s="300">
        <v>45579</v>
      </c>
      <c r="GI20" s="300">
        <v>45585</v>
      </c>
      <c r="GJ20" s="323">
        <v>45489</v>
      </c>
      <c r="GK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 s="300">
        <v>45593</v>
      </c>
      <c r="GM20" s="300" t="e">
        <v>#N/A</v>
      </c>
      <c r="GN20" s="300">
        <v>45662</v>
      </c>
      <c r="GO20" s="300" t="e">
        <v>#N/A</v>
      </c>
      <c r="GP20" s="286"/>
      <c r="GQ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 s="300" t="s">
        <v>261</v>
      </c>
      <c r="GS20" s="300" t="s">
        <v>261</v>
      </c>
      <c r="GT20" s="324">
        <v>45636</v>
      </c>
      <c r="GU20" s="314" t="str">
        <f>IF(Table1[[#This Row],[Hydro Tes Actual
(tanggal)]]&lt;&gt;"","Sudah","Belum")</f>
        <v>Sudah</v>
      </c>
      <c r="GV20" s="300" t="s">
        <v>261</v>
      </c>
      <c r="GW20" s="300" t="s">
        <v>261</v>
      </c>
      <c r="GX20" s="301">
        <v>45644</v>
      </c>
      <c r="GY20" s="314" t="str">
        <f>IF(Table1[[#This Row],[Interkoneksi Actual
(tanggal)]]&lt;&gt;"","Sudah","Belum")</f>
        <v>Sudah</v>
      </c>
      <c r="GZ20" s="300" t="s">
        <v>261</v>
      </c>
      <c r="HA20" s="300" t="s">
        <v>261</v>
      </c>
      <c r="HB20" s="301">
        <v>45649</v>
      </c>
      <c r="HC20" s="314" t="str">
        <f>IF(Table1[[#This Row],[Flushing Actual
(tanggal)]]&lt;&gt;"","Sudah","Belum")</f>
        <v>Sudah</v>
      </c>
      <c r="HD20" s="300">
        <v>45649</v>
      </c>
      <c r="HE20" s="300" t="e">
        <v>#N/A</v>
      </c>
      <c r="HF20" s="300">
        <v>45655</v>
      </c>
      <c r="HG20" s="316">
        <v>45679</v>
      </c>
      <c r="HH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 s="300" t="s">
        <v>261</v>
      </c>
      <c r="HJ20" s="300" t="s">
        <v>261</v>
      </c>
      <c r="HK20" s="301"/>
      <c r="HL20" s="286"/>
      <c r="HM20" s="300">
        <v>45674</v>
      </c>
      <c r="HN20" s="300">
        <v>45674</v>
      </c>
      <c r="HO20" s="300" t="e">
        <v>#N/A</v>
      </c>
      <c r="HP20" s="300"/>
      <c r="HQ20" s="316">
        <v>45728</v>
      </c>
      <c r="HR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 s="300">
        <v>45681</v>
      </c>
      <c r="HT20" s="300"/>
      <c r="HU20" s="300">
        <v>45681</v>
      </c>
      <c r="HV20" s="497"/>
      <c r="HW20" s="300">
        <v>45745</v>
      </c>
      <c r="HX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 s="42"/>
      <c r="HZ20" s="322"/>
      <c r="IA20" s="306"/>
      <c r="IC20" s="585">
        <f>IFERROR(ROUND((Table1[[#This Row],[PLAN TC
finish]]-Table1[[#This Row],[PLAN MC-0
start]])/30,2),"")</f>
        <v>2.5299999999999998</v>
      </c>
      <c r="ID20">
        <f>DATEDIF(Table1[[#This Row],[PLAN MC-0
start]],Table1[[#This Row],[PLAN TC
finish]],"m")</f>
        <v>2</v>
      </c>
    </row>
    <row r="21" spans="1:238" s="4" customFormat="1" ht="15" customHeight="1" x14ac:dyDescent="0.25">
      <c r="B21" s="281">
        <f>SUBTOTAL(3,$D$5:D21)</f>
        <v>17</v>
      </c>
      <c r="C21" s="318">
        <v>17</v>
      </c>
      <c r="D21" s="285" t="s">
        <v>244</v>
      </c>
      <c r="E21" s="285" t="s">
        <v>339</v>
      </c>
      <c r="F21" s="285" t="s">
        <v>340</v>
      </c>
      <c r="G21" s="319">
        <v>45752</v>
      </c>
      <c r="H21" s="284" t="s">
        <v>247</v>
      </c>
      <c r="I21" s="285" t="s">
        <v>278</v>
      </c>
      <c r="J21" s="285"/>
      <c r="K21" s="308" t="s">
        <v>249</v>
      </c>
      <c r="L21" s="286" t="s">
        <v>250</v>
      </c>
      <c r="M21" s="286" t="s">
        <v>269</v>
      </c>
      <c r="N21" s="94">
        <v>46</v>
      </c>
      <c r="O21" s="31" t="s">
        <v>252</v>
      </c>
      <c r="P2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 s="82" t="e">
        <v>#N/A</v>
      </c>
      <c r="S21" s="82">
        <v>1</v>
      </c>
      <c r="T21" s="35">
        <f>Table1[[#This Row],[Progres Total Aktual
(%)]]</f>
        <v>1</v>
      </c>
      <c r="U21" s="106">
        <f>Table1[[#This Row],[Progres Aktual
(%)]]-Table1[[#This Row],[Target Progres
(%)]]</f>
        <v>0</v>
      </c>
      <c r="V21" s="320">
        <f>Table1[[#This Row],["Volume
BA MC-0"]]</f>
        <v>60</v>
      </c>
      <c r="W21" s="321">
        <f>Table1[[#This Row],[Total Panjang Pipa Aktual
(Sum-&gt;)3]]</f>
        <v>58</v>
      </c>
      <c r="X21" s="42"/>
      <c r="Y21" s="62" t="s">
        <v>341</v>
      </c>
      <c r="Z21" s="62">
        <v>153638193</v>
      </c>
      <c r="AA21" s="62">
        <f>ROUND((Table1[[#This Row],[Nilai RAB Jaringan
(Exclude Ppn)]]-Table1[[#This Row],[RAB Perizinan]])*1.11+Table1[[#This Row],[RAB Perizinan]],0)</f>
        <v>0</v>
      </c>
      <c r="AB21" s="290">
        <f>SUM(Table1[[#This Row],[RAB Kegiatan Umum]:[RAB Perizinan]])</f>
        <v>0</v>
      </c>
      <c r="AC21" s="290"/>
      <c r="AD21" s="290"/>
      <c r="AE21" s="290"/>
      <c r="AF21" s="290"/>
      <c r="AG21" s="290">
        <v>12297890</v>
      </c>
      <c r="AH21" s="35" t="e">
        <f>SUM(Table1[[#This Row],[Bobot Keg Umum]:[Bobot Perizinan]])</f>
        <v>#DIV/0!</v>
      </c>
      <c r="AI21" s="35" t="e">
        <f>Table1[[#This Row],[RAB Kegiatan Umum]]/Table1[[#This Row],[Nilai RAB Jaringan
(Exclude Ppn)]]</f>
        <v>#DIV/0!</v>
      </c>
      <c r="AJ21" s="35" t="e">
        <f>Table1[[#This Row],[RAB Pemasangan]]/Table1[[#This Row],[Nilai RAB Jaringan
(Exclude Ppn)]]</f>
        <v>#DIV/0!</v>
      </c>
      <c r="AK21" s="35" t="e">
        <f>Table1[[#This Row],[RAB Pengadaan]]/Table1[[#This Row],[Nilai RAB Jaringan
(Exclude Ppn)]]</f>
        <v>#DIV/0!</v>
      </c>
      <c r="AL21" s="35" t="e">
        <f>Table1[[#This Row],[RAB Perizinan]]/Table1[[#This Row],[Nilai RAB Jaringan
(Exclude Ppn)]]</f>
        <v>#DIV/0!</v>
      </c>
      <c r="AM21" s="42"/>
      <c r="AN21" s="256">
        <v>60</v>
      </c>
      <c r="AO21" s="256">
        <f>SUM(Table1[[#This Row],[Pipa 63 mm]:[Pipa 1,800 mm]])</f>
        <v>0</v>
      </c>
      <c r="AP21" s="256"/>
      <c r="AQ21" s="256"/>
      <c r="AR21" s="256"/>
      <c r="AS21" s="256"/>
      <c r="AT21" s="256"/>
      <c r="AU21" s="256"/>
      <c r="AV21" s="256"/>
      <c r="AW21" s="256"/>
      <c r="AX21" s="256"/>
      <c r="AY21" s="256"/>
      <c r="AZ21" s="256"/>
      <c r="BA21" s="256"/>
      <c r="BB21" s="256"/>
      <c r="BC21" s="256"/>
      <c r="BD21" s="256"/>
      <c r="BE21" s="256"/>
      <c r="BF21" s="256"/>
      <c r="BG21" s="256"/>
      <c r="BH21" s="256"/>
      <c r="BI21" s="256"/>
      <c r="BJ21" s="36">
        <f>SUM(Table1[[#This Row],[Pipa 63 mm2]:[Pipa 1,800 mm21]])</f>
        <v>58</v>
      </c>
      <c r="BK21" s="32">
        <v>58</v>
      </c>
      <c r="BL21" s="32"/>
      <c r="BM21" s="32"/>
      <c r="BN21" s="32"/>
      <c r="BO21" s="32"/>
      <c r="BP21" s="32"/>
      <c r="BQ21" s="32"/>
      <c r="BR21" s="32"/>
      <c r="BS21" s="32"/>
      <c r="BT21" s="32"/>
      <c r="BU21" s="32"/>
      <c r="BV21" s="32"/>
      <c r="BW21" s="32"/>
      <c r="BX21" s="32"/>
      <c r="BY21" s="32"/>
      <c r="BZ21" s="32"/>
      <c r="CA21" s="32"/>
      <c r="CB21" s="32"/>
      <c r="CC21" s="32"/>
      <c r="CD21" s="32"/>
      <c r="CE21" s="32">
        <v>0</v>
      </c>
      <c r="CF21" s="32"/>
      <c r="CG21" s="32"/>
      <c r="CH21" s="32"/>
      <c r="CI21" s="32">
        <f t="shared" si="3"/>
        <v>0</v>
      </c>
      <c r="CJ21" s="60">
        <f>IF((Table1[[#This Row],["Volume
BA MC-0"]]-Table1[[#This Row],[Total Panjang Pipa Aktual
(Sum-&gt;)3]]-Table1[[#This Row],[Total Volume
tidak dapat dipasang]])&gt;=0,Table1[[#This Row],["Volume
BA MC-0"]]-Table1[[#This Row],[Total Panjang Pipa Aktual
(Sum-&gt;)3]]-Table1[[#This Row],[Total Volume
tidak dapat dipasang]],0)</f>
        <v>2</v>
      </c>
      <c r="CK21" s="42"/>
      <c r="CL21" s="113"/>
      <c r="CM21" s="35"/>
      <c r="CN21" s="113"/>
      <c r="CO21" s="113"/>
      <c r="CP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 s="61">
        <f>IFERROR(Table1[[#This Row],[Progres Keg. Umum
(%)]]*Table1[[#This Row],[Nilai RAB Jaringan
(file pa aji)]],0)</f>
        <v>0</v>
      </c>
      <c r="CR21" s="61">
        <f>IFERROR(Table1[[#This Row],[Progres MOS
(%)]]*Table1[[#This Row],[Nilai RAB Jaringan
(file pa aji)]],0)</f>
        <v>0</v>
      </c>
      <c r="CS21" s="61">
        <f>IFERROR(Table1[[#This Row],[Progres Pemasangan
(%)]]*Table1[[#This Row],[Nilai RAB Jaringan
(file pa aji)]],0)</f>
        <v>0</v>
      </c>
      <c r="CT21" s="61">
        <f>IFERROR(Table1[[#This Row],[Progres Perizinan
(%)]]*Table1[[#This Row],[Nilai RAB Jaringan
(file pa aji)]],0)</f>
        <v>0</v>
      </c>
      <c r="CU21" s="789">
        <v>107302296</v>
      </c>
      <c r="CV21" s="299">
        <v>107302296</v>
      </c>
      <c r="CW21" s="552">
        <v>107302296</v>
      </c>
      <c r="CX21" s="789">
        <f>_xlfn.XLOOKUP(Table1[[#This Row],[Kode Program]],'[1]Breakdown VOWD Greenfield'!$E:$E,'[1]Breakdown VOWD Greenfield'!$AT:$AT)</f>
        <v>107302296</v>
      </c>
      <c r="CY21" s="42"/>
      <c r="CZ21" s="300">
        <v>45530</v>
      </c>
      <c r="DA21" s="300">
        <v>45543</v>
      </c>
      <c r="DB21" s="301"/>
      <c r="DC21" s="286"/>
      <c r="DD21" s="62"/>
      <c r="DE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1" s="301"/>
      <c r="DG21" s="286"/>
      <c r="DH21" s="62"/>
      <c r="DI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1" s="300">
        <v>45544</v>
      </c>
      <c r="DK21" s="300">
        <v>45592</v>
      </c>
      <c r="DL21" s="301">
        <v>45542</v>
      </c>
      <c r="DM21" s="327" t="s">
        <v>342</v>
      </c>
      <c r="DN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 s="301">
        <v>45586</v>
      </c>
      <c r="DP21" s="286" t="s">
        <v>343</v>
      </c>
      <c r="DQ21" s="308" t="s">
        <v>344</v>
      </c>
      <c r="DR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1" s="300">
        <v>45544</v>
      </c>
      <c r="DT21" s="300" t="e">
        <v>#N/A</v>
      </c>
      <c r="DU21" s="300">
        <v>45571</v>
      </c>
      <c r="DV21" s="300" t="e">
        <v>#N/A</v>
      </c>
      <c r="DW21" s="301"/>
      <c r="DX21" s="286"/>
      <c r="DY21" s="304"/>
      <c r="DZ21" s="304"/>
      <c r="EA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 s="301"/>
      <c r="EC21" s="302"/>
      <c r="ED21" s="302"/>
      <c r="EE21" s="300"/>
      <c r="EF21" s="35">
        <v>1</v>
      </c>
      <c r="EG21" s="307">
        <v>1</v>
      </c>
      <c r="EH21" s="286" t="str">
        <f>IF(Table1[[#This Row],[PO Material Aktual 
(%)]]&gt;=100%,"Selesai PO = 100%",IF(Table1[[#This Row],[PO Material Aktual 
(%)]]&gt;=50%,"Proses PO &gt; 100%",IF(Table1[[#This Row],[PO Material Aktual 
(%)]]&gt;0%,"Proses PO &gt; 50%",IF(Table1[[#This Row],[PO Material Aktual 
(%)]]=0,"Belum PO = 0%"))))</f>
        <v>Selesai PO = 100%</v>
      </c>
      <c r="EI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 s="300">
        <v>45572</v>
      </c>
      <c r="EK21" s="300" t="e">
        <v>#N/A</v>
      </c>
      <c r="EL21" s="300">
        <v>45620</v>
      </c>
      <c r="EM21" s="300" t="e">
        <v>#N/A</v>
      </c>
      <c r="EN21" s="301"/>
      <c r="EO21" s="302"/>
      <c r="EP21" s="302"/>
      <c r="EQ21" s="82">
        <v>1</v>
      </c>
      <c r="ER21" s="82">
        <v>1</v>
      </c>
      <c r="ES21" s="286" t="str">
        <f>IF(Table1[[#This Row],[Progres MOS]]&gt;=100%,"Selesai MOS = 100%",IF(Table1[[#This Row],[Progres MOS]]&gt;=50%,"Proses MOS &gt; 100%",IF(Table1[[#This Row],[Progres MOS]]&gt;0%,"Proses MOS &gt; 50%",IF(Table1[[#This Row],[Progres MOS]]=0,"Belum MOS = 0%"))))</f>
        <v>Selesai MOS = 100%</v>
      </c>
      <c r="ET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 s="42"/>
      <c r="EV21" s="300">
        <v>45544</v>
      </c>
      <c r="EW21" s="300" t="e">
        <v>#N/A</v>
      </c>
      <c r="EX21" s="300">
        <v>45620</v>
      </c>
      <c r="EY21" s="300" t="e">
        <v>#N/A</v>
      </c>
      <c r="EZ21" s="322" t="s">
        <v>298</v>
      </c>
      <c r="FA21" s="306" t="s">
        <v>259</v>
      </c>
      <c r="FB21" s="300" t="s">
        <v>260</v>
      </c>
      <c r="FC21" s="300">
        <v>45813</v>
      </c>
      <c r="FD21" s="300" t="s">
        <v>260</v>
      </c>
      <c r="FE21" s="300">
        <v>45884</v>
      </c>
      <c r="FF21" s="300">
        <v>45958</v>
      </c>
      <c r="FG21" s="300" t="s">
        <v>260</v>
      </c>
      <c r="FH21" s="300" t="s">
        <v>260</v>
      </c>
      <c r="FI21" s="300">
        <v>46003</v>
      </c>
      <c r="FJ21" s="300" t="s">
        <v>260</v>
      </c>
      <c r="FK21" s="300">
        <v>46087</v>
      </c>
      <c r="FL21" s="306" t="s">
        <v>298</v>
      </c>
      <c r="FM21" s="306">
        <v>45813</v>
      </c>
      <c r="FN21" s="284">
        <f>IF(Table1[[#This Row],[Tanggal Pengajuan Dokumen]]="","",Table1[[#This Row],[PLAN PERMIT
start]]-Table1[[#This Row],[Tanggal Pengajuan Dokumen]])</f>
        <v>-269</v>
      </c>
      <c r="FO21" s="306"/>
      <c r="FP21" s="286"/>
      <c r="FQ21" s="308"/>
      <c r="FR21" s="322"/>
      <c r="FS21" s="308" t="str">
        <f t="shared" si="4"/>
        <v>Sudah Terbit</v>
      </c>
      <c r="FT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 s="314">
        <f ca="1">IF(Table1[[#This Row],[Status Izin]]="Selesai",Table1[[#This Row],[PLAN PERMIT
finish]]-Table1[[#This Row],[Tanggal Terbit/ Target Izin Terbit]],ROUNDUP(Table1[[#This Row],[PLAN PERMIT
finish]]-NOW(),0))</f>
        <v>45620</v>
      </c>
      <c r="FV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 s="314"/>
      <c r="FX21" s="42"/>
      <c r="FY21" s="310"/>
      <c r="FZ21" s="311"/>
      <c r="GA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 s="300">
        <v>45594</v>
      </c>
      <c r="GC21" s="301">
        <v>45569</v>
      </c>
      <c r="GD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 s="300">
        <v>45601</v>
      </c>
      <c r="GF21" s="301">
        <v>45569</v>
      </c>
      <c r="GG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 s="300">
        <v>45607</v>
      </c>
      <c r="GI21" s="300">
        <v>45613</v>
      </c>
      <c r="GJ21" s="323">
        <v>45601</v>
      </c>
      <c r="GK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 s="300">
        <v>45621</v>
      </c>
      <c r="GM21" s="300" t="e">
        <v>#N/A</v>
      </c>
      <c r="GN21" s="300">
        <v>45641</v>
      </c>
      <c r="GO21" s="300" t="e">
        <v>#N/A</v>
      </c>
      <c r="GP21" s="286"/>
      <c r="GQ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 s="300" t="s">
        <v>261</v>
      </c>
      <c r="GS21" s="300" t="s">
        <v>261</v>
      </c>
      <c r="GT21" s="324">
        <v>45628</v>
      </c>
      <c r="GU21" s="314" t="str">
        <f>IF(Table1[[#This Row],[Hydro Tes Actual
(tanggal)]]&lt;&gt;"","Sudah","Belum")</f>
        <v>Sudah</v>
      </c>
      <c r="GV21" s="300" t="s">
        <v>261</v>
      </c>
      <c r="GW21" s="300" t="s">
        <v>261</v>
      </c>
      <c r="GX21" s="301">
        <v>45628</v>
      </c>
      <c r="GY21" s="314" t="str">
        <f>IF(Table1[[#This Row],[Interkoneksi Actual
(tanggal)]]&lt;&gt;"","Sudah","Belum")</f>
        <v>Sudah</v>
      </c>
      <c r="GZ21" s="300" t="s">
        <v>261</v>
      </c>
      <c r="HA21" s="300" t="s">
        <v>261</v>
      </c>
      <c r="HB21" s="301">
        <v>45629</v>
      </c>
      <c r="HC21" s="314" t="str">
        <f>IF(Table1[[#This Row],[Flushing Actual
(tanggal)]]&lt;&gt;"","Sudah","Belum")</f>
        <v>Sudah</v>
      </c>
      <c r="HD21" s="300">
        <v>45628</v>
      </c>
      <c r="HE21" s="300" t="e">
        <v>#N/A</v>
      </c>
      <c r="HF21" s="300">
        <v>45634</v>
      </c>
      <c r="HG21" s="316">
        <v>45691</v>
      </c>
      <c r="HH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 s="300" t="s">
        <v>261</v>
      </c>
      <c r="HJ21" s="300" t="s">
        <v>261</v>
      </c>
      <c r="HK21" s="301"/>
      <c r="HL21" s="286"/>
      <c r="HM21" s="300">
        <v>45646</v>
      </c>
      <c r="HN21" s="300">
        <v>45646</v>
      </c>
      <c r="HO21" s="300" t="e">
        <v>#N/A</v>
      </c>
      <c r="HP21" s="300"/>
      <c r="HQ21" s="316">
        <v>45728</v>
      </c>
      <c r="HR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 s="300">
        <v>45653</v>
      </c>
      <c r="HT21" s="300"/>
      <c r="HU21" s="300">
        <v>45653</v>
      </c>
      <c r="HV21" s="497"/>
      <c r="HW21" s="300">
        <v>45745</v>
      </c>
      <c r="HX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 s="42"/>
      <c r="HZ21" s="322"/>
      <c r="IA21" s="306"/>
      <c r="IC21" s="585">
        <f>IFERROR(ROUND((Table1[[#This Row],[PLAN TC
finish]]-Table1[[#This Row],[PLAN MC-0
start]])/30,2),"")</f>
        <v>0.9</v>
      </c>
      <c r="ID21">
        <f>DATEDIF(Table1[[#This Row],[PLAN MC-0
start]],Table1[[#This Row],[PLAN TC
finish]],"m")</f>
        <v>0</v>
      </c>
    </row>
    <row r="22" spans="1:238" s="4" customFormat="1" ht="15" customHeight="1" x14ac:dyDescent="0.25">
      <c r="B22" s="281">
        <f>SUBTOTAL(3,$D$5:D22)</f>
        <v>18</v>
      </c>
      <c r="C22" s="318">
        <v>18</v>
      </c>
      <c r="D22" s="285" t="s">
        <v>244</v>
      </c>
      <c r="E22" s="285" t="s">
        <v>345</v>
      </c>
      <c r="F22" s="285" t="s">
        <v>346</v>
      </c>
      <c r="G22" s="319">
        <v>45752</v>
      </c>
      <c r="H22" s="284" t="s">
        <v>247</v>
      </c>
      <c r="I22" s="285" t="s">
        <v>278</v>
      </c>
      <c r="J22" s="285"/>
      <c r="K22" s="308" t="s">
        <v>249</v>
      </c>
      <c r="L22" s="286" t="s">
        <v>250</v>
      </c>
      <c r="M22" s="286" t="s">
        <v>269</v>
      </c>
      <c r="N22" s="94">
        <v>64</v>
      </c>
      <c r="O22" s="31" t="s">
        <v>252</v>
      </c>
      <c r="P2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 s="82" t="e">
        <v>#N/A</v>
      </c>
      <c r="S22" s="82">
        <v>1</v>
      </c>
      <c r="T22" s="35">
        <f>Table1[[#This Row],[Progres Total Aktual
(%)]]</f>
        <v>1</v>
      </c>
      <c r="U22" s="106">
        <f>Table1[[#This Row],[Progres Aktual
(%)]]-Table1[[#This Row],[Target Progres
(%)]]</f>
        <v>0</v>
      </c>
      <c r="V22" s="320">
        <f>Table1[[#This Row],["Volume
BA MC-0"]]</f>
        <v>64</v>
      </c>
      <c r="W22" s="321">
        <f>Table1[[#This Row],[Total Panjang Pipa Aktual
(Sum-&gt;)3]]</f>
        <v>63</v>
      </c>
      <c r="X22" s="42"/>
      <c r="Y22" s="62" t="s">
        <v>347</v>
      </c>
      <c r="Z22" s="62">
        <v>109744956</v>
      </c>
      <c r="AA22" s="62">
        <f>ROUND((Table1[[#This Row],[Nilai RAB Jaringan
(Exclude Ppn)]]-Table1[[#This Row],[RAB Perizinan]])*1.11+Table1[[#This Row],[RAB Perizinan]],0)</f>
        <v>0</v>
      </c>
      <c r="AB22" s="290">
        <f>SUM(Table1[[#This Row],[RAB Kegiatan Umum]:[RAB Perizinan]])</f>
        <v>0</v>
      </c>
      <c r="AC22" s="290"/>
      <c r="AD22" s="290"/>
      <c r="AE22" s="290"/>
      <c r="AF22" s="290"/>
      <c r="AG22" s="290">
        <v>24595780</v>
      </c>
      <c r="AH22" s="35" t="e">
        <f>SUM(Table1[[#This Row],[Bobot Keg Umum]:[Bobot Perizinan]])</f>
        <v>#DIV/0!</v>
      </c>
      <c r="AI22" s="35" t="e">
        <f>Table1[[#This Row],[RAB Kegiatan Umum]]/Table1[[#This Row],[Nilai RAB Jaringan
(Exclude Ppn)]]</f>
        <v>#DIV/0!</v>
      </c>
      <c r="AJ22" s="35" t="e">
        <f>Table1[[#This Row],[RAB Pemasangan]]/Table1[[#This Row],[Nilai RAB Jaringan
(Exclude Ppn)]]</f>
        <v>#DIV/0!</v>
      </c>
      <c r="AK22" s="35" t="e">
        <f>Table1[[#This Row],[RAB Pengadaan]]/Table1[[#This Row],[Nilai RAB Jaringan
(Exclude Ppn)]]</f>
        <v>#DIV/0!</v>
      </c>
      <c r="AL22" s="35" t="e">
        <f>Table1[[#This Row],[RAB Perizinan]]/Table1[[#This Row],[Nilai RAB Jaringan
(Exclude Ppn)]]</f>
        <v>#DIV/0!</v>
      </c>
      <c r="AM22" s="42"/>
      <c r="AN22" s="256">
        <v>64</v>
      </c>
      <c r="AO22" s="256">
        <f>SUM(Table1[[#This Row],[Pipa 63 mm]:[Pipa 1,800 mm]])</f>
        <v>0</v>
      </c>
      <c r="AP22" s="256"/>
      <c r="AQ22" s="256"/>
      <c r="AR22" s="256"/>
      <c r="AS22" s="256"/>
      <c r="AT22" s="256"/>
      <c r="AU22" s="256"/>
      <c r="AV22" s="256"/>
      <c r="AW22" s="256"/>
      <c r="AX22" s="256"/>
      <c r="AY22" s="256"/>
      <c r="AZ22" s="256"/>
      <c r="BA22" s="256"/>
      <c r="BB22" s="256"/>
      <c r="BC22" s="256"/>
      <c r="BD22" s="256"/>
      <c r="BE22" s="256"/>
      <c r="BF22" s="256"/>
      <c r="BG22" s="256"/>
      <c r="BH22" s="256"/>
      <c r="BI22" s="256"/>
      <c r="BJ22" s="36">
        <f>SUM(Table1[[#This Row],[Pipa 63 mm2]:[Pipa 1,800 mm21]])</f>
        <v>63</v>
      </c>
      <c r="BK22" s="32">
        <v>63</v>
      </c>
      <c r="BL22" s="32"/>
      <c r="BM22" s="32"/>
      <c r="BN22" s="32"/>
      <c r="BO22" s="32"/>
      <c r="BP22" s="32"/>
      <c r="BQ22" s="32"/>
      <c r="BR22" s="32"/>
      <c r="BS22" s="32"/>
      <c r="BT22" s="32"/>
      <c r="BU22" s="32"/>
      <c r="BV22" s="32"/>
      <c r="BW22" s="32"/>
      <c r="BX22" s="32"/>
      <c r="BY22" s="32"/>
      <c r="BZ22" s="32"/>
      <c r="CA22" s="32"/>
      <c r="CB22" s="32"/>
      <c r="CC22" s="32"/>
      <c r="CD22" s="32"/>
      <c r="CE22" s="32">
        <v>0</v>
      </c>
      <c r="CF22" s="32"/>
      <c r="CG22" s="32"/>
      <c r="CH22" s="32"/>
      <c r="CI22" s="32">
        <f t="shared" si="3"/>
        <v>0</v>
      </c>
      <c r="CJ22" s="60">
        <f>IF((Table1[[#This Row],["Volume
BA MC-0"]]-Table1[[#This Row],[Total Panjang Pipa Aktual
(Sum-&gt;)3]]-Table1[[#This Row],[Total Volume
tidak dapat dipasang]])&gt;=0,Table1[[#This Row],["Volume
BA MC-0"]]-Table1[[#This Row],[Total Panjang Pipa Aktual
(Sum-&gt;)3]]-Table1[[#This Row],[Total Volume
tidak dapat dipasang]],0)</f>
        <v>1</v>
      </c>
      <c r="CK22" s="42"/>
      <c r="CL22" s="113"/>
      <c r="CM22" s="35"/>
      <c r="CN22" s="113"/>
      <c r="CO22" s="113"/>
      <c r="CP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 s="61">
        <f>IFERROR(Table1[[#This Row],[Progres Keg. Umum
(%)]]*Table1[[#This Row],[Nilai RAB Jaringan
(file pa aji)]],0)</f>
        <v>0</v>
      </c>
      <c r="CR22" s="61">
        <f>IFERROR(Table1[[#This Row],[Progres MOS
(%)]]*Table1[[#This Row],[Nilai RAB Jaringan
(file pa aji)]],0)</f>
        <v>0</v>
      </c>
      <c r="CS22" s="61">
        <f>IFERROR(Table1[[#This Row],[Progres Pemasangan
(%)]]*Table1[[#This Row],[Nilai RAB Jaringan
(file pa aji)]],0)</f>
        <v>0</v>
      </c>
      <c r="CT22" s="61">
        <f>IFERROR(Table1[[#This Row],[Progres Perizinan
(%)]]*Table1[[#This Row],[Nilai RAB Jaringan
(file pa aji)]],0)</f>
        <v>0</v>
      </c>
      <c r="CU22" s="789">
        <v>214360561</v>
      </c>
      <c r="CV22" s="299">
        <v>214360561</v>
      </c>
      <c r="CW22" s="552">
        <v>214360561</v>
      </c>
      <c r="CX22" s="789">
        <f>_xlfn.XLOOKUP(Table1[[#This Row],[Kode Program]],'[1]Breakdown VOWD Greenfield'!$E:$E,'[1]Breakdown VOWD Greenfield'!$AT:$AT)</f>
        <v>214360561</v>
      </c>
      <c r="CY22" s="42"/>
      <c r="CZ22" s="300">
        <v>45530</v>
      </c>
      <c r="DA22" s="300">
        <v>45543</v>
      </c>
      <c r="DB22" s="301"/>
      <c r="DC22" s="286"/>
      <c r="DD22" s="62"/>
      <c r="DE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2" s="301"/>
      <c r="DG22" s="286"/>
      <c r="DH22" s="62"/>
      <c r="DI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2" s="300">
        <v>45544</v>
      </c>
      <c r="DK22" s="300">
        <v>45592</v>
      </c>
      <c r="DL22" s="301">
        <v>45544</v>
      </c>
      <c r="DM22" s="327" t="s">
        <v>348</v>
      </c>
      <c r="DN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 s="301">
        <v>45586</v>
      </c>
      <c r="DP22" s="286" t="s">
        <v>349</v>
      </c>
      <c r="DQ22" s="308" t="s">
        <v>344</v>
      </c>
      <c r="DR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2" s="300">
        <v>45544</v>
      </c>
      <c r="DT22" s="300" t="e">
        <v>#N/A</v>
      </c>
      <c r="DU22" s="300">
        <v>45571</v>
      </c>
      <c r="DV22" s="300" t="e">
        <v>#N/A</v>
      </c>
      <c r="DW22" s="301"/>
      <c r="DX22" s="286"/>
      <c r="DY22" s="304"/>
      <c r="DZ22" s="304"/>
      <c r="EA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 s="301"/>
      <c r="EC22" s="302"/>
      <c r="ED22" s="302"/>
      <c r="EE22" s="300"/>
      <c r="EF22" s="35">
        <v>1</v>
      </c>
      <c r="EG22" s="307">
        <v>1</v>
      </c>
      <c r="EH22" s="286" t="str">
        <f>IF(Table1[[#This Row],[PO Material Aktual 
(%)]]&gt;=100%,"Selesai PO = 100%",IF(Table1[[#This Row],[PO Material Aktual 
(%)]]&gt;=50%,"Proses PO &gt; 100%",IF(Table1[[#This Row],[PO Material Aktual 
(%)]]&gt;0%,"Proses PO &gt; 50%",IF(Table1[[#This Row],[PO Material Aktual 
(%)]]=0,"Belum PO = 0%"))))</f>
        <v>Selesai PO = 100%</v>
      </c>
      <c r="EI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 s="300">
        <v>45572</v>
      </c>
      <c r="EK22" s="300" t="e">
        <v>#N/A</v>
      </c>
      <c r="EL22" s="300">
        <v>45620</v>
      </c>
      <c r="EM22" s="300" t="e">
        <v>#N/A</v>
      </c>
      <c r="EN22" s="301"/>
      <c r="EO22" s="302"/>
      <c r="EP22" s="302"/>
      <c r="EQ22" s="82">
        <v>1</v>
      </c>
      <c r="ER22" s="82">
        <v>1</v>
      </c>
      <c r="ES22" s="286" t="str">
        <f>IF(Table1[[#This Row],[Progres MOS]]&gt;=100%,"Selesai MOS = 100%",IF(Table1[[#This Row],[Progres MOS]]&gt;=50%,"Proses MOS &gt; 100%",IF(Table1[[#This Row],[Progres MOS]]&gt;0%,"Proses MOS &gt; 50%",IF(Table1[[#This Row],[Progres MOS]]=0,"Belum MOS = 0%"))))</f>
        <v>Selesai MOS = 100%</v>
      </c>
      <c r="ET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 s="42"/>
      <c r="EV22" s="300">
        <v>45544</v>
      </c>
      <c r="EW22" s="300" t="e">
        <v>#N/A</v>
      </c>
      <c r="EX22" s="300">
        <v>45620</v>
      </c>
      <c r="EY22" s="300" t="e">
        <v>#N/A</v>
      </c>
      <c r="EZ22" s="322" t="s">
        <v>298</v>
      </c>
      <c r="FA22" s="306" t="s">
        <v>259</v>
      </c>
      <c r="FB22" s="300" t="s">
        <v>260</v>
      </c>
      <c r="FC22" s="300">
        <v>45796</v>
      </c>
      <c r="FD22" s="300" t="s">
        <v>260</v>
      </c>
      <c r="FE22" s="300">
        <v>45895</v>
      </c>
      <c r="FF22" s="300">
        <v>45944</v>
      </c>
      <c r="FG22" s="300" t="s">
        <v>260</v>
      </c>
      <c r="FH22" s="300" t="s">
        <v>260</v>
      </c>
      <c r="FI22" s="300">
        <v>46021</v>
      </c>
      <c r="FJ22" s="300" t="s">
        <v>260</v>
      </c>
      <c r="FK22" s="300">
        <v>46087</v>
      </c>
      <c r="FL22" s="306" t="s">
        <v>298</v>
      </c>
      <c r="FM22" s="306">
        <v>45796</v>
      </c>
      <c r="FN22" s="284">
        <f>IF(Table1[[#This Row],[Tanggal Pengajuan Dokumen]]="","",Table1[[#This Row],[PLAN PERMIT
start]]-Table1[[#This Row],[Tanggal Pengajuan Dokumen]])</f>
        <v>-252</v>
      </c>
      <c r="FO22" s="306"/>
      <c r="FP22" s="286"/>
      <c r="FQ22" s="308"/>
      <c r="FR22" s="322"/>
      <c r="FS22" s="308" t="str">
        <f t="shared" si="4"/>
        <v>Sudah Terbit</v>
      </c>
      <c r="FT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 s="314">
        <f ca="1">IF(Table1[[#This Row],[Status Izin]]="Selesai",Table1[[#This Row],[PLAN PERMIT
finish]]-Table1[[#This Row],[Tanggal Terbit/ Target Izin Terbit]],ROUNDUP(Table1[[#This Row],[PLAN PERMIT
finish]]-NOW(),0))</f>
        <v>45620</v>
      </c>
      <c r="FV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 s="314"/>
      <c r="FX22" s="42"/>
      <c r="FY22" s="310"/>
      <c r="FZ22" s="311"/>
      <c r="GA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 s="300">
        <v>45594</v>
      </c>
      <c r="GC22" s="301">
        <v>45569</v>
      </c>
      <c r="GD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 s="300">
        <v>45601</v>
      </c>
      <c r="GF22" s="301">
        <v>45569</v>
      </c>
      <c r="GG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 s="300">
        <v>45607</v>
      </c>
      <c r="GI22" s="300">
        <v>45613</v>
      </c>
      <c r="GJ22" s="323">
        <v>45965</v>
      </c>
      <c r="GK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 s="300">
        <v>45621</v>
      </c>
      <c r="GM22" s="300" t="e">
        <v>#N/A</v>
      </c>
      <c r="GN22" s="300">
        <v>45641</v>
      </c>
      <c r="GO22" s="300" t="e">
        <v>#N/A</v>
      </c>
      <c r="GP22" s="286"/>
      <c r="GQ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 s="300" t="s">
        <v>261</v>
      </c>
      <c r="GS22" s="300" t="s">
        <v>261</v>
      </c>
      <c r="GT22" s="324">
        <v>45619</v>
      </c>
      <c r="GU22" s="314" t="str">
        <f>IF(Table1[[#This Row],[Hydro Tes Actual
(tanggal)]]&lt;&gt;"","Sudah","Belum")</f>
        <v>Sudah</v>
      </c>
      <c r="GV22" s="300" t="s">
        <v>261</v>
      </c>
      <c r="GW22" s="300" t="s">
        <v>261</v>
      </c>
      <c r="GX22" s="301">
        <v>45627</v>
      </c>
      <c r="GY22" s="314" t="str">
        <f>IF(Table1[[#This Row],[Interkoneksi Actual
(tanggal)]]&lt;&gt;"","Sudah","Belum")</f>
        <v>Sudah</v>
      </c>
      <c r="GZ22" s="300" t="s">
        <v>261</v>
      </c>
      <c r="HA22" s="300" t="s">
        <v>261</v>
      </c>
      <c r="HB22" s="301">
        <v>45630</v>
      </c>
      <c r="HC22" s="314" t="str">
        <f>IF(Table1[[#This Row],[Flushing Actual
(tanggal)]]&lt;&gt;"","Sudah","Belum")</f>
        <v>Sudah</v>
      </c>
      <c r="HD22" s="300">
        <v>45628</v>
      </c>
      <c r="HE22" s="300" t="e">
        <v>#N/A</v>
      </c>
      <c r="HF22" s="300">
        <v>45634</v>
      </c>
      <c r="HG22" s="316">
        <v>45691</v>
      </c>
      <c r="HH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 s="300" t="s">
        <v>261</v>
      </c>
      <c r="HJ22" s="300" t="s">
        <v>261</v>
      </c>
      <c r="HK22" s="301"/>
      <c r="HL22" s="286"/>
      <c r="HM22" s="300">
        <v>45646</v>
      </c>
      <c r="HN22" s="300">
        <v>45646</v>
      </c>
      <c r="HO22" s="300" t="e">
        <v>#N/A</v>
      </c>
      <c r="HP22" s="300"/>
      <c r="HQ22" s="316">
        <v>45728</v>
      </c>
      <c r="HR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 s="300">
        <v>45653</v>
      </c>
      <c r="HT22" s="300"/>
      <c r="HU22" s="300">
        <v>45653</v>
      </c>
      <c r="HV22" s="497"/>
      <c r="HW22" s="300">
        <v>45745</v>
      </c>
      <c r="HX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 s="42"/>
      <c r="HZ22" s="322"/>
      <c r="IA22" s="306"/>
      <c r="IC22" s="585">
        <f>IFERROR(ROUND((Table1[[#This Row],[PLAN TC
finish]]-Table1[[#This Row],[PLAN MC-0
start]])/30,2),"")</f>
        <v>0.9</v>
      </c>
      <c r="ID22">
        <f>DATEDIF(Table1[[#This Row],[PLAN MC-0
start]],Table1[[#This Row],[PLAN TC
finish]],"m")</f>
        <v>0</v>
      </c>
    </row>
    <row r="23" spans="1:238" s="4" customFormat="1" ht="15" customHeight="1" x14ac:dyDescent="0.25">
      <c r="B23" s="281">
        <f>SUBTOTAL(3,$D$5:D23)</f>
        <v>19</v>
      </c>
      <c r="C23" s="318">
        <v>19</v>
      </c>
      <c r="D23" s="285" t="s">
        <v>244</v>
      </c>
      <c r="E23" s="285" t="s">
        <v>350</v>
      </c>
      <c r="F23" s="285" t="s">
        <v>351</v>
      </c>
      <c r="G23" s="319">
        <v>45752</v>
      </c>
      <c r="H23" s="284" t="s">
        <v>247</v>
      </c>
      <c r="I23" s="285" t="s">
        <v>278</v>
      </c>
      <c r="J23" s="285"/>
      <c r="K23" s="308" t="s">
        <v>249</v>
      </c>
      <c r="L23" s="286" t="s">
        <v>250</v>
      </c>
      <c r="M23" s="286" t="s">
        <v>269</v>
      </c>
      <c r="N23" s="94">
        <v>30</v>
      </c>
      <c r="O23" s="31" t="s">
        <v>252</v>
      </c>
      <c r="P2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 s="82" t="e">
        <v>#N/A</v>
      </c>
      <c r="S23" s="82">
        <v>1</v>
      </c>
      <c r="T23" s="35">
        <f>Table1[[#This Row],[Progres Total Aktual
(%)]]</f>
        <v>1</v>
      </c>
      <c r="U23" s="106">
        <f>Table1[[#This Row],[Progres Aktual
(%)]]-Table1[[#This Row],[Target Progres
(%)]]</f>
        <v>0</v>
      </c>
      <c r="V23" s="320">
        <f>Table1[[#This Row],["Volume
BA MC-0"]]</f>
        <v>36</v>
      </c>
      <c r="W23" s="321">
        <f>Table1[[#This Row],[Total Panjang Pipa Aktual
(Sum-&gt;)3]]</f>
        <v>37</v>
      </c>
      <c r="X23" s="42"/>
      <c r="Y23" s="62" t="s">
        <v>352</v>
      </c>
      <c r="Z23" s="62">
        <v>98364008</v>
      </c>
      <c r="AA23" s="62">
        <f>ROUND((Table1[[#This Row],[Nilai RAB Jaringan
(Exclude Ppn)]]-Table1[[#This Row],[RAB Perizinan]])*1.11+Table1[[#This Row],[RAB Perizinan]],0)</f>
        <v>0</v>
      </c>
      <c r="AB23" s="290">
        <f>SUM(Table1[[#This Row],[RAB Kegiatan Umum]:[RAB Perizinan]])</f>
        <v>0</v>
      </c>
      <c r="AC23" s="290"/>
      <c r="AD23" s="290"/>
      <c r="AE23" s="290"/>
      <c r="AF23" s="290"/>
      <c r="AG23" s="290">
        <v>2049649</v>
      </c>
      <c r="AH23" s="35" t="e">
        <f>SUM(Table1[[#This Row],[Bobot Keg Umum]:[Bobot Perizinan]])</f>
        <v>#DIV/0!</v>
      </c>
      <c r="AI23" s="35" t="e">
        <f>Table1[[#This Row],[RAB Kegiatan Umum]]/Table1[[#This Row],[Nilai RAB Jaringan
(Exclude Ppn)]]</f>
        <v>#DIV/0!</v>
      </c>
      <c r="AJ23" s="35" t="e">
        <f>Table1[[#This Row],[RAB Pemasangan]]/Table1[[#This Row],[Nilai RAB Jaringan
(Exclude Ppn)]]</f>
        <v>#DIV/0!</v>
      </c>
      <c r="AK23" s="35" t="e">
        <f>Table1[[#This Row],[RAB Pengadaan]]/Table1[[#This Row],[Nilai RAB Jaringan
(Exclude Ppn)]]</f>
        <v>#DIV/0!</v>
      </c>
      <c r="AL23" s="35" t="e">
        <f>Table1[[#This Row],[RAB Perizinan]]/Table1[[#This Row],[Nilai RAB Jaringan
(Exclude Ppn)]]</f>
        <v>#DIV/0!</v>
      </c>
      <c r="AM23" s="42"/>
      <c r="AN23" s="256">
        <v>36</v>
      </c>
      <c r="AO23" s="256">
        <f>SUM(Table1[[#This Row],[Pipa 63 mm]:[Pipa 1,800 mm]])</f>
        <v>0</v>
      </c>
      <c r="AP23" s="256"/>
      <c r="AQ23" s="256"/>
      <c r="AR23" s="256"/>
      <c r="AS23" s="256"/>
      <c r="AT23" s="256"/>
      <c r="AU23" s="256"/>
      <c r="AV23" s="256"/>
      <c r="AW23" s="256"/>
      <c r="AX23" s="256"/>
      <c r="AY23" s="256"/>
      <c r="AZ23" s="256"/>
      <c r="BA23" s="256"/>
      <c r="BB23" s="256"/>
      <c r="BC23" s="256"/>
      <c r="BD23" s="256"/>
      <c r="BE23" s="256"/>
      <c r="BF23" s="256"/>
      <c r="BG23" s="256"/>
      <c r="BH23" s="256"/>
      <c r="BI23" s="256"/>
      <c r="BJ23" s="36">
        <f>SUM(Table1[[#This Row],[Pipa 63 mm2]:[Pipa 1,800 mm21]])</f>
        <v>37</v>
      </c>
      <c r="BK23" s="32">
        <v>37</v>
      </c>
      <c r="BL23" s="32"/>
      <c r="BM23" s="32"/>
      <c r="BN23" s="32"/>
      <c r="BO23" s="32"/>
      <c r="BP23" s="32"/>
      <c r="BQ23" s="32"/>
      <c r="BR23" s="32"/>
      <c r="BS23" s="32"/>
      <c r="BT23" s="32"/>
      <c r="BU23" s="32"/>
      <c r="BV23" s="32"/>
      <c r="BW23" s="32"/>
      <c r="BX23" s="32"/>
      <c r="BY23" s="32"/>
      <c r="BZ23" s="32"/>
      <c r="CA23" s="32"/>
      <c r="CB23" s="32"/>
      <c r="CC23" s="32"/>
      <c r="CD23" s="32"/>
      <c r="CE23" s="32">
        <v>0</v>
      </c>
      <c r="CF23" s="32"/>
      <c r="CG23" s="32"/>
      <c r="CH23" s="32"/>
      <c r="CI23" s="32">
        <f t="shared" si="3"/>
        <v>0</v>
      </c>
      <c r="CJ23" s="60">
        <f>IF((Table1[[#This Row],["Volume
BA MC-0"]]-Table1[[#This Row],[Total Panjang Pipa Aktual
(Sum-&gt;)3]]-Table1[[#This Row],[Total Volume
tidak dapat dipasang]])&gt;=0,Table1[[#This Row],["Volume
BA MC-0"]]-Table1[[#This Row],[Total Panjang Pipa Aktual
(Sum-&gt;)3]]-Table1[[#This Row],[Total Volume
tidak dapat dipasang]],0)</f>
        <v>0</v>
      </c>
      <c r="CK23" s="42"/>
      <c r="CL23" s="113"/>
      <c r="CM23" s="35"/>
      <c r="CN23" s="113"/>
      <c r="CO23" s="113"/>
      <c r="CP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 s="61">
        <f>IFERROR(Table1[[#This Row],[Progres Keg. Umum
(%)]]*Table1[[#This Row],[Nilai RAB Jaringan
(file pa aji)]],0)</f>
        <v>0</v>
      </c>
      <c r="CR23" s="61">
        <f>IFERROR(Table1[[#This Row],[Progres MOS
(%)]]*Table1[[#This Row],[Nilai RAB Jaringan
(file pa aji)]],0)</f>
        <v>0</v>
      </c>
      <c r="CS23" s="61">
        <f>IFERROR(Table1[[#This Row],[Progres Pemasangan
(%)]]*Table1[[#This Row],[Nilai RAB Jaringan
(file pa aji)]],0)</f>
        <v>0</v>
      </c>
      <c r="CT23" s="61">
        <f>IFERROR(Table1[[#This Row],[Progres Perizinan
(%)]]*Table1[[#This Row],[Nilai RAB Jaringan
(file pa aji)]],0)</f>
        <v>0</v>
      </c>
      <c r="CU23" s="789">
        <v>137939542</v>
      </c>
      <c r="CV23" s="299">
        <v>137939542</v>
      </c>
      <c r="CW23" s="552">
        <v>137939542</v>
      </c>
      <c r="CX23" s="789">
        <f>_xlfn.XLOOKUP(Table1[[#This Row],[Kode Program]],'[1]Breakdown VOWD Greenfield'!$E:$E,'[1]Breakdown VOWD Greenfield'!$AT:$AT)</f>
        <v>137939542</v>
      </c>
      <c r="CY23" s="42"/>
      <c r="CZ23" s="300">
        <v>45530</v>
      </c>
      <c r="DA23" s="300">
        <v>45543</v>
      </c>
      <c r="DB23" s="301"/>
      <c r="DC23" s="286"/>
      <c r="DD23" s="62"/>
      <c r="DE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3" s="301"/>
      <c r="DG23" s="286"/>
      <c r="DH23" s="62"/>
      <c r="DI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3" s="300">
        <v>45544</v>
      </c>
      <c r="DK23" s="300">
        <v>45592</v>
      </c>
      <c r="DL23" s="301">
        <v>45545</v>
      </c>
      <c r="DM23" s="327" t="s">
        <v>353</v>
      </c>
      <c r="DN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 s="301">
        <v>45586</v>
      </c>
      <c r="DP23" s="286" t="s">
        <v>354</v>
      </c>
      <c r="DQ23" s="308" t="s">
        <v>344</v>
      </c>
      <c r="DR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 s="300">
        <v>45544</v>
      </c>
      <c r="DT23" s="300" t="e">
        <v>#N/A</v>
      </c>
      <c r="DU23" s="300">
        <v>45571</v>
      </c>
      <c r="DV23" s="300" t="e">
        <v>#N/A</v>
      </c>
      <c r="DW23" s="301"/>
      <c r="DX23" s="286"/>
      <c r="DY23" s="304"/>
      <c r="DZ23" s="304"/>
      <c r="EA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3" s="301"/>
      <c r="EC23" s="302"/>
      <c r="ED23" s="302"/>
      <c r="EE23" s="300"/>
      <c r="EF23" s="35">
        <v>1</v>
      </c>
      <c r="EG23" s="307">
        <v>1</v>
      </c>
      <c r="EH23" s="286" t="str">
        <f>IF(Table1[[#This Row],[PO Material Aktual 
(%)]]&gt;=100%,"Selesai PO = 100%",IF(Table1[[#This Row],[PO Material Aktual 
(%)]]&gt;=50%,"Proses PO &gt; 100%",IF(Table1[[#This Row],[PO Material Aktual 
(%)]]&gt;0%,"Proses PO &gt; 50%",IF(Table1[[#This Row],[PO Material Aktual 
(%)]]=0,"Belum PO = 0%"))))</f>
        <v>Selesai PO = 100%</v>
      </c>
      <c r="EI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 s="300">
        <v>45572</v>
      </c>
      <c r="EK23" s="300" t="e">
        <v>#N/A</v>
      </c>
      <c r="EL23" s="300">
        <v>45620</v>
      </c>
      <c r="EM23" s="300" t="e">
        <v>#N/A</v>
      </c>
      <c r="EN23" s="301"/>
      <c r="EO23" s="302"/>
      <c r="EP23" s="302"/>
      <c r="EQ23" s="82">
        <v>1</v>
      </c>
      <c r="ER23" s="82">
        <v>1</v>
      </c>
      <c r="ES23" s="286" t="str">
        <f>IF(Table1[[#This Row],[Progres MOS]]&gt;=100%,"Selesai MOS = 100%",IF(Table1[[#This Row],[Progres MOS]]&gt;=50%,"Proses MOS &gt; 100%",IF(Table1[[#This Row],[Progres MOS]]&gt;0%,"Proses MOS &gt; 50%",IF(Table1[[#This Row],[Progres MOS]]=0,"Belum MOS = 0%"))))</f>
        <v>Selesai MOS = 100%</v>
      </c>
      <c r="ET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 s="42"/>
      <c r="EV23" s="300">
        <v>45544</v>
      </c>
      <c r="EW23" s="300" t="e">
        <v>#N/A</v>
      </c>
      <c r="EX23" s="300">
        <v>45620</v>
      </c>
      <c r="EY23" s="300" t="e">
        <v>#N/A</v>
      </c>
      <c r="EZ23" s="322" t="s">
        <v>298</v>
      </c>
      <c r="FA23" s="306" t="s">
        <v>259</v>
      </c>
      <c r="FB23" s="300" t="s">
        <v>260</v>
      </c>
      <c r="FC23" s="300">
        <v>45796</v>
      </c>
      <c r="FD23" s="300" t="s">
        <v>260</v>
      </c>
      <c r="FE23" s="300">
        <v>45895</v>
      </c>
      <c r="FF23" s="300">
        <v>45944</v>
      </c>
      <c r="FG23" s="300" t="s">
        <v>260</v>
      </c>
      <c r="FH23" s="300" t="s">
        <v>260</v>
      </c>
      <c r="FI23" s="300">
        <v>46021</v>
      </c>
      <c r="FJ23" s="300" t="s">
        <v>260</v>
      </c>
      <c r="FK23" s="300">
        <v>46087</v>
      </c>
      <c r="FL23" s="306" t="s">
        <v>298</v>
      </c>
      <c r="FM23" s="306">
        <v>45796</v>
      </c>
      <c r="FN23" s="284">
        <f>IF(Table1[[#This Row],[Tanggal Pengajuan Dokumen]]="","",Table1[[#This Row],[PLAN PERMIT
start]]-Table1[[#This Row],[Tanggal Pengajuan Dokumen]])</f>
        <v>-252</v>
      </c>
      <c r="FO23" s="306"/>
      <c r="FP23" s="286"/>
      <c r="FQ23" s="308"/>
      <c r="FR23" s="322"/>
      <c r="FS23" s="308" t="str">
        <f t="shared" si="4"/>
        <v>Sudah Terbit</v>
      </c>
      <c r="FT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 s="314">
        <f ca="1">IF(Table1[[#This Row],[Status Izin]]="Selesai",Table1[[#This Row],[PLAN PERMIT
finish]]-Table1[[#This Row],[Tanggal Terbit/ Target Izin Terbit]],ROUNDUP(Table1[[#This Row],[PLAN PERMIT
finish]]-NOW(),0))</f>
        <v>45620</v>
      </c>
      <c r="FV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 s="314"/>
      <c r="FX23" s="42"/>
      <c r="FY23" s="310"/>
      <c r="FZ23" s="311"/>
      <c r="GA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 s="300">
        <v>45594</v>
      </c>
      <c r="GC23" s="301">
        <v>45569</v>
      </c>
      <c r="GD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 s="300">
        <v>45601</v>
      </c>
      <c r="GF23" s="301">
        <v>45569</v>
      </c>
      <c r="GG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 s="300">
        <v>45607</v>
      </c>
      <c r="GI23" s="300">
        <v>45613</v>
      </c>
      <c r="GJ23" s="323">
        <v>45600</v>
      </c>
      <c r="GK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 s="300">
        <v>45621</v>
      </c>
      <c r="GM23" s="300" t="e">
        <v>#N/A</v>
      </c>
      <c r="GN23" s="300">
        <v>45641</v>
      </c>
      <c r="GO23" s="300" t="e">
        <v>#N/A</v>
      </c>
      <c r="GP23" s="286"/>
      <c r="GQ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 s="300" t="s">
        <v>261</v>
      </c>
      <c r="GS23" s="300" t="s">
        <v>261</v>
      </c>
      <c r="GT23" s="324">
        <v>45619</v>
      </c>
      <c r="GU23" s="314" t="str">
        <f>IF(Table1[[#This Row],[Hydro Tes Actual
(tanggal)]]&lt;&gt;"","Sudah","Belum")</f>
        <v>Sudah</v>
      </c>
      <c r="GV23" s="300" t="s">
        <v>261</v>
      </c>
      <c r="GW23" s="300" t="s">
        <v>261</v>
      </c>
      <c r="GX23" s="301">
        <v>45636</v>
      </c>
      <c r="GY23" s="314" t="str">
        <f>IF(Table1[[#This Row],[Interkoneksi Actual
(tanggal)]]&lt;&gt;"","Sudah","Belum")</f>
        <v>Sudah</v>
      </c>
      <c r="GZ23" s="300" t="s">
        <v>261</v>
      </c>
      <c r="HA23" s="300" t="s">
        <v>261</v>
      </c>
      <c r="HB23" s="301">
        <v>45639</v>
      </c>
      <c r="HC23" s="314" t="str">
        <f>IF(Table1[[#This Row],[Flushing Actual
(tanggal)]]&lt;&gt;"","Sudah","Belum")</f>
        <v>Sudah</v>
      </c>
      <c r="HD23" s="300">
        <v>45628</v>
      </c>
      <c r="HE23" s="300" t="e">
        <v>#N/A</v>
      </c>
      <c r="HF23" s="300">
        <v>45634</v>
      </c>
      <c r="HG23" s="316">
        <v>45691</v>
      </c>
      <c r="HH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 s="300" t="s">
        <v>261</v>
      </c>
      <c r="HJ23" s="300" t="s">
        <v>261</v>
      </c>
      <c r="HK23" s="301"/>
      <c r="HL23" s="286"/>
      <c r="HM23" s="300">
        <v>45646</v>
      </c>
      <c r="HN23" s="300">
        <v>45646</v>
      </c>
      <c r="HO23" s="300" t="e">
        <v>#N/A</v>
      </c>
      <c r="HP23" s="300"/>
      <c r="HQ23" s="316">
        <v>45728</v>
      </c>
      <c r="HR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 s="300">
        <v>45653</v>
      </c>
      <c r="HT23" s="300"/>
      <c r="HU23" s="300">
        <v>45653</v>
      </c>
      <c r="HV23" s="497"/>
      <c r="HW23" s="300">
        <v>45745</v>
      </c>
      <c r="HX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 s="42"/>
      <c r="HZ23" s="322"/>
      <c r="IA23" s="306"/>
      <c r="IC23" s="585">
        <f>IFERROR(ROUND((Table1[[#This Row],[PLAN TC
finish]]-Table1[[#This Row],[PLAN MC-0
start]])/30,2),"")</f>
        <v>0.9</v>
      </c>
      <c r="ID23">
        <f>DATEDIF(Table1[[#This Row],[PLAN MC-0
start]],Table1[[#This Row],[PLAN TC
finish]],"m")</f>
        <v>0</v>
      </c>
    </row>
    <row r="24" spans="1:238" s="4" customFormat="1" ht="15" customHeight="1" x14ac:dyDescent="0.25">
      <c r="B24" s="281">
        <f>SUBTOTAL(3,$D$5:D24)</f>
        <v>20</v>
      </c>
      <c r="C24" s="318">
        <v>20</v>
      </c>
      <c r="D24" s="285" t="s">
        <v>244</v>
      </c>
      <c r="E24" s="285" t="s">
        <v>355</v>
      </c>
      <c r="F24" s="285" t="s">
        <v>356</v>
      </c>
      <c r="G24" s="319">
        <v>45752</v>
      </c>
      <c r="H24" s="284" t="s">
        <v>247</v>
      </c>
      <c r="I24" s="285" t="s">
        <v>278</v>
      </c>
      <c r="J24" s="285"/>
      <c r="K24" s="308" t="s">
        <v>249</v>
      </c>
      <c r="L24" s="286" t="s">
        <v>250</v>
      </c>
      <c r="M24" s="286" t="s">
        <v>269</v>
      </c>
      <c r="N24" s="94">
        <v>67</v>
      </c>
      <c r="O24" s="31" t="s">
        <v>252</v>
      </c>
      <c r="P2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4" s="82" t="e">
        <v>#N/A</v>
      </c>
      <c r="S24" s="82">
        <v>1</v>
      </c>
      <c r="T24" s="35">
        <f>Table1[[#This Row],[Progres Total Aktual
(%)]]</f>
        <v>1</v>
      </c>
      <c r="U24" s="106">
        <f>Table1[[#This Row],[Progres Aktual
(%)]]-Table1[[#This Row],[Target Progres
(%)]]</f>
        <v>0</v>
      </c>
      <c r="V24" s="320">
        <f>Table1[[#This Row],["Volume
BA MC-0"]]</f>
        <v>83</v>
      </c>
      <c r="W24" s="321">
        <f>Table1[[#This Row],[Total Panjang Pipa Aktual
(Sum-&gt;)3]]</f>
        <v>83</v>
      </c>
      <c r="X24" s="42"/>
      <c r="Y24" s="62" t="s">
        <v>357</v>
      </c>
      <c r="Z24" s="62">
        <v>186014217</v>
      </c>
      <c r="AA24" s="62">
        <f>ROUND((Table1[[#This Row],[Nilai RAB Jaringan
(Exclude Ppn)]]-Table1[[#This Row],[RAB Perizinan]])*1.11+Table1[[#This Row],[RAB Perizinan]],0)</f>
        <v>0</v>
      </c>
      <c r="AB24" s="290">
        <f>SUM(Table1[[#This Row],[RAB Kegiatan Umum]:[RAB Perizinan]])</f>
        <v>0</v>
      </c>
      <c r="AC24" s="290"/>
      <c r="AD24" s="290"/>
      <c r="AE24" s="290"/>
      <c r="AF24" s="290"/>
      <c r="AG24" s="290">
        <v>36893670</v>
      </c>
      <c r="AH24" s="35" t="e">
        <f>SUM(Table1[[#This Row],[Bobot Keg Umum]:[Bobot Perizinan]])</f>
        <v>#DIV/0!</v>
      </c>
      <c r="AI24" s="35" t="e">
        <f>Table1[[#This Row],[RAB Kegiatan Umum]]/Table1[[#This Row],[Nilai RAB Jaringan
(Exclude Ppn)]]</f>
        <v>#DIV/0!</v>
      </c>
      <c r="AJ24" s="35" t="e">
        <f>Table1[[#This Row],[RAB Pemasangan]]/Table1[[#This Row],[Nilai RAB Jaringan
(Exclude Ppn)]]</f>
        <v>#DIV/0!</v>
      </c>
      <c r="AK24" s="35" t="e">
        <f>Table1[[#This Row],[RAB Pengadaan]]/Table1[[#This Row],[Nilai RAB Jaringan
(Exclude Ppn)]]</f>
        <v>#DIV/0!</v>
      </c>
      <c r="AL24" s="35" t="e">
        <f>Table1[[#This Row],[RAB Perizinan]]/Table1[[#This Row],[Nilai RAB Jaringan
(Exclude Ppn)]]</f>
        <v>#DIV/0!</v>
      </c>
      <c r="AM24" s="42"/>
      <c r="AN24" s="256">
        <v>83</v>
      </c>
      <c r="AO24" s="256">
        <f>SUM(Table1[[#This Row],[Pipa 63 mm]:[Pipa 1,800 mm]])</f>
        <v>0</v>
      </c>
      <c r="AP24" s="256"/>
      <c r="AQ24" s="256"/>
      <c r="AR24" s="256"/>
      <c r="AS24" s="256"/>
      <c r="AT24" s="256"/>
      <c r="AU24" s="256"/>
      <c r="AV24" s="256"/>
      <c r="AW24" s="256"/>
      <c r="AX24" s="256"/>
      <c r="AY24" s="256"/>
      <c r="AZ24" s="256"/>
      <c r="BA24" s="256"/>
      <c r="BB24" s="256"/>
      <c r="BC24" s="256"/>
      <c r="BD24" s="256"/>
      <c r="BE24" s="256"/>
      <c r="BF24" s="256"/>
      <c r="BG24" s="256"/>
      <c r="BH24" s="256"/>
      <c r="BI24" s="256"/>
      <c r="BJ24" s="36">
        <f>SUM(Table1[[#This Row],[Pipa 63 mm2]:[Pipa 1,800 mm21]])</f>
        <v>83</v>
      </c>
      <c r="BK24" s="32">
        <v>83</v>
      </c>
      <c r="BL24" s="32"/>
      <c r="BM24" s="32"/>
      <c r="BN24" s="32"/>
      <c r="BO24" s="32"/>
      <c r="BP24" s="32"/>
      <c r="BQ24" s="32"/>
      <c r="BR24" s="32"/>
      <c r="BS24" s="32"/>
      <c r="BT24" s="32"/>
      <c r="BU24" s="32"/>
      <c r="BV24" s="32"/>
      <c r="BW24" s="32"/>
      <c r="BX24" s="32"/>
      <c r="BY24" s="32"/>
      <c r="BZ24" s="32"/>
      <c r="CA24" s="32"/>
      <c r="CB24" s="32"/>
      <c r="CC24" s="32"/>
      <c r="CD24" s="32"/>
      <c r="CE24" s="32">
        <v>0</v>
      </c>
      <c r="CF24" s="32"/>
      <c r="CG24" s="32"/>
      <c r="CH24" s="32"/>
      <c r="CI24" s="32">
        <f t="shared" si="3"/>
        <v>0</v>
      </c>
      <c r="CJ24" s="60">
        <f>IF((Table1[[#This Row],["Volume
BA MC-0"]]-Table1[[#This Row],[Total Panjang Pipa Aktual
(Sum-&gt;)3]]-Table1[[#This Row],[Total Volume
tidak dapat dipasang]])&gt;=0,Table1[[#This Row],["Volume
BA MC-0"]]-Table1[[#This Row],[Total Panjang Pipa Aktual
(Sum-&gt;)3]]-Table1[[#This Row],[Total Volume
tidak dapat dipasang]],0)</f>
        <v>0</v>
      </c>
      <c r="CK24" s="42"/>
      <c r="CL24" s="113"/>
      <c r="CM24" s="35"/>
      <c r="CN24" s="113"/>
      <c r="CO24" s="113"/>
      <c r="CP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4" s="61">
        <f>IFERROR(Table1[[#This Row],[Progres Keg. Umum
(%)]]*Table1[[#This Row],[Nilai RAB Jaringan
(file pa aji)]],0)</f>
        <v>0</v>
      </c>
      <c r="CR24" s="61">
        <f>IFERROR(Table1[[#This Row],[Progres MOS
(%)]]*Table1[[#This Row],[Nilai RAB Jaringan
(file pa aji)]],0)</f>
        <v>0</v>
      </c>
      <c r="CS24" s="61">
        <f>IFERROR(Table1[[#This Row],[Progres Pemasangan
(%)]]*Table1[[#This Row],[Nilai RAB Jaringan
(file pa aji)]],0)</f>
        <v>0</v>
      </c>
      <c r="CT24" s="61">
        <f>IFERROR(Table1[[#This Row],[Progres Perizinan
(%)]]*Table1[[#This Row],[Nilai RAB Jaringan
(file pa aji)]],0)</f>
        <v>0</v>
      </c>
      <c r="CU24" s="789">
        <v>166152224</v>
      </c>
      <c r="CV24" s="299">
        <v>166152224</v>
      </c>
      <c r="CW24" s="552">
        <v>166152224</v>
      </c>
      <c r="CX24" s="789">
        <f>_xlfn.XLOOKUP(Table1[[#This Row],[Kode Program]],'[1]Breakdown VOWD Greenfield'!$E:$E,'[1]Breakdown VOWD Greenfield'!$AT:$AT)</f>
        <v>166152224</v>
      </c>
      <c r="CY24" s="42"/>
      <c r="CZ24" s="300">
        <v>45530</v>
      </c>
      <c r="DA24" s="300">
        <v>45543</v>
      </c>
      <c r="DB24" s="301"/>
      <c r="DC24" s="286"/>
      <c r="DD24" s="62"/>
      <c r="DE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4" s="301"/>
      <c r="DG24" s="286"/>
      <c r="DH24" s="62"/>
      <c r="DI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4" s="300">
        <v>45544</v>
      </c>
      <c r="DK24" s="300">
        <v>45592</v>
      </c>
      <c r="DL24" s="301">
        <v>45567</v>
      </c>
      <c r="DM24" s="327" t="s">
        <v>358</v>
      </c>
      <c r="DN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 s="301">
        <v>45588</v>
      </c>
      <c r="DP24" s="286" t="s">
        <v>359</v>
      </c>
      <c r="DQ24" s="308" t="s">
        <v>344</v>
      </c>
      <c r="DR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 s="300">
        <v>45544</v>
      </c>
      <c r="DT24" s="300" t="e">
        <v>#N/A</v>
      </c>
      <c r="DU24" s="300">
        <v>45571</v>
      </c>
      <c r="DV24" s="300" t="e">
        <v>#N/A</v>
      </c>
      <c r="DW24" s="301"/>
      <c r="DX24" s="286"/>
      <c r="DY24" s="304"/>
      <c r="DZ24" s="304"/>
      <c r="EA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4" s="301"/>
      <c r="EC24" s="302"/>
      <c r="ED24" s="302"/>
      <c r="EE24" s="300"/>
      <c r="EF24" s="35">
        <v>1</v>
      </c>
      <c r="EG24" s="307">
        <v>1</v>
      </c>
      <c r="EH24" s="286" t="str">
        <f>IF(Table1[[#This Row],[PO Material Aktual 
(%)]]&gt;=100%,"Selesai PO = 100%",IF(Table1[[#This Row],[PO Material Aktual 
(%)]]&gt;=50%,"Proses PO &gt; 100%",IF(Table1[[#This Row],[PO Material Aktual 
(%)]]&gt;0%,"Proses PO &gt; 50%",IF(Table1[[#This Row],[PO Material Aktual 
(%)]]=0,"Belum PO = 0%"))))</f>
        <v>Selesai PO = 100%</v>
      </c>
      <c r="EI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 s="300">
        <v>45572</v>
      </c>
      <c r="EK24" s="300" t="e">
        <v>#N/A</v>
      </c>
      <c r="EL24" s="300">
        <v>45620</v>
      </c>
      <c r="EM24" s="300" t="e">
        <v>#N/A</v>
      </c>
      <c r="EN24" s="301"/>
      <c r="EO24" s="302"/>
      <c r="EP24" s="302"/>
      <c r="EQ24" s="82">
        <v>1</v>
      </c>
      <c r="ER24" s="82">
        <v>1</v>
      </c>
      <c r="ES24" s="286" t="str">
        <f>IF(Table1[[#This Row],[Progres MOS]]&gt;=100%,"Selesai MOS = 100%",IF(Table1[[#This Row],[Progres MOS]]&gt;=50%,"Proses MOS &gt; 100%",IF(Table1[[#This Row],[Progres MOS]]&gt;0%,"Proses MOS &gt; 50%",IF(Table1[[#This Row],[Progres MOS]]=0,"Belum MOS = 0%"))))</f>
        <v>Selesai MOS = 100%</v>
      </c>
      <c r="ET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 s="42"/>
      <c r="EV24" s="300">
        <v>45544</v>
      </c>
      <c r="EW24" s="300" t="e">
        <v>#N/A</v>
      </c>
      <c r="EX24" s="300">
        <v>45620</v>
      </c>
      <c r="EY24" s="300" t="e">
        <v>#N/A</v>
      </c>
      <c r="EZ24" s="322" t="s">
        <v>259</v>
      </c>
      <c r="FA24" s="306" t="s">
        <v>259</v>
      </c>
      <c r="FB24" s="300" t="s">
        <v>260</v>
      </c>
      <c r="FC24" s="300" t="s">
        <v>282</v>
      </c>
      <c r="FD24" s="300" t="s">
        <v>282</v>
      </c>
      <c r="FE24" s="300" t="s">
        <v>282</v>
      </c>
      <c r="FF24" s="300" t="s">
        <v>282</v>
      </c>
      <c r="FG24" s="300" t="s">
        <v>282</v>
      </c>
      <c r="FH24" s="300" t="s">
        <v>282</v>
      </c>
      <c r="FI24" s="300" t="s">
        <v>282</v>
      </c>
      <c r="FJ24" s="300" t="s">
        <v>282</v>
      </c>
      <c r="FK24" s="300" t="s">
        <v>283</v>
      </c>
      <c r="FL24" s="306" t="s">
        <v>259</v>
      </c>
      <c r="FM24" s="306"/>
      <c r="FN24" s="284" t="str">
        <f>IF(Table1[[#This Row],[Tanggal Pengajuan Dokumen]]="","",Table1[[#This Row],[PLAN PERMIT
start]]-Table1[[#This Row],[Tanggal Pengajuan Dokumen]])</f>
        <v/>
      </c>
      <c r="FO24" s="306"/>
      <c r="FP24" s="286"/>
      <c r="FQ24" s="308"/>
      <c r="FR24" s="322"/>
      <c r="FS24" s="308" t="str">
        <f t="shared" si="4"/>
        <v>Sudah Terbit</v>
      </c>
      <c r="FT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 s="314">
        <f ca="1">IF(Table1[[#This Row],[Status Izin]]="Selesai",Table1[[#This Row],[PLAN PERMIT
finish]]-Table1[[#This Row],[Tanggal Terbit/ Target Izin Terbit]],ROUNDUP(Table1[[#This Row],[PLAN PERMIT
finish]]-NOW(),0))</f>
        <v>45620</v>
      </c>
      <c r="FV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 s="314"/>
      <c r="FX24" s="42"/>
      <c r="FY24" s="310"/>
      <c r="FZ24" s="311"/>
      <c r="GA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4" s="300">
        <v>45594</v>
      </c>
      <c r="GC24" s="301">
        <v>45569</v>
      </c>
      <c r="GD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 s="300">
        <v>45601</v>
      </c>
      <c r="GF24" s="301">
        <v>45569</v>
      </c>
      <c r="GG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 s="300">
        <v>45607</v>
      </c>
      <c r="GI24" s="300">
        <v>45613</v>
      </c>
      <c r="GJ24" s="323">
        <v>45600</v>
      </c>
      <c r="GK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 s="300">
        <v>45621</v>
      </c>
      <c r="GM24" s="300" t="e">
        <v>#N/A</v>
      </c>
      <c r="GN24" s="300">
        <v>45641</v>
      </c>
      <c r="GO24" s="300" t="e">
        <v>#N/A</v>
      </c>
      <c r="GP24" s="286"/>
      <c r="GQ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 s="300" t="s">
        <v>261</v>
      </c>
      <c r="GS24" s="300" t="s">
        <v>261</v>
      </c>
      <c r="GT24" s="324">
        <v>45617</v>
      </c>
      <c r="GU24" s="314" t="str">
        <f>IF(Table1[[#This Row],[Hydro Tes Actual
(tanggal)]]&lt;&gt;"","Sudah","Belum")</f>
        <v>Sudah</v>
      </c>
      <c r="GV24" s="300" t="s">
        <v>261</v>
      </c>
      <c r="GW24" s="300" t="s">
        <v>261</v>
      </c>
      <c r="GX24" s="301">
        <v>45624</v>
      </c>
      <c r="GY24" s="314" t="str">
        <f>IF(Table1[[#This Row],[Interkoneksi Actual
(tanggal)]]&lt;&gt;"","Sudah","Belum")</f>
        <v>Sudah</v>
      </c>
      <c r="GZ24" s="300" t="s">
        <v>261</v>
      </c>
      <c r="HA24" s="300" t="s">
        <v>261</v>
      </c>
      <c r="HB24" s="301">
        <v>45627</v>
      </c>
      <c r="HC24" s="314" t="str">
        <f>IF(Table1[[#This Row],[Flushing Actual
(tanggal)]]&lt;&gt;"","Sudah","Belum")</f>
        <v>Sudah</v>
      </c>
      <c r="HD24" s="300">
        <v>45628</v>
      </c>
      <c r="HE24" s="300" t="e">
        <v>#N/A</v>
      </c>
      <c r="HF24" s="300">
        <v>45634</v>
      </c>
      <c r="HG24" s="316">
        <v>45688</v>
      </c>
      <c r="HH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 s="300" t="s">
        <v>261</v>
      </c>
      <c r="HJ24" s="300" t="s">
        <v>261</v>
      </c>
      <c r="HK24" s="301"/>
      <c r="HL24" s="286"/>
      <c r="HM24" s="300">
        <v>45646</v>
      </c>
      <c r="HN24" s="300">
        <v>45646</v>
      </c>
      <c r="HO24" s="300" t="e">
        <v>#N/A</v>
      </c>
      <c r="HP24" s="300"/>
      <c r="HQ24" s="316">
        <v>45728</v>
      </c>
      <c r="HR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4" s="300">
        <v>45653</v>
      </c>
      <c r="HT24" s="300"/>
      <c r="HU24" s="300">
        <v>45653</v>
      </c>
      <c r="HV24" s="497"/>
      <c r="HW24" s="300">
        <v>45745</v>
      </c>
      <c r="HX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4" s="42"/>
      <c r="HZ24" s="322"/>
      <c r="IA24" s="306"/>
      <c r="IC24" s="585">
        <f>IFERROR(ROUND((Table1[[#This Row],[PLAN TC
finish]]-Table1[[#This Row],[PLAN MC-0
start]])/30,2),"")</f>
        <v>0.9</v>
      </c>
      <c r="ID24">
        <f>DATEDIF(Table1[[#This Row],[PLAN MC-0
start]],Table1[[#This Row],[PLAN TC
finish]],"m")</f>
        <v>0</v>
      </c>
    </row>
    <row r="25" spans="1:238" s="4" customFormat="1" ht="15" customHeight="1" x14ac:dyDescent="0.25">
      <c r="B25" s="281">
        <f>SUBTOTAL(3,$D$5:D25)</f>
        <v>21</v>
      </c>
      <c r="C25" s="318">
        <v>21</v>
      </c>
      <c r="D25" s="285" t="s">
        <v>244</v>
      </c>
      <c r="E25" s="285" t="s">
        <v>360</v>
      </c>
      <c r="F25" s="285" t="s">
        <v>361</v>
      </c>
      <c r="G25" s="319">
        <v>45752</v>
      </c>
      <c r="H25" s="284" t="s">
        <v>247</v>
      </c>
      <c r="I25" s="285" t="s">
        <v>278</v>
      </c>
      <c r="J25" s="285"/>
      <c r="K25" s="308" t="s">
        <v>249</v>
      </c>
      <c r="L25" s="286" t="s">
        <v>250</v>
      </c>
      <c r="M25" s="286" t="s">
        <v>269</v>
      </c>
      <c r="N25" s="94">
        <v>385</v>
      </c>
      <c r="O25" s="31" t="s">
        <v>252</v>
      </c>
      <c r="P2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 s="82" t="e">
        <v>#N/A</v>
      </c>
      <c r="S25" s="82">
        <v>1</v>
      </c>
      <c r="T25" s="35">
        <f>Table1[[#This Row],[Progres Total Aktual
(%)]]</f>
        <v>1</v>
      </c>
      <c r="U25" s="106">
        <f>Table1[[#This Row],[Progres Aktual
(%)]]-Table1[[#This Row],[Target Progres
(%)]]</f>
        <v>0</v>
      </c>
      <c r="V25" s="320">
        <f>Table1[[#This Row],["Volume
BA MC-0"]]</f>
        <v>420</v>
      </c>
      <c r="W25" s="321">
        <f>Table1[[#This Row],[Total Panjang Pipa Aktual
(Sum-&gt;)3]]</f>
        <v>425</v>
      </c>
      <c r="X25" s="42"/>
      <c r="Y25" s="62" t="s">
        <v>362</v>
      </c>
      <c r="Z25" s="62">
        <v>1057983623</v>
      </c>
      <c r="AA25" s="62">
        <f>ROUND((Table1[[#This Row],[Nilai RAB Jaringan
(Exclude Ppn)]]-Table1[[#This Row],[RAB Perizinan]])*1.11+Table1[[#This Row],[RAB Perizinan]],0)</f>
        <v>0</v>
      </c>
      <c r="AB25" s="290">
        <f>SUM(Table1[[#This Row],[RAB Kegiatan Umum]:[RAB Perizinan]])</f>
        <v>0</v>
      </c>
      <c r="AC25" s="290"/>
      <c r="AD25" s="290"/>
      <c r="AE25" s="290"/>
      <c r="AF25" s="290"/>
      <c r="AG25" s="290">
        <v>2049649</v>
      </c>
      <c r="AH25" s="35" t="e">
        <f>SUM(Table1[[#This Row],[Bobot Keg Umum]:[Bobot Perizinan]])</f>
        <v>#DIV/0!</v>
      </c>
      <c r="AI25" s="35" t="e">
        <f>Table1[[#This Row],[RAB Kegiatan Umum]]/Table1[[#This Row],[Nilai RAB Jaringan
(Exclude Ppn)]]</f>
        <v>#DIV/0!</v>
      </c>
      <c r="AJ25" s="35" t="e">
        <f>Table1[[#This Row],[RAB Pemasangan]]/Table1[[#This Row],[Nilai RAB Jaringan
(Exclude Ppn)]]</f>
        <v>#DIV/0!</v>
      </c>
      <c r="AK25" s="35" t="e">
        <f>Table1[[#This Row],[RAB Pengadaan]]/Table1[[#This Row],[Nilai RAB Jaringan
(Exclude Ppn)]]</f>
        <v>#DIV/0!</v>
      </c>
      <c r="AL25" s="35" t="e">
        <f>Table1[[#This Row],[RAB Perizinan]]/Table1[[#This Row],[Nilai RAB Jaringan
(Exclude Ppn)]]</f>
        <v>#DIV/0!</v>
      </c>
      <c r="AM25" s="42"/>
      <c r="AN25" s="256">
        <v>420</v>
      </c>
      <c r="AO25" s="256">
        <f>SUM(Table1[[#This Row],[Pipa 63 mm]:[Pipa 1,800 mm]])</f>
        <v>0</v>
      </c>
      <c r="AP25" s="256"/>
      <c r="AQ25" s="256"/>
      <c r="AR25" s="256"/>
      <c r="AS25" s="256"/>
      <c r="AT25" s="256"/>
      <c r="AU25" s="256"/>
      <c r="AV25" s="256"/>
      <c r="AW25" s="256"/>
      <c r="AX25" s="256"/>
      <c r="AY25" s="256"/>
      <c r="AZ25" s="256"/>
      <c r="BA25" s="256"/>
      <c r="BB25" s="256"/>
      <c r="BC25" s="256"/>
      <c r="BD25" s="256"/>
      <c r="BE25" s="256"/>
      <c r="BF25" s="256"/>
      <c r="BG25" s="256"/>
      <c r="BH25" s="256"/>
      <c r="BI25" s="256"/>
      <c r="BJ25" s="36">
        <f>SUM(Table1[[#This Row],[Pipa 63 mm2]:[Pipa 1,800 mm21]])</f>
        <v>425</v>
      </c>
      <c r="BK25" s="32">
        <v>125</v>
      </c>
      <c r="BL25" s="32"/>
      <c r="BM25" s="32"/>
      <c r="BN25" s="32">
        <v>300</v>
      </c>
      <c r="BO25" s="32"/>
      <c r="BP25" s="32"/>
      <c r="BQ25" s="32"/>
      <c r="BR25" s="32"/>
      <c r="BS25" s="32"/>
      <c r="BT25" s="32"/>
      <c r="BU25" s="32"/>
      <c r="BV25" s="32"/>
      <c r="BW25" s="32"/>
      <c r="BX25" s="32"/>
      <c r="BY25" s="32"/>
      <c r="BZ25" s="32"/>
      <c r="CA25" s="32"/>
      <c r="CB25" s="32"/>
      <c r="CC25" s="32"/>
      <c r="CD25" s="32"/>
      <c r="CE25" s="32">
        <v>0</v>
      </c>
      <c r="CF25" s="32"/>
      <c r="CG25" s="32"/>
      <c r="CH25" s="32"/>
      <c r="CI25" s="32">
        <f t="shared" si="3"/>
        <v>0</v>
      </c>
      <c r="CJ25" s="60">
        <f>IF((Table1[[#This Row],["Volume
BA MC-0"]]-Table1[[#This Row],[Total Panjang Pipa Aktual
(Sum-&gt;)3]]-Table1[[#This Row],[Total Volume
tidak dapat dipasang]])&gt;=0,Table1[[#This Row],["Volume
BA MC-0"]]-Table1[[#This Row],[Total Panjang Pipa Aktual
(Sum-&gt;)3]]-Table1[[#This Row],[Total Volume
tidak dapat dipasang]],0)</f>
        <v>0</v>
      </c>
      <c r="CK25" s="42"/>
      <c r="CL25" s="113"/>
      <c r="CM25" s="35"/>
      <c r="CN25" s="113"/>
      <c r="CO25" s="113"/>
      <c r="CP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 s="330">
        <f>IFERROR(Table1[[#This Row],[Progres Keg. Umum
(%)]]*Table1[[#This Row],[Nilai RAB Jaringan
(file pa aji)]],0)</f>
        <v>0</v>
      </c>
      <c r="CR25" s="330">
        <f>IFERROR(Table1[[#This Row],[Progres MOS
(%)]]*Table1[[#This Row],[Nilai RAB Jaringan
(file pa aji)]],0)</f>
        <v>0</v>
      </c>
      <c r="CS25" s="330">
        <f>IFERROR(Table1[[#This Row],[Progres Pemasangan
(%)]]*Table1[[#This Row],[Nilai RAB Jaringan
(file pa aji)]],0)</f>
        <v>0</v>
      </c>
      <c r="CT25" s="330">
        <f>IFERROR(Table1[[#This Row],[Progres Perizinan
(%)]]*Table1[[#This Row],[Nilai RAB Jaringan
(file pa aji)]],0)</f>
        <v>0</v>
      </c>
      <c r="CU25" s="789">
        <v>889863370</v>
      </c>
      <c r="CV25" s="299">
        <v>889863370</v>
      </c>
      <c r="CW25" s="552">
        <v>889863370</v>
      </c>
      <c r="CX25" s="789">
        <f>_xlfn.XLOOKUP(Table1[[#This Row],[Kode Program]],'[1]Breakdown VOWD Greenfield'!$E:$E,'[1]Breakdown VOWD Greenfield'!$AT:$AT)</f>
        <v>889863370</v>
      </c>
      <c r="CY25" s="42"/>
      <c r="CZ25" s="300">
        <v>45530</v>
      </c>
      <c r="DA25" s="300">
        <v>45550</v>
      </c>
      <c r="DB25" s="301"/>
      <c r="DC25" s="286"/>
      <c r="DD25" s="62"/>
      <c r="DE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5" s="301"/>
      <c r="DG25" s="286"/>
      <c r="DH25" s="62"/>
      <c r="DI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5" s="300">
        <v>45551</v>
      </c>
      <c r="DK25" s="300">
        <v>45592</v>
      </c>
      <c r="DL25" s="301">
        <v>45965</v>
      </c>
      <c r="DM25" s="327" t="s">
        <v>363</v>
      </c>
      <c r="DN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 s="301">
        <v>45993</v>
      </c>
      <c r="DP25" s="286" t="s">
        <v>364</v>
      </c>
      <c r="DQ25" s="308" t="s">
        <v>365</v>
      </c>
      <c r="DR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 s="300">
        <v>45551</v>
      </c>
      <c r="DT25" s="300" t="e">
        <v>#N/A</v>
      </c>
      <c r="DU25" s="300">
        <v>45585</v>
      </c>
      <c r="DV25" s="300" t="e">
        <v>#N/A</v>
      </c>
      <c r="DW25" s="301"/>
      <c r="DX25" s="286"/>
      <c r="DY25" s="304"/>
      <c r="DZ25" s="304"/>
      <c r="EA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5" s="301"/>
      <c r="EC25" s="302"/>
      <c r="ED25" s="302"/>
      <c r="EE25" s="300"/>
      <c r="EF25" s="35">
        <v>1</v>
      </c>
      <c r="EG25" s="307">
        <v>1</v>
      </c>
      <c r="EH25" s="286" t="str">
        <f>IF(Table1[[#This Row],[PO Material Aktual 
(%)]]&gt;=100%,"Selesai PO = 100%",IF(Table1[[#This Row],[PO Material Aktual 
(%)]]&gt;=50%,"Proses PO &gt; 100%",IF(Table1[[#This Row],[PO Material Aktual 
(%)]]&gt;0%,"Proses PO &gt; 50%",IF(Table1[[#This Row],[PO Material Aktual 
(%)]]=0,"Belum PO = 0%"))))</f>
        <v>Selesai PO = 100%</v>
      </c>
      <c r="EI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5" s="300">
        <v>45586</v>
      </c>
      <c r="EK25" s="300" t="e">
        <v>#N/A</v>
      </c>
      <c r="EL25" s="300">
        <v>45634</v>
      </c>
      <c r="EM25" s="300" t="e">
        <v>#N/A</v>
      </c>
      <c r="EN25" s="301"/>
      <c r="EO25" s="302"/>
      <c r="EP25" s="302"/>
      <c r="EQ25" s="82">
        <v>1</v>
      </c>
      <c r="ER25" s="82">
        <v>1</v>
      </c>
      <c r="ES25" s="286" t="str">
        <f>IF(Table1[[#This Row],[Progres MOS]]&gt;=100%,"Selesai MOS = 100%",IF(Table1[[#This Row],[Progres MOS]]&gt;=50%,"Proses MOS &gt; 100%",IF(Table1[[#This Row],[Progres MOS]]&gt;0%,"Proses MOS &gt; 50%",IF(Table1[[#This Row],[Progres MOS]]=0,"Belum MOS = 0%"))))</f>
        <v>Selesai MOS = 100%</v>
      </c>
      <c r="ET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5" s="42"/>
      <c r="EV25" s="300">
        <v>45551</v>
      </c>
      <c r="EW25" s="300" t="e">
        <v>#N/A</v>
      </c>
      <c r="EX25" s="300">
        <v>45620</v>
      </c>
      <c r="EY25" s="300" t="e">
        <v>#N/A</v>
      </c>
      <c r="EZ25" s="322" t="s">
        <v>259</v>
      </c>
      <c r="FA25" s="306" t="s">
        <v>259</v>
      </c>
      <c r="FB25" s="300" t="s">
        <v>260</v>
      </c>
      <c r="FC25" s="300">
        <v>45721</v>
      </c>
      <c r="FD25" s="300" t="s">
        <v>260</v>
      </c>
      <c r="FE25" s="300">
        <v>45756</v>
      </c>
      <c r="FF25" s="300">
        <v>45761</v>
      </c>
      <c r="FG25" s="300" t="s">
        <v>260</v>
      </c>
      <c r="FH25" s="300" t="s">
        <v>260</v>
      </c>
      <c r="FI25" s="300">
        <v>45799</v>
      </c>
      <c r="FJ25" s="300" t="s">
        <v>260</v>
      </c>
      <c r="FK25" s="300">
        <v>45889</v>
      </c>
      <c r="FL25" s="306" t="s">
        <v>259</v>
      </c>
      <c r="FM25" s="306">
        <v>45721</v>
      </c>
      <c r="FN25" s="284">
        <f>IF(Table1[[#This Row],[Tanggal Pengajuan Dokumen]]="","",Table1[[#This Row],[PLAN PERMIT
start]]-Table1[[#This Row],[Tanggal Pengajuan Dokumen]])</f>
        <v>-170</v>
      </c>
      <c r="FO25" s="306">
        <v>45889</v>
      </c>
      <c r="FP25" s="286"/>
      <c r="FQ25" s="308"/>
      <c r="FR25" s="322"/>
      <c r="FS25" s="308" t="str">
        <f t="shared" si="4"/>
        <v>Sudah Terbit</v>
      </c>
      <c r="FT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 s="314">
        <f ca="1">IF(Table1[[#This Row],[Status Izin]]="Selesai",Table1[[#This Row],[PLAN PERMIT
finish]]-Table1[[#This Row],[Tanggal Terbit/ Target Izin Terbit]],ROUNDUP(Table1[[#This Row],[PLAN PERMIT
finish]]-NOW(),0))</f>
        <v>-269</v>
      </c>
      <c r="FV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 s="314"/>
      <c r="FX25" s="42"/>
      <c r="FY25" s="310"/>
      <c r="FZ25" s="311"/>
      <c r="GA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5" s="300">
        <v>45594</v>
      </c>
      <c r="GC25" s="301">
        <v>45569</v>
      </c>
      <c r="GD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 s="300">
        <v>45601</v>
      </c>
      <c r="GF25" s="301">
        <v>45569</v>
      </c>
      <c r="GG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 s="300">
        <v>45607</v>
      </c>
      <c r="GI25" s="300">
        <v>45613</v>
      </c>
      <c r="GJ25" s="323">
        <v>45601</v>
      </c>
      <c r="GK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 s="300">
        <v>45621</v>
      </c>
      <c r="GM25" s="300" t="e">
        <v>#N/A</v>
      </c>
      <c r="GN25" s="300">
        <v>45662</v>
      </c>
      <c r="GO25" s="300" t="e">
        <v>#N/A</v>
      </c>
      <c r="GP25" s="286"/>
      <c r="GQ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 s="300" t="s">
        <v>261</v>
      </c>
      <c r="GS25" s="300" t="s">
        <v>261</v>
      </c>
      <c r="GT25" s="324">
        <v>45966</v>
      </c>
      <c r="GU25" s="314" t="str">
        <f>IF(Table1[[#This Row],[Hydro Tes Actual
(tanggal)]]&lt;&gt;"","Sudah","Belum")</f>
        <v>Sudah</v>
      </c>
      <c r="GV25" s="300" t="s">
        <v>261</v>
      </c>
      <c r="GW25" s="300" t="s">
        <v>261</v>
      </c>
      <c r="GX25" s="301">
        <v>45966</v>
      </c>
      <c r="GY25" s="314" t="str">
        <f>IF(Table1[[#This Row],[Interkoneksi Actual
(tanggal)]]&lt;&gt;"","Sudah","Belum")</f>
        <v>Sudah</v>
      </c>
      <c r="GZ25" s="300" t="s">
        <v>261</v>
      </c>
      <c r="HA25" s="300" t="s">
        <v>261</v>
      </c>
      <c r="HB25" s="301">
        <v>45967</v>
      </c>
      <c r="HC25" s="314" t="str">
        <f>IF(Table1[[#This Row],[Flushing Actual
(tanggal)]]&lt;&gt;"","Sudah","Belum")</f>
        <v>Sudah</v>
      </c>
      <c r="HD25" s="300">
        <v>45649</v>
      </c>
      <c r="HE25" s="300" t="e">
        <v>#N/A</v>
      </c>
      <c r="HF25" s="300">
        <v>45655</v>
      </c>
      <c r="HG25" s="316">
        <v>45973</v>
      </c>
      <c r="HH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 s="300" t="s">
        <v>261</v>
      </c>
      <c r="HJ25" s="300" t="s">
        <v>261</v>
      </c>
      <c r="HK25" s="301"/>
      <c r="HL25" s="286"/>
      <c r="HM25" s="300">
        <v>45674</v>
      </c>
      <c r="HN25" s="300">
        <v>45674</v>
      </c>
      <c r="HO25" s="300" t="e">
        <v>#N/A</v>
      </c>
      <c r="HP25" s="300"/>
      <c r="HQ25" s="316">
        <v>45975</v>
      </c>
      <c r="HR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 s="300">
        <v>45681</v>
      </c>
      <c r="HT25" s="300"/>
      <c r="HU25" s="300">
        <v>45681</v>
      </c>
      <c r="HV25" s="497"/>
      <c r="HW25" s="300">
        <v>46002</v>
      </c>
      <c r="HX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 s="42"/>
      <c r="HZ25" s="322"/>
      <c r="IA25" s="306"/>
      <c r="IC25" s="585">
        <f>IFERROR(ROUND((Table1[[#This Row],[PLAN TC
finish]]-Table1[[#This Row],[PLAN MC-0
start]])/30,2),"")</f>
        <v>1.6</v>
      </c>
      <c r="ID25">
        <f>DATEDIF(Table1[[#This Row],[PLAN MC-0
start]],Table1[[#This Row],[PLAN TC
finish]],"m")</f>
        <v>1</v>
      </c>
    </row>
    <row r="26" spans="1:238" s="4" customFormat="1" ht="15" customHeight="1" x14ac:dyDescent="0.25">
      <c r="B26" s="281">
        <f>SUBTOTAL(3,$D$5:D26)</f>
        <v>22</v>
      </c>
      <c r="C26" s="318">
        <v>22</v>
      </c>
      <c r="D26" s="285" t="s">
        <v>244</v>
      </c>
      <c r="E26" s="285" t="s">
        <v>366</v>
      </c>
      <c r="F26" s="285" t="s">
        <v>367</v>
      </c>
      <c r="G26" s="319">
        <v>45752</v>
      </c>
      <c r="H26" s="284" t="s">
        <v>247</v>
      </c>
      <c r="I26" s="285" t="s">
        <v>278</v>
      </c>
      <c r="J26" s="285"/>
      <c r="K26" s="308" t="s">
        <v>249</v>
      </c>
      <c r="L26" s="286" t="s">
        <v>250</v>
      </c>
      <c r="M26" s="286" t="s">
        <v>269</v>
      </c>
      <c r="N26" s="94">
        <v>1394</v>
      </c>
      <c r="O26" s="31" t="s">
        <v>252</v>
      </c>
      <c r="P2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 s="82" t="e">
        <v>#N/A</v>
      </c>
      <c r="S26" s="82">
        <v>1</v>
      </c>
      <c r="T26" s="35">
        <f>Table1[[#This Row],[Progres Total Aktual
(%)]]</f>
        <v>1</v>
      </c>
      <c r="U26" s="106">
        <f>Table1[[#This Row],[Progres Aktual
(%)]]-Table1[[#This Row],[Target Progres
(%)]]</f>
        <v>0</v>
      </c>
      <c r="V26" s="320">
        <f>Table1[[#This Row],["Volume
BA MC-0"]]</f>
        <v>1421</v>
      </c>
      <c r="W26" s="321">
        <f>Table1[[#This Row],[Total Panjang Pipa Aktual
(Sum-&gt;)3]]</f>
        <v>939.5</v>
      </c>
      <c r="X26" s="42"/>
      <c r="Y26" s="62" t="s">
        <v>368</v>
      </c>
      <c r="Z26" s="62">
        <v>2273139709</v>
      </c>
      <c r="AA26" s="62">
        <f>ROUND((Table1[[#This Row],[Nilai RAB Jaringan
(Exclude Ppn)]]-Table1[[#This Row],[RAB Perizinan]])*1.11+Table1[[#This Row],[RAB Perizinan]],0)</f>
        <v>0</v>
      </c>
      <c r="AB26" s="290">
        <f>SUM(Table1[[#This Row],[RAB Kegiatan Umum]:[RAB Perizinan]])</f>
        <v>0</v>
      </c>
      <c r="AC26" s="290"/>
      <c r="AD26" s="290"/>
      <c r="AE26" s="290"/>
      <c r="AF26" s="290"/>
      <c r="AG26" s="290">
        <v>1830335932</v>
      </c>
      <c r="AH26" s="35" t="e">
        <f>SUM(Table1[[#This Row],[Bobot Keg Umum]:[Bobot Perizinan]])</f>
        <v>#DIV/0!</v>
      </c>
      <c r="AI26" s="35" t="e">
        <f>Table1[[#This Row],[RAB Kegiatan Umum]]/Table1[[#This Row],[Nilai RAB Jaringan
(Exclude Ppn)]]</f>
        <v>#DIV/0!</v>
      </c>
      <c r="AJ26" s="35" t="e">
        <f>Table1[[#This Row],[RAB Pemasangan]]/Table1[[#This Row],[Nilai RAB Jaringan
(Exclude Ppn)]]</f>
        <v>#DIV/0!</v>
      </c>
      <c r="AK26" s="35" t="e">
        <f>Table1[[#This Row],[RAB Pengadaan]]/Table1[[#This Row],[Nilai RAB Jaringan
(Exclude Ppn)]]</f>
        <v>#DIV/0!</v>
      </c>
      <c r="AL26" s="35" t="e">
        <f>Table1[[#This Row],[RAB Perizinan]]/Table1[[#This Row],[Nilai RAB Jaringan
(Exclude Ppn)]]</f>
        <v>#DIV/0!</v>
      </c>
      <c r="AM26" s="42"/>
      <c r="AN26" s="256">
        <v>1421</v>
      </c>
      <c r="AO26" s="256">
        <f>SUM(Table1[[#This Row],[Pipa 63 mm]:[Pipa 1,800 mm]])</f>
        <v>0</v>
      </c>
      <c r="AP26" s="256"/>
      <c r="AQ26" s="256"/>
      <c r="AR26" s="256"/>
      <c r="AS26" s="256"/>
      <c r="AT26" s="256"/>
      <c r="AU26" s="256"/>
      <c r="AV26" s="256"/>
      <c r="AW26" s="256"/>
      <c r="AX26" s="256"/>
      <c r="AY26" s="256"/>
      <c r="AZ26" s="256"/>
      <c r="BA26" s="256"/>
      <c r="BB26" s="256"/>
      <c r="BC26" s="256"/>
      <c r="BD26" s="256"/>
      <c r="BE26" s="256"/>
      <c r="BF26" s="256"/>
      <c r="BG26" s="256"/>
      <c r="BH26" s="256"/>
      <c r="BI26" s="256"/>
      <c r="BJ26" s="36">
        <f>SUM(Table1[[#This Row],[Pipa 63 mm2]:[Pipa 1,800 mm21]])</f>
        <v>939.5</v>
      </c>
      <c r="BK26" s="326">
        <v>183.2</v>
      </c>
      <c r="BL26" s="326"/>
      <c r="BM26" s="326">
        <v>756.3</v>
      </c>
      <c r="BN26" s="326"/>
      <c r="BO26" s="326"/>
      <c r="BP26" s="326"/>
      <c r="BQ26" s="326"/>
      <c r="BR26" s="326"/>
      <c r="BS26" s="326"/>
      <c r="BT26" s="326"/>
      <c r="BU26" s="326"/>
      <c r="BV26" s="326"/>
      <c r="BW26" s="326"/>
      <c r="BX26" s="326"/>
      <c r="BY26" s="326"/>
      <c r="BZ26" s="326"/>
      <c r="CA26" s="326"/>
      <c r="CB26" s="326"/>
      <c r="CC26" s="326"/>
      <c r="CD26" s="326"/>
      <c r="CE26" s="32">
        <v>444</v>
      </c>
      <c r="CF26" s="32"/>
      <c r="CG26" s="32"/>
      <c r="CH26" s="32"/>
      <c r="CI26" s="32">
        <f t="shared" si="3"/>
        <v>444</v>
      </c>
      <c r="CJ26" s="60">
        <f>IF((Table1[[#This Row],["Volume
BA MC-0"]]-Table1[[#This Row],[Total Panjang Pipa Aktual
(Sum-&gt;)3]]-Table1[[#This Row],[Total Volume
tidak dapat dipasang]])&gt;=0,Table1[[#This Row],["Volume
BA MC-0"]]-Table1[[#This Row],[Total Panjang Pipa Aktual
(Sum-&gt;)3]]-Table1[[#This Row],[Total Volume
tidak dapat dipasang]],0)</f>
        <v>37.5</v>
      </c>
      <c r="CK26" s="42"/>
      <c r="CL26" s="113"/>
      <c r="CM26" s="35"/>
      <c r="CN26" s="113"/>
      <c r="CO26" s="113"/>
      <c r="CP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 s="331">
        <f>IFERROR(Table1[[#This Row],[Progres Keg. Umum
(%)]]*Table1[[#This Row],[Nilai RAB Jaringan
(file pa aji)]],0)</f>
        <v>0</v>
      </c>
      <c r="CR26" s="331">
        <f>IFERROR(Table1[[#This Row],[Progres MOS
(%)]]*Table1[[#This Row],[Nilai RAB Jaringan
(file pa aji)]],0)</f>
        <v>0</v>
      </c>
      <c r="CS26" s="331">
        <f>IFERROR(Table1[[#This Row],[Progres Pemasangan
(%)]]*Table1[[#This Row],[Nilai RAB Jaringan
(file pa aji)]],0)</f>
        <v>0</v>
      </c>
      <c r="CT26" s="331">
        <f>IFERROR(Table1[[#This Row],[Progres Perizinan
(%)]]*Table1[[#This Row],[Nilai RAB Jaringan
(file pa aji)]],0)</f>
        <v>0</v>
      </c>
      <c r="CU26" s="789">
        <v>1346727737</v>
      </c>
      <c r="CV26" s="299">
        <v>1346727737</v>
      </c>
      <c r="CW26" s="552">
        <v>1346727737</v>
      </c>
      <c r="CX26" s="789">
        <f>_xlfn.XLOOKUP(Table1[[#This Row],[Kode Program]],'[1]Breakdown VOWD Greenfield'!$E:$E,'[1]Breakdown VOWD Greenfield'!$AT:$AT)</f>
        <v>1346727737</v>
      </c>
      <c r="CY26" s="42"/>
      <c r="CZ26" s="300">
        <v>45439</v>
      </c>
      <c r="DA26" s="300">
        <v>45466</v>
      </c>
      <c r="DB26" s="301"/>
      <c r="DC26" s="286"/>
      <c r="DD26" s="62"/>
      <c r="DE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6" s="301"/>
      <c r="DG26" s="286"/>
      <c r="DH26" s="62"/>
      <c r="DI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6" s="300">
        <v>45467</v>
      </c>
      <c r="DK26" s="300">
        <v>45536</v>
      </c>
      <c r="DL26" s="301">
        <v>45508</v>
      </c>
      <c r="DM26" s="327" t="s">
        <v>369</v>
      </c>
      <c r="DN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 s="301">
        <v>45544</v>
      </c>
      <c r="DP26" s="286" t="s">
        <v>370</v>
      </c>
      <c r="DQ26" s="308" t="s">
        <v>371</v>
      </c>
      <c r="DR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 s="300">
        <v>45467</v>
      </c>
      <c r="DT26" s="300" t="e">
        <v>#N/A</v>
      </c>
      <c r="DU26" s="300">
        <v>45508</v>
      </c>
      <c r="DV26" s="300" t="e">
        <v>#N/A</v>
      </c>
      <c r="DW26" s="301"/>
      <c r="DX26" s="286"/>
      <c r="DY26" s="304"/>
      <c r="DZ26" s="304"/>
      <c r="EA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6" s="301"/>
      <c r="EC26" s="302"/>
      <c r="ED26" s="302"/>
      <c r="EE26" s="300"/>
      <c r="EF26" s="35">
        <v>1</v>
      </c>
      <c r="EG26" s="307">
        <v>1</v>
      </c>
      <c r="EH26" s="286" t="str">
        <f>IF(Table1[[#This Row],[PO Material Aktual 
(%)]]&gt;=100%,"Selesai PO = 100%",IF(Table1[[#This Row],[PO Material Aktual 
(%)]]&gt;=50%,"Proses PO &gt; 100%",IF(Table1[[#This Row],[PO Material Aktual 
(%)]]&gt;0%,"Proses PO &gt; 50%",IF(Table1[[#This Row],[PO Material Aktual 
(%)]]=0,"Belum PO = 0%"))))</f>
        <v>Selesai PO = 100%</v>
      </c>
      <c r="EI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 s="300">
        <v>45509</v>
      </c>
      <c r="EK26" s="300" t="e">
        <v>#N/A</v>
      </c>
      <c r="EL26" s="300">
        <v>45620</v>
      </c>
      <c r="EM26" s="300" t="e">
        <v>#N/A</v>
      </c>
      <c r="EN26" s="301"/>
      <c r="EO26" s="302"/>
      <c r="EP26" s="302"/>
      <c r="EQ26" s="82">
        <v>1</v>
      </c>
      <c r="ER26" s="82">
        <v>1</v>
      </c>
      <c r="ES26" s="286" t="str">
        <f>IF(Table1[[#This Row],[Progres MOS]]&gt;=100%,"Selesai MOS = 100%",IF(Table1[[#This Row],[Progres MOS]]&gt;=50%,"Proses MOS &gt; 100%",IF(Table1[[#This Row],[Progres MOS]]&gt;0%,"Proses MOS &gt; 50%",IF(Table1[[#This Row],[Progres MOS]]=0,"Belum MOS = 0%"))))</f>
        <v>Selesai MOS = 100%</v>
      </c>
      <c r="ET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 s="42"/>
      <c r="EV26" s="300">
        <v>45467</v>
      </c>
      <c r="EW26" s="300" t="e">
        <v>#N/A</v>
      </c>
      <c r="EX26" s="300">
        <v>45564</v>
      </c>
      <c r="EY26" s="300" t="e">
        <v>#N/A</v>
      </c>
      <c r="EZ26" s="322" t="s">
        <v>298</v>
      </c>
      <c r="FA26" s="306" t="s">
        <v>259</v>
      </c>
      <c r="FB26" s="300" t="s">
        <v>260</v>
      </c>
      <c r="FC26" s="300">
        <v>45565</v>
      </c>
      <c r="FD26" s="300" t="s">
        <v>260</v>
      </c>
      <c r="FE26" s="300">
        <v>45568</v>
      </c>
      <c r="FF26" s="300">
        <v>45671</v>
      </c>
      <c r="FG26" s="300" t="s">
        <v>260</v>
      </c>
      <c r="FH26" s="300" t="s">
        <v>260</v>
      </c>
      <c r="FI26" s="300">
        <v>45954</v>
      </c>
      <c r="FJ26" s="300" t="s">
        <v>260</v>
      </c>
      <c r="FK26" s="300">
        <v>46087</v>
      </c>
      <c r="FL26" s="306" t="s">
        <v>298</v>
      </c>
      <c r="FM26" s="306">
        <v>45565</v>
      </c>
      <c r="FN26" s="284">
        <f>IF(Table1[[#This Row],[Tanggal Pengajuan Dokumen]]="","",Table1[[#This Row],[PLAN PERMIT
start]]-Table1[[#This Row],[Tanggal Pengajuan Dokumen]])</f>
        <v>-98</v>
      </c>
      <c r="FO26" s="306"/>
      <c r="FP26" s="286" t="s">
        <v>174</v>
      </c>
      <c r="FQ26" s="308"/>
      <c r="FR26" s="322"/>
      <c r="FS26" s="308" t="str">
        <f t="shared" si="4"/>
        <v>Sudah Terbit</v>
      </c>
      <c r="FT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 s="314">
        <f ca="1">IF(Table1[[#This Row],[Status Izin]]="Selesai",Table1[[#This Row],[PLAN PERMIT
finish]]-Table1[[#This Row],[Tanggal Terbit/ Target Izin Terbit]],ROUNDUP(Table1[[#This Row],[PLAN PERMIT
finish]]-NOW(),0))</f>
        <v>45564</v>
      </c>
      <c r="FV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 s="314"/>
      <c r="FX26" s="42"/>
      <c r="FY26" s="310"/>
      <c r="FZ26" s="311"/>
      <c r="GA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 s="300">
        <v>45538</v>
      </c>
      <c r="GC26" s="301">
        <v>45519</v>
      </c>
      <c r="GD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 s="300">
        <v>45545</v>
      </c>
      <c r="GF26" s="301">
        <v>45519</v>
      </c>
      <c r="GG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 s="300">
        <v>45551</v>
      </c>
      <c r="GI26" s="300">
        <v>45557</v>
      </c>
      <c r="GJ26" s="323">
        <v>45556</v>
      </c>
      <c r="GK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 s="300">
        <v>45565</v>
      </c>
      <c r="GM26" s="300" t="e">
        <v>#N/A</v>
      </c>
      <c r="GN26" s="300">
        <v>45690</v>
      </c>
      <c r="GO26" s="300" t="e">
        <v>#N/A</v>
      </c>
      <c r="GP26" s="286"/>
      <c r="GQ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 s="300" t="s">
        <v>261</v>
      </c>
      <c r="GS26" s="300" t="s">
        <v>261</v>
      </c>
      <c r="GT26" s="324">
        <v>45760</v>
      </c>
      <c r="GU26" s="314" t="str">
        <f>IF(Table1[[#This Row],[Hydro Tes Actual
(tanggal)]]&lt;&gt;"","Sudah","Belum")</f>
        <v>Sudah</v>
      </c>
      <c r="GV26" s="300" t="s">
        <v>261</v>
      </c>
      <c r="GW26" s="300" t="s">
        <v>261</v>
      </c>
      <c r="GX26" s="301">
        <v>45713</v>
      </c>
      <c r="GY26" s="314" t="str">
        <f>IF(Table1[[#This Row],[Interkoneksi Actual
(tanggal)]]&lt;&gt;"","Sudah","Belum")</f>
        <v>Sudah</v>
      </c>
      <c r="GZ26" s="300" t="s">
        <v>261</v>
      </c>
      <c r="HA26" s="300" t="s">
        <v>261</v>
      </c>
      <c r="HB26" s="301">
        <v>45761</v>
      </c>
      <c r="HC26" s="314" t="str">
        <f>IF(Table1[[#This Row],[Flushing Actual
(tanggal)]]&lt;&gt;"","Sudah","Belum")</f>
        <v>Sudah</v>
      </c>
      <c r="HD26" s="300">
        <v>45677</v>
      </c>
      <c r="HE26" s="300" t="e">
        <v>#N/A</v>
      </c>
      <c r="HF26" s="300">
        <v>45683</v>
      </c>
      <c r="HG26" s="316">
        <v>45779</v>
      </c>
      <c r="HH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 s="300" t="s">
        <v>261</v>
      </c>
      <c r="HJ26" s="300" t="s">
        <v>261</v>
      </c>
      <c r="HK26" s="301"/>
      <c r="HL26" s="286"/>
      <c r="HM26" s="300">
        <v>45702</v>
      </c>
      <c r="HN26" s="300">
        <v>45702</v>
      </c>
      <c r="HO26" s="300" t="e">
        <v>#N/A</v>
      </c>
      <c r="HP26" s="300"/>
      <c r="HQ26" s="316">
        <v>45796</v>
      </c>
      <c r="HR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 s="300">
        <v>45709</v>
      </c>
      <c r="HT26" s="300"/>
      <c r="HU26" s="300">
        <v>45709</v>
      </c>
      <c r="HV26" s="497"/>
      <c r="HW26" s="300">
        <v>45751</v>
      </c>
      <c r="HX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 s="42"/>
      <c r="HZ26" s="322"/>
      <c r="IA26" s="306"/>
      <c r="IC26" s="585">
        <f>IFERROR(ROUND((Table1[[#This Row],[PLAN TC
finish]]-Table1[[#This Row],[PLAN MC-0
start]])/30,2),"")</f>
        <v>4.4000000000000004</v>
      </c>
      <c r="ID26">
        <f>DATEDIF(Table1[[#This Row],[PLAN MC-0
start]],Table1[[#This Row],[PLAN TC
finish]],"m")</f>
        <v>4</v>
      </c>
    </row>
    <row r="27" spans="1:238" s="4" customFormat="1" ht="15" customHeight="1" x14ac:dyDescent="0.25">
      <c r="B27" s="281">
        <f>SUBTOTAL(3,$D$5:D27)</f>
        <v>23</v>
      </c>
      <c r="C27" s="318">
        <v>23</v>
      </c>
      <c r="D27" s="285" t="s">
        <v>244</v>
      </c>
      <c r="E27" s="285" t="s">
        <v>372</v>
      </c>
      <c r="F27" s="285" t="s">
        <v>373</v>
      </c>
      <c r="G27" s="319">
        <v>45752</v>
      </c>
      <c r="H27" s="284" t="s">
        <v>247</v>
      </c>
      <c r="I27" s="285" t="s">
        <v>278</v>
      </c>
      <c r="J27" s="285"/>
      <c r="K27" s="308" t="s">
        <v>249</v>
      </c>
      <c r="L27" s="286" t="s">
        <v>250</v>
      </c>
      <c r="M27" s="286" t="s">
        <v>269</v>
      </c>
      <c r="N27" s="94">
        <v>944</v>
      </c>
      <c r="O27" s="31" t="s">
        <v>252</v>
      </c>
      <c r="P2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 s="82" t="e">
        <v>#N/A</v>
      </c>
      <c r="S27" s="82">
        <v>1</v>
      </c>
      <c r="T27" s="35">
        <f>Table1[[#This Row],[Progres Total Aktual
(%)]]</f>
        <v>1</v>
      </c>
      <c r="U27" s="106">
        <f>Table1[[#This Row],[Progres Aktual
(%)]]-Table1[[#This Row],[Target Progres
(%)]]</f>
        <v>0</v>
      </c>
      <c r="V27" s="320">
        <f>Table1[[#This Row],["Volume
BA MC-0"]]</f>
        <v>933</v>
      </c>
      <c r="W27" s="321">
        <f>Table1[[#This Row],[Total Panjang Pipa Aktual
(Sum-&gt;)3]]</f>
        <v>434.9</v>
      </c>
      <c r="X27" s="42"/>
      <c r="Y27" s="62" t="s">
        <v>374</v>
      </c>
      <c r="Z27" s="62">
        <v>1460858116</v>
      </c>
      <c r="AA27" s="62">
        <f>ROUND((Table1[[#This Row],[Nilai RAB Jaringan
(Exclude Ppn)]]-Table1[[#This Row],[RAB Perizinan]])*1.11+Table1[[#This Row],[RAB Perizinan]],0)</f>
        <v>0</v>
      </c>
      <c r="AB27" s="290">
        <f>SUM(Table1[[#This Row],[RAB Kegiatan Umum]:[RAB Perizinan]])</f>
        <v>0</v>
      </c>
      <c r="AC27" s="290"/>
      <c r="AD27" s="290"/>
      <c r="AE27" s="290"/>
      <c r="AF27" s="290"/>
      <c r="AG27" s="290">
        <v>1502392204</v>
      </c>
      <c r="AH27" s="35" t="e">
        <f>SUM(Table1[[#This Row],[Bobot Keg Umum]:[Bobot Perizinan]])</f>
        <v>#DIV/0!</v>
      </c>
      <c r="AI27" s="35" t="e">
        <f>Table1[[#This Row],[RAB Kegiatan Umum]]/Table1[[#This Row],[Nilai RAB Jaringan
(Exclude Ppn)]]</f>
        <v>#DIV/0!</v>
      </c>
      <c r="AJ27" s="35" t="e">
        <f>Table1[[#This Row],[RAB Pemasangan]]/Table1[[#This Row],[Nilai RAB Jaringan
(Exclude Ppn)]]</f>
        <v>#DIV/0!</v>
      </c>
      <c r="AK27" s="35" t="e">
        <f>Table1[[#This Row],[RAB Pengadaan]]/Table1[[#This Row],[Nilai RAB Jaringan
(Exclude Ppn)]]</f>
        <v>#DIV/0!</v>
      </c>
      <c r="AL27" s="35" t="e">
        <f>Table1[[#This Row],[RAB Perizinan]]/Table1[[#This Row],[Nilai RAB Jaringan
(Exclude Ppn)]]</f>
        <v>#DIV/0!</v>
      </c>
      <c r="AM27" s="42"/>
      <c r="AN27" s="256">
        <v>933</v>
      </c>
      <c r="AO27" s="256">
        <f>SUM(Table1[[#This Row],[Pipa 63 mm]:[Pipa 1,800 mm]])</f>
        <v>0</v>
      </c>
      <c r="AP27" s="256"/>
      <c r="AQ27" s="256"/>
      <c r="AR27" s="256"/>
      <c r="AS27" s="256"/>
      <c r="AT27" s="256"/>
      <c r="AU27" s="256"/>
      <c r="AV27" s="256"/>
      <c r="AW27" s="256"/>
      <c r="AX27" s="256"/>
      <c r="AY27" s="256"/>
      <c r="AZ27" s="256"/>
      <c r="BA27" s="256"/>
      <c r="BB27" s="256"/>
      <c r="BC27" s="256"/>
      <c r="BD27" s="256"/>
      <c r="BE27" s="256"/>
      <c r="BF27" s="256"/>
      <c r="BG27" s="256"/>
      <c r="BH27" s="256"/>
      <c r="BI27" s="256"/>
      <c r="BJ27" s="36">
        <f>SUM(Table1[[#This Row],[Pipa 63 mm2]:[Pipa 1,800 mm21]])</f>
        <v>434.9</v>
      </c>
      <c r="BK27" s="326">
        <v>434.9</v>
      </c>
      <c r="BL27" s="326"/>
      <c r="BM27" s="326"/>
      <c r="BN27" s="326"/>
      <c r="BO27" s="326"/>
      <c r="BP27" s="326"/>
      <c r="BQ27" s="326"/>
      <c r="BR27" s="326"/>
      <c r="BS27" s="326"/>
      <c r="BT27" s="326"/>
      <c r="BU27" s="326"/>
      <c r="BV27" s="326"/>
      <c r="BW27" s="326"/>
      <c r="BX27" s="326"/>
      <c r="BY27" s="326"/>
      <c r="BZ27" s="326"/>
      <c r="CA27" s="326"/>
      <c r="CB27" s="326"/>
      <c r="CC27" s="326"/>
      <c r="CD27" s="326"/>
      <c r="CE27" s="32">
        <v>527</v>
      </c>
      <c r="CF27" s="32"/>
      <c r="CG27" s="32"/>
      <c r="CH27" s="32"/>
      <c r="CI27" s="32">
        <f t="shared" si="3"/>
        <v>527</v>
      </c>
      <c r="CJ27" s="60">
        <f>IF((Table1[[#This Row],["Volume
BA MC-0"]]-Table1[[#This Row],[Total Panjang Pipa Aktual
(Sum-&gt;)3]]-Table1[[#This Row],[Total Volume
tidak dapat dipasang]])&gt;=0,Table1[[#This Row],["Volume
BA MC-0"]]-Table1[[#This Row],[Total Panjang Pipa Aktual
(Sum-&gt;)3]]-Table1[[#This Row],[Total Volume
tidak dapat dipasang]],0)</f>
        <v>0</v>
      </c>
      <c r="CK27" s="42"/>
      <c r="CL27" s="113"/>
      <c r="CM27" s="35"/>
      <c r="CN27" s="113"/>
      <c r="CO27" s="113"/>
      <c r="CP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 s="61">
        <f>IFERROR(Table1[[#This Row],[Progres Keg. Umum
(%)]]*Table1[[#This Row],[Nilai RAB Jaringan
(file pa aji)]],0)</f>
        <v>0</v>
      </c>
      <c r="CR27" s="61">
        <f>IFERROR(Table1[[#This Row],[Progres MOS
(%)]]*Table1[[#This Row],[Nilai RAB Jaringan
(file pa aji)]],0)</f>
        <v>0</v>
      </c>
      <c r="CS27" s="61">
        <f>IFERROR(Table1[[#This Row],[Progres Pemasangan
(%)]]*Table1[[#This Row],[Nilai RAB Jaringan
(file pa aji)]],0)</f>
        <v>0</v>
      </c>
      <c r="CT27" s="61">
        <f>IFERROR(Table1[[#This Row],[Progres Perizinan
(%)]]*Table1[[#This Row],[Nilai RAB Jaringan
(file pa aji)]],0)</f>
        <v>0</v>
      </c>
      <c r="CU27" s="789">
        <v>514838567</v>
      </c>
      <c r="CV27" s="299">
        <v>514838567</v>
      </c>
      <c r="CW27" s="552">
        <v>514838567</v>
      </c>
      <c r="CX27" s="789">
        <f>_xlfn.XLOOKUP(Table1[[#This Row],[Kode Program]],'[1]Breakdown VOWD Greenfield'!$E:$E,'[1]Breakdown VOWD Greenfield'!$AT:$AT)</f>
        <v>514838567</v>
      </c>
      <c r="CY27" s="42"/>
      <c r="CZ27" s="300">
        <v>45439</v>
      </c>
      <c r="DA27" s="300">
        <v>45466</v>
      </c>
      <c r="DB27" s="301"/>
      <c r="DC27" s="286"/>
      <c r="DD27" s="62"/>
      <c r="DE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7" s="301"/>
      <c r="DG27" s="286"/>
      <c r="DH27" s="62"/>
      <c r="DI2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7" s="300">
        <v>45467</v>
      </c>
      <c r="DK27" s="300">
        <v>45536</v>
      </c>
      <c r="DL27" s="301">
        <v>45521</v>
      </c>
      <c r="DM27" s="327" t="s">
        <v>375</v>
      </c>
      <c r="DN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 s="301">
        <v>45544</v>
      </c>
      <c r="DP27" s="286" t="s">
        <v>376</v>
      </c>
      <c r="DQ27" s="308" t="s">
        <v>371</v>
      </c>
      <c r="DR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 s="300">
        <v>45467</v>
      </c>
      <c r="DT27" s="300" t="e">
        <v>#N/A</v>
      </c>
      <c r="DU27" s="300">
        <v>45508</v>
      </c>
      <c r="DV27" s="300" t="e">
        <v>#N/A</v>
      </c>
      <c r="DW27" s="301"/>
      <c r="DX27" s="286"/>
      <c r="DY27" s="304"/>
      <c r="DZ27" s="304"/>
      <c r="EA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7" s="301"/>
      <c r="EC27" s="302"/>
      <c r="ED27" s="302"/>
      <c r="EE27" s="300"/>
      <c r="EF27" s="35">
        <v>1</v>
      </c>
      <c r="EG27" s="307">
        <v>1</v>
      </c>
      <c r="EH27" s="286" t="str">
        <f>IF(Table1[[#This Row],[PO Material Aktual 
(%)]]&gt;=100%,"Selesai PO = 100%",IF(Table1[[#This Row],[PO Material Aktual 
(%)]]&gt;=50%,"Proses PO &gt; 100%",IF(Table1[[#This Row],[PO Material Aktual 
(%)]]&gt;0%,"Proses PO &gt; 50%",IF(Table1[[#This Row],[PO Material Aktual 
(%)]]=0,"Belum PO = 0%"))))</f>
        <v>Selesai PO = 100%</v>
      </c>
      <c r="EI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 s="300">
        <v>45509</v>
      </c>
      <c r="EK27" s="300" t="e">
        <v>#N/A</v>
      </c>
      <c r="EL27" s="300">
        <v>45620</v>
      </c>
      <c r="EM27" s="300" t="e">
        <v>#N/A</v>
      </c>
      <c r="EN27" s="301"/>
      <c r="EO27" s="302"/>
      <c r="EP27" s="302"/>
      <c r="EQ27" s="82">
        <v>1</v>
      </c>
      <c r="ER27" s="82">
        <v>1</v>
      </c>
      <c r="ES27" s="286" t="str">
        <f>IF(Table1[[#This Row],[Progres MOS]]&gt;=100%,"Selesai MOS = 100%",IF(Table1[[#This Row],[Progres MOS]]&gt;=50%,"Proses MOS &gt; 100%",IF(Table1[[#This Row],[Progres MOS]]&gt;0%,"Proses MOS &gt; 50%",IF(Table1[[#This Row],[Progres MOS]]=0,"Belum MOS = 0%"))))</f>
        <v>Selesai MOS = 100%</v>
      </c>
      <c r="ET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 s="42"/>
      <c r="EV27" s="300">
        <v>45467</v>
      </c>
      <c r="EW27" s="300" t="e">
        <v>#N/A</v>
      </c>
      <c r="EX27" s="300">
        <v>45564</v>
      </c>
      <c r="EY27" s="300" t="e">
        <v>#N/A</v>
      </c>
      <c r="EZ27" s="322" t="s">
        <v>298</v>
      </c>
      <c r="FA27" s="306" t="s">
        <v>259</v>
      </c>
      <c r="FB27" s="300" t="s">
        <v>260</v>
      </c>
      <c r="FC27" s="300">
        <v>45565</v>
      </c>
      <c r="FD27" s="300" t="s">
        <v>260</v>
      </c>
      <c r="FE27" s="300">
        <v>45568</v>
      </c>
      <c r="FF27" s="300">
        <v>45671</v>
      </c>
      <c r="FG27" s="300" t="s">
        <v>260</v>
      </c>
      <c r="FH27" s="300" t="s">
        <v>260</v>
      </c>
      <c r="FI27" s="300">
        <v>45954</v>
      </c>
      <c r="FJ27" s="300" t="s">
        <v>260</v>
      </c>
      <c r="FK27" s="300">
        <v>46087</v>
      </c>
      <c r="FL27" s="306" t="s">
        <v>298</v>
      </c>
      <c r="FM27" s="306">
        <v>45565</v>
      </c>
      <c r="FN27" s="284">
        <f>IF(Table1[[#This Row],[Tanggal Pengajuan Dokumen]]="","",Table1[[#This Row],[PLAN PERMIT
start]]-Table1[[#This Row],[Tanggal Pengajuan Dokumen]])</f>
        <v>-98</v>
      </c>
      <c r="FO27" s="306"/>
      <c r="FP27" s="286"/>
      <c r="FQ27" s="308"/>
      <c r="FR27" s="322"/>
      <c r="FS27" s="308" t="str">
        <f t="shared" si="4"/>
        <v>Sudah Terbit</v>
      </c>
      <c r="FT2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 s="314">
        <f ca="1">IF(Table1[[#This Row],[Status Izin]]="Selesai",Table1[[#This Row],[PLAN PERMIT
finish]]-Table1[[#This Row],[Tanggal Terbit/ Target Izin Terbit]],ROUNDUP(Table1[[#This Row],[PLAN PERMIT
finish]]-NOW(),0))</f>
        <v>45564</v>
      </c>
      <c r="FV2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 s="314"/>
      <c r="FX27" s="42"/>
      <c r="FY27" s="310"/>
      <c r="FZ27" s="311"/>
      <c r="GA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 s="300">
        <v>45538</v>
      </c>
      <c r="GC27" s="301">
        <v>45519</v>
      </c>
      <c r="GD2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 s="300">
        <v>45545</v>
      </c>
      <c r="GF27" s="301">
        <v>45519</v>
      </c>
      <c r="GG2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 s="300">
        <v>45551</v>
      </c>
      <c r="GI27" s="300">
        <v>45557</v>
      </c>
      <c r="GJ27" s="323">
        <v>45562</v>
      </c>
      <c r="GK2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 s="300">
        <v>45565</v>
      </c>
      <c r="GM27" s="300" t="e">
        <v>#N/A</v>
      </c>
      <c r="GN27" s="300">
        <v>45690</v>
      </c>
      <c r="GO27" s="300" t="e">
        <v>#N/A</v>
      </c>
      <c r="GP27" s="286"/>
      <c r="GQ2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 s="300" t="s">
        <v>261</v>
      </c>
      <c r="GS27" s="300" t="s">
        <v>261</v>
      </c>
      <c r="GT27" s="324">
        <v>45681</v>
      </c>
      <c r="GU27" s="314" t="str">
        <f>IF(Table1[[#This Row],[Hydro Tes Actual
(tanggal)]]&lt;&gt;"","Sudah","Belum")</f>
        <v>Sudah</v>
      </c>
      <c r="GV27" s="300" t="s">
        <v>261</v>
      </c>
      <c r="GW27" s="300" t="s">
        <v>261</v>
      </c>
      <c r="GX27" s="301">
        <v>45701</v>
      </c>
      <c r="GY27" s="314" t="str">
        <f>IF(Table1[[#This Row],[Interkoneksi Actual
(tanggal)]]&lt;&gt;"","Sudah","Belum")</f>
        <v>Sudah</v>
      </c>
      <c r="GZ27" s="300" t="s">
        <v>261</v>
      </c>
      <c r="HA27" s="300" t="s">
        <v>261</v>
      </c>
      <c r="HB27" s="301">
        <v>45721</v>
      </c>
      <c r="HC27" s="314" t="str">
        <f>IF(Table1[[#This Row],[Flushing Actual
(tanggal)]]&lt;&gt;"","Sudah","Belum")</f>
        <v>Sudah</v>
      </c>
      <c r="HD27" s="300">
        <v>45677</v>
      </c>
      <c r="HE27" s="300" t="e">
        <v>#N/A</v>
      </c>
      <c r="HF27" s="300">
        <v>45683</v>
      </c>
      <c r="HG27" s="316">
        <v>45740</v>
      </c>
      <c r="HH2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 s="300" t="s">
        <v>261</v>
      </c>
      <c r="HJ27" s="300" t="s">
        <v>261</v>
      </c>
      <c r="HK27" s="301"/>
      <c r="HL27" s="286"/>
      <c r="HM27" s="300">
        <v>45702</v>
      </c>
      <c r="HN27" s="300">
        <v>45702</v>
      </c>
      <c r="HO27" s="300" t="e">
        <v>#N/A</v>
      </c>
      <c r="HP27" s="300"/>
      <c r="HQ27" s="316">
        <v>45796</v>
      </c>
      <c r="HR2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 s="300">
        <v>45709</v>
      </c>
      <c r="HT27" s="300"/>
      <c r="HU27" s="300">
        <v>45709</v>
      </c>
      <c r="HV27" s="497"/>
      <c r="HW27" s="300">
        <v>45751</v>
      </c>
      <c r="HX2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 s="42"/>
      <c r="HZ27" s="322"/>
      <c r="IA27" s="306"/>
      <c r="IC27" s="585">
        <f>IFERROR(ROUND((Table1[[#This Row],[PLAN TC
finish]]-Table1[[#This Row],[PLAN MC-0
start]])/30,2),"")</f>
        <v>4.4000000000000004</v>
      </c>
      <c r="ID27">
        <f>DATEDIF(Table1[[#This Row],[PLAN MC-0
start]],Table1[[#This Row],[PLAN TC
finish]],"m")</f>
        <v>4</v>
      </c>
    </row>
    <row r="28" spans="1:238" s="4" customFormat="1" ht="15" customHeight="1" x14ac:dyDescent="0.25">
      <c r="B28" s="281">
        <f>SUBTOTAL(3,$D$5:D28)</f>
        <v>24</v>
      </c>
      <c r="C28" s="318">
        <v>24</v>
      </c>
      <c r="D28" s="285" t="s">
        <v>244</v>
      </c>
      <c r="E28" s="285" t="s">
        <v>377</v>
      </c>
      <c r="F28" s="285" t="s">
        <v>378</v>
      </c>
      <c r="G28" s="319">
        <v>45752</v>
      </c>
      <c r="H28" s="284" t="s">
        <v>247</v>
      </c>
      <c r="I28" s="285" t="s">
        <v>278</v>
      </c>
      <c r="J28" s="285"/>
      <c r="K28" s="308" t="s">
        <v>249</v>
      </c>
      <c r="L28" s="286" t="s">
        <v>250</v>
      </c>
      <c r="M28" s="286" t="s">
        <v>269</v>
      </c>
      <c r="N28" s="94">
        <v>2004</v>
      </c>
      <c r="O28" s="31" t="s">
        <v>252</v>
      </c>
      <c r="P2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 s="82" t="e">
        <v>#N/A</v>
      </c>
      <c r="S28" s="82">
        <v>1</v>
      </c>
      <c r="T28" s="35">
        <f>Table1[[#This Row],[Progres Total Aktual
(%)]]</f>
        <v>1</v>
      </c>
      <c r="U28" s="106">
        <f>Table1[[#This Row],[Progres Aktual
(%)]]-Table1[[#This Row],[Target Progres
(%)]]</f>
        <v>0</v>
      </c>
      <c r="V28" s="320">
        <f>Table1[[#This Row],["Volume
BA MC-0"]]</f>
        <v>1998</v>
      </c>
      <c r="W28" s="321">
        <f>Table1[[#This Row],[Total Panjang Pipa Aktual
(Sum-&gt;)3]]</f>
        <v>1343.3999999999999</v>
      </c>
      <c r="X28" s="42"/>
      <c r="Y28" s="62" t="s">
        <v>379</v>
      </c>
      <c r="Z28" s="62">
        <v>6540363487</v>
      </c>
      <c r="AA28" s="62">
        <f>ROUND((Table1[[#This Row],[Nilai RAB Jaringan
(Exclude Ppn)]]-Table1[[#This Row],[RAB Perizinan]])*1.11+Table1[[#This Row],[RAB Perizinan]],0)</f>
        <v>0</v>
      </c>
      <c r="AB28" s="290">
        <f>SUM(Table1[[#This Row],[RAB Kegiatan Umum]:[RAB Perizinan]])</f>
        <v>0</v>
      </c>
      <c r="AC28" s="290"/>
      <c r="AD28" s="290"/>
      <c r="AE28" s="290"/>
      <c r="AF28" s="290"/>
      <c r="AG28" s="290">
        <v>1502392204</v>
      </c>
      <c r="AH28" s="35" t="e">
        <f>SUM(Table1[[#This Row],[Bobot Keg Umum]:[Bobot Perizinan]])</f>
        <v>#DIV/0!</v>
      </c>
      <c r="AI28" s="35" t="e">
        <f>Table1[[#This Row],[RAB Kegiatan Umum]]/Table1[[#This Row],[Nilai RAB Jaringan
(Exclude Ppn)]]</f>
        <v>#DIV/0!</v>
      </c>
      <c r="AJ28" s="35" t="e">
        <f>Table1[[#This Row],[RAB Pemasangan]]/Table1[[#This Row],[Nilai RAB Jaringan
(Exclude Ppn)]]</f>
        <v>#DIV/0!</v>
      </c>
      <c r="AK28" s="35" t="e">
        <f>Table1[[#This Row],[RAB Pengadaan]]/Table1[[#This Row],[Nilai RAB Jaringan
(Exclude Ppn)]]</f>
        <v>#DIV/0!</v>
      </c>
      <c r="AL28" s="35" t="e">
        <f>Table1[[#This Row],[RAB Perizinan]]/Table1[[#This Row],[Nilai RAB Jaringan
(Exclude Ppn)]]</f>
        <v>#DIV/0!</v>
      </c>
      <c r="AM28" s="42"/>
      <c r="AN28" s="256">
        <v>1998</v>
      </c>
      <c r="AO28" s="256">
        <f>SUM(Table1[[#This Row],[Pipa 63 mm]:[Pipa 1,800 mm]])</f>
        <v>0</v>
      </c>
      <c r="AP28" s="256"/>
      <c r="AQ28" s="256"/>
      <c r="AR28" s="256"/>
      <c r="AS28" s="256"/>
      <c r="AT28" s="256"/>
      <c r="AU28" s="256"/>
      <c r="AV28" s="256"/>
      <c r="AW28" s="256"/>
      <c r="AX28" s="256"/>
      <c r="AY28" s="256"/>
      <c r="AZ28" s="256"/>
      <c r="BA28" s="256"/>
      <c r="BB28" s="256"/>
      <c r="BC28" s="256"/>
      <c r="BD28" s="256"/>
      <c r="BE28" s="256"/>
      <c r="BF28" s="256"/>
      <c r="BG28" s="256"/>
      <c r="BH28" s="256"/>
      <c r="BI28" s="256"/>
      <c r="BJ28" s="36">
        <f>SUM(Table1[[#This Row],[Pipa 63 mm2]:[Pipa 1,800 mm21]])</f>
        <v>1343.3999999999999</v>
      </c>
      <c r="BK28" s="326">
        <v>240.3</v>
      </c>
      <c r="BL28" s="326"/>
      <c r="BM28" s="326"/>
      <c r="BN28" s="326"/>
      <c r="BO28" s="326"/>
      <c r="BP28" s="326"/>
      <c r="BQ28" s="326">
        <v>1103.0999999999999</v>
      </c>
      <c r="BR28" s="326"/>
      <c r="BS28" s="326"/>
      <c r="BT28" s="326"/>
      <c r="BU28" s="326"/>
      <c r="BV28" s="326"/>
      <c r="BW28" s="326"/>
      <c r="BX28" s="326"/>
      <c r="BY28" s="326"/>
      <c r="BZ28" s="326"/>
      <c r="CA28" s="326"/>
      <c r="CB28" s="326"/>
      <c r="CC28" s="326"/>
      <c r="CD28" s="326"/>
      <c r="CE28" s="32">
        <v>821</v>
      </c>
      <c r="CF28" s="32"/>
      <c r="CG28" s="32"/>
      <c r="CH28" s="32"/>
      <c r="CI28" s="32">
        <f t="shared" si="3"/>
        <v>821</v>
      </c>
      <c r="CJ28" s="60">
        <f>IF((Table1[[#This Row],["Volume
BA MC-0"]]-Table1[[#This Row],[Total Panjang Pipa Aktual
(Sum-&gt;)3]]-Table1[[#This Row],[Total Volume
tidak dapat dipasang]])&gt;=0,Table1[[#This Row],["Volume
BA MC-0"]]-Table1[[#This Row],[Total Panjang Pipa Aktual
(Sum-&gt;)3]]-Table1[[#This Row],[Total Volume
tidak dapat dipasang]],0)</f>
        <v>0</v>
      </c>
      <c r="CK28" s="42"/>
      <c r="CL28" s="113"/>
      <c r="CM28" s="35"/>
      <c r="CN28" s="113"/>
      <c r="CO28" s="113"/>
      <c r="CP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 s="61">
        <f>IFERROR(Table1[[#This Row],[Progres Keg. Umum
(%)]]*Table1[[#This Row],[Nilai RAB Jaringan
(file pa aji)]],0)</f>
        <v>0</v>
      </c>
      <c r="CR28" s="61">
        <f>IFERROR(Table1[[#This Row],[Progres MOS
(%)]]*Table1[[#This Row],[Nilai RAB Jaringan
(file pa aji)]],0)</f>
        <v>0</v>
      </c>
      <c r="CS28" s="61">
        <f>IFERROR(Table1[[#This Row],[Progres Pemasangan
(%)]]*Table1[[#This Row],[Nilai RAB Jaringan
(file pa aji)]],0)</f>
        <v>0</v>
      </c>
      <c r="CT28" s="61">
        <f>IFERROR(Table1[[#This Row],[Progres Perizinan
(%)]]*Table1[[#This Row],[Nilai RAB Jaringan
(file pa aji)]],0)</f>
        <v>0</v>
      </c>
      <c r="CU28" s="789">
        <v>6149321233</v>
      </c>
      <c r="CV28" s="299">
        <v>6149321233</v>
      </c>
      <c r="CW28" s="552">
        <v>6149321233</v>
      </c>
      <c r="CX28" s="789">
        <f>_xlfn.XLOOKUP(Table1[[#This Row],[Kode Program]],'[1]Breakdown VOWD Greenfield'!$E:$E,'[1]Breakdown VOWD Greenfield'!$AT:$AT)</f>
        <v>6149321233</v>
      </c>
      <c r="CY28" s="42"/>
      <c r="CZ28" s="300">
        <v>45439</v>
      </c>
      <c r="DA28" s="300">
        <v>45466</v>
      </c>
      <c r="DB28" s="301"/>
      <c r="DC28" s="286"/>
      <c r="DD28" s="62"/>
      <c r="DE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8" s="301"/>
      <c r="DG28" s="286"/>
      <c r="DH28" s="62"/>
      <c r="DI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8" s="300">
        <v>45467</v>
      </c>
      <c r="DK28" s="300">
        <v>45536</v>
      </c>
      <c r="DL28" s="301">
        <v>45508</v>
      </c>
      <c r="DM28" s="327" t="s">
        <v>380</v>
      </c>
      <c r="DN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 s="301">
        <v>45544</v>
      </c>
      <c r="DP28" s="286" t="s">
        <v>381</v>
      </c>
      <c r="DQ28" s="308" t="s">
        <v>371</v>
      </c>
      <c r="DR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8" s="300">
        <v>45467</v>
      </c>
      <c r="DT28" s="300" t="e">
        <v>#N/A</v>
      </c>
      <c r="DU28" s="300">
        <v>45508</v>
      </c>
      <c r="DV28" s="300" t="e">
        <v>#N/A</v>
      </c>
      <c r="DW28" s="301"/>
      <c r="DX28" s="286"/>
      <c r="DY28" s="304"/>
      <c r="DZ28" s="304"/>
      <c r="EA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8" s="301"/>
      <c r="EC28" s="302"/>
      <c r="ED28" s="302"/>
      <c r="EE28" s="300"/>
      <c r="EF28" s="35">
        <v>1</v>
      </c>
      <c r="EG28" s="307">
        <v>1</v>
      </c>
      <c r="EH28" s="286" t="str">
        <f>IF(Table1[[#This Row],[PO Material Aktual 
(%)]]&gt;=100%,"Selesai PO = 100%",IF(Table1[[#This Row],[PO Material Aktual 
(%)]]&gt;=50%,"Proses PO &gt; 100%",IF(Table1[[#This Row],[PO Material Aktual 
(%)]]&gt;0%,"Proses PO &gt; 50%",IF(Table1[[#This Row],[PO Material Aktual 
(%)]]=0,"Belum PO = 0%"))))</f>
        <v>Selesai PO = 100%</v>
      </c>
      <c r="EI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 s="300">
        <v>45509</v>
      </c>
      <c r="EK28" s="300" t="e">
        <v>#N/A</v>
      </c>
      <c r="EL28" s="300">
        <v>45620</v>
      </c>
      <c r="EM28" s="300" t="e">
        <v>#N/A</v>
      </c>
      <c r="EN28" s="301"/>
      <c r="EO28" s="302"/>
      <c r="EP28" s="302"/>
      <c r="EQ28" s="82">
        <v>1</v>
      </c>
      <c r="ER28" s="82">
        <v>1</v>
      </c>
      <c r="ES28" s="286" t="str">
        <f>IF(Table1[[#This Row],[Progres MOS]]&gt;=100%,"Selesai MOS = 100%",IF(Table1[[#This Row],[Progres MOS]]&gt;=50%,"Proses MOS &gt; 100%",IF(Table1[[#This Row],[Progres MOS]]&gt;0%,"Proses MOS &gt; 50%",IF(Table1[[#This Row],[Progres MOS]]=0,"Belum MOS = 0%"))))</f>
        <v>Selesai MOS = 100%</v>
      </c>
      <c r="ET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 s="42"/>
      <c r="EV28" s="300">
        <v>45467</v>
      </c>
      <c r="EW28" s="300" t="e">
        <v>#N/A</v>
      </c>
      <c r="EX28" s="300">
        <v>45564</v>
      </c>
      <c r="EY28" s="300" t="e">
        <v>#N/A</v>
      </c>
      <c r="EZ28" s="322" t="s">
        <v>298</v>
      </c>
      <c r="FA28" s="306" t="s">
        <v>259</v>
      </c>
      <c r="FB28" s="300" t="s">
        <v>260</v>
      </c>
      <c r="FC28" s="300">
        <v>45565</v>
      </c>
      <c r="FD28" s="300" t="s">
        <v>260</v>
      </c>
      <c r="FE28" s="300">
        <v>45568</v>
      </c>
      <c r="FF28" s="300">
        <v>45671</v>
      </c>
      <c r="FG28" s="300" t="s">
        <v>260</v>
      </c>
      <c r="FH28" s="300" t="s">
        <v>260</v>
      </c>
      <c r="FI28" s="300">
        <v>45954</v>
      </c>
      <c r="FJ28" s="300" t="s">
        <v>260</v>
      </c>
      <c r="FK28" s="300">
        <v>46087</v>
      </c>
      <c r="FL28" s="306" t="s">
        <v>298</v>
      </c>
      <c r="FM28" s="306">
        <v>45565</v>
      </c>
      <c r="FN28" s="284">
        <f>IF(Table1[[#This Row],[Tanggal Pengajuan Dokumen]]="","",Table1[[#This Row],[PLAN PERMIT
start]]-Table1[[#This Row],[Tanggal Pengajuan Dokumen]])</f>
        <v>-98</v>
      </c>
      <c r="FO28" s="306"/>
      <c r="FP28" s="286"/>
      <c r="FQ28" s="308"/>
      <c r="FR28" s="322"/>
      <c r="FS28" s="308" t="str">
        <f t="shared" si="4"/>
        <v>Sudah Terbit</v>
      </c>
      <c r="FT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 s="314">
        <f ca="1">IF(Table1[[#This Row],[Status Izin]]="Selesai",Table1[[#This Row],[PLAN PERMIT
finish]]-Table1[[#This Row],[Tanggal Terbit/ Target Izin Terbit]],ROUNDUP(Table1[[#This Row],[PLAN PERMIT
finish]]-NOW(),0))</f>
        <v>45564</v>
      </c>
      <c r="FV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 s="314"/>
      <c r="FX28" s="42"/>
      <c r="FY28" s="310"/>
      <c r="FZ28" s="311"/>
      <c r="GA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 s="300">
        <v>45538</v>
      </c>
      <c r="GC28" s="301">
        <v>45519</v>
      </c>
      <c r="GD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 s="300">
        <v>45545</v>
      </c>
      <c r="GF28" s="301">
        <v>45519</v>
      </c>
      <c r="GG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 s="300">
        <v>45551</v>
      </c>
      <c r="GI28" s="300">
        <v>45557</v>
      </c>
      <c r="GJ28" s="323">
        <v>45560</v>
      </c>
      <c r="GK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 s="300">
        <v>45565</v>
      </c>
      <c r="GM28" s="300" t="e">
        <v>#N/A</v>
      </c>
      <c r="GN28" s="300">
        <v>45690</v>
      </c>
      <c r="GO28" s="300" t="e">
        <v>#N/A</v>
      </c>
      <c r="GP28" s="286"/>
      <c r="GQ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 s="300" t="s">
        <v>261</v>
      </c>
      <c r="GS28" s="300" t="s">
        <v>261</v>
      </c>
      <c r="GT28" s="324">
        <v>45752</v>
      </c>
      <c r="GU28" s="314" t="str">
        <f>IF(Table1[[#This Row],[Hydro Tes Actual
(tanggal)]]&lt;&gt;"","Sudah","Belum")</f>
        <v>Sudah</v>
      </c>
      <c r="GV28" s="300" t="s">
        <v>261</v>
      </c>
      <c r="GW28" s="300" t="s">
        <v>261</v>
      </c>
      <c r="GX28" s="301">
        <v>45766</v>
      </c>
      <c r="GY28" s="314" t="str">
        <f>IF(Table1[[#This Row],[Interkoneksi Actual
(tanggal)]]&lt;&gt;"","Sudah","Belum")</f>
        <v>Sudah</v>
      </c>
      <c r="GZ28" s="300" t="s">
        <v>261</v>
      </c>
      <c r="HA28" s="300" t="s">
        <v>261</v>
      </c>
      <c r="HB28" s="301">
        <v>45769</v>
      </c>
      <c r="HC28" s="314" t="str">
        <f>IF(Table1[[#This Row],[Flushing Actual
(tanggal)]]&lt;&gt;"","Sudah","Belum")</f>
        <v>Sudah</v>
      </c>
      <c r="HD28" s="300">
        <v>45677</v>
      </c>
      <c r="HE28" s="300" t="e">
        <v>#N/A</v>
      </c>
      <c r="HF28" s="300">
        <v>45683</v>
      </c>
      <c r="HG28" s="316">
        <v>45791</v>
      </c>
      <c r="HH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 s="300" t="s">
        <v>261</v>
      </c>
      <c r="HJ28" s="300" t="s">
        <v>261</v>
      </c>
      <c r="HK28" s="301"/>
      <c r="HL28" s="286"/>
      <c r="HM28" s="300">
        <v>45702</v>
      </c>
      <c r="HN28" s="300">
        <v>45702</v>
      </c>
      <c r="HO28" s="300" t="e">
        <v>#N/A</v>
      </c>
      <c r="HP28" s="300"/>
      <c r="HQ28" s="316">
        <v>45813</v>
      </c>
      <c r="HR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 s="300">
        <v>45709</v>
      </c>
      <c r="HT28" s="300"/>
      <c r="HU28" s="300">
        <v>45709</v>
      </c>
      <c r="HV28" s="497"/>
      <c r="HW28" s="300">
        <v>45751</v>
      </c>
      <c r="HX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 s="42"/>
      <c r="HZ28" s="322"/>
      <c r="IA28" s="306"/>
      <c r="IC28" s="585">
        <f>IFERROR(ROUND((Table1[[#This Row],[PLAN TC
finish]]-Table1[[#This Row],[PLAN MC-0
start]])/30,2),"")</f>
        <v>4.4000000000000004</v>
      </c>
      <c r="ID28">
        <f>DATEDIF(Table1[[#This Row],[PLAN MC-0
start]],Table1[[#This Row],[PLAN TC
finish]],"m")</f>
        <v>4</v>
      </c>
    </row>
    <row r="29" spans="1:238" s="4" customFormat="1" ht="15" customHeight="1" x14ac:dyDescent="0.25">
      <c r="B29" s="281">
        <f>SUBTOTAL(3,$D$5:D29)</f>
        <v>25</v>
      </c>
      <c r="C29" s="318">
        <v>25</v>
      </c>
      <c r="D29" s="285" t="s">
        <v>244</v>
      </c>
      <c r="E29" s="285" t="s">
        <v>382</v>
      </c>
      <c r="F29" s="285" t="s">
        <v>383</v>
      </c>
      <c r="G29" s="319">
        <v>45752</v>
      </c>
      <c r="H29" s="284" t="s">
        <v>247</v>
      </c>
      <c r="I29" s="285" t="s">
        <v>278</v>
      </c>
      <c r="J29" s="285"/>
      <c r="K29" s="308" t="s">
        <v>249</v>
      </c>
      <c r="L29" s="286" t="s">
        <v>250</v>
      </c>
      <c r="M29" s="286" t="s">
        <v>269</v>
      </c>
      <c r="N29" s="94">
        <v>6731</v>
      </c>
      <c r="O29" s="31" t="s">
        <v>252</v>
      </c>
      <c r="P2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 s="82" t="e">
        <v>#N/A</v>
      </c>
      <c r="S29" s="82">
        <v>1</v>
      </c>
      <c r="T29" s="35">
        <f>Table1[[#This Row],[Progres Total Aktual
(%)]]</f>
        <v>1</v>
      </c>
      <c r="U29" s="106">
        <f>Table1[[#This Row],[Progres Aktual
(%)]]-Table1[[#This Row],[Target Progres
(%)]]</f>
        <v>0</v>
      </c>
      <c r="V29" s="320">
        <f>Table1[[#This Row],["Volume
BA MC-0"]]</f>
        <v>6906</v>
      </c>
      <c r="W29" s="321">
        <f>Table1[[#This Row],[Total Panjang Pipa Aktual
(Sum-&gt;)3]]</f>
        <v>6730.9000000000005</v>
      </c>
      <c r="X29" s="42"/>
      <c r="Y29" s="62" t="s">
        <v>384</v>
      </c>
      <c r="Z29" s="62">
        <v>8967090110</v>
      </c>
      <c r="AA29" s="62">
        <f>ROUND((Table1[[#This Row],[Nilai RAB Jaringan
(Exclude Ppn)]]-Table1[[#This Row],[RAB Perizinan]])*1.11+Table1[[#This Row],[RAB Perizinan]],0)</f>
        <v>0</v>
      </c>
      <c r="AB29" s="290">
        <f>SUM(Table1[[#This Row],[RAB Kegiatan Umum]:[RAB Perizinan]])</f>
        <v>0</v>
      </c>
      <c r="AC29" s="290"/>
      <c r="AD29" s="290"/>
      <c r="AE29" s="290"/>
      <c r="AF29" s="290"/>
      <c r="AG29" s="290">
        <v>1137554807</v>
      </c>
      <c r="AH29" s="35" t="e">
        <f>SUM(Table1[[#This Row],[Bobot Keg Umum]:[Bobot Perizinan]])</f>
        <v>#DIV/0!</v>
      </c>
      <c r="AI29" s="35" t="e">
        <f>Table1[[#This Row],[RAB Kegiatan Umum]]/Table1[[#This Row],[Nilai RAB Jaringan
(Exclude Ppn)]]</f>
        <v>#DIV/0!</v>
      </c>
      <c r="AJ29" s="35" t="e">
        <f>Table1[[#This Row],[RAB Pemasangan]]/Table1[[#This Row],[Nilai RAB Jaringan
(Exclude Ppn)]]</f>
        <v>#DIV/0!</v>
      </c>
      <c r="AK29" s="35" t="e">
        <f>Table1[[#This Row],[RAB Pengadaan]]/Table1[[#This Row],[Nilai RAB Jaringan
(Exclude Ppn)]]</f>
        <v>#DIV/0!</v>
      </c>
      <c r="AL29" s="35" t="e">
        <f>Table1[[#This Row],[RAB Perizinan]]/Table1[[#This Row],[Nilai RAB Jaringan
(Exclude Ppn)]]</f>
        <v>#DIV/0!</v>
      </c>
      <c r="AM29" s="42"/>
      <c r="AN29" s="256">
        <v>6906</v>
      </c>
      <c r="AO29" s="256">
        <f>SUM(Table1[[#This Row],[Pipa 63 mm]:[Pipa 1,800 mm]])</f>
        <v>0</v>
      </c>
      <c r="AP29" s="256"/>
      <c r="AQ29" s="256"/>
      <c r="AR29" s="256"/>
      <c r="AS29" s="256"/>
      <c r="AT29" s="256"/>
      <c r="AU29" s="256"/>
      <c r="AV29" s="256"/>
      <c r="AW29" s="256"/>
      <c r="AX29" s="256"/>
      <c r="AY29" s="256"/>
      <c r="AZ29" s="256"/>
      <c r="BA29" s="256"/>
      <c r="BB29" s="256"/>
      <c r="BC29" s="256"/>
      <c r="BD29" s="256"/>
      <c r="BE29" s="256"/>
      <c r="BF29" s="256"/>
      <c r="BG29" s="256"/>
      <c r="BH29" s="256"/>
      <c r="BI29" s="256"/>
      <c r="BJ29" s="36">
        <f>SUM(Table1[[#This Row],[Pipa 63 mm2]:[Pipa 1,800 mm21]])</f>
        <v>6730.9000000000005</v>
      </c>
      <c r="BK29" s="326">
        <v>5253.6</v>
      </c>
      <c r="BL29" s="326">
        <v>356.6</v>
      </c>
      <c r="BM29" s="326">
        <v>1120.7</v>
      </c>
      <c r="BN29" s="326"/>
      <c r="BO29" s="326"/>
      <c r="BP29" s="326"/>
      <c r="BQ29" s="326"/>
      <c r="BR29" s="326"/>
      <c r="BS29" s="326"/>
      <c r="BT29" s="326"/>
      <c r="BU29" s="326"/>
      <c r="BV29" s="326"/>
      <c r="BW29" s="326"/>
      <c r="BX29" s="326"/>
      <c r="BY29" s="326"/>
      <c r="BZ29" s="326"/>
      <c r="CA29" s="326"/>
      <c r="CB29" s="326"/>
      <c r="CC29" s="326"/>
      <c r="CD29" s="326"/>
      <c r="CE29" s="32">
        <v>0</v>
      </c>
      <c r="CF29" s="32"/>
      <c r="CG29" s="32"/>
      <c r="CH29" s="32"/>
      <c r="CI29" s="32">
        <f t="shared" si="3"/>
        <v>0</v>
      </c>
      <c r="CJ29" s="60">
        <f>IF((Table1[[#This Row],["Volume
BA MC-0"]]-Table1[[#This Row],[Total Panjang Pipa Aktual
(Sum-&gt;)3]]-Table1[[#This Row],[Total Volume
tidak dapat dipasang]])&gt;=0,Table1[[#This Row],["Volume
BA MC-0"]]-Table1[[#This Row],[Total Panjang Pipa Aktual
(Sum-&gt;)3]]-Table1[[#This Row],[Total Volume
tidak dapat dipasang]],0)</f>
        <v>175.09999999999945</v>
      </c>
      <c r="CK29" s="42"/>
      <c r="CL29" s="113"/>
      <c r="CM29" s="35"/>
      <c r="CN29" s="113"/>
      <c r="CO29" s="113"/>
      <c r="CP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 s="61">
        <f>IFERROR(Table1[[#This Row],[Progres Keg. Umum
(%)]]*Table1[[#This Row],[Nilai RAB Jaringan
(file pa aji)]],0)</f>
        <v>0</v>
      </c>
      <c r="CR29" s="61">
        <f>IFERROR(Table1[[#This Row],[Progres MOS
(%)]]*Table1[[#This Row],[Nilai RAB Jaringan
(file pa aji)]],0)</f>
        <v>0</v>
      </c>
      <c r="CS29" s="61">
        <f>IFERROR(Table1[[#This Row],[Progres Pemasangan
(%)]]*Table1[[#This Row],[Nilai RAB Jaringan
(file pa aji)]],0)</f>
        <v>0</v>
      </c>
      <c r="CT29" s="61">
        <f>IFERROR(Table1[[#This Row],[Progres Perizinan
(%)]]*Table1[[#This Row],[Nilai RAB Jaringan
(file pa aji)]],0)</f>
        <v>0</v>
      </c>
      <c r="CU29" s="789">
        <v>7069388615</v>
      </c>
      <c r="CV29" s="299">
        <v>7069388615</v>
      </c>
      <c r="CW29" s="552">
        <v>7069388615</v>
      </c>
      <c r="CX29" s="789">
        <f>_xlfn.XLOOKUP(Table1[[#This Row],[Kode Program]],'[1]Breakdown VOWD Greenfield'!$E:$E,'[1]Breakdown VOWD Greenfield'!$AT:$AT)</f>
        <v>7069388615</v>
      </c>
      <c r="CY29" s="42"/>
      <c r="CZ29" s="300">
        <v>45439</v>
      </c>
      <c r="DA29" s="300">
        <v>45466</v>
      </c>
      <c r="DB29" s="301"/>
      <c r="DC29" s="286"/>
      <c r="DD29" s="62"/>
      <c r="DE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 s="301"/>
      <c r="DG29" s="286"/>
      <c r="DH29" s="62"/>
      <c r="DI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29" s="300">
        <v>45467</v>
      </c>
      <c r="DK29" s="300">
        <v>45536</v>
      </c>
      <c r="DL29" s="301">
        <v>45509</v>
      </c>
      <c r="DM29" s="327" t="s">
        <v>385</v>
      </c>
      <c r="DN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 s="301">
        <v>45544</v>
      </c>
      <c r="DP29" s="286" t="s">
        <v>386</v>
      </c>
      <c r="DQ29" s="308" t="s">
        <v>371</v>
      </c>
      <c r="DR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 s="300">
        <v>45467</v>
      </c>
      <c r="DT29" s="300" t="e">
        <v>#N/A</v>
      </c>
      <c r="DU29" s="300">
        <v>45508</v>
      </c>
      <c r="DV29" s="300" t="e">
        <v>#N/A</v>
      </c>
      <c r="DW29" s="301"/>
      <c r="DX29" s="286"/>
      <c r="DY29" s="304"/>
      <c r="DZ29" s="304"/>
      <c r="EA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9" s="301"/>
      <c r="EC29" s="302"/>
      <c r="ED29" s="302"/>
      <c r="EE29" s="300"/>
      <c r="EF29" s="35">
        <v>1</v>
      </c>
      <c r="EG29" s="307">
        <v>1</v>
      </c>
      <c r="EH29" s="286" t="str">
        <f>IF(Table1[[#This Row],[PO Material Aktual 
(%)]]&gt;=100%,"Selesai PO = 100%",IF(Table1[[#This Row],[PO Material Aktual 
(%)]]&gt;=50%,"Proses PO &gt; 100%",IF(Table1[[#This Row],[PO Material Aktual 
(%)]]&gt;0%,"Proses PO &gt; 50%",IF(Table1[[#This Row],[PO Material Aktual 
(%)]]=0,"Belum PO = 0%"))))</f>
        <v>Selesai PO = 100%</v>
      </c>
      <c r="EI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 s="300">
        <v>45509</v>
      </c>
      <c r="EK29" s="300" t="e">
        <v>#N/A</v>
      </c>
      <c r="EL29" s="300">
        <v>45620</v>
      </c>
      <c r="EM29" s="300" t="e">
        <v>#N/A</v>
      </c>
      <c r="EN29" s="301"/>
      <c r="EO29" s="302"/>
      <c r="EP29" s="302"/>
      <c r="EQ29" s="82">
        <v>1</v>
      </c>
      <c r="ER29" s="82">
        <v>1</v>
      </c>
      <c r="ES29" s="286" t="str">
        <f>IF(Table1[[#This Row],[Progres MOS]]&gt;=100%,"Selesai MOS = 100%",IF(Table1[[#This Row],[Progres MOS]]&gt;=50%,"Proses MOS &gt; 100%",IF(Table1[[#This Row],[Progres MOS]]&gt;0%,"Proses MOS &gt; 50%",IF(Table1[[#This Row],[Progres MOS]]=0,"Belum MOS = 0%"))))</f>
        <v>Selesai MOS = 100%</v>
      </c>
      <c r="ET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 s="42"/>
      <c r="EV29" s="300">
        <v>45467</v>
      </c>
      <c r="EW29" s="300" t="e">
        <v>#N/A</v>
      </c>
      <c r="EX29" s="300">
        <v>45564</v>
      </c>
      <c r="EY29" s="300" t="e">
        <v>#N/A</v>
      </c>
      <c r="EZ29" s="322" t="s">
        <v>298</v>
      </c>
      <c r="FA29" s="306" t="s">
        <v>259</v>
      </c>
      <c r="FB29" s="300" t="s">
        <v>260</v>
      </c>
      <c r="FC29" s="300">
        <v>45539</v>
      </c>
      <c r="FD29" s="300" t="s">
        <v>260</v>
      </c>
      <c r="FE29" s="300">
        <v>45569</v>
      </c>
      <c r="FF29" s="300">
        <v>45727</v>
      </c>
      <c r="FG29" s="300" t="s">
        <v>260</v>
      </c>
      <c r="FH29" s="300" t="s">
        <v>260</v>
      </c>
      <c r="FI29" s="300">
        <v>46020</v>
      </c>
      <c r="FJ29" s="300" t="s">
        <v>260</v>
      </c>
      <c r="FK29" s="300">
        <v>46090</v>
      </c>
      <c r="FL29" s="306" t="s">
        <v>298</v>
      </c>
      <c r="FM29" s="306">
        <v>45539</v>
      </c>
      <c r="FN29" s="284">
        <f>IF(Table1[[#This Row],[Tanggal Pengajuan Dokumen]]="","",Table1[[#This Row],[PLAN PERMIT
start]]-Table1[[#This Row],[Tanggal Pengajuan Dokumen]])</f>
        <v>-72</v>
      </c>
      <c r="FO29" s="306"/>
      <c r="FP29" s="286"/>
      <c r="FQ29" s="308"/>
      <c r="FR29" s="322"/>
      <c r="FS29" s="308" t="str">
        <f t="shared" si="4"/>
        <v>Sudah Terbit</v>
      </c>
      <c r="FT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 s="314">
        <f ca="1">IF(Table1[[#This Row],[Status Izin]]="Selesai",Table1[[#This Row],[PLAN PERMIT
finish]]-Table1[[#This Row],[Tanggal Terbit/ Target Izin Terbit]],ROUNDUP(Table1[[#This Row],[PLAN PERMIT
finish]]-NOW(),0))</f>
        <v>45564</v>
      </c>
      <c r="FV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 s="314"/>
      <c r="FX29" s="42"/>
      <c r="FY29" s="310"/>
      <c r="FZ29" s="311"/>
      <c r="GA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 s="300">
        <v>45538</v>
      </c>
      <c r="GC29" s="301">
        <v>45519</v>
      </c>
      <c r="GD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 s="300">
        <v>45545</v>
      </c>
      <c r="GF29" s="301">
        <v>45519</v>
      </c>
      <c r="GG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 s="300">
        <v>45551</v>
      </c>
      <c r="GI29" s="300">
        <v>45557</v>
      </c>
      <c r="GJ29" s="323">
        <v>45558</v>
      </c>
      <c r="GK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9" s="300">
        <v>45565</v>
      </c>
      <c r="GM29" s="300" t="e">
        <v>#N/A</v>
      </c>
      <c r="GN29" s="300">
        <v>45690</v>
      </c>
      <c r="GO29" s="300" t="e">
        <v>#N/A</v>
      </c>
      <c r="GP29" s="286"/>
      <c r="GQ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 s="300" t="s">
        <v>261</v>
      </c>
      <c r="GS29" s="300" t="s">
        <v>261</v>
      </c>
      <c r="GT29" s="324">
        <v>45771</v>
      </c>
      <c r="GU29" s="314" t="str">
        <f>IF(Table1[[#This Row],[Hydro Tes Actual
(tanggal)]]&lt;&gt;"","Sudah","Belum")</f>
        <v>Sudah</v>
      </c>
      <c r="GV29" s="300" t="s">
        <v>261</v>
      </c>
      <c r="GW29" s="300" t="s">
        <v>261</v>
      </c>
      <c r="GX29" s="301">
        <v>45756</v>
      </c>
      <c r="GY29" s="314" t="str">
        <f>IF(Table1[[#This Row],[Interkoneksi Actual
(tanggal)]]&lt;&gt;"","Sudah","Belum")</f>
        <v>Sudah</v>
      </c>
      <c r="GZ29" s="300" t="s">
        <v>261</v>
      </c>
      <c r="HA29" s="300" t="s">
        <v>261</v>
      </c>
      <c r="HB29" s="301">
        <v>45769</v>
      </c>
      <c r="HC29" s="314" t="str">
        <f>IF(Table1[[#This Row],[Flushing Actual
(tanggal)]]&lt;&gt;"","Sudah","Belum")</f>
        <v>Sudah</v>
      </c>
      <c r="HD29" s="300">
        <v>45677</v>
      </c>
      <c r="HE29" s="300" t="e">
        <v>#N/A</v>
      </c>
      <c r="HF29" s="300">
        <v>45683</v>
      </c>
      <c r="HG29" s="316">
        <v>45779</v>
      </c>
      <c r="HH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 s="300" t="s">
        <v>261</v>
      </c>
      <c r="HJ29" s="300" t="s">
        <v>261</v>
      </c>
      <c r="HK29" s="301"/>
      <c r="HL29" s="286"/>
      <c r="HM29" s="300">
        <v>45702</v>
      </c>
      <c r="HN29" s="300">
        <v>45702</v>
      </c>
      <c r="HO29" s="300" t="e">
        <v>#N/A</v>
      </c>
      <c r="HP29" s="300"/>
      <c r="HQ29" s="316">
        <v>45796</v>
      </c>
      <c r="HR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 s="300">
        <v>45709</v>
      </c>
      <c r="HT29" s="300"/>
      <c r="HU29" s="300">
        <v>45709</v>
      </c>
      <c r="HV29" s="497"/>
      <c r="HW29" s="300">
        <v>45751</v>
      </c>
      <c r="HX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 s="42"/>
      <c r="HZ29" s="322"/>
      <c r="IA29" s="306"/>
      <c r="IC29" s="585">
        <f>IFERROR(ROUND((Table1[[#This Row],[PLAN TC
finish]]-Table1[[#This Row],[PLAN MC-0
start]])/30,2),"")</f>
        <v>4.4000000000000004</v>
      </c>
      <c r="ID29">
        <f>DATEDIF(Table1[[#This Row],[PLAN MC-0
start]],Table1[[#This Row],[PLAN TC
finish]],"m")</f>
        <v>4</v>
      </c>
    </row>
    <row r="30" spans="1:238" s="30" customFormat="1" ht="15" customHeight="1" x14ac:dyDescent="0.25">
      <c r="A30" s="72"/>
      <c r="B30" s="281">
        <f>SUBTOTAL(3,$D$5:D30)</f>
        <v>26</v>
      </c>
      <c r="C30" s="332">
        <v>26</v>
      </c>
      <c r="D30" s="333" t="s">
        <v>244</v>
      </c>
      <c r="E30" s="333" t="s">
        <v>387</v>
      </c>
      <c r="F30" s="333" t="s">
        <v>388</v>
      </c>
      <c r="G30" s="334">
        <v>45752</v>
      </c>
      <c r="H30" s="335" t="s">
        <v>247</v>
      </c>
      <c r="I30" s="333" t="s">
        <v>278</v>
      </c>
      <c r="J30" s="333"/>
      <c r="K30" s="336" t="s">
        <v>249</v>
      </c>
      <c r="L30" s="337" t="s">
        <v>250</v>
      </c>
      <c r="M30" s="337" t="s">
        <v>269</v>
      </c>
      <c r="N30" s="338">
        <v>133</v>
      </c>
      <c r="O30" s="339" t="s">
        <v>252</v>
      </c>
      <c r="P30"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 s="340" t="s">
        <v>389</v>
      </c>
      <c r="R30" s="83" t="e">
        <v>#N/A</v>
      </c>
      <c r="S30" s="83">
        <v>1</v>
      </c>
      <c r="T30" s="341">
        <f>Table1[[#This Row],[Progres Total Aktual
(%)]]</f>
        <v>0</v>
      </c>
      <c r="U30" s="342">
        <f>Table1[[#This Row],[Progres Aktual
(%)]]-Table1[[#This Row],[Target Progres
(%)]]</f>
        <v>-1</v>
      </c>
      <c r="V30" s="343">
        <f>Table1[[#This Row],["Volume
BA MC-0"]]</f>
        <v>0</v>
      </c>
      <c r="W30" s="344">
        <f>Table1[[#This Row],[Total Panjang Pipa Aktual
(Sum-&gt;)3]]</f>
        <v>0</v>
      </c>
      <c r="X30" s="42"/>
      <c r="Y30" s="345" t="s">
        <v>390</v>
      </c>
      <c r="Z30" s="345">
        <v>190276112</v>
      </c>
      <c r="AA30" s="345">
        <f>ROUND((Table1[[#This Row],[Nilai RAB Jaringan
(Exclude Ppn)]]-Table1[[#This Row],[RAB Perizinan]])*1.11+Table1[[#This Row],[RAB Perizinan]],0)</f>
        <v>0</v>
      </c>
      <c r="AB30" s="340">
        <f>SUM(Table1[[#This Row],[RAB Kegiatan Umum]:[RAB Perizinan]])</f>
        <v>0</v>
      </c>
      <c r="AC30" s="340"/>
      <c r="AD30" s="340"/>
      <c r="AE30" s="340"/>
      <c r="AF30" s="340"/>
      <c r="AG30" s="340">
        <v>1526987984</v>
      </c>
      <c r="AH30" s="341" t="e">
        <f>SUM(Table1[[#This Row],[Bobot Keg Umum]:[Bobot Perizinan]])</f>
        <v>#DIV/0!</v>
      </c>
      <c r="AI30" s="341" t="e">
        <f>Table1[[#This Row],[RAB Kegiatan Umum]]/Table1[[#This Row],[Nilai RAB Jaringan
(Exclude Ppn)]]</f>
        <v>#DIV/0!</v>
      </c>
      <c r="AJ30" s="341" t="e">
        <f>Table1[[#This Row],[RAB Pemasangan]]/Table1[[#This Row],[Nilai RAB Jaringan
(Exclude Ppn)]]</f>
        <v>#DIV/0!</v>
      </c>
      <c r="AK30" s="341" t="e">
        <f>Table1[[#This Row],[RAB Pengadaan]]/Table1[[#This Row],[Nilai RAB Jaringan
(Exclude Ppn)]]</f>
        <v>#DIV/0!</v>
      </c>
      <c r="AL30" s="341" t="e">
        <f>Table1[[#This Row],[RAB Perizinan]]/Table1[[#This Row],[Nilai RAB Jaringan
(Exclude Ppn)]]</f>
        <v>#DIV/0!</v>
      </c>
      <c r="AM30" s="42"/>
      <c r="AN30" s="346">
        <v>0</v>
      </c>
      <c r="AO30" s="346">
        <f>SUM(Table1[[#This Row],[Pipa 63 mm]:[Pipa 1,800 mm]])</f>
        <v>0</v>
      </c>
      <c r="AP30" s="346"/>
      <c r="AQ30" s="346"/>
      <c r="AR30" s="346"/>
      <c r="AS30" s="346"/>
      <c r="AT30" s="346"/>
      <c r="AU30" s="346"/>
      <c r="AV30" s="346"/>
      <c r="AW30" s="346"/>
      <c r="AX30" s="346"/>
      <c r="AY30" s="346"/>
      <c r="AZ30" s="346"/>
      <c r="BA30" s="346"/>
      <c r="BB30" s="346"/>
      <c r="BC30" s="346"/>
      <c r="BD30" s="346"/>
      <c r="BE30" s="346"/>
      <c r="BF30" s="346"/>
      <c r="BG30" s="346"/>
      <c r="BH30" s="346"/>
      <c r="BI30" s="346"/>
      <c r="BJ30" s="347">
        <f>SUM(Table1[[#This Row],[Pipa 63 mm2]:[Pipa 1,800 mm21]])</f>
        <v>0</v>
      </c>
      <c r="BK30" s="348"/>
      <c r="BL30" s="348"/>
      <c r="BM30" s="348"/>
      <c r="BN30" s="348"/>
      <c r="BO30" s="348"/>
      <c r="BP30" s="348"/>
      <c r="BQ30" s="348"/>
      <c r="BR30" s="348"/>
      <c r="BS30" s="348"/>
      <c r="BT30" s="348"/>
      <c r="BU30" s="348"/>
      <c r="BV30" s="348"/>
      <c r="BW30" s="348"/>
      <c r="BX30" s="348"/>
      <c r="BY30" s="348"/>
      <c r="BZ30" s="348"/>
      <c r="CA30" s="348"/>
      <c r="CB30" s="348"/>
      <c r="CC30" s="348"/>
      <c r="CD30" s="348"/>
      <c r="CE30" s="348">
        <v>0</v>
      </c>
      <c r="CF30" s="348"/>
      <c r="CG30" s="348"/>
      <c r="CH30" s="348"/>
      <c r="CI30" s="348">
        <f t="shared" si="3"/>
        <v>0</v>
      </c>
      <c r="CJ30" s="348">
        <f>IF((Table1[[#This Row],["Volume
BA MC-0"]]-Table1[[#This Row],[Total Panjang Pipa Aktual
(Sum-&gt;)3]]-Table1[[#This Row],[Total Volume
tidak dapat dipasang]])&gt;=0,Table1[[#This Row],["Volume
BA MC-0"]]-Table1[[#This Row],[Total Panjang Pipa Aktual
(Sum-&gt;)3]]-Table1[[#This Row],[Total Volume
tidak dapat dipasang]],0)</f>
        <v>0</v>
      </c>
      <c r="CK30" s="42"/>
      <c r="CL30" s="349"/>
      <c r="CM30" s="341"/>
      <c r="CN30" s="349"/>
      <c r="CO30" s="349"/>
      <c r="CP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 s="350">
        <f>IFERROR(Table1[[#This Row],[Progres Keg. Umum
(%)]]*Table1[[#This Row],[Nilai RAB Jaringan
(file pa aji)]],0)</f>
        <v>0</v>
      </c>
      <c r="CR30" s="350">
        <f>IFERROR(Table1[[#This Row],[Progres MOS
(%)]]*Table1[[#This Row],[Nilai RAB Jaringan
(file pa aji)]],0)</f>
        <v>0</v>
      </c>
      <c r="CS30" s="350">
        <f>IFERROR(Table1[[#This Row],[Progres Pemasangan
(%)]]*Table1[[#This Row],[Nilai RAB Jaringan
(file pa aji)]],0)</f>
        <v>0</v>
      </c>
      <c r="CT30" s="350">
        <f>IFERROR(Table1[[#This Row],[Progres Perizinan
(%)]]*Table1[[#This Row],[Nilai RAB Jaringan
(file pa aji)]],0)</f>
        <v>0</v>
      </c>
      <c r="CU30" s="789">
        <v>0</v>
      </c>
      <c r="CV30" s="299">
        <v>0</v>
      </c>
      <c r="CW30" s="551">
        <v>0</v>
      </c>
      <c r="CX30" s="789">
        <f>_xlfn.XLOOKUP(Table1[[#This Row],[Kode Program]],'[1]Breakdown VOWD Greenfield'!$E:$E,'[1]Breakdown VOWD Greenfield'!$AT:$AT)</f>
        <v>0</v>
      </c>
      <c r="CY30" s="42"/>
      <c r="CZ30" s="300">
        <v>45439</v>
      </c>
      <c r="DA30" s="300">
        <v>45466</v>
      </c>
      <c r="DB30" s="301"/>
      <c r="DC30" s="337"/>
      <c r="DD30" s="345"/>
      <c r="DE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0" s="301"/>
      <c r="DG30" s="337"/>
      <c r="DH30" s="345"/>
      <c r="DI3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0" s="300">
        <v>45467</v>
      </c>
      <c r="DK30" s="300">
        <v>45536</v>
      </c>
      <c r="DL30" s="301">
        <v>45520</v>
      </c>
      <c r="DM30" s="351" t="s">
        <v>391</v>
      </c>
      <c r="DN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 s="301">
        <v>45544</v>
      </c>
      <c r="DP30" s="337" t="s">
        <v>392</v>
      </c>
      <c r="DQ30" s="336" t="s">
        <v>371</v>
      </c>
      <c r="DR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 s="300">
        <v>45467</v>
      </c>
      <c r="DT30" s="300" t="e">
        <v>#N/A</v>
      </c>
      <c r="DU30" s="300">
        <v>45508</v>
      </c>
      <c r="DV30" s="300" t="e">
        <v>#N/A</v>
      </c>
      <c r="DW30" s="301"/>
      <c r="DX30" s="337"/>
      <c r="DY30" s="352"/>
      <c r="DZ30" s="352"/>
      <c r="EA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0" s="301"/>
      <c r="EC30" s="302"/>
      <c r="ED30" s="302"/>
      <c r="EE30" s="300"/>
      <c r="EF30" s="341" t="b">
        <v>0</v>
      </c>
      <c r="EG30" s="353" t="b">
        <v>0</v>
      </c>
      <c r="EH30" s="286" t="str">
        <f>IF(Table1[[#This Row],[PO Material Aktual 
(%)]]&gt;=100%,"Selesai PO = 100%",IF(Table1[[#This Row],[PO Material Aktual 
(%)]]&gt;=50%,"Proses PO &gt; 100%",IF(Table1[[#This Row],[PO Material Aktual 
(%)]]&gt;0%,"Proses PO &gt; 50%",IF(Table1[[#This Row],[PO Material Aktual 
(%)]]=0,"Belum PO = 0%"))))</f>
        <v>Selesai PO = 100%</v>
      </c>
      <c r="EI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 s="300">
        <v>45509</v>
      </c>
      <c r="EK30" s="300" t="e">
        <v>#N/A</v>
      </c>
      <c r="EL30" s="300">
        <v>45620</v>
      </c>
      <c r="EM30" s="300" t="e">
        <v>#N/A</v>
      </c>
      <c r="EN30" s="301"/>
      <c r="EO30" s="302"/>
      <c r="EP30" s="302"/>
      <c r="EQ30" s="83" t="b">
        <v>0</v>
      </c>
      <c r="ER30" s="83" t="b">
        <v>0</v>
      </c>
      <c r="ES30" s="286" t="str">
        <f>IF(Table1[[#This Row],[Progres MOS]]&gt;=100%,"Selesai MOS = 100%",IF(Table1[[#This Row],[Progres MOS]]&gt;=50%,"Proses MOS &gt; 100%",IF(Table1[[#This Row],[Progres MOS]]&gt;0%,"Proses MOS &gt; 50%",IF(Table1[[#This Row],[Progres MOS]]=0,"Belum MOS = 0%"))))</f>
        <v>Selesai MOS = 100%</v>
      </c>
      <c r="ET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 s="42"/>
      <c r="EV30" s="300">
        <v>45467</v>
      </c>
      <c r="EW30" s="300" t="e">
        <v>#N/A</v>
      </c>
      <c r="EX30" s="300">
        <v>45564</v>
      </c>
      <c r="EY30" s="300" t="e">
        <v>#N/A</v>
      </c>
      <c r="EZ30" s="354" t="s">
        <v>259</v>
      </c>
      <c r="FA30" s="355" t="s">
        <v>389</v>
      </c>
      <c r="FB30" s="356" t="s">
        <v>260</v>
      </c>
      <c r="FC30" s="300">
        <v>45565</v>
      </c>
      <c r="FD30" s="356" t="s">
        <v>260</v>
      </c>
      <c r="FE30" s="356">
        <v>45569</v>
      </c>
      <c r="FF30" s="356">
        <v>45691</v>
      </c>
      <c r="FG30" s="356" t="s">
        <v>260</v>
      </c>
      <c r="FH30" s="356" t="s">
        <v>260</v>
      </c>
      <c r="FI30" s="356">
        <v>45838</v>
      </c>
      <c r="FJ30" s="356" t="s">
        <v>260</v>
      </c>
      <c r="FK30" s="356">
        <v>45904</v>
      </c>
      <c r="FL30" s="306" t="s">
        <v>259</v>
      </c>
      <c r="FM30" s="306">
        <v>45565</v>
      </c>
      <c r="FN30" s="284">
        <f>IF(Table1[[#This Row],[Tanggal Pengajuan Dokumen]]="","",Table1[[#This Row],[PLAN PERMIT
start]]-Table1[[#This Row],[Tanggal Pengajuan Dokumen]])</f>
        <v>-98</v>
      </c>
      <c r="FO30" s="306">
        <v>45904</v>
      </c>
      <c r="FP30" s="337"/>
      <c r="FQ30" s="336"/>
      <c r="FR30" s="354"/>
      <c r="FS30" s="308" t="str">
        <f t="shared" si="4"/>
        <v>Sudah Terbit</v>
      </c>
      <c r="FT3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 s="357">
        <f ca="1">IF(Table1[[#This Row],[Status Izin]]="Selesai",Table1[[#This Row],[PLAN PERMIT
finish]]-Table1[[#This Row],[Tanggal Terbit/ Target Izin Terbit]],ROUNDUP(Table1[[#This Row],[PLAN PERMIT
finish]]-NOW(),0))</f>
        <v>-340</v>
      </c>
      <c r="FV3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 s="357"/>
      <c r="FX30" s="42"/>
      <c r="FY30" s="310"/>
      <c r="FZ30" s="311"/>
      <c r="GA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 s="300">
        <v>45538</v>
      </c>
      <c r="GC30" s="358">
        <v>45519</v>
      </c>
      <c r="GD30"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 s="300">
        <v>45545</v>
      </c>
      <c r="GF30" s="358">
        <v>45519</v>
      </c>
      <c r="GG30"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 s="300">
        <v>45551</v>
      </c>
      <c r="GI30" s="300">
        <v>45557</v>
      </c>
      <c r="GJ30" s="359">
        <v>45556</v>
      </c>
      <c r="GK30"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 s="300">
        <v>45565</v>
      </c>
      <c r="GM30" s="300" t="e">
        <v>#N/A</v>
      </c>
      <c r="GN30" s="300">
        <v>45690</v>
      </c>
      <c r="GO30" s="300" t="e">
        <v>#N/A</v>
      </c>
      <c r="GP30" s="337"/>
      <c r="GQ30"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 s="356" t="s">
        <v>261</v>
      </c>
      <c r="GS30" s="356" t="s">
        <v>261</v>
      </c>
      <c r="GT30" s="360"/>
      <c r="GU30" s="357" t="str">
        <f>IF(Table1[[#This Row],[Hydro Tes Actual
(tanggal)]]&lt;&gt;"","Sudah","Belum")</f>
        <v>Belum</v>
      </c>
      <c r="GV30" s="356" t="s">
        <v>261</v>
      </c>
      <c r="GW30" s="356" t="s">
        <v>261</v>
      </c>
      <c r="GX30" s="358"/>
      <c r="GY30" s="314" t="str">
        <f>IF(Table1[[#This Row],[Interkoneksi Actual
(tanggal)]]&lt;&gt;"","Sudah","Belum")</f>
        <v>Belum</v>
      </c>
      <c r="GZ30" s="356" t="s">
        <v>261</v>
      </c>
      <c r="HA30" s="356" t="s">
        <v>261</v>
      </c>
      <c r="HB30" s="358"/>
      <c r="HC30" s="314" t="str">
        <f>IF(Table1[[#This Row],[Flushing Actual
(tanggal)]]&lt;&gt;"","Sudah","Belum")</f>
        <v>Belum</v>
      </c>
      <c r="HD30" s="300">
        <v>45677</v>
      </c>
      <c r="HE30" s="300" t="e">
        <v>#N/A</v>
      </c>
      <c r="HF30" s="300">
        <v>45683</v>
      </c>
      <c r="HG30" s="361"/>
      <c r="HH30"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 s="356" t="s">
        <v>261</v>
      </c>
      <c r="HJ30" s="356" t="s">
        <v>261</v>
      </c>
      <c r="HK30" s="358"/>
      <c r="HL30" s="337"/>
      <c r="HM30" s="300">
        <v>45702</v>
      </c>
      <c r="HN30" s="300">
        <v>45702</v>
      </c>
      <c r="HO30" s="300" t="e">
        <v>#N/A</v>
      </c>
      <c r="HP30" s="300"/>
      <c r="HQ30" s="361"/>
      <c r="HR30"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 s="300">
        <v>45709</v>
      </c>
      <c r="HT30" s="300"/>
      <c r="HU30" s="300">
        <v>45709</v>
      </c>
      <c r="HV30" s="497"/>
      <c r="HW30" s="356"/>
      <c r="HX30"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 s="42"/>
      <c r="HZ30" s="354"/>
      <c r="IA30" s="306"/>
      <c r="IC30" s="585">
        <f>IFERROR(ROUND((Table1[[#This Row],[PLAN TC
finish]]-Table1[[#This Row],[PLAN MC-0
start]])/30,2),"")</f>
        <v>4.4000000000000004</v>
      </c>
      <c r="ID30">
        <f>DATEDIF(Table1[[#This Row],[PLAN MC-0
start]],Table1[[#This Row],[PLAN TC
finish]],"m")</f>
        <v>4</v>
      </c>
    </row>
    <row r="31" spans="1:238" s="4" customFormat="1" ht="15" customHeight="1" x14ac:dyDescent="0.25">
      <c r="B31" s="281">
        <f>SUBTOTAL(3,$D$5:D31)</f>
        <v>27</v>
      </c>
      <c r="C31" s="318">
        <v>27</v>
      </c>
      <c r="D31" s="285" t="s">
        <v>244</v>
      </c>
      <c r="E31" s="285" t="s">
        <v>393</v>
      </c>
      <c r="F31" s="285" t="s">
        <v>394</v>
      </c>
      <c r="G31" s="319">
        <v>45752</v>
      </c>
      <c r="H31" s="284" t="s">
        <v>247</v>
      </c>
      <c r="I31" s="285" t="s">
        <v>278</v>
      </c>
      <c r="J31" s="285"/>
      <c r="K31" s="308" t="s">
        <v>249</v>
      </c>
      <c r="L31" s="286" t="s">
        <v>250</v>
      </c>
      <c r="M31" s="286" t="s">
        <v>269</v>
      </c>
      <c r="N31" s="94">
        <v>4523</v>
      </c>
      <c r="O31" s="31" t="s">
        <v>252</v>
      </c>
      <c r="P3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 s="82" t="e">
        <v>#N/A</v>
      </c>
      <c r="S31" s="82">
        <v>1</v>
      </c>
      <c r="T31" s="35">
        <f>Table1[[#This Row],[Progres Total Aktual
(%)]]</f>
        <v>1</v>
      </c>
      <c r="U31" s="106">
        <f>Table1[[#This Row],[Progres Aktual
(%)]]-Table1[[#This Row],[Target Progres
(%)]]</f>
        <v>0</v>
      </c>
      <c r="V31" s="320">
        <f>Table1[[#This Row],["Volume
BA MC-0"]]</f>
        <v>4360</v>
      </c>
      <c r="W31" s="321">
        <f>Table1[[#This Row],[Total Panjang Pipa Aktual
(Sum-&gt;)3]]</f>
        <v>2052.4</v>
      </c>
      <c r="X31" s="42"/>
      <c r="Y31" s="62" t="s">
        <v>395</v>
      </c>
      <c r="Z31" s="62">
        <v>8054511043</v>
      </c>
      <c r="AA31" s="62">
        <f>ROUND((Table1[[#This Row],[Nilai RAB Jaringan
(Exclude Ppn)]]-Table1[[#This Row],[RAB Perizinan]])*1.11+Table1[[#This Row],[RAB Perizinan]],0)</f>
        <v>0</v>
      </c>
      <c r="AB31" s="290">
        <f>SUM(Table1[[#This Row],[RAB Kegiatan Umum]:[RAB Perizinan]])</f>
        <v>0</v>
      </c>
      <c r="AC31" s="290"/>
      <c r="AD31" s="290"/>
      <c r="AE31" s="290"/>
      <c r="AF31" s="290"/>
      <c r="AG31" s="290">
        <v>4804375616</v>
      </c>
      <c r="AH31" s="35" t="e">
        <f>SUM(Table1[[#This Row],[Bobot Keg Umum]:[Bobot Perizinan]])</f>
        <v>#DIV/0!</v>
      </c>
      <c r="AI31" s="35" t="e">
        <f>Table1[[#This Row],[RAB Kegiatan Umum]]/Table1[[#This Row],[Nilai RAB Jaringan
(Exclude Ppn)]]</f>
        <v>#DIV/0!</v>
      </c>
      <c r="AJ31" s="35" t="e">
        <f>Table1[[#This Row],[RAB Pemasangan]]/Table1[[#This Row],[Nilai RAB Jaringan
(Exclude Ppn)]]</f>
        <v>#DIV/0!</v>
      </c>
      <c r="AK31" s="35" t="e">
        <f>Table1[[#This Row],[RAB Pengadaan]]/Table1[[#This Row],[Nilai RAB Jaringan
(Exclude Ppn)]]</f>
        <v>#DIV/0!</v>
      </c>
      <c r="AL31" s="35" t="e">
        <f>Table1[[#This Row],[RAB Perizinan]]/Table1[[#This Row],[Nilai RAB Jaringan
(Exclude Ppn)]]</f>
        <v>#DIV/0!</v>
      </c>
      <c r="AM31" s="42"/>
      <c r="AN31" s="256">
        <v>4360</v>
      </c>
      <c r="AO31" s="256">
        <f>SUM(Table1[[#This Row],[Pipa 63 mm]:[Pipa 1,800 mm]])</f>
        <v>0</v>
      </c>
      <c r="AP31" s="256"/>
      <c r="AQ31" s="256"/>
      <c r="AR31" s="256"/>
      <c r="AS31" s="256"/>
      <c r="AT31" s="256"/>
      <c r="AU31" s="256"/>
      <c r="AV31" s="256"/>
      <c r="AW31" s="256"/>
      <c r="AX31" s="256"/>
      <c r="AY31" s="256"/>
      <c r="AZ31" s="256"/>
      <c r="BA31" s="256"/>
      <c r="BB31" s="256"/>
      <c r="BC31" s="256"/>
      <c r="BD31" s="256"/>
      <c r="BE31" s="256"/>
      <c r="BF31" s="256"/>
      <c r="BG31" s="256"/>
      <c r="BH31" s="256"/>
      <c r="BI31" s="256"/>
      <c r="BJ31" s="36">
        <f>SUM(Table1[[#This Row],[Pipa 63 mm2]:[Pipa 1,800 mm21]])</f>
        <v>2052.4</v>
      </c>
      <c r="BK31" s="326">
        <v>1386.1</v>
      </c>
      <c r="BL31" s="326">
        <v>244.9</v>
      </c>
      <c r="BM31" s="326"/>
      <c r="BN31" s="326"/>
      <c r="BO31" s="326"/>
      <c r="BP31" s="326">
        <v>421.4</v>
      </c>
      <c r="BQ31" s="326"/>
      <c r="BR31" s="326"/>
      <c r="BS31" s="326"/>
      <c r="BT31" s="326"/>
      <c r="BU31" s="326"/>
      <c r="BV31" s="326"/>
      <c r="BW31" s="326"/>
      <c r="BX31" s="326"/>
      <c r="BY31" s="326"/>
      <c r="BZ31" s="326"/>
      <c r="CA31" s="326"/>
      <c r="CB31" s="326"/>
      <c r="CC31" s="326"/>
      <c r="CD31" s="326"/>
      <c r="CE31" s="32">
        <v>2580</v>
      </c>
      <c r="CF31" s="32"/>
      <c r="CG31" s="32"/>
      <c r="CH31" s="32"/>
      <c r="CI31" s="32">
        <f t="shared" si="3"/>
        <v>2580</v>
      </c>
      <c r="CJ31" s="60">
        <f>IF((Table1[[#This Row],["Volume
BA MC-0"]]-Table1[[#This Row],[Total Panjang Pipa Aktual
(Sum-&gt;)3]]-Table1[[#This Row],[Total Volume
tidak dapat dipasang]])&gt;=0,Table1[[#This Row],["Volume
BA MC-0"]]-Table1[[#This Row],[Total Panjang Pipa Aktual
(Sum-&gt;)3]]-Table1[[#This Row],[Total Volume
tidak dapat dipasang]],0)</f>
        <v>0</v>
      </c>
      <c r="CK31" s="42"/>
      <c r="CL31" s="113"/>
      <c r="CM31" s="35"/>
      <c r="CN31" s="113"/>
      <c r="CO31" s="113"/>
      <c r="CP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 s="61">
        <f>IFERROR(Table1[[#This Row],[Progres Keg. Umum
(%)]]*Table1[[#This Row],[Nilai RAB Jaringan
(file pa aji)]],0)</f>
        <v>0</v>
      </c>
      <c r="CR31" s="61">
        <f>IFERROR(Table1[[#This Row],[Progres MOS
(%)]]*Table1[[#This Row],[Nilai RAB Jaringan
(file pa aji)]],0)</f>
        <v>0</v>
      </c>
      <c r="CS31" s="61">
        <f>IFERROR(Table1[[#This Row],[Progres Pemasangan
(%)]]*Table1[[#This Row],[Nilai RAB Jaringan
(file pa aji)]],0)</f>
        <v>0</v>
      </c>
      <c r="CT31" s="61">
        <f>IFERROR(Table1[[#This Row],[Progres Perizinan
(%)]]*Table1[[#This Row],[Nilai RAB Jaringan
(file pa aji)]],0)</f>
        <v>0</v>
      </c>
      <c r="CU31" s="789">
        <v>3668043831</v>
      </c>
      <c r="CV31" s="299">
        <v>3668043831</v>
      </c>
      <c r="CW31" s="552">
        <v>3668043831</v>
      </c>
      <c r="CX31" s="789">
        <f>_xlfn.XLOOKUP(Table1[[#This Row],[Kode Program]],'[1]Breakdown VOWD Greenfield'!$E:$E,'[1]Breakdown VOWD Greenfield'!$AT:$AT)</f>
        <v>3668043831</v>
      </c>
      <c r="CY31" s="42"/>
      <c r="CZ31" s="300">
        <v>45439</v>
      </c>
      <c r="DA31" s="300">
        <v>45466</v>
      </c>
      <c r="DB31" s="301"/>
      <c r="DC31" s="286"/>
      <c r="DD31" s="62"/>
      <c r="DE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1" s="301"/>
      <c r="DG31" s="286"/>
      <c r="DH31" s="62"/>
      <c r="DI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1" s="300">
        <v>45467</v>
      </c>
      <c r="DK31" s="300">
        <v>45536</v>
      </c>
      <c r="DL31" s="301">
        <v>45509</v>
      </c>
      <c r="DM31" s="327" t="s">
        <v>396</v>
      </c>
      <c r="DN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 s="301">
        <v>45572</v>
      </c>
      <c r="DP31" s="286" t="s">
        <v>397</v>
      </c>
      <c r="DQ31" s="308" t="s">
        <v>371</v>
      </c>
      <c r="DR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1" s="300">
        <v>45467</v>
      </c>
      <c r="DT31" s="300" t="e">
        <v>#N/A</v>
      </c>
      <c r="DU31" s="300">
        <v>45508</v>
      </c>
      <c r="DV31" s="300" t="e">
        <v>#N/A</v>
      </c>
      <c r="DW31" s="301"/>
      <c r="DX31" s="286"/>
      <c r="DY31" s="304"/>
      <c r="DZ31" s="304"/>
      <c r="EA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1" s="301"/>
      <c r="EC31" s="302"/>
      <c r="ED31" s="302"/>
      <c r="EE31" s="300"/>
      <c r="EF31" s="35">
        <v>1</v>
      </c>
      <c r="EG31" s="307">
        <v>1</v>
      </c>
      <c r="EH31" s="286" t="str">
        <f>IF(Table1[[#This Row],[PO Material Aktual 
(%)]]&gt;=100%,"Selesai PO = 100%",IF(Table1[[#This Row],[PO Material Aktual 
(%)]]&gt;=50%,"Proses PO &gt; 100%",IF(Table1[[#This Row],[PO Material Aktual 
(%)]]&gt;0%,"Proses PO &gt; 50%",IF(Table1[[#This Row],[PO Material Aktual 
(%)]]=0,"Belum PO = 0%"))))</f>
        <v>Selesai PO = 100%</v>
      </c>
      <c r="EI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 s="300">
        <v>45509</v>
      </c>
      <c r="EK31" s="300" t="e">
        <v>#N/A</v>
      </c>
      <c r="EL31" s="300">
        <v>45620</v>
      </c>
      <c r="EM31" s="300" t="e">
        <v>#N/A</v>
      </c>
      <c r="EN31" s="301"/>
      <c r="EO31" s="302"/>
      <c r="EP31" s="302"/>
      <c r="EQ31" s="82">
        <v>1</v>
      </c>
      <c r="ER31" s="82">
        <v>1</v>
      </c>
      <c r="ES31" s="286" t="str">
        <f>IF(Table1[[#This Row],[Progres MOS]]&gt;=100%,"Selesai MOS = 100%",IF(Table1[[#This Row],[Progres MOS]]&gt;=50%,"Proses MOS &gt; 100%",IF(Table1[[#This Row],[Progres MOS]]&gt;0%,"Proses MOS &gt; 50%",IF(Table1[[#This Row],[Progres MOS]]=0,"Belum MOS = 0%"))))</f>
        <v>Selesai MOS = 100%</v>
      </c>
      <c r="ET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 s="42"/>
      <c r="EV31" s="300">
        <v>45467</v>
      </c>
      <c r="EW31" s="300" t="e">
        <v>#N/A</v>
      </c>
      <c r="EX31" s="300">
        <v>45564</v>
      </c>
      <c r="EY31" s="300" t="e">
        <v>#N/A</v>
      </c>
      <c r="EZ31" s="322" t="s">
        <v>259</v>
      </c>
      <c r="FA31" s="306" t="s">
        <v>259</v>
      </c>
      <c r="FB31" s="300" t="s">
        <v>260</v>
      </c>
      <c r="FC31" s="300">
        <v>45565</v>
      </c>
      <c r="FD31" s="300" t="s">
        <v>260</v>
      </c>
      <c r="FE31" s="300">
        <v>45569</v>
      </c>
      <c r="FF31" s="300">
        <v>45691</v>
      </c>
      <c r="FG31" s="300" t="s">
        <v>260</v>
      </c>
      <c r="FH31" s="300" t="s">
        <v>260</v>
      </c>
      <c r="FI31" s="300">
        <v>45838</v>
      </c>
      <c r="FJ31" s="300" t="s">
        <v>260</v>
      </c>
      <c r="FK31" s="300">
        <v>45904</v>
      </c>
      <c r="FL31" s="306" t="s">
        <v>259</v>
      </c>
      <c r="FM31" s="306">
        <v>45565</v>
      </c>
      <c r="FN31" s="284">
        <f>IF(Table1[[#This Row],[Tanggal Pengajuan Dokumen]]="","",Table1[[#This Row],[PLAN PERMIT
start]]-Table1[[#This Row],[Tanggal Pengajuan Dokumen]])</f>
        <v>-98</v>
      </c>
      <c r="FO31" s="306">
        <v>45904</v>
      </c>
      <c r="FP31" s="286"/>
      <c r="FQ31" s="308"/>
      <c r="FR31" s="322"/>
      <c r="FS31" s="308" t="str">
        <f t="shared" si="4"/>
        <v>Sudah Terbit</v>
      </c>
      <c r="FT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1" s="314">
        <f ca="1">IF(Table1[[#This Row],[Status Izin]]="Selesai",Table1[[#This Row],[PLAN PERMIT
finish]]-Table1[[#This Row],[Tanggal Terbit/ Target Izin Terbit]],ROUNDUP(Table1[[#This Row],[PLAN PERMIT
finish]]-NOW(),0))</f>
        <v>-340</v>
      </c>
      <c r="FV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 s="314"/>
      <c r="FX31" s="42"/>
      <c r="FY31" s="310"/>
      <c r="FZ31" s="311"/>
      <c r="GA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 s="300">
        <v>45538</v>
      </c>
      <c r="GC31" s="301">
        <v>45519</v>
      </c>
      <c r="GD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 s="300">
        <v>45545</v>
      </c>
      <c r="GF31" s="301">
        <v>45519</v>
      </c>
      <c r="GG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 s="300">
        <v>45551</v>
      </c>
      <c r="GI31" s="300">
        <v>45557</v>
      </c>
      <c r="GJ31" s="323">
        <v>45600</v>
      </c>
      <c r="GK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 s="300">
        <v>45565</v>
      </c>
      <c r="GM31" s="300" t="e">
        <v>#N/A</v>
      </c>
      <c r="GN31" s="300">
        <v>45690</v>
      </c>
      <c r="GO31" s="300" t="e">
        <v>#N/A</v>
      </c>
      <c r="GP31" s="286"/>
      <c r="GQ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 s="300" t="s">
        <v>261</v>
      </c>
      <c r="GS31" s="300" t="s">
        <v>261</v>
      </c>
      <c r="GT31" s="324">
        <v>45664</v>
      </c>
      <c r="GU31" s="314" t="str">
        <f>IF(Table1[[#This Row],[Hydro Tes Actual
(tanggal)]]&lt;&gt;"","Sudah","Belum")</f>
        <v>Sudah</v>
      </c>
      <c r="GV31" s="300" t="s">
        <v>261</v>
      </c>
      <c r="GW31" s="300" t="s">
        <v>261</v>
      </c>
      <c r="GX31" s="301">
        <v>45727</v>
      </c>
      <c r="GY31" s="314" t="str">
        <f>IF(Table1[[#This Row],[Interkoneksi Actual
(tanggal)]]&lt;&gt;"","Sudah","Belum")</f>
        <v>Sudah</v>
      </c>
      <c r="GZ31" s="300" t="s">
        <v>261</v>
      </c>
      <c r="HA31" s="300" t="s">
        <v>261</v>
      </c>
      <c r="HB31" s="301">
        <v>45761</v>
      </c>
      <c r="HC31" s="314" t="str">
        <f>IF(Table1[[#This Row],[Flushing Actual
(tanggal)]]&lt;&gt;"","Sudah","Belum")</f>
        <v>Sudah</v>
      </c>
      <c r="HD31" s="300">
        <v>45677</v>
      </c>
      <c r="HE31" s="300" t="e">
        <v>#N/A</v>
      </c>
      <c r="HF31" s="300">
        <v>45683</v>
      </c>
      <c r="HG31" s="316">
        <v>45793</v>
      </c>
      <c r="HH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 s="300" t="s">
        <v>261</v>
      </c>
      <c r="HJ31" s="300" t="s">
        <v>261</v>
      </c>
      <c r="HK31" s="301"/>
      <c r="HL31" s="286"/>
      <c r="HM31" s="300">
        <v>45702</v>
      </c>
      <c r="HN31" s="300">
        <v>45702</v>
      </c>
      <c r="HO31" s="300" t="e">
        <v>#N/A</v>
      </c>
      <c r="HP31" s="300"/>
      <c r="HQ31" s="316">
        <v>45805</v>
      </c>
      <c r="HR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 s="300">
        <v>45709</v>
      </c>
      <c r="HT31" s="300"/>
      <c r="HU31" s="300">
        <v>45709</v>
      </c>
      <c r="HV31" s="497"/>
      <c r="HW31" s="300">
        <v>45751</v>
      </c>
      <c r="HX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 s="42"/>
      <c r="HZ31" s="322"/>
      <c r="IA31" s="306"/>
      <c r="IC31" s="585">
        <f>IFERROR(ROUND((Table1[[#This Row],[PLAN TC
finish]]-Table1[[#This Row],[PLAN MC-0
start]])/30,2),"")</f>
        <v>4.4000000000000004</v>
      </c>
      <c r="ID31">
        <f>DATEDIF(Table1[[#This Row],[PLAN MC-0
start]],Table1[[#This Row],[PLAN TC
finish]],"m")</f>
        <v>4</v>
      </c>
    </row>
    <row r="32" spans="1:238" s="4" customFormat="1" ht="15" customHeight="1" x14ac:dyDescent="0.25">
      <c r="B32" s="281">
        <f>SUBTOTAL(3,$D$5:D32)</f>
        <v>28</v>
      </c>
      <c r="C32" s="318">
        <v>28</v>
      </c>
      <c r="D32" s="285" t="s">
        <v>244</v>
      </c>
      <c r="E32" s="285" t="s">
        <v>398</v>
      </c>
      <c r="F32" s="285" t="s">
        <v>399</v>
      </c>
      <c r="G32" s="319">
        <v>45752</v>
      </c>
      <c r="H32" s="284" t="s">
        <v>247</v>
      </c>
      <c r="I32" s="285" t="s">
        <v>278</v>
      </c>
      <c r="J32" s="285"/>
      <c r="K32" s="308" t="s">
        <v>249</v>
      </c>
      <c r="L32" s="286" t="s">
        <v>250</v>
      </c>
      <c r="M32" s="286" t="s">
        <v>269</v>
      </c>
      <c r="N32" s="94">
        <v>3082</v>
      </c>
      <c r="O32" s="31" t="s">
        <v>252</v>
      </c>
      <c r="P3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 s="82" t="e">
        <v>#N/A</v>
      </c>
      <c r="S32" s="82">
        <v>1</v>
      </c>
      <c r="T32" s="35">
        <f>Table1[[#This Row],[Progres Total Aktual
(%)]]</f>
        <v>1</v>
      </c>
      <c r="U32" s="106">
        <f>Table1[[#This Row],[Progres Aktual
(%)]]-Table1[[#This Row],[Target Progres
(%)]]</f>
        <v>0</v>
      </c>
      <c r="V32" s="320">
        <f>Table1[[#This Row],["Volume
BA MC-0"]]</f>
        <v>3152</v>
      </c>
      <c r="W32" s="321">
        <f>Table1[[#This Row],[Total Panjang Pipa Aktual
(Sum-&gt;)3]]</f>
        <v>1595.8</v>
      </c>
      <c r="X32" s="42"/>
      <c r="Y32" s="62" t="s">
        <v>400</v>
      </c>
      <c r="Z32" s="62">
        <v>4500042925</v>
      </c>
      <c r="AA32" s="62">
        <f>ROUND((Table1[[#This Row],[Nilai RAB Jaringan
(Exclude Ppn)]]-Table1[[#This Row],[RAB Perizinan]])*1.11+Table1[[#This Row],[RAB Perizinan]],0)</f>
        <v>0</v>
      </c>
      <c r="AB32" s="290">
        <f>SUM(Table1[[#This Row],[RAB Kegiatan Umum]:[RAB Perizinan]])</f>
        <v>0</v>
      </c>
      <c r="AC32" s="290"/>
      <c r="AD32" s="290"/>
      <c r="AE32" s="290"/>
      <c r="AF32" s="290"/>
      <c r="AG32" s="290">
        <v>3230245721</v>
      </c>
      <c r="AH32" s="35" t="e">
        <f>SUM(Table1[[#This Row],[Bobot Keg Umum]:[Bobot Perizinan]])</f>
        <v>#DIV/0!</v>
      </c>
      <c r="AI32" s="35" t="e">
        <f>Table1[[#This Row],[RAB Kegiatan Umum]]/Table1[[#This Row],[Nilai RAB Jaringan
(Exclude Ppn)]]</f>
        <v>#DIV/0!</v>
      </c>
      <c r="AJ32" s="35" t="e">
        <f>Table1[[#This Row],[RAB Pemasangan]]/Table1[[#This Row],[Nilai RAB Jaringan
(Exclude Ppn)]]</f>
        <v>#DIV/0!</v>
      </c>
      <c r="AK32" s="35" t="e">
        <f>Table1[[#This Row],[RAB Pengadaan]]/Table1[[#This Row],[Nilai RAB Jaringan
(Exclude Ppn)]]</f>
        <v>#DIV/0!</v>
      </c>
      <c r="AL32" s="35" t="e">
        <f>Table1[[#This Row],[RAB Perizinan]]/Table1[[#This Row],[Nilai RAB Jaringan
(Exclude Ppn)]]</f>
        <v>#DIV/0!</v>
      </c>
      <c r="AM32" s="42"/>
      <c r="AN32" s="256">
        <v>3152</v>
      </c>
      <c r="AO32" s="256">
        <f>SUM(Table1[[#This Row],[Pipa 63 mm]:[Pipa 1,800 mm]])</f>
        <v>0</v>
      </c>
      <c r="AP32" s="256"/>
      <c r="AQ32" s="256"/>
      <c r="AR32" s="256"/>
      <c r="AS32" s="256"/>
      <c r="AT32" s="256"/>
      <c r="AU32" s="256"/>
      <c r="AV32" s="256"/>
      <c r="AW32" s="256"/>
      <c r="AX32" s="256"/>
      <c r="AY32" s="256"/>
      <c r="AZ32" s="256"/>
      <c r="BA32" s="256"/>
      <c r="BB32" s="256"/>
      <c r="BC32" s="256"/>
      <c r="BD32" s="256"/>
      <c r="BE32" s="256"/>
      <c r="BF32" s="256"/>
      <c r="BG32" s="256"/>
      <c r="BH32" s="256"/>
      <c r="BI32" s="256"/>
      <c r="BJ32" s="36">
        <f>SUM(Table1[[#This Row],[Pipa 63 mm2]:[Pipa 1,800 mm21]])</f>
        <v>1595.8</v>
      </c>
      <c r="BK32" s="326">
        <v>1194.3</v>
      </c>
      <c r="BL32" s="326">
        <v>159.1</v>
      </c>
      <c r="BM32" s="326"/>
      <c r="BN32" s="326">
        <v>242.4</v>
      </c>
      <c r="BO32" s="326"/>
      <c r="BP32" s="326"/>
      <c r="BQ32" s="326"/>
      <c r="BR32" s="326"/>
      <c r="BS32" s="326"/>
      <c r="BT32" s="326"/>
      <c r="BU32" s="326"/>
      <c r="BV32" s="326"/>
      <c r="BW32" s="326"/>
      <c r="BX32" s="326"/>
      <c r="BY32" s="326"/>
      <c r="BZ32" s="326"/>
      <c r="CA32" s="326"/>
      <c r="CB32" s="326"/>
      <c r="CC32" s="326"/>
      <c r="CD32" s="326"/>
      <c r="CE32" s="32">
        <v>1339</v>
      </c>
      <c r="CF32" s="32"/>
      <c r="CG32" s="32"/>
      <c r="CH32" s="32"/>
      <c r="CI32" s="32">
        <f t="shared" si="3"/>
        <v>1339</v>
      </c>
      <c r="CJ32" s="60">
        <f>IF((Table1[[#This Row],["Volume
BA MC-0"]]-Table1[[#This Row],[Total Panjang Pipa Aktual
(Sum-&gt;)3]]-Table1[[#This Row],[Total Volume
tidak dapat dipasang]])&gt;=0,Table1[[#This Row],["Volume
BA MC-0"]]-Table1[[#This Row],[Total Panjang Pipa Aktual
(Sum-&gt;)3]]-Table1[[#This Row],[Total Volume
tidak dapat dipasang]],0)</f>
        <v>217.20000000000005</v>
      </c>
      <c r="CK32" s="42"/>
      <c r="CL32" s="113"/>
      <c r="CM32" s="35"/>
      <c r="CN32" s="113"/>
      <c r="CO32" s="113"/>
      <c r="CP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 s="61">
        <f>IFERROR(Table1[[#This Row],[Progres Keg. Umum
(%)]]*Table1[[#This Row],[Nilai RAB Jaringan
(file pa aji)]],0)</f>
        <v>0</v>
      </c>
      <c r="CR32" s="61">
        <f>IFERROR(Table1[[#This Row],[Progres MOS
(%)]]*Table1[[#This Row],[Nilai RAB Jaringan
(file pa aji)]],0)</f>
        <v>0</v>
      </c>
      <c r="CS32" s="61">
        <f>IFERROR(Table1[[#This Row],[Progres Pemasangan
(%)]]*Table1[[#This Row],[Nilai RAB Jaringan
(file pa aji)]],0)</f>
        <v>0</v>
      </c>
      <c r="CT32" s="61">
        <f>IFERROR(Table1[[#This Row],[Progres Perizinan
(%)]]*Table1[[#This Row],[Nilai RAB Jaringan
(file pa aji)]],0)</f>
        <v>0</v>
      </c>
      <c r="CU32" s="789">
        <v>2218371264</v>
      </c>
      <c r="CV32" s="299">
        <v>2218371264</v>
      </c>
      <c r="CW32" s="552">
        <v>2218371264</v>
      </c>
      <c r="CX32" s="789">
        <f>_xlfn.XLOOKUP(Table1[[#This Row],[Kode Program]],'[1]Breakdown VOWD Greenfield'!$E:$E,'[1]Breakdown VOWD Greenfield'!$AT:$AT)</f>
        <v>2218371264</v>
      </c>
      <c r="CY32" s="42"/>
      <c r="CZ32" s="300">
        <v>45439</v>
      </c>
      <c r="DA32" s="300">
        <v>45466</v>
      </c>
      <c r="DB32" s="301"/>
      <c r="DC32" s="286"/>
      <c r="DD32" s="62"/>
      <c r="DE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2" s="301"/>
      <c r="DG32" s="286"/>
      <c r="DH32" s="62"/>
      <c r="DI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2" s="300">
        <v>45467</v>
      </c>
      <c r="DK32" s="300">
        <v>45536</v>
      </c>
      <c r="DL32" s="301">
        <v>45514</v>
      </c>
      <c r="DM32" s="327" t="s">
        <v>401</v>
      </c>
      <c r="DN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 s="301">
        <v>45572</v>
      </c>
      <c r="DP32" s="286" t="s">
        <v>402</v>
      </c>
      <c r="DQ32" s="308" t="s">
        <v>371</v>
      </c>
      <c r="DR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 s="300">
        <v>45467</v>
      </c>
      <c r="DT32" s="300" t="e">
        <v>#N/A</v>
      </c>
      <c r="DU32" s="300">
        <v>45508</v>
      </c>
      <c r="DV32" s="300" t="e">
        <v>#N/A</v>
      </c>
      <c r="DW32" s="301"/>
      <c r="DX32" s="286"/>
      <c r="DY32" s="304"/>
      <c r="DZ32" s="304"/>
      <c r="EA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2" s="301"/>
      <c r="EC32" s="302"/>
      <c r="ED32" s="302"/>
      <c r="EE32" s="300"/>
      <c r="EF32" s="35">
        <v>1</v>
      </c>
      <c r="EG32" s="307">
        <v>1</v>
      </c>
      <c r="EH32" s="286" t="str">
        <f>IF(Table1[[#This Row],[PO Material Aktual 
(%)]]&gt;=100%,"Selesai PO = 100%",IF(Table1[[#This Row],[PO Material Aktual 
(%)]]&gt;=50%,"Proses PO &gt; 100%",IF(Table1[[#This Row],[PO Material Aktual 
(%)]]&gt;0%,"Proses PO &gt; 50%",IF(Table1[[#This Row],[PO Material Aktual 
(%)]]=0,"Belum PO = 0%"))))</f>
        <v>Selesai PO = 100%</v>
      </c>
      <c r="EI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 s="300">
        <v>45509</v>
      </c>
      <c r="EK32" s="300" t="e">
        <v>#N/A</v>
      </c>
      <c r="EL32" s="300">
        <v>45620</v>
      </c>
      <c r="EM32" s="300" t="e">
        <v>#N/A</v>
      </c>
      <c r="EN32" s="301"/>
      <c r="EO32" s="302"/>
      <c r="EP32" s="302"/>
      <c r="EQ32" s="82">
        <v>1</v>
      </c>
      <c r="ER32" s="82">
        <v>1</v>
      </c>
      <c r="ES32" s="286" t="str">
        <f>IF(Table1[[#This Row],[Progres MOS]]&gt;=100%,"Selesai MOS = 100%",IF(Table1[[#This Row],[Progres MOS]]&gt;=50%,"Proses MOS &gt; 100%",IF(Table1[[#This Row],[Progres MOS]]&gt;0%,"Proses MOS &gt; 50%",IF(Table1[[#This Row],[Progres MOS]]=0,"Belum MOS = 0%"))))</f>
        <v>Selesai MOS = 100%</v>
      </c>
      <c r="ET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 s="42"/>
      <c r="EV32" s="300">
        <v>45467</v>
      </c>
      <c r="EW32" s="300" t="e">
        <v>#N/A</v>
      </c>
      <c r="EX32" s="300">
        <v>45564</v>
      </c>
      <c r="EY32" s="300" t="e">
        <v>#N/A</v>
      </c>
      <c r="EZ32" s="322" t="s">
        <v>259</v>
      </c>
      <c r="FA32" s="306" t="s">
        <v>259</v>
      </c>
      <c r="FB32" s="300" t="s">
        <v>260</v>
      </c>
      <c r="FC32" s="300">
        <v>45565</v>
      </c>
      <c r="FD32" s="300" t="s">
        <v>260</v>
      </c>
      <c r="FE32" s="300">
        <v>45569</v>
      </c>
      <c r="FF32" s="300">
        <v>45691</v>
      </c>
      <c r="FG32" s="300" t="s">
        <v>260</v>
      </c>
      <c r="FH32" s="300" t="s">
        <v>260</v>
      </c>
      <c r="FI32" s="300">
        <v>45981</v>
      </c>
      <c r="FJ32" s="300" t="s">
        <v>260</v>
      </c>
      <c r="FK32" s="300">
        <v>46022</v>
      </c>
      <c r="FL32" s="306" t="s">
        <v>259</v>
      </c>
      <c r="FM32" s="306">
        <v>45565</v>
      </c>
      <c r="FN32" s="284">
        <f>IF(Table1[[#This Row],[Tanggal Pengajuan Dokumen]]="","",Table1[[#This Row],[PLAN PERMIT
start]]-Table1[[#This Row],[Tanggal Pengajuan Dokumen]])</f>
        <v>-98</v>
      </c>
      <c r="FO32" s="306"/>
      <c r="FP32" s="286"/>
      <c r="FQ32" s="308"/>
      <c r="FR32" s="322"/>
      <c r="FS32" s="308" t="str">
        <f t="shared" si="4"/>
        <v>Sudah Terbit</v>
      </c>
      <c r="FT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 s="314">
        <f ca="1">IF(Table1[[#This Row],[Status Izin]]="Selesai",Table1[[#This Row],[PLAN PERMIT
finish]]-Table1[[#This Row],[Tanggal Terbit/ Target Izin Terbit]],ROUNDUP(Table1[[#This Row],[PLAN PERMIT
finish]]-NOW(),0))</f>
        <v>45564</v>
      </c>
      <c r="FV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 s="314"/>
      <c r="FX32" s="42"/>
      <c r="FY32" s="310"/>
      <c r="FZ32" s="311"/>
      <c r="GA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 s="300">
        <v>45538</v>
      </c>
      <c r="GC32" s="301">
        <v>45519</v>
      </c>
      <c r="GD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 s="300">
        <v>45545</v>
      </c>
      <c r="GF32" s="301">
        <v>45519</v>
      </c>
      <c r="GG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 s="300">
        <v>45551</v>
      </c>
      <c r="GI32" s="300">
        <v>45557</v>
      </c>
      <c r="GJ32" s="323">
        <v>45607</v>
      </c>
      <c r="GK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 s="300">
        <v>45565</v>
      </c>
      <c r="GM32" s="300" t="e">
        <v>#N/A</v>
      </c>
      <c r="GN32" s="300">
        <v>45690</v>
      </c>
      <c r="GO32" s="300" t="e">
        <v>#N/A</v>
      </c>
      <c r="GP32" s="286"/>
      <c r="GQ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 s="300" t="s">
        <v>261</v>
      </c>
      <c r="GS32" s="300" t="s">
        <v>261</v>
      </c>
      <c r="GT32" s="324">
        <v>45653</v>
      </c>
      <c r="GU32" s="314" t="str">
        <f>IF(Table1[[#This Row],[Hydro Tes Actual
(tanggal)]]&lt;&gt;"","Sudah","Belum")</f>
        <v>Sudah</v>
      </c>
      <c r="GV32" s="300" t="s">
        <v>261</v>
      </c>
      <c r="GW32" s="300" t="s">
        <v>261</v>
      </c>
      <c r="GX32" s="301">
        <v>45730</v>
      </c>
      <c r="GY32" s="314" t="str">
        <f>IF(Table1[[#This Row],[Interkoneksi Actual
(tanggal)]]&lt;&gt;"","Sudah","Belum")</f>
        <v>Sudah</v>
      </c>
      <c r="GZ32" s="300" t="s">
        <v>261</v>
      </c>
      <c r="HA32" s="300" t="s">
        <v>261</v>
      </c>
      <c r="HB32" s="301">
        <v>45738</v>
      </c>
      <c r="HC32" s="314" t="str">
        <f>IF(Table1[[#This Row],[Flushing Actual
(tanggal)]]&lt;&gt;"","Sudah","Belum")</f>
        <v>Sudah</v>
      </c>
      <c r="HD32" s="300">
        <v>45677</v>
      </c>
      <c r="HE32" s="300" t="e">
        <v>#N/A</v>
      </c>
      <c r="HF32" s="300">
        <v>45683</v>
      </c>
      <c r="HG32" s="316">
        <v>45740</v>
      </c>
      <c r="HH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 s="300" t="s">
        <v>261</v>
      </c>
      <c r="HJ32" s="300" t="s">
        <v>261</v>
      </c>
      <c r="HK32" s="301"/>
      <c r="HL32" s="286"/>
      <c r="HM32" s="300">
        <v>45702</v>
      </c>
      <c r="HN32" s="300">
        <v>45702</v>
      </c>
      <c r="HO32" s="300" t="e">
        <v>#N/A</v>
      </c>
      <c r="HP32" s="300"/>
      <c r="HQ32" s="316">
        <v>45796</v>
      </c>
      <c r="HR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 s="300">
        <v>45709</v>
      </c>
      <c r="HT32" s="300"/>
      <c r="HU32" s="300">
        <v>45709</v>
      </c>
      <c r="HV32" s="497"/>
      <c r="HW32" s="300">
        <v>45751</v>
      </c>
      <c r="HX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 s="42"/>
      <c r="HZ32" s="322"/>
      <c r="IA32" s="306"/>
      <c r="IC32" s="585">
        <f>IFERROR(ROUND((Table1[[#This Row],[PLAN TC
finish]]-Table1[[#This Row],[PLAN MC-0
start]])/30,2),"")</f>
        <v>4.4000000000000004</v>
      </c>
      <c r="ID32">
        <f>DATEDIF(Table1[[#This Row],[PLAN MC-0
start]],Table1[[#This Row],[PLAN TC
finish]],"m")</f>
        <v>4</v>
      </c>
    </row>
    <row r="33" spans="1:238" s="4" customFormat="1" ht="15" customHeight="1" x14ac:dyDescent="0.25">
      <c r="B33" s="281">
        <f>SUBTOTAL(3,$D$5:D33)</f>
        <v>29</v>
      </c>
      <c r="C33" s="318">
        <v>29</v>
      </c>
      <c r="D33" s="285" t="s">
        <v>244</v>
      </c>
      <c r="E33" s="285" t="s">
        <v>403</v>
      </c>
      <c r="F33" s="285" t="s">
        <v>404</v>
      </c>
      <c r="G33" s="319">
        <v>45752</v>
      </c>
      <c r="H33" s="284" t="s">
        <v>247</v>
      </c>
      <c r="I33" s="285" t="s">
        <v>278</v>
      </c>
      <c r="J33" s="285"/>
      <c r="K33" s="308" t="s">
        <v>249</v>
      </c>
      <c r="L33" s="286" t="s">
        <v>250</v>
      </c>
      <c r="M33" s="286" t="s">
        <v>269</v>
      </c>
      <c r="N33" s="94">
        <v>1233</v>
      </c>
      <c r="O33" s="31" t="s">
        <v>252</v>
      </c>
      <c r="P3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 s="82" t="e">
        <v>#N/A</v>
      </c>
      <c r="S33" s="82">
        <v>1</v>
      </c>
      <c r="T33" s="35">
        <f>Table1[[#This Row],[Progres Total Aktual
(%)]]</f>
        <v>1</v>
      </c>
      <c r="U33" s="106">
        <f>Table1[[#This Row],[Progres Aktual
(%)]]-Table1[[#This Row],[Target Progres
(%)]]</f>
        <v>0</v>
      </c>
      <c r="V33" s="320">
        <f>Table1[[#This Row],["Volume
BA MC-0"]]</f>
        <v>1322</v>
      </c>
      <c r="W33" s="321">
        <f>Table1[[#This Row],[Total Panjang Pipa Aktual
(Sum-&gt;)3]]</f>
        <v>491.2</v>
      </c>
      <c r="X33" s="42"/>
      <c r="Y33" s="62" t="s">
        <v>405</v>
      </c>
      <c r="Z33" s="62">
        <v>1972241446</v>
      </c>
      <c r="AA33" s="62">
        <f>ROUND((Table1[[#This Row],[Nilai RAB Jaringan
(Exclude Ppn)]]-Table1[[#This Row],[RAB Perizinan]])*1.11+Table1[[#This Row],[RAB Perizinan]],0)</f>
        <v>0</v>
      </c>
      <c r="AB33" s="290">
        <f>SUM(Table1[[#This Row],[RAB Kegiatan Umum]:[RAB Perizinan]])</f>
        <v>0</v>
      </c>
      <c r="AC33" s="290"/>
      <c r="AD33" s="290"/>
      <c r="AE33" s="290"/>
      <c r="AF33" s="290"/>
      <c r="AG33" s="290">
        <v>1861080657</v>
      </c>
      <c r="AH33" s="35" t="e">
        <f>SUM(Table1[[#This Row],[Bobot Keg Umum]:[Bobot Perizinan]])</f>
        <v>#DIV/0!</v>
      </c>
      <c r="AI33" s="35" t="e">
        <f>Table1[[#This Row],[RAB Kegiatan Umum]]/Table1[[#This Row],[Nilai RAB Jaringan
(Exclude Ppn)]]</f>
        <v>#DIV/0!</v>
      </c>
      <c r="AJ33" s="35" t="e">
        <f>Table1[[#This Row],[RAB Pemasangan]]/Table1[[#This Row],[Nilai RAB Jaringan
(Exclude Ppn)]]</f>
        <v>#DIV/0!</v>
      </c>
      <c r="AK33" s="35" t="e">
        <f>Table1[[#This Row],[RAB Pengadaan]]/Table1[[#This Row],[Nilai RAB Jaringan
(Exclude Ppn)]]</f>
        <v>#DIV/0!</v>
      </c>
      <c r="AL33" s="35" t="e">
        <f>Table1[[#This Row],[RAB Perizinan]]/Table1[[#This Row],[Nilai RAB Jaringan
(Exclude Ppn)]]</f>
        <v>#DIV/0!</v>
      </c>
      <c r="AM33" s="42"/>
      <c r="AN33" s="256">
        <v>1322</v>
      </c>
      <c r="AO33" s="256">
        <f>SUM(Table1[[#This Row],[Pipa 63 mm]:[Pipa 1,800 mm]])</f>
        <v>0</v>
      </c>
      <c r="AP33" s="256"/>
      <c r="AQ33" s="256"/>
      <c r="AR33" s="256"/>
      <c r="AS33" s="256"/>
      <c r="AT33" s="256"/>
      <c r="AU33" s="256"/>
      <c r="AV33" s="256"/>
      <c r="AW33" s="256"/>
      <c r="AX33" s="256"/>
      <c r="AY33" s="256"/>
      <c r="AZ33" s="256"/>
      <c r="BA33" s="256"/>
      <c r="BB33" s="256"/>
      <c r="BC33" s="256"/>
      <c r="BD33" s="256"/>
      <c r="BE33" s="256"/>
      <c r="BF33" s="256"/>
      <c r="BG33" s="256"/>
      <c r="BH33" s="256"/>
      <c r="BI33" s="256"/>
      <c r="BJ33" s="36">
        <f>SUM(Table1[[#This Row],[Pipa 63 mm2]:[Pipa 1,800 mm21]])</f>
        <v>491.2</v>
      </c>
      <c r="BK33" s="326">
        <v>491.2</v>
      </c>
      <c r="BL33" s="326"/>
      <c r="BM33" s="326"/>
      <c r="BN33" s="326"/>
      <c r="BO33" s="326"/>
      <c r="BP33" s="326"/>
      <c r="BQ33" s="326"/>
      <c r="BR33" s="326"/>
      <c r="BS33" s="326"/>
      <c r="BT33" s="326"/>
      <c r="BU33" s="326"/>
      <c r="BV33" s="326"/>
      <c r="BW33" s="326"/>
      <c r="BX33" s="326"/>
      <c r="BY33" s="326"/>
      <c r="BZ33" s="326"/>
      <c r="CA33" s="326"/>
      <c r="CB33" s="326"/>
      <c r="CC33" s="326"/>
      <c r="CD33" s="326"/>
      <c r="CE33" s="32">
        <v>745</v>
      </c>
      <c r="CF33" s="32"/>
      <c r="CG33" s="32"/>
      <c r="CH33" s="32"/>
      <c r="CI33" s="32">
        <f t="shared" si="3"/>
        <v>745</v>
      </c>
      <c r="CJ33" s="60">
        <f>IF((Table1[[#This Row],["Volume
BA MC-0"]]-Table1[[#This Row],[Total Panjang Pipa Aktual
(Sum-&gt;)3]]-Table1[[#This Row],[Total Volume
tidak dapat dipasang]])&gt;=0,Table1[[#This Row],["Volume
BA MC-0"]]-Table1[[#This Row],[Total Panjang Pipa Aktual
(Sum-&gt;)3]]-Table1[[#This Row],[Total Volume
tidak dapat dipasang]],0)</f>
        <v>85.799999999999955</v>
      </c>
      <c r="CK33" s="42"/>
      <c r="CL33" s="113"/>
      <c r="CM33" s="35"/>
      <c r="CN33" s="113"/>
      <c r="CO33" s="113"/>
      <c r="CP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 s="61">
        <f>IFERROR(Table1[[#This Row],[Progres Keg. Umum
(%)]]*Table1[[#This Row],[Nilai RAB Jaringan
(file pa aji)]],0)</f>
        <v>0</v>
      </c>
      <c r="CR33" s="61">
        <f>IFERROR(Table1[[#This Row],[Progres MOS
(%)]]*Table1[[#This Row],[Nilai RAB Jaringan
(file pa aji)]],0)</f>
        <v>0</v>
      </c>
      <c r="CS33" s="61">
        <f>IFERROR(Table1[[#This Row],[Progres Pemasangan
(%)]]*Table1[[#This Row],[Nilai RAB Jaringan
(file pa aji)]],0)</f>
        <v>0</v>
      </c>
      <c r="CT33" s="61">
        <f>IFERROR(Table1[[#This Row],[Progres Perizinan
(%)]]*Table1[[#This Row],[Nilai RAB Jaringan
(file pa aji)]],0)</f>
        <v>0</v>
      </c>
      <c r="CU33" s="789">
        <v>739384377</v>
      </c>
      <c r="CV33" s="299">
        <v>739384377</v>
      </c>
      <c r="CW33" s="552">
        <v>739384377</v>
      </c>
      <c r="CX33" s="789">
        <f>_xlfn.XLOOKUP(Table1[[#This Row],[Kode Program]],'[1]Breakdown VOWD Greenfield'!$E:$E,'[1]Breakdown VOWD Greenfield'!$AT:$AT)</f>
        <v>739384377</v>
      </c>
      <c r="CY33" s="42"/>
      <c r="CZ33" s="300">
        <v>45439</v>
      </c>
      <c r="DA33" s="300">
        <v>45466</v>
      </c>
      <c r="DB33" s="301"/>
      <c r="DC33" s="286"/>
      <c r="DD33" s="62"/>
      <c r="DE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3" s="301"/>
      <c r="DG33" s="286"/>
      <c r="DH33" s="62"/>
      <c r="DI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3" s="300">
        <v>45467</v>
      </c>
      <c r="DK33" s="300">
        <v>45536</v>
      </c>
      <c r="DL33" s="301">
        <v>45522</v>
      </c>
      <c r="DM33" s="327" t="s">
        <v>406</v>
      </c>
      <c r="DN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 s="301">
        <v>45572</v>
      </c>
      <c r="DP33" s="286" t="s">
        <v>407</v>
      </c>
      <c r="DQ33" s="308" t="s">
        <v>371</v>
      </c>
      <c r="DR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 s="300">
        <v>45467</v>
      </c>
      <c r="DT33" s="300" t="e">
        <v>#N/A</v>
      </c>
      <c r="DU33" s="300">
        <v>45508</v>
      </c>
      <c r="DV33" s="300" t="e">
        <v>#N/A</v>
      </c>
      <c r="DW33" s="301"/>
      <c r="DX33" s="286"/>
      <c r="DY33" s="304"/>
      <c r="DZ33" s="304"/>
      <c r="EA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3" s="301"/>
      <c r="EC33" s="302"/>
      <c r="ED33" s="302"/>
      <c r="EE33" s="300"/>
      <c r="EF33" s="35">
        <v>1</v>
      </c>
      <c r="EG33" s="307">
        <v>1</v>
      </c>
      <c r="EH33" s="286" t="str">
        <f>IF(Table1[[#This Row],[PO Material Aktual 
(%)]]&gt;=100%,"Selesai PO = 100%",IF(Table1[[#This Row],[PO Material Aktual 
(%)]]&gt;=50%,"Proses PO &gt; 100%",IF(Table1[[#This Row],[PO Material Aktual 
(%)]]&gt;0%,"Proses PO &gt; 50%",IF(Table1[[#This Row],[PO Material Aktual 
(%)]]=0,"Belum PO = 0%"))))</f>
        <v>Selesai PO = 100%</v>
      </c>
      <c r="EI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 s="300">
        <v>45509</v>
      </c>
      <c r="EK33" s="300" t="e">
        <v>#N/A</v>
      </c>
      <c r="EL33" s="300">
        <v>45620</v>
      </c>
      <c r="EM33" s="300" t="e">
        <v>#N/A</v>
      </c>
      <c r="EN33" s="301"/>
      <c r="EO33" s="302"/>
      <c r="EP33" s="302"/>
      <c r="EQ33" s="82">
        <v>1</v>
      </c>
      <c r="ER33" s="82">
        <v>1</v>
      </c>
      <c r="ES33" s="286" t="str">
        <f>IF(Table1[[#This Row],[Progres MOS]]&gt;=100%,"Selesai MOS = 100%",IF(Table1[[#This Row],[Progres MOS]]&gt;=50%,"Proses MOS &gt; 100%",IF(Table1[[#This Row],[Progres MOS]]&gt;0%,"Proses MOS &gt; 50%",IF(Table1[[#This Row],[Progres MOS]]=0,"Belum MOS = 0%"))))</f>
        <v>Selesai MOS = 100%</v>
      </c>
      <c r="ET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 s="42"/>
      <c r="EV33" s="300">
        <v>45467</v>
      </c>
      <c r="EW33" s="300" t="e">
        <v>#N/A</v>
      </c>
      <c r="EX33" s="300">
        <v>45564</v>
      </c>
      <c r="EY33" s="300" t="e">
        <v>#N/A</v>
      </c>
      <c r="EZ33" s="322" t="s">
        <v>259</v>
      </c>
      <c r="FA33" s="306" t="s">
        <v>259</v>
      </c>
      <c r="FB33" s="300" t="s">
        <v>260</v>
      </c>
      <c r="FC33" s="300">
        <v>45565</v>
      </c>
      <c r="FD33" s="300" t="s">
        <v>260</v>
      </c>
      <c r="FE33" s="300">
        <v>45569</v>
      </c>
      <c r="FF33" s="300">
        <v>45691</v>
      </c>
      <c r="FG33" s="300" t="s">
        <v>260</v>
      </c>
      <c r="FH33" s="300" t="s">
        <v>260</v>
      </c>
      <c r="FI33" s="300">
        <v>45981</v>
      </c>
      <c r="FJ33" s="300" t="s">
        <v>260</v>
      </c>
      <c r="FK33" s="300">
        <v>46022</v>
      </c>
      <c r="FL33" s="306" t="s">
        <v>259</v>
      </c>
      <c r="FM33" s="306">
        <v>45565</v>
      </c>
      <c r="FN33" s="284">
        <f>IF(Table1[[#This Row],[Tanggal Pengajuan Dokumen]]="","",Table1[[#This Row],[PLAN PERMIT
start]]-Table1[[#This Row],[Tanggal Pengajuan Dokumen]])</f>
        <v>-98</v>
      </c>
      <c r="FO33" s="306"/>
      <c r="FP33" s="286"/>
      <c r="FQ33" s="308"/>
      <c r="FR33" s="322"/>
      <c r="FS33" s="308" t="str">
        <f t="shared" si="4"/>
        <v>Sudah Terbit</v>
      </c>
      <c r="FT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 s="314">
        <f ca="1">IF(Table1[[#This Row],[Status Izin]]="Selesai",Table1[[#This Row],[PLAN PERMIT
finish]]-Table1[[#This Row],[Tanggal Terbit/ Target Izin Terbit]],ROUNDUP(Table1[[#This Row],[PLAN PERMIT
finish]]-NOW(),0))</f>
        <v>45564</v>
      </c>
      <c r="FV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 s="314"/>
      <c r="FX33" s="42"/>
      <c r="FY33" s="310"/>
      <c r="FZ33" s="311"/>
      <c r="GA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 s="300">
        <v>45538</v>
      </c>
      <c r="GC33" s="301">
        <v>45519</v>
      </c>
      <c r="GD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 s="300">
        <v>45545</v>
      </c>
      <c r="GF33" s="301">
        <v>45519</v>
      </c>
      <c r="GG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 s="300">
        <v>45551</v>
      </c>
      <c r="GI33" s="300">
        <v>45557</v>
      </c>
      <c r="GJ33" s="323">
        <v>45607</v>
      </c>
      <c r="GK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3" s="300">
        <v>45565</v>
      </c>
      <c r="GM33" s="300" t="e">
        <v>#N/A</v>
      </c>
      <c r="GN33" s="300">
        <v>45690</v>
      </c>
      <c r="GO33" s="300" t="e">
        <v>#N/A</v>
      </c>
      <c r="GP33" s="286"/>
      <c r="GQ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 s="300" t="s">
        <v>261</v>
      </c>
      <c r="GS33" s="300" t="s">
        <v>261</v>
      </c>
      <c r="GT33" s="324">
        <v>45650</v>
      </c>
      <c r="GU33" s="314" t="str">
        <f>IF(Table1[[#This Row],[Hydro Tes Actual
(tanggal)]]&lt;&gt;"","Sudah","Belum")</f>
        <v>Sudah</v>
      </c>
      <c r="GV33" s="300" t="s">
        <v>261</v>
      </c>
      <c r="GW33" s="300" t="s">
        <v>261</v>
      </c>
      <c r="GX33" s="301">
        <v>45742</v>
      </c>
      <c r="GY33" s="314" t="str">
        <f>IF(Table1[[#This Row],[Interkoneksi Actual
(tanggal)]]&lt;&gt;"","Sudah","Belum")</f>
        <v>Sudah</v>
      </c>
      <c r="GZ33" s="300" t="s">
        <v>261</v>
      </c>
      <c r="HA33" s="300" t="s">
        <v>261</v>
      </c>
      <c r="HB33" s="301">
        <v>45751</v>
      </c>
      <c r="HC33" s="314" t="str">
        <f>IF(Table1[[#This Row],[Flushing Actual
(tanggal)]]&lt;&gt;"","Sudah","Belum")</f>
        <v>Sudah</v>
      </c>
      <c r="HD33" s="300">
        <v>45677</v>
      </c>
      <c r="HE33" s="300" t="e">
        <v>#N/A</v>
      </c>
      <c r="HF33" s="300">
        <v>45683</v>
      </c>
      <c r="HG33" s="316">
        <v>45770</v>
      </c>
      <c r="HH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 s="300" t="s">
        <v>261</v>
      </c>
      <c r="HJ33" s="300" t="s">
        <v>261</v>
      </c>
      <c r="HK33" s="301"/>
      <c r="HL33" s="286"/>
      <c r="HM33" s="300">
        <v>45702</v>
      </c>
      <c r="HN33" s="300">
        <v>45702</v>
      </c>
      <c r="HO33" s="300" t="e">
        <v>#N/A</v>
      </c>
      <c r="HP33" s="300"/>
      <c r="HQ33" s="316">
        <v>45796</v>
      </c>
      <c r="HR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 s="300">
        <v>45709</v>
      </c>
      <c r="HT33" s="300"/>
      <c r="HU33" s="300">
        <v>45709</v>
      </c>
      <c r="HV33" s="497"/>
      <c r="HW33" s="300">
        <v>45751</v>
      </c>
      <c r="HX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 s="42"/>
      <c r="HZ33" s="322"/>
      <c r="IA33" s="306"/>
      <c r="IC33" s="585">
        <f>IFERROR(ROUND((Table1[[#This Row],[PLAN TC
finish]]-Table1[[#This Row],[PLAN MC-0
start]])/30,2),"")</f>
        <v>4.4000000000000004</v>
      </c>
      <c r="ID33">
        <f>DATEDIF(Table1[[#This Row],[PLAN MC-0
start]],Table1[[#This Row],[PLAN TC
finish]],"m")</f>
        <v>4</v>
      </c>
    </row>
    <row r="34" spans="1:238" s="30" customFormat="1" ht="15" customHeight="1" x14ac:dyDescent="0.25">
      <c r="A34" s="72"/>
      <c r="B34" s="281">
        <f>SUBTOTAL(3,$D$5:D34)</f>
        <v>30</v>
      </c>
      <c r="C34" s="332">
        <v>30</v>
      </c>
      <c r="D34" s="333" t="s">
        <v>244</v>
      </c>
      <c r="E34" s="333" t="s">
        <v>408</v>
      </c>
      <c r="F34" s="333" t="s">
        <v>409</v>
      </c>
      <c r="G34" s="334">
        <v>45752</v>
      </c>
      <c r="H34" s="335" t="s">
        <v>247</v>
      </c>
      <c r="I34" s="333" t="s">
        <v>278</v>
      </c>
      <c r="J34" s="333"/>
      <c r="K34" s="336" t="s">
        <v>249</v>
      </c>
      <c r="L34" s="337" t="s">
        <v>250</v>
      </c>
      <c r="M34" s="337" t="s">
        <v>269</v>
      </c>
      <c r="N34" s="338">
        <v>1856</v>
      </c>
      <c r="O34" s="339" t="s">
        <v>252</v>
      </c>
      <c r="P34"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 s="340" t="s">
        <v>389</v>
      </c>
      <c r="R34" s="83" t="e">
        <v>#N/A</v>
      </c>
      <c r="S34" s="83">
        <v>1</v>
      </c>
      <c r="T34" s="341">
        <f>Table1[[#This Row],[Progres Total Aktual
(%)]]</f>
        <v>0</v>
      </c>
      <c r="U34" s="342">
        <f>Table1[[#This Row],[Progres Aktual
(%)]]-Table1[[#This Row],[Target Progres
(%)]]</f>
        <v>-1</v>
      </c>
      <c r="V34" s="343">
        <f>Table1[[#This Row],["Volume
BA MC-0"]]</f>
        <v>0</v>
      </c>
      <c r="W34" s="344">
        <f>Table1[[#This Row],[Total Panjang Pipa Aktual
(Sum-&gt;)3]]</f>
        <v>0</v>
      </c>
      <c r="X34" s="42"/>
      <c r="Y34" s="345" t="s">
        <v>410</v>
      </c>
      <c r="Z34" s="345">
        <v>2556386697</v>
      </c>
      <c r="AA34" s="345">
        <f>ROUND((Table1[[#This Row],[Nilai RAB Jaringan
(Exclude Ppn)]]-Table1[[#This Row],[RAB Perizinan]])*1.11+Table1[[#This Row],[RAB Perizinan]],0)</f>
        <v>0</v>
      </c>
      <c r="AB34" s="340">
        <f>SUM(Table1[[#This Row],[RAB Kegiatan Umum]:[RAB Perizinan]])</f>
        <v>0</v>
      </c>
      <c r="AC34" s="340"/>
      <c r="AD34" s="340"/>
      <c r="AE34" s="340"/>
      <c r="AF34" s="340"/>
      <c r="AG34" s="340">
        <v>2254613130</v>
      </c>
      <c r="AH34" s="341" t="e">
        <f>SUM(Table1[[#This Row],[Bobot Keg Umum]:[Bobot Perizinan]])</f>
        <v>#DIV/0!</v>
      </c>
      <c r="AI34" s="341" t="e">
        <f>Table1[[#This Row],[RAB Kegiatan Umum]]/Table1[[#This Row],[Nilai RAB Jaringan
(Exclude Ppn)]]</f>
        <v>#DIV/0!</v>
      </c>
      <c r="AJ34" s="341" t="e">
        <f>Table1[[#This Row],[RAB Pemasangan]]/Table1[[#This Row],[Nilai RAB Jaringan
(Exclude Ppn)]]</f>
        <v>#DIV/0!</v>
      </c>
      <c r="AK34" s="341" t="e">
        <f>Table1[[#This Row],[RAB Pengadaan]]/Table1[[#This Row],[Nilai RAB Jaringan
(Exclude Ppn)]]</f>
        <v>#DIV/0!</v>
      </c>
      <c r="AL34" s="341" t="e">
        <f>Table1[[#This Row],[RAB Perizinan]]/Table1[[#This Row],[Nilai RAB Jaringan
(Exclude Ppn)]]</f>
        <v>#DIV/0!</v>
      </c>
      <c r="AM34" s="42"/>
      <c r="AN34" s="346">
        <v>0</v>
      </c>
      <c r="AO34" s="346">
        <f>SUM(Table1[[#This Row],[Pipa 63 mm]:[Pipa 1,800 mm]])</f>
        <v>0</v>
      </c>
      <c r="AP34" s="346"/>
      <c r="AQ34" s="346"/>
      <c r="AR34" s="346"/>
      <c r="AS34" s="346"/>
      <c r="AT34" s="346"/>
      <c r="AU34" s="346"/>
      <c r="AV34" s="346"/>
      <c r="AW34" s="346"/>
      <c r="AX34" s="346"/>
      <c r="AY34" s="346"/>
      <c r="AZ34" s="346"/>
      <c r="BA34" s="346"/>
      <c r="BB34" s="346"/>
      <c r="BC34" s="346"/>
      <c r="BD34" s="346"/>
      <c r="BE34" s="346"/>
      <c r="BF34" s="346"/>
      <c r="BG34" s="346"/>
      <c r="BH34" s="346"/>
      <c r="BI34" s="346"/>
      <c r="BJ34" s="347">
        <f>SUM(Table1[[#This Row],[Pipa 63 mm2]:[Pipa 1,800 mm21]])</f>
        <v>0</v>
      </c>
      <c r="BK34" s="348"/>
      <c r="BL34" s="348"/>
      <c r="BM34" s="348"/>
      <c r="BN34" s="348"/>
      <c r="BO34" s="348"/>
      <c r="BP34" s="348"/>
      <c r="BQ34" s="348"/>
      <c r="BR34" s="348"/>
      <c r="BS34" s="348"/>
      <c r="BT34" s="348"/>
      <c r="BU34" s="348"/>
      <c r="BV34" s="348"/>
      <c r="BW34" s="348"/>
      <c r="BX34" s="348"/>
      <c r="BY34" s="348"/>
      <c r="BZ34" s="348"/>
      <c r="CA34" s="348"/>
      <c r="CB34" s="348"/>
      <c r="CC34" s="348"/>
      <c r="CD34" s="348"/>
      <c r="CE34" s="348">
        <v>0</v>
      </c>
      <c r="CF34" s="348"/>
      <c r="CG34" s="348"/>
      <c r="CH34" s="348"/>
      <c r="CI34" s="348">
        <f t="shared" si="3"/>
        <v>0</v>
      </c>
      <c r="CJ34" s="348">
        <f>IF((Table1[[#This Row],["Volume
BA MC-0"]]-Table1[[#This Row],[Total Panjang Pipa Aktual
(Sum-&gt;)3]]-Table1[[#This Row],[Total Volume
tidak dapat dipasang]])&gt;=0,Table1[[#This Row],["Volume
BA MC-0"]]-Table1[[#This Row],[Total Panjang Pipa Aktual
(Sum-&gt;)3]]-Table1[[#This Row],[Total Volume
tidak dapat dipasang]],0)</f>
        <v>0</v>
      </c>
      <c r="CK34" s="42"/>
      <c r="CL34" s="349"/>
      <c r="CM34" s="341"/>
      <c r="CN34" s="349"/>
      <c r="CO34" s="349"/>
      <c r="CP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 s="350">
        <f>IFERROR(Table1[[#This Row],[Progres Keg. Umum
(%)]]*Table1[[#This Row],[Nilai RAB Jaringan
(file pa aji)]],0)</f>
        <v>0</v>
      </c>
      <c r="CR34" s="350">
        <f>IFERROR(Table1[[#This Row],[Progres MOS
(%)]]*Table1[[#This Row],[Nilai RAB Jaringan
(file pa aji)]],0)</f>
        <v>0</v>
      </c>
      <c r="CS34" s="350">
        <f>IFERROR(Table1[[#This Row],[Progres Pemasangan
(%)]]*Table1[[#This Row],[Nilai RAB Jaringan
(file pa aji)]],0)</f>
        <v>0</v>
      </c>
      <c r="CT34" s="350">
        <f>IFERROR(Table1[[#This Row],[Progres Perizinan
(%)]]*Table1[[#This Row],[Nilai RAB Jaringan
(file pa aji)]],0)</f>
        <v>0</v>
      </c>
      <c r="CU34" s="789">
        <v>0</v>
      </c>
      <c r="CV34" s="299">
        <v>0</v>
      </c>
      <c r="CW34" s="551">
        <v>0</v>
      </c>
      <c r="CX34" s="789">
        <f>_xlfn.XLOOKUP(Table1[[#This Row],[Kode Program]],'[1]Breakdown VOWD Greenfield'!$E:$E,'[1]Breakdown VOWD Greenfield'!$AT:$AT)</f>
        <v>0</v>
      </c>
      <c r="CY34" s="42"/>
      <c r="CZ34" s="300">
        <v>45439</v>
      </c>
      <c r="DA34" s="300">
        <v>45466</v>
      </c>
      <c r="DB34" s="301"/>
      <c r="DC34" s="337"/>
      <c r="DD34" s="345"/>
      <c r="DE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4" s="301"/>
      <c r="DG34" s="337"/>
      <c r="DH34" s="345"/>
      <c r="DI34"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4" s="300">
        <v>45467</v>
      </c>
      <c r="DK34" s="300">
        <v>45536</v>
      </c>
      <c r="DL34" s="301">
        <v>45514</v>
      </c>
      <c r="DM34" s="351" t="s">
        <v>411</v>
      </c>
      <c r="DN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 s="301">
        <v>45572</v>
      </c>
      <c r="DP34" s="337" t="s">
        <v>412</v>
      </c>
      <c r="DQ34" s="336" t="s">
        <v>371</v>
      </c>
      <c r="DR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 s="300">
        <v>45467</v>
      </c>
      <c r="DT34" s="300" t="e">
        <v>#N/A</v>
      </c>
      <c r="DU34" s="300">
        <v>45508</v>
      </c>
      <c r="DV34" s="300" t="e">
        <v>#N/A</v>
      </c>
      <c r="DW34" s="301"/>
      <c r="DX34" s="337"/>
      <c r="DY34" s="352"/>
      <c r="DZ34" s="352"/>
      <c r="EA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4" s="301"/>
      <c r="EC34" s="302"/>
      <c r="ED34" s="302"/>
      <c r="EE34" s="300"/>
      <c r="EF34" s="341" t="b">
        <v>0</v>
      </c>
      <c r="EG34" s="353" t="b">
        <v>0</v>
      </c>
      <c r="EH34" s="286" t="str">
        <f>IF(Table1[[#This Row],[PO Material Aktual 
(%)]]&gt;=100%,"Selesai PO = 100%",IF(Table1[[#This Row],[PO Material Aktual 
(%)]]&gt;=50%,"Proses PO &gt; 100%",IF(Table1[[#This Row],[PO Material Aktual 
(%)]]&gt;0%,"Proses PO &gt; 50%",IF(Table1[[#This Row],[PO Material Aktual 
(%)]]=0,"Belum PO = 0%"))))</f>
        <v>Selesai PO = 100%</v>
      </c>
      <c r="EI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 s="300">
        <v>45509</v>
      </c>
      <c r="EK34" s="300" t="e">
        <v>#N/A</v>
      </c>
      <c r="EL34" s="300">
        <v>45620</v>
      </c>
      <c r="EM34" s="300" t="e">
        <v>#N/A</v>
      </c>
      <c r="EN34" s="301"/>
      <c r="EO34" s="302"/>
      <c r="EP34" s="302"/>
      <c r="EQ34" s="83" t="b">
        <v>0</v>
      </c>
      <c r="ER34" s="83" t="b">
        <v>0</v>
      </c>
      <c r="ES34" s="286" t="str">
        <f>IF(Table1[[#This Row],[Progres MOS]]&gt;=100%,"Selesai MOS = 100%",IF(Table1[[#This Row],[Progres MOS]]&gt;=50%,"Proses MOS &gt; 100%",IF(Table1[[#This Row],[Progres MOS]]&gt;0%,"Proses MOS &gt; 50%",IF(Table1[[#This Row],[Progres MOS]]=0,"Belum MOS = 0%"))))</f>
        <v>Selesai MOS = 100%</v>
      </c>
      <c r="ET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 s="42"/>
      <c r="EV34" s="300">
        <v>45467</v>
      </c>
      <c r="EW34" s="300" t="e">
        <v>#N/A</v>
      </c>
      <c r="EX34" s="300">
        <v>45564</v>
      </c>
      <c r="EY34" s="300" t="e">
        <v>#N/A</v>
      </c>
      <c r="EZ34" s="354" t="s">
        <v>259</v>
      </c>
      <c r="FA34" s="355" t="s">
        <v>389</v>
      </c>
      <c r="FB34" s="356" t="s">
        <v>260</v>
      </c>
      <c r="FC34" s="300">
        <v>45565</v>
      </c>
      <c r="FD34" s="356" t="s">
        <v>260</v>
      </c>
      <c r="FE34" s="356">
        <v>45569</v>
      </c>
      <c r="FF34" s="356">
        <v>45691</v>
      </c>
      <c r="FG34" s="356" t="s">
        <v>260</v>
      </c>
      <c r="FH34" s="356" t="s">
        <v>260</v>
      </c>
      <c r="FI34" s="356">
        <v>45981</v>
      </c>
      <c r="FJ34" s="356" t="s">
        <v>260</v>
      </c>
      <c r="FK34" s="356">
        <v>46022</v>
      </c>
      <c r="FL34" s="306" t="s">
        <v>259</v>
      </c>
      <c r="FM34" s="306">
        <v>45565</v>
      </c>
      <c r="FN34" s="284">
        <f>IF(Table1[[#This Row],[Tanggal Pengajuan Dokumen]]="","",Table1[[#This Row],[PLAN PERMIT
start]]-Table1[[#This Row],[Tanggal Pengajuan Dokumen]])</f>
        <v>-98</v>
      </c>
      <c r="FO34" s="306"/>
      <c r="FP34" s="337"/>
      <c r="FQ34" s="336"/>
      <c r="FR34" s="354"/>
      <c r="FS34" s="308" t="str">
        <f t="shared" si="4"/>
        <v>Sudah Terbit</v>
      </c>
      <c r="FT3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 s="357">
        <f ca="1">IF(Table1[[#This Row],[Status Izin]]="Selesai",Table1[[#This Row],[PLAN PERMIT
finish]]-Table1[[#This Row],[Tanggal Terbit/ Target Izin Terbit]],ROUNDUP(Table1[[#This Row],[PLAN PERMIT
finish]]-NOW(),0))</f>
        <v>45564</v>
      </c>
      <c r="FV3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 s="357"/>
      <c r="FX34" s="42"/>
      <c r="FY34" s="310"/>
      <c r="FZ34" s="311"/>
      <c r="GA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 s="300">
        <v>45538</v>
      </c>
      <c r="GC34" s="358">
        <v>45519</v>
      </c>
      <c r="GD3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 s="300">
        <v>45545</v>
      </c>
      <c r="GF34" s="358">
        <v>45519</v>
      </c>
      <c r="GG3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 s="300">
        <v>45551</v>
      </c>
      <c r="GI34" s="300">
        <v>45557</v>
      </c>
      <c r="GJ34" s="363"/>
      <c r="GK3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 s="300">
        <v>45565</v>
      </c>
      <c r="GM34" s="300" t="e">
        <v>#N/A</v>
      </c>
      <c r="GN34" s="300">
        <v>45690</v>
      </c>
      <c r="GO34" s="300" t="e">
        <v>#N/A</v>
      </c>
      <c r="GP34" s="337"/>
      <c r="GQ3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 s="356" t="s">
        <v>261</v>
      </c>
      <c r="GS34" s="356" t="s">
        <v>261</v>
      </c>
      <c r="GT34" s="360"/>
      <c r="GU34" s="357" t="str">
        <f>IF(Table1[[#This Row],[Hydro Tes Actual
(tanggal)]]&lt;&gt;"","Sudah","Belum")</f>
        <v>Belum</v>
      </c>
      <c r="GV34" s="356" t="s">
        <v>261</v>
      </c>
      <c r="GW34" s="356" t="s">
        <v>261</v>
      </c>
      <c r="GX34" s="358"/>
      <c r="GY34" s="314" t="str">
        <f>IF(Table1[[#This Row],[Interkoneksi Actual
(tanggal)]]&lt;&gt;"","Sudah","Belum")</f>
        <v>Belum</v>
      </c>
      <c r="GZ34" s="356" t="s">
        <v>261</v>
      </c>
      <c r="HA34" s="356" t="s">
        <v>261</v>
      </c>
      <c r="HB34" s="358"/>
      <c r="HC34" s="314" t="str">
        <f>IF(Table1[[#This Row],[Flushing Actual
(tanggal)]]&lt;&gt;"","Sudah","Belum")</f>
        <v>Belum</v>
      </c>
      <c r="HD34" s="300">
        <v>45677</v>
      </c>
      <c r="HE34" s="300" t="e">
        <v>#N/A</v>
      </c>
      <c r="HF34" s="300">
        <v>45683</v>
      </c>
      <c r="HG34" s="361"/>
      <c r="HH3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 s="356" t="s">
        <v>261</v>
      </c>
      <c r="HJ34" s="356" t="s">
        <v>261</v>
      </c>
      <c r="HK34" s="358"/>
      <c r="HL34" s="337"/>
      <c r="HM34" s="300">
        <v>45702</v>
      </c>
      <c r="HN34" s="300">
        <v>45702</v>
      </c>
      <c r="HO34" s="300" t="e">
        <v>#N/A</v>
      </c>
      <c r="HP34" s="300"/>
      <c r="HQ34" s="361"/>
      <c r="HR34"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4" s="300">
        <v>45709</v>
      </c>
      <c r="HT34" s="300"/>
      <c r="HU34" s="300">
        <v>45709</v>
      </c>
      <c r="HV34" s="497"/>
      <c r="HW34" s="356"/>
      <c r="HX3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4" s="42"/>
      <c r="HZ34" s="354"/>
      <c r="IA34" s="306"/>
      <c r="IC34" s="585">
        <f>IFERROR(ROUND((Table1[[#This Row],[PLAN TC
finish]]-Table1[[#This Row],[PLAN MC-0
start]])/30,2),"")</f>
        <v>4.4000000000000004</v>
      </c>
      <c r="ID34">
        <f>DATEDIF(Table1[[#This Row],[PLAN MC-0
start]],Table1[[#This Row],[PLAN TC
finish]],"m")</f>
        <v>4</v>
      </c>
    </row>
    <row r="35" spans="1:238" s="4" customFormat="1" ht="15" customHeight="1" x14ac:dyDescent="0.25">
      <c r="B35" s="281">
        <f>SUBTOTAL(3,$D$5:D35)</f>
        <v>31</v>
      </c>
      <c r="C35" s="318">
        <v>31</v>
      </c>
      <c r="D35" s="285" t="s">
        <v>244</v>
      </c>
      <c r="E35" s="285" t="s">
        <v>413</v>
      </c>
      <c r="F35" s="285" t="s">
        <v>414</v>
      </c>
      <c r="G35" s="319">
        <v>45752</v>
      </c>
      <c r="H35" s="284" t="s">
        <v>247</v>
      </c>
      <c r="I35" s="285" t="s">
        <v>278</v>
      </c>
      <c r="J35" s="285"/>
      <c r="K35" s="308" t="s">
        <v>249</v>
      </c>
      <c r="L35" s="286" t="s">
        <v>250</v>
      </c>
      <c r="M35" s="286" t="s">
        <v>269</v>
      </c>
      <c r="N35" s="94">
        <v>1233</v>
      </c>
      <c r="O35" s="31" t="s">
        <v>252</v>
      </c>
      <c r="P3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5" s="82" t="e">
        <v>#N/A</v>
      </c>
      <c r="S35" s="82">
        <v>1</v>
      </c>
      <c r="T35" s="35">
        <f>Table1[[#This Row],[Progres Total Aktual
(%)]]</f>
        <v>1</v>
      </c>
      <c r="U35" s="106">
        <f>Table1[[#This Row],[Progres Aktual
(%)]]-Table1[[#This Row],[Target Progres
(%)]]</f>
        <v>0</v>
      </c>
      <c r="V35" s="320">
        <f>Table1[[#This Row],["Volume
BA MC-0"]]</f>
        <v>2221</v>
      </c>
      <c r="W35" s="321">
        <f>Table1[[#This Row],[Total Panjang Pipa Aktual
(Sum-&gt;)3]]</f>
        <v>1320</v>
      </c>
      <c r="X35" s="42"/>
      <c r="Y35" s="62" t="s">
        <v>415</v>
      </c>
      <c r="Z35" s="62">
        <v>2117770214</v>
      </c>
      <c r="AA35" s="62">
        <f>ROUND((Table1[[#This Row],[Nilai RAB Jaringan
(Exclude Ppn)]]-Table1[[#This Row],[RAB Perizinan]])*1.11+Table1[[#This Row],[RAB Perizinan]],0)</f>
        <v>0</v>
      </c>
      <c r="AB35" s="290">
        <f>SUM(Table1[[#This Row],[RAB Kegiatan Umum]:[RAB Perizinan]])</f>
        <v>0</v>
      </c>
      <c r="AC35" s="290"/>
      <c r="AD35" s="290"/>
      <c r="AE35" s="290"/>
      <c r="AF35" s="290"/>
      <c r="AG35" s="290">
        <v>3094968933</v>
      </c>
      <c r="AH35" s="35" t="e">
        <f>SUM(Table1[[#This Row],[Bobot Keg Umum]:[Bobot Perizinan]])</f>
        <v>#DIV/0!</v>
      </c>
      <c r="AI35" s="35" t="e">
        <f>Table1[[#This Row],[RAB Kegiatan Umum]]/Table1[[#This Row],[Nilai RAB Jaringan
(Exclude Ppn)]]</f>
        <v>#DIV/0!</v>
      </c>
      <c r="AJ35" s="35" t="e">
        <f>Table1[[#This Row],[RAB Pemasangan]]/Table1[[#This Row],[Nilai RAB Jaringan
(Exclude Ppn)]]</f>
        <v>#DIV/0!</v>
      </c>
      <c r="AK35" s="35" t="e">
        <f>Table1[[#This Row],[RAB Pengadaan]]/Table1[[#This Row],[Nilai RAB Jaringan
(Exclude Ppn)]]</f>
        <v>#DIV/0!</v>
      </c>
      <c r="AL35" s="35" t="e">
        <f>Table1[[#This Row],[RAB Perizinan]]/Table1[[#This Row],[Nilai RAB Jaringan
(Exclude Ppn)]]</f>
        <v>#DIV/0!</v>
      </c>
      <c r="AM35" s="42"/>
      <c r="AN35" s="256">
        <v>2221</v>
      </c>
      <c r="AO35" s="256">
        <f>SUM(Table1[[#This Row],[Pipa 63 mm]:[Pipa 1,800 mm]])</f>
        <v>0</v>
      </c>
      <c r="AP35" s="256"/>
      <c r="AQ35" s="256"/>
      <c r="AR35" s="256"/>
      <c r="AS35" s="256"/>
      <c r="AT35" s="256"/>
      <c r="AU35" s="256"/>
      <c r="AV35" s="256"/>
      <c r="AW35" s="256"/>
      <c r="AX35" s="256"/>
      <c r="AY35" s="256"/>
      <c r="AZ35" s="256"/>
      <c r="BA35" s="256"/>
      <c r="BB35" s="256"/>
      <c r="BC35" s="256"/>
      <c r="BD35" s="256"/>
      <c r="BE35" s="256"/>
      <c r="BF35" s="256"/>
      <c r="BG35" s="256"/>
      <c r="BH35" s="256"/>
      <c r="BI35" s="256"/>
      <c r="BJ35" s="36">
        <f>SUM(Table1[[#This Row],[Pipa 63 mm2]:[Pipa 1,800 mm21]])</f>
        <v>1320</v>
      </c>
      <c r="BK35" s="32">
        <v>1320</v>
      </c>
      <c r="BL35" s="32"/>
      <c r="BM35" s="32"/>
      <c r="BN35" s="32"/>
      <c r="BO35" s="32"/>
      <c r="BP35" s="32"/>
      <c r="BQ35" s="32"/>
      <c r="BR35" s="32"/>
      <c r="BS35" s="32"/>
      <c r="BT35" s="32"/>
      <c r="BU35" s="32"/>
      <c r="BV35" s="32"/>
      <c r="BW35" s="32"/>
      <c r="BX35" s="32"/>
      <c r="BY35" s="32"/>
      <c r="BZ35" s="32"/>
      <c r="CA35" s="32"/>
      <c r="CB35" s="32"/>
      <c r="CC35" s="32"/>
      <c r="CD35" s="32"/>
      <c r="CE35" s="32">
        <v>1099</v>
      </c>
      <c r="CF35" s="32"/>
      <c r="CG35" s="32"/>
      <c r="CH35" s="32"/>
      <c r="CI35" s="32">
        <f t="shared" si="3"/>
        <v>1099</v>
      </c>
      <c r="CJ35" s="60">
        <f>IF((Table1[[#This Row],["Volume
BA MC-0"]]-Table1[[#This Row],[Total Panjang Pipa Aktual
(Sum-&gt;)3]]-Table1[[#This Row],[Total Volume
tidak dapat dipasang]])&gt;=0,Table1[[#This Row],["Volume
BA MC-0"]]-Table1[[#This Row],[Total Panjang Pipa Aktual
(Sum-&gt;)3]]-Table1[[#This Row],[Total Volume
tidak dapat dipasang]],0)</f>
        <v>0</v>
      </c>
      <c r="CK35" s="42"/>
      <c r="CL35" s="113"/>
      <c r="CM35" s="35"/>
      <c r="CN35" s="113"/>
      <c r="CO35" s="113"/>
      <c r="CP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5" s="61">
        <f>IFERROR(Table1[[#This Row],[Progres Keg. Umum
(%)]]*Table1[[#This Row],[Nilai RAB Jaringan
(file pa aji)]],0)</f>
        <v>0</v>
      </c>
      <c r="CR35" s="61">
        <f>IFERROR(Table1[[#This Row],[Progres MOS
(%)]]*Table1[[#This Row],[Nilai RAB Jaringan
(file pa aji)]],0)</f>
        <v>0</v>
      </c>
      <c r="CS35" s="61">
        <f>IFERROR(Table1[[#This Row],[Progres Pemasangan
(%)]]*Table1[[#This Row],[Nilai RAB Jaringan
(file pa aji)]],0)</f>
        <v>0</v>
      </c>
      <c r="CT35" s="61">
        <f>IFERROR(Table1[[#This Row],[Progres Perizinan
(%)]]*Table1[[#This Row],[Nilai RAB Jaringan
(file pa aji)]],0)</f>
        <v>0</v>
      </c>
      <c r="CU35" s="789">
        <v>2081587006</v>
      </c>
      <c r="CV35" s="299">
        <v>2081587006</v>
      </c>
      <c r="CW35" s="552">
        <v>2081587006</v>
      </c>
      <c r="CX35" s="789">
        <f>_xlfn.XLOOKUP(Table1[[#This Row],[Kode Program]],'[1]Breakdown VOWD Greenfield'!$E:$E,'[1]Breakdown VOWD Greenfield'!$AT:$AT)</f>
        <v>2081587006</v>
      </c>
      <c r="CY35" s="42"/>
      <c r="CZ35" s="300">
        <v>45439</v>
      </c>
      <c r="DA35" s="300">
        <v>45466</v>
      </c>
      <c r="DB35" s="301"/>
      <c r="DC35" s="286"/>
      <c r="DD35" s="62"/>
      <c r="DE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5" s="301"/>
      <c r="DG35" s="286"/>
      <c r="DH35" s="62"/>
      <c r="DI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5" s="300">
        <v>45467</v>
      </c>
      <c r="DK35" s="300">
        <v>45536</v>
      </c>
      <c r="DL35" s="301">
        <v>45526</v>
      </c>
      <c r="DM35" s="327" t="s">
        <v>416</v>
      </c>
      <c r="DN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 s="301">
        <v>45562</v>
      </c>
      <c r="DP35" s="286" t="s">
        <v>417</v>
      </c>
      <c r="DQ35" s="308" t="s">
        <v>275</v>
      </c>
      <c r="DR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 s="300">
        <v>45467</v>
      </c>
      <c r="DT35" s="300" t="e">
        <v>#N/A</v>
      </c>
      <c r="DU35" s="300">
        <v>45508</v>
      </c>
      <c r="DV35" s="300" t="e">
        <v>#N/A</v>
      </c>
      <c r="DW35" s="301"/>
      <c r="DX35" s="286"/>
      <c r="DY35" s="304"/>
      <c r="DZ35" s="304"/>
      <c r="EA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5" s="301"/>
      <c r="EC35" s="302"/>
      <c r="ED35" s="302"/>
      <c r="EE35" s="300"/>
      <c r="EF35" s="35">
        <v>1</v>
      </c>
      <c r="EG35" s="307">
        <v>1</v>
      </c>
      <c r="EH35" s="286" t="str">
        <f>IF(Table1[[#This Row],[PO Material Aktual 
(%)]]&gt;=100%,"Selesai PO = 100%",IF(Table1[[#This Row],[PO Material Aktual 
(%)]]&gt;=50%,"Proses PO &gt; 100%",IF(Table1[[#This Row],[PO Material Aktual 
(%)]]&gt;0%,"Proses PO &gt; 50%",IF(Table1[[#This Row],[PO Material Aktual 
(%)]]=0,"Belum PO = 0%"))))</f>
        <v>Selesai PO = 100%</v>
      </c>
      <c r="EI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 s="300">
        <v>45509</v>
      </c>
      <c r="EK35" s="300" t="e">
        <v>#N/A</v>
      </c>
      <c r="EL35" s="300">
        <v>45620</v>
      </c>
      <c r="EM35" s="300" t="e">
        <v>#N/A</v>
      </c>
      <c r="EN35" s="301"/>
      <c r="EO35" s="302"/>
      <c r="EP35" s="302"/>
      <c r="EQ35" s="82">
        <v>1</v>
      </c>
      <c r="ER35" s="82">
        <v>1</v>
      </c>
      <c r="ES35" s="286" t="str">
        <f>IF(Table1[[#This Row],[Progres MOS]]&gt;=100%,"Selesai MOS = 100%",IF(Table1[[#This Row],[Progres MOS]]&gt;=50%,"Proses MOS &gt; 100%",IF(Table1[[#This Row],[Progres MOS]]&gt;0%,"Proses MOS &gt; 50%",IF(Table1[[#This Row],[Progres MOS]]=0,"Belum MOS = 0%"))))</f>
        <v>Selesai MOS = 100%</v>
      </c>
      <c r="ET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 s="42"/>
      <c r="EV35" s="300">
        <v>45467</v>
      </c>
      <c r="EW35" s="300" t="e">
        <v>#N/A</v>
      </c>
      <c r="EX35" s="300">
        <v>45564</v>
      </c>
      <c r="EY35" s="300" t="e">
        <v>#N/A</v>
      </c>
      <c r="EZ35" s="322" t="s">
        <v>298</v>
      </c>
      <c r="FA35" s="306" t="s">
        <v>259</v>
      </c>
      <c r="FB35" s="300" t="s">
        <v>260</v>
      </c>
      <c r="FC35" s="300">
        <v>45566</v>
      </c>
      <c r="FD35" s="300" t="s">
        <v>260</v>
      </c>
      <c r="FE35" s="300">
        <v>45569</v>
      </c>
      <c r="FF35" s="300">
        <v>45705</v>
      </c>
      <c r="FG35" s="300" t="s">
        <v>260</v>
      </c>
      <c r="FH35" s="300" t="s">
        <v>260</v>
      </c>
      <c r="FI35" s="300">
        <v>45972</v>
      </c>
      <c r="FJ35" s="300" t="s">
        <v>260</v>
      </c>
      <c r="FK35" s="300">
        <v>46094</v>
      </c>
      <c r="FL35" s="306" t="s">
        <v>298</v>
      </c>
      <c r="FM35" s="306">
        <v>45566</v>
      </c>
      <c r="FN35" s="284">
        <f>IF(Table1[[#This Row],[Tanggal Pengajuan Dokumen]]="","",Table1[[#This Row],[PLAN PERMIT
start]]-Table1[[#This Row],[Tanggal Pengajuan Dokumen]])</f>
        <v>-99</v>
      </c>
      <c r="FO35" s="306"/>
      <c r="FP35" s="286"/>
      <c r="FQ35" s="308"/>
      <c r="FR35" s="322"/>
      <c r="FS35" s="308" t="str">
        <f t="shared" si="4"/>
        <v>Sudah Terbit</v>
      </c>
      <c r="FT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5" s="314">
        <f ca="1">IF(Table1[[#This Row],[Status Izin]]="Selesai",Table1[[#This Row],[PLAN PERMIT
finish]]-Table1[[#This Row],[Tanggal Terbit/ Target Izin Terbit]],ROUNDUP(Table1[[#This Row],[PLAN PERMIT
finish]]-NOW(),0))</f>
        <v>45564</v>
      </c>
      <c r="FV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 s="314"/>
      <c r="FX35" s="42"/>
      <c r="FY35" s="310"/>
      <c r="FZ35" s="311"/>
      <c r="GA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5" s="300">
        <v>45538</v>
      </c>
      <c r="GC35" s="301">
        <v>45519</v>
      </c>
      <c r="GD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5" s="300">
        <v>45545</v>
      </c>
      <c r="GF35" s="301">
        <v>45519</v>
      </c>
      <c r="GG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 s="300">
        <v>45551</v>
      </c>
      <c r="GI35" s="300">
        <v>45557</v>
      </c>
      <c r="GJ35" s="323">
        <v>45604</v>
      </c>
      <c r="GK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 s="300">
        <v>45565</v>
      </c>
      <c r="GM35" s="300" t="e">
        <v>#N/A</v>
      </c>
      <c r="GN35" s="300">
        <v>45690</v>
      </c>
      <c r="GO35" s="300" t="e">
        <v>#N/A</v>
      </c>
      <c r="GP35" s="286"/>
      <c r="GQ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 s="300" t="s">
        <v>261</v>
      </c>
      <c r="GS35" s="300" t="s">
        <v>261</v>
      </c>
      <c r="GT35" s="324">
        <v>45643</v>
      </c>
      <c r="GU35" s="314" t="str">
        <f>IF(Table1[[#This Row],[Hydro Tes Actual
(tanggal)]]&lt;&gt;"","Sudah","Belum")</f>
        <v>Sudah</v>
      </c>
      <c r="GV35" s="300" t="s">
        <v>261</v>
      </c>
      <c r="GW35" s="300" t="s">
        <v>261</v>
      </c>
      <c r="GX35" s="301"/>
      <c r="GY35" s="314" t="str">
        <f>IF(Table1[[#This Row],[Interkoneksi Actual
(tanggal)]]&lt;&gt;"","Sudah","Belum")</f>
        <v>Belum</v>
      </c>
      <c r="GZ35" s="300" t="s">
        <v>261</v>
      </c>
      <c r="HA35" s="300" t="s">
        <v>261</v>
      </c>
      <c r="HB35" s="301">
        <v>45702</v>
      </c>
      <c r="HC35" s="314" t="str">
        <f>IF(Table1[[#This Row],[Flushing Actual
(tanggal)]]&lt;&gt;"","Sudah","Belum")</f>
        <v>Sudah</v>
      </c>
      <c r="HD35" s="300">
        <v>45677</v>
      </c>
      <c r="HE35" s="300" t="e">
        <v>#N/A</v>
      </c>
      <c r="HF35" s="300">
        <v>45683</v>
      </c>
      <c r="HG35" s="316">
        <v>45713</v>
      </c>
      <c r="HH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5" s="300" t="s">
        <v>261</v>
      </c>
      <c r="HJ35" s="300" t="s">
        <v>261</v>
      </c>
      <c r="HK35" s="301"/>
      <c r="HL35" s="286"/>
      <c r="HM35" s="300">
        <v>45702</v>
      </c>
      <c r="HN35" s="300">
        <v>45702</v>
      </c>
      <c r="HO35" s="300" t="e">
        <v>#N/A</v>
      </c>
      <c r="HP35" s="300"/>
      <c r="HQ35" s="316">
        <v>45750</v>
      </c>
      <c r="HR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5" s="300">
        <v>45709</v>
      </c>
      <c r="HT35" s="300"/>
      <c r="HU35" s="300">
        <v>45709</v>
      </c>
      <c r="HV35" s="497"/>
      <c r="HW35" s="300">
        <v>45751</v>
      </c>
      <c r="HX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5" s="42"/>
      <c r="HZ35" s="322"/>
      <c r="IA35" s="306"/>
      <c r="IC35" s="585">
        <f>IFERROR(ROUND((Table1[[#This Row],[PLAN TC
finish]]-Table1[[#This Row],[PLAN MC-0
start]])/30,2),"")</f>
        <v>4.4000000000000004</v>
      </c>
      <c r="ID35">
        <f>DATEDIF(Table1[[#This Row],[PLAN MC-0
start]],Table1[[#This Row],[PLAN TC
finish]],"m")</f>
        <v>4</v>
      </c>
    </row>
    <row r="36" spans="1:238" s="4" customFormat="1" ht="15" customHeight="1" x14ac:dyDescent="0.25">
      <c r="B36" s="281">
        <f>SUBTOTAL(3,$D$5:D36)</f>
        <v>32</v>
      </c>
      <c r="C36" s="318">
        <v>32</v>
      </c>
      <c r="D36" s="285" t="s">
        <v>244</v>
      </c>
      <c r="E36" s="285" t="s">
        <v>418</v>
      </c>
      <c r="F36" s="285" t="s">
        <v>419</v>
      </c>
      <c r="G36" s="319">
        <v>45752</v>
      </c>
      <c r="H36" s="284" t="s">
        <v>247</v>
      </c>
      <c r="I36" s="285" t="s">
        <v>278</v>
      </c>
      <c r="J36" s="285"/>
      <c r="K36" s="308" t="s">
        <v>249</v>
      </c>
      <c r="L36" s="286" t="s">
        <v>250</v>
      </c>
      <c r="M36" s="286" t="s">
        <v>269</v>
      </c>
      <c r="N36" s="94">
        <v>4518</v>
      </c>
      <c r="O36" s="31" t="s">
        <v>252</v>
      </c>
      <c r="P3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6" s="82" t="e">
        <v>#N/A</v>
      </c>
      <c r="S36" s="82">
        <v>1</v>
      </c>
      <c r="T36" s="35">
        <f>Table1[[#This Row],[Progres Total Aktual
(%)]]</f>
        <v>1</v>
      </c>
      <c r="U36" s="106">
        <f>Table1[[#This Row],[Progres Aktual
(%)]]-Table1[[#This Row],[Target Progres
(%)]]</f>
        <v>0</v>
      </c>
      <c r="V36" s="320">
        <f>Table1[[#This Row],["Volume
BA MC-0"]]</f>
        <v>4499</v>
      </c>
      <c r="W36" s="321">
        <f>Table1[[#This Row],[Total Panjang Pipa Aktual
(Sum-&gt;)3]]</f>
        <v>1363</v>
      </c>
      <c r="X36" s="42"/>
      <c r="Y36" s="62" t="s">
        <v>420</v>
      </c>
      <c r="Z36" s="62">
        <v>7252233630</v>
      </c>
      <c r="AA36" s="62">
        <f>ROUND((Table1[[#This Row],[Nilai RAB Jaringan
(Exclude Ppn)]]-Table1[[#This Row],[RAB Perizinan]])*1.11+Table1[[#This Row],[RAB Perizinan]],0)</f>
        <v>0</v>
      </c>
      <c r="AB36" s="290">
        <f>SUM(Table1[[#This Row],[RAB Kegiatan Umum]:[RAB Perizinan]])</f>
        <v>0</v>
      </c>
      <c r="AC36" s="290"/>
      <c r="AD36" s="290"/>
      <c r="AE36" s="290"/>
      <c r="AF36" s="290"/>
      <c r="AG36" s="290">
        <v>4037807151</v>
      </c>
      <c r="AH36" s="35" t="e">
        <f>SUM(Table1[[#This Row],[Bobot Keg Umum]:[Bobot Perizinan]])</f>
        <v>#DIV/0!</v>
      </c>
      <c r="AI36" s="35" t="e">
        <f>Table1[[#This Row],[RAB Kegiatan Umum]]/Table1[[#This Row],[Nilai RAB Jaringan
(Exclude Ppn)]]</f>
        <v>#DIV/0!</v>
      </c>
      <c r="AJ36" s="35" t="e">
        <f>Table1[[#This Row],[RAB Pemasangan]]/Table1[[#This Row],[Nilai RAB Jaringan
(Exclude Ppn)]]</f>
        <v>#DIV/0!</v>
      </c>
      <c r="AK36" s="35" t="e">
        <f>Table1[[#This Row],[RAB Pengadaan]]/Table1[[#This Row],[Nilai RAB Jaringan
(Exclude Ppn)]]</f>
        <v>#DIV/0!</v>
      </c>
      <c r="AL36" s="35" t="e">
        <f>Table1[[#This Row],[RAB Perizinan]]/Table1[[#This Row],[Nilai RAB Jaringan
(Exclude Ppn)]]</f>
        <v>#DIV/0!</v>
      </c>
      <c r="AM36" s="42"/>
      <c r="AN36" s="256">
        <v>4499</v>
      </c>
      <c r="AO36" s="256">
        <f>SUM(Table1[[#This Row],[Pipa 63 mm]:[Pipa 1,800 mm]])</f>
        <v>0</v>
      </c>
      <c r="AP36" s="256"/>
      <c r="AQ36" s="256"/>
      <c r="AR36" s="256"/>
      <c r="AS36" s="256"/>
      <c r="AT36" s="256"/>
      <c r="AU36" s="256"/>
      <c r="AV36" s="256"/>
      <c r="AW36" s="256"/>
      <c r="AX36" s="256"/>
      <c r="AY36" s="256"/>
      <c r="AZ36" s="256"/>
      <c r="BA36" s="256"/>
      <c r="BB36" s="256"/>
      <c r="BC36" s="256"/>
      <c r="BD36" s="256"/>
      <c r="BE36" s="256"/>
      <c r="BF36" s="256"/>
      <c r="BG36" s="256"/>
      <c r="BH36" s="256"/>
      <c r="BI36" s="256"/>
      <c r="BJ36" s="36">
        <f>SUM(Table1[[#This Row],[Pipa 63 mm2]:[Pipa 1,800 mm21]])</f>
        <v>1363</v>
      </c>
      <c r="BK36" s="32">
        <v>1363</v>
      </c>
      <c r="BL36" s="32"/>
      <c r="BM36" s="32"/>
      <c r="BN36" s="32"/>
      <c r="BO36" s="32"/>
      <c r="BP36" s="32"/>
      <c r="BQ36" s="32"/>
      <c r="BR36" s="32"/>
      <c r="BS36" s="32"/>
      <c r="BT36" s="32"/>
      <c r="BU36" s="32"/>
      <c r="BV36" s="32"/>
      <c r="BW36" s="32"/>
      <c r="BX36" s="32"/>
      <c r="BY36" s="32"/>
      <c r="BZ36" s="32"/>
      <c r="CA36" s="32"/>
      <c r="CB36" s="32"/>
      <c r="CC36" s="32"/>
      <c r="CD36" s="32"/>
      <c r="CE36" s="32">
        <v>3260</v>
      </c>
      <c r="CF36" s="32"/>
      <c r="CG36" s="32"/>
      <c r="CH36" s="32"/>
      <c r="CI36" s="32">
        <f t="shared" si="3"/>
        <v>3260</v>
      </c>
      <c r="CJ36" s="60">
        <f>IF((Table1[[#This Row],["Volume
BA MC-0"]]-Table1[[#This Row],[Total Panjang Pipa Aktual
(Sum-&gt;)3]]-Table1[[#This Row],[Total Volume
tidak dapat dipasang]])&gt;=0,Table1[[#This Row],["Volume
BA MC-0"]]-Table1[[#This Row],[Total Panjang Pipa Aktual
(Sum-&gt;)3]]-Table1[[#This Row],[Total Volume
tidak dapat dipasang]],0)</f>
        <v>0</v>
      </c>
      <c r="CK36" s="42"/>
      <c r="CL36" s="113"/>
      <c r="CM36" s="35"/>
      <c r="CN36" s="113"/>
      <c r="CO36" s="113"/>
      <c r="CP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6" s="61">
        <f>IFERROR(Table1[[#This Row],[Progres Keg. Umum
(%)]]*Table1[[#This Row],[Nilai RAB Jaringan
(file pa aji)]],0)</f>
        <v>0</v>
      </c>
      <c r="CR36" s="61">
        <f>IFERROR(Table1[[#This Row],[Progres MOS
(%)]]*Table1[[#This Row],[Nilai RAB Jaringan
(file pa aji)]],0)</f>
        <v>0</v>
      </c>
      <c r="CS36" s="61">
        <f>IFERROR(Table1[[#This Row],[Progres Pemasangan
(%)]]*Table1[[#This Row],[Nilai RAB Jaringan
(file pa aji)]],0)</f>
        <v>0</v>
      </c>
      <c r="CT36" s="61">
        <f>IFERROR(Table1[[#This Row],[Progres Perizinan
(%)]]*Table1[[#This Row],[Nilai RAB Jaringan
(file pa aji)]],0)</f>
        <v>0</v>
      </c>
      <c r="CU36" s="789">
        <v>2138513242</v>
      </c>
      <c r="CV36" s="299">
        <v>2138513242</v>
      </c>
      <c r="CW36" s="552">
        <v>2138513242</v>
      </c>
      <c r="CX36" s="789">
        <f>_xlfn.XLOOKUP(Table1[[#This Row],[Kode Program]],'[1]Breakdown VOWD Greenfield'!$E:$E,'[1]Breakdown VOWD Greenfield'!$AT:$AT)</f>
        <v>2138513242</v>
      </c>
      <c r="CY36" s="42"/>
      <c r="CZ36" s="300">
        <v>45439</v>
      </c>
      <c r="DA36" s="300">
        <v>45466</v>
      </c>
      <c r="DB36" s="301"/>
      <c r="DC36" s="286"/>
      <c r="DD36" s="62"/>
      <c r="DE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6" s="301"/>
      <c r="DG36" s="286"/>
      <c r="DH36" s="62"/>
      <c r="DI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6" s="300">
        <v>45467</v>
      </c>
      <c r="DK36" s="300">
        <v>45536</v>
      </c>
      <c r="DL36" s="301">
        <v>45522</v>
      </c>
      <c r="DM36" s="327" t="s">
        <v>421</v>
      </c>
      <c r="DN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 s="301">
        <v>45562</v>
      </c>
      <c r="DP36" s="286" t="s">
        <v>422</v>
      </c>
      <c r="DQ36" s="308" t="s">
        <v>275</v>
      </c>
      <c r="DR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 s="300">
        <v>45467</v>
      </c>
      <c r="DT36" s="300" t="e">
        <v>#N/A</v>
      </c>
      <c r="DU36" s="300">
        <v>45508</v>
      </c>
      <c r="DV36" s="300" t="e">
        <v>#N/A</v>
      </c>
      <c r="DW36" s="301"/>
      <c r="DX36" s="286"/>
      <c r="DY36" s="304"/>
      <c r="DZ36" s="304"/>
      <c r="EA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6" s="301"/>
      <c r="EC36" s="302"/>
      <c r="ED36" s="302"/>
      <c r="EE36" s="300"/>
      <c r="EF36" s="35">
        <v>1</v>
      </c>
      <c r="EG36" s="307">
        <v>1</v>
      </c>
      <c r="EH36" s="286" t="str">
        <f>IF(Table1[[#This Row],[PO Material Aktual 
(%)]]&gt;=100%,"Selesai PO = 100%",IF(Table1[[#This Row],[PO Material Aktual 
(%)]]&gt;=50%,"Proses PO &gt; 100%",IF(Table1[[#This Row],[PO Material Aktual 
(%)]]&gt;0%,"Proses PO &gt; 50%",IF(Table1[[#This Row],[PO Material Aktual 
(%)]]=0,"Belum PO = 0%"))))</f>
        <v>Selesai PO = 100%</v>
      </c>
      <c r="EI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 s="300">
        <v>45509</v>
      </c>
      <c r="EK36" s="300" t="e">
        <v>#N/A</v>
      </c>
      <c r="EL36" s="300">
        <v>45620</v>
      </c>
      <c r="EM36" s="300" t="e">
        <v>#N/A</v>
      </c>
      <c r="EN36" s="301"/>
      <c r="EO36" s="302"/>
      <c r="EP36" s="302"/>
      <c r="EQ36" s="82">
        <v>1</v>
      </c>
      <c r="ER36" s="82">
        <v>1</v>
      </c>
      <c r="ES36" s="286" t="str">
        <f>IF(Table1[[#This Row],[Progres MOS]]&gt;=100%,"Selesai MOS = 100%",IF(Table1[[#This Row],[Progres MOS]]&gt;=50%,"Proses MOS &gt; 100%",IF(Table1[[#This Row],[Progres MOS]]&gt;0%,"Proses MOS &gt; 50%",IF(Table1[[#This Row],[Progres MOS]]=0,"Belum MOS = 0%"))))</f>
        <v>Selesai MOS = 100%</v>
      </c>
      <c r="ET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 s="42"/>
      <c r="EV36" s="300">
        <v>45467</v>
      </c>
      <c r="EW36" s="300" t="e">
        <v>#N/A</v>
      </c>
      <c r="EX36" s="300">
        <v>45564</v>
      </c>
      <c r="EY36" s="300" t="e">
        <v>#N/A</v>
      </c>
      <c r="EZ36" s="322" t="s">
        <v>298</v>
      </c>
      <c r="FA36" s="306" t="s">
        <v>259</v>
      </c>
      <c r="FB36" s="300" t="s">
        <v>260</v>
      </c>
      <c r="FC36" s="300">
        <v>45566</v>
      </c>
      <c r="FD36" s="300" t="s">
        <v>260</v>
      </c>
      <c r="FE36" s="300">
        <v>45569</v>
      </c>
      <c r="FF36" s="300">
        <v>45705</v>
      </c>
      <c r="FG36" s="300" t="s">
        <v>260</v>
      </c>
      <c r="FH36" s="300" t="s">
        <v>260</v>
      </c>
      <c r="FI36" s="300">
        <v>45972</v>
      </c>
      <c r="FJ36" s="300" t="s">
        <v>260</v>
      </c>
      <c r="FK36" s="300">
        <v>46094</v>
      </c>
      <c r="FL36" s="306" t="s">
        <v>298</v>
      </c>
      <c r="FM36" s="306">
        <v>45566</v>
      </c>
      <c r="FN36" s="284">
        <f>IF(Table1[[#This Row],[Tanggal Pengajuan Dokumen]]="","",Table1[[#This Row],[PLAN PERMIT
start]]-Table1[[#This Row],[Tanggal Pengajuan Dokumen]])</f>
        <v>-99</v>
      </c>
      <c r="FO36" s="306"/>
      <c r="FP36" s="286"/>
      <c r="FQ36" s="308"/>
      <c r="FR36" s="322"/>
      <c r="FS36" s="308" t="str">
        <f t="shared" si="4"/>
        <v>Sudah Terbit</v>
      </c>
      <c r="FT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6" s="314">
        <f ca="1">IF(Table1[[#This Row],[Status Izin]]="Selesai",Table1[[#This Row],[PLAN PERMIT
finish]]-Table1[[#This Row],[Tanggal Terbit/ Target Izin Terbit]],ROUNDUP(Table1[[#This Row],[PLAN PERMIT
finish]]-NOW(),0))</f>
        <v>45564</v>
      </c>
      <c r="FV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 s="314"/>
      <c r="FX36" s="42"/>
      <c r="FY36" s="310"/>
      <c r="FZ36" s="311"/>
      <c r="GA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6" s="300">
        <v>45538</v>
      </c>
      <c r="GC36" s="301">
        <v>45519</v>
      </c>
      <c r="GD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6" s="300">
        <v>45545</v>
      </c>
      <c r="GF36" s="301">
        <v>45519</v>
      </c>
      <c r="GG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6" s="300">
        <v>45551</v>
      </c>
      <c r="GI36" s="300">
        <v>45557</v>
      </c>
      <c r="GJ36" s="323">
        <v>45621</v>
      </c>
      <c r="GK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 s="300">
        <v>45565</v>
      </c>
      <c r="GM36" s="300" t="e">
        <v>#N/A</v>
      </c>
      <c r="GN36" s="300">
        <v>45690</v>
      </c>
      <c r="GO36" s="300" t="e">
        <v>#N/A</v>
      </c>
      <c r="GP36" s="286"/>
      <c r="GQ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 s="300" t="s">
        <v>261</v>
      </c>
      <c r="GS36" s="300" t="s">
        <v>261</v>
      </c>
      <c r="GT36" s="324">
        <v>45674</v>
      </c>
      <c r="GU36" s="314" t="str">
        <f>IF(Table1[[#This Row],[Hydro Tes Actual
(tanggal)]]&lt;&gt;"","Sudah","Belum")</f>
        <v>Sudah</v>
      </c>
      <c r="GV36" s="300" t="s">
        <v>261</v>
      </c>
      <c r="GW36" s="300" t="s">
        <v>261</v>
      </c>
      <c r="GX36" s="301">
        <v>45695</v>
      </c>
      <c r="GY36" s="314" t="str">
        <f>IF(Table1[[#This Row],[Interkoneksi Actual
(tanggal)]]&lt;&gt;"","Sudah","Belum")</f>
        <v>Sudah</v>
      </c>
      <c r="GZ36" s="300" t="s">
        <v>261</v>
      </c>
      <c r="HA36" s="300" t="s">
        <v>261</v>
      </c>
      <c r="HB36" s="301">
        <v>45699</v>
      </c>
      <c r="HC36" s="314" t="str">
        <f>IF(Table1[[#This Row],[Flushing Actual
(tanggal)]]&lt;&gt;"","Sudah","Belum")</f>
        <v>Sudah</v>
      </c>
      <c r="HD36" s="300">
        <v>45677</v>
      </c>
      <c r="HE36" s="300" t="e">
        <v>#N/A</v>
      </c>
      <c r="HF36" s="300">
        <v>45683</v>
      </c>
      <c r="HG36" s="316">
        <v>45713</v>
      </c>
      <c r="HH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6" s="300" t="s">
        <v>261</v>
      </c>
      <c r="HJ36" s="300" t="s">
        <v>261</v>
      </c>
      <c r="HK36" s="301"/>
      <c r="HL36" s="286"/>
      <c r="HM36" s="300">
        <v>45702</v>
      </c>
      <c r="HN36" s="300">
        <v>45702</v>
      </c>
      <c r="HO36" s="300" t="e">
        <v>#N/A</v>
      </c>
      <c r="HP36" s="300"/>
      <c r="HQ36" s="316">
        <v>45750</v>
      </c>
      <c r="HR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6" s="300">
        <v>45709</v>
      </c>
      <c r="HT36" s="300"/>
      <c r="HU36" s="300">
        <v>45709</v>
      </c>
      <c r="HV36" s="497"/>
      <c r="HW36" s="300">
        <v>45751</v>
      </c>
      <c r="HX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6" s="42"/>
      <c r="HZ36" s="322"/>
      <c r="IA36" s="306"/>
      <c r="IC36" s="585">
        <f>IFERROR(ROUND((Table1[[#This Row],[PLAN TC
finish]]-Table1[[#This Row],[PLAN MC-0
start]])/30,2),"")</f>
        <v>4.4000000000000004</v>
      </c>
      <c r="ID36">
        <f>DATEDIF(Table1[[#This Row],[PLAN MC-0
start]],Table1[[#This Row],[PLAN TC
finish]],"m")</f>
        <v>4</v>
      </c>
    </row>
    <row r="37" spans="1:238" s="4" customFormat="1" ht="15" customHeight="1" x14ac:dyDescent="0.25">
      <c r="B37" s="281">
        <f>SUBTOTAL(3,$D$5:D37)</f>
        <v>33</v>
      </c>
      <c r="C37" s="318">
        <v>33</v>
      </c>
      <c r="D37" s="285" t="s">
        <v>244</v>
      </c>
      <c r="E37" s="285" t="s">
        <v>423</v>
      </c>
      <c r="F37" s="285" t="s">
        <v>424</v>
      </c>
      <c r="G37" s="319">
        <v>45752</v>
      </c>
      <c r="H37" s="284" t="s">
        <v>247</v>
      </c>
      <c r="I37" s="285" t="s">
        <v>278</v>
      </c>
      <c r="J37" s="285"/>
      <c r="K37" s="308" t="s">
        <v>249</v>
      </c>
      <c r="L37" s="286" t="s">
        <v>250</v>
      </c>
      <c r="M37" s="286" t="s">
        <v>269</v>
      </c>
      <c r="N37" s="94">
        <v>2852</v>
      </c>
      <c r="O37" s="31" t="s">
        <v>252</v>
      </c>
      <c r="P3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7" s="82" t="e">
        <v>#N/A</v>
      </c>
      <c r="S37" s="82">
        <v>1</v>
      </c>
      <c r="T37" s="35">
        <f>Table1[[#This Row],[Progres Total Aktual
(%)]]</f>
        <v>1</v>
      </c>
      <c r="U37" s="106">
        <f>Table1[[#This Row],[Progres Aktual
(%)]]-Table1[[#This Row],[Target Progres
(%)]]</f>
        <v>0</v>
      </c>
      <c r="V37" s="320">
        <f>Table1[[#This Row],["Volume
BA MC-0"]]</f>
        <v>2511</v>
      </c>
      <c r="W37" s="321">
        <f>Table1[[#This Row],[Total Panjang Pipa Aktual
(Sum-&gt;)3]]</f>
        <v>1361.3</v>
      </c>
      <c r="X37" s="42"/>
      <c r="Y37" s="62" t="s">
        <v>425</v>
      </c>
      <c r="Z37" s="62">
        <v>3893322100</v>
      </c>
      <c r="AA37" s="62">
        <f>ROUND((Table1[[#This Row],[Nilai RAB Jaringan
(Exclude Ppn)]]-Table1[[#This Row],[RAB Perizinan]])*1.11+Table1[[#This Row],[RAB Perizinan]],0)</f>
        <v>0</v>
      </c>
      <c r="AB37" s="290">
        <f>SUM(Table1[[#This Row],[RAB Kegiatan Umum]:[RAB Perizinan]])</f>
        <v>0</v>
      </c>
      <c r="AC37" s="290"/>
      <c r="AD37" s="290"/>
      <c r="AE37" s="290"/>
      <c r="AF37" s="290"/>
      <c r="AG37" s="290">
        <v>2398088511</v>
      </c>
      <c r="AH37" s="35" t="e">
        <f>SUM(Table1[[#This Row],[Bobot Keg Umum]:[Bobot Perizinan]])</f>
        <v>#DIV/0!</v>
      </c>
      <c r="AI37" s="35" t="e">
        <f>Table1[[#This Row],[RAB Kegiatan Umum]]/Table1[[#This Row],[Nilai RAB Jaringan
(Exclude Ppn)]]</f>
        <v>#DIV/0!</v>
      </c>
      <c r="AJ37" s="35" t="e">
        <f>Table1[[#This Row],[RAB Pemasangan]]/Table1[[#This Row],[Nilai RAB Jaringan
(Exclude Ppn)]]</f>
        <v>#DIV/0!</v>
      </c>
      <c r="AK37" s="35" t="e">
        <f>Table1[[#This Row],[RAB Pengadaan]]/Table1[[#This Row],[Nilai RAB Jaringan
(Exclude Ppn)]]</f>
        <v>#DIV/0!</v>
      </c>
      <c r="AL37" s="35" t="e">
        <f>Table1[[#This Row],[RAB Perizinan]]/Table1[[#This Row],[Nilai RAB Jaringan
(Exclude Ppn)]]</f>
        <v>#DIV/0!</v>
      </c>
      <c r="AM37" s="42"/>
      <c r="AN37" s="256">
        <v>2511</v>
      </c>
      <c r="AO37" s="256">
        <f>SUM(Table1[[#This Row],[Pipa 63 mm]:[Pipa 1,800 mm]])</f>
        <v>0</v>
      </c>
      <c r="AP37" s="256"/>
      <c r="AQ37" s="256"/>
      <c r="AR37" s="256"/>
      <c r="AS37" s="256"/>
      <c r="AT37" s="256"/>
      <c r="AU37" s="256"/>
      <c r="AV37" s="256"/>
      <c r="AW37" s="256"/>
      <c r="AX37" s="256"/>
      <c r="AY37" s="256"/>
      <c r="AZ37" s="256"/>
      <c r="BA37" s="256"/>
      <c r="BB37" s="256"/>
      <c r="BC37" s="256"/>
      <c r="BD37" s="256"/>
      <c r="BE37" s="256"/>
      <c r="BF37" s="256"/>
      <c r="BG37" s="256"/>
      <c r="BH37" s="256"/>
      <c r="BI37" s="256"/>
      <c r="BJ37" s="36">
        <f>SUM(Table1[[#This Row],[Pipa 63 mm2]:[Pipa 1,800 mm21]])</f>
        <v>1361.3</v>
      </c>
      <c r="BK37" s="326">
        <v>915</v>
      </c>
      <c r="BL37" s="326">
        <v>220.3</v>
      </c>
      <c r="BM37" s="326">
        <v>226</v>
      </c>
      <c r="BN37" s="326"/>
      <c r="BO37" s="326"/>
      <c r="BP37" s="326"/>
      <c r="BQ37" s="326"/>
      <c r="BR37" s="326"/>
      <c r="BS37" s="326"/>
      <c r="BT37" s="326"/>
      <c r="BU37" s="326"/>
      <c r="BV37" s="326"/>
      <c r="BW37" s="326"/>
      <c r="BX37" s="326"/>
      <c r="BY37" s="326"/>
      <c r="BZ37" s="326"/>
      <c r="CA37" s="326"/>
      <c r="CB37" s="326"/>
      <c r="CC37" s="326"/>
      <c r="CD37" s="326"/>
      <c r="CE37" s="32">
        <v>551</v>
      </c>
      <c r="CF37" s="32"/>
      <c r="CG37" s="32"/>
      <c r="CH37" s="32"/>
      <c r="CI37" s="32">
        <f t="shared" si="3"/>
        <v>551</v>
      </c>
      <c r="CJ37" s="60">
        <f>IF((Table1[[#This Row],["Volume
BA MC-0"]]-Table1[[#This Row],[Total Panjang Pipa Aktual
(Sum-&gt;)3]]-Table1[[#This Row],[Total Volume
tidak dapat dipasang]])&gt;=0,Table1[[#This Row],["Volume
BA MC-0"]]-Table1[[#This Row],[Total Panjang Pipa Aktual
(Sum-&gt;)3]]-Table1[[#This Row],[Total Volume
tidak dapat dipasang]],0)</f>
        <v>598.70000000000005</v>
      </c>
      <c r="CK37" s="42"/>
      <c r="CL37" s="113"/>
      <c r="CM37" s="35"/>
      <c r="CN37" s="113"/>
      <c r="CO37" s="113"/>
      <c r="CP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7" s="61">
        <f>IFERROR(Table1[[#This Row],[Progres Keg. Umum
(%)]]*Table1[[#This Row],[Nilai RAB Jaringan
(file pa aji)]],0)</f>
        <v>0</v>
      </c>
      <c r="CR37" s="61">
        <f>IFERROR(Table1[[#This Row],[Progres MOS
(%)]]*Table1[[#This Row],[Nilai RAB Jaringan
(file pa aji)]],0)</f>
        <v>0</v>
      </c>
      <c r="CS37" s="61">
        <f>IFERROR(Table1[[#This Row],[Progres Pemasangan
(%)]]*Table1[[#This Row],[Nilai RAB Jaringan
(file pa aji)]],0)</f>
        <v>0</v>
      </c>
      <c r="CT37" s="61">
        <f>IFERROR(Table1[[#This Row],[Progres Perizinan
(%)]]*Table1[[#This Row],[Nilai RAB Jaringan
(file pa aji)]],0)</f>
        <v>0</v>
      </c>
      <c r="CU37" s="789">
        <v>2006365297</v>
      </c>
      <c r="CV37" s="299">
        <v>2006365297</v>
      </c>
      <c r="CW37" s="552">
        <v>2006365297</v>
      </c>
      <c r="CX37" s="789">
        <f>_xlfn.XLOOKUP(Table1[[#This Row],[Kode Program]],'[1]Breakdown VOWD Greenfield'!$E:$E,'[1]Breakdown VOWD Greenfield'!$AT:$AT)</f>
        <v>2006365297</v>
      </c>
      <c r="CY37" s="42"/>
      <c r="CZ37" s="300">
        <v>45439</v>
      </c>
      <c r="DA37" s="300">
        <v>45466</v>
      </c>
      <c r="DB37" s="301"/>
      <c r="DC37" s="286"/>
      <c r="DD37" s="62"/>
      <c r="DE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7" s="301"/>
      <c r="DG37" s="286"/>
      <c r="DH37" s="62"/>
      <c r="DI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7" s="300">
        <v>45467</v>
      </c>
      <c r="DK37" s="300">
        <v>45536</v>
      </c>
      <c r="DL37" s="301">
        <v>45515</v>
      </c>
      <c r="DM37" s="327" t="s">
        <v>426</v>
      </c>
      <c r="DN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 s="301">
        <v>45562</v>
      </c>
      <c r="DP37" s="286" t="s">
        <v>427</v>
      </c>
      <c r="DQ37" s="308" t="s">
        <v>275</v>
      </c>
      <c r="DR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 s="300">
        <v>45467</v>
      </c>
      <c r="DT37" s="300" t="e">
        <v>#N/A</v>
      </c>
      <c r="DU37" s="300">
        <v>45508</v>
      </c>
      <c r="DV37" s="300" t="e">
        <v>#N/A</v>
      </c>
      <c r="DW37" s="301"/>
      <c r="DX37" s="286"/>
      <c r="DY37" s="304"/>
      <c r="DZ37" s="304"/>
      <c r="EA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7" s="301"/>
      <c r="EC37" s="302"/>
      <c r="ED37" s="302"/>
      <c r="EE37" s="300"/>
      <c r="EF37" s="35">
        <v>1</v>
      </c>
      <c r="EG37" s="307">
        <v>1</v>
      </c>
      <c r="EH37" s="286" t="str">
        <f>IF(Table1[[#This Row],[PO Material Aktual 
(%)]]&gt;=100%,"Selesai PO = 100%",IF(Table1[[#This Row],[PO Material Aktual 
(%)]]&gt;=50%,"Proses PO &gt; 100%",IF(Table1[[#This Row],[PO Material Aktual 
(%)]]&gt;0%,"Proses PO &gt; 50%",IF(Table1[[#This Row],[PO Material Aktual 
(%)]]=0,"Belum PO = 0%"))))</f>
        <v>Selesai PO = 100%</v>
      </c>
      <c r="EI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 s="300">
        <v>45509</v>
      </c>
      <c r="EK37" s="300" t="e">
        <v>#N/A</v>
      </c>
      <c r="EL37" s="300">
        <v>45620</v>
      </c>
      <c r="EM37" s="300" t="e">
        <v>#N/A</v>
      </c>
      <c r="EN37" s="301"/>
      <c r="EO37" s="302"/>
      <c r="EP37" s="302"/>
      <c r="EQ37" s="82">
        <v>1</v>
      </c>
      <c r="ER37" s="82">
        <v>1</v>
      </c>
      <c r="ES37" s="286" t="str">
        <f>IF(Table1[[#This Row],[Progres MOS]]&gt;=100%,"Selesai MOS = 100%",IF(Table1[[#This Row],[Progres MOS]]&gt;=50%,"Proses MOS &gt; 100%",IF(Table1[[#This Row],[Progres MOS]]&gt;0%,"Proses MOS &gt; 50%",IF(Table1[[#This Row],[Progres MOS]]=0,"Belum MOS = 0%"))))</f>
        <v>Selesai MOS = 100%</v>
      </c>
      <c r="ET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 s="42"/>
      <c r="EV37" s="300">
        <v>45467</v>
      </c>
      <c r="EW37" s="300" t="e">
        <v>#N/A</v>
      </c>
      <c r="EX37" s="300">
        <v>45564</v>
      </c>
      <c r="EY37" s="300" t="e">
        <v>#N/A</v>
      </c>
      <c r="EZ37" s="322" t="s">
        <v>259</v>
      </c>
      <c r="FA37" s="306" t="s">
        <v>259</v>
      </c>
      <c r="FB37" s="300" t="s">
        <v>260</v>
      </c>
      <c r="FC37" s="300">
        <v>45541</v>
      </c>
      <c r="FD37" s="300" t="s">
        <v>260</v>
      </c>
      <c r="FE37" s="300">
        <v>45566</v>
      </c>
      <c r="FF37" s="300">
        <v>45939</v>
      </c>
      <c r="FG37" s="300" t="s">
        <v>260</v>
      </c>
      <c r="FH37" s="300" t="s">
        <v>260</v>
      </c>
      <c r="FI37" s="300">
        <v>45845</v>
      </c>
      <c r="FJ37" s="300" t="s">
        <v>260</v>
      </c>
      <c r="FK37" s="300">
        <v>46009</v>
      </c>
      <c r="FL37" s="306" t="s">
        <v>259</v>
      </c>
      <c r="FM37" s="306">
        <v>45541</v>
      </c>
      <c r="FN37" s="284">
        <f>IF(Table1[[#This Row],[Tanggal Pengajuan Dokumen]]="","",Table1[[#This Row],[PLAN PERMIT
start]]-Table1[[#This Row],[Tanggal Pengajuan Dokumen]])</f>
        <v>-74</v>
      </c>
      <c r="FO37" s="306">
        <v>46009</v>
      </c>
      <c r="FP37" s="286"/>
      <c r="FQ37" s="308"/>
      <c r="FR37" s="322"/>
      <c r="FS37" s="308" t="str">
        <f t="shared" ref="FS37:FS68" si="5">IF(COUNTIF(EZ37:FR37,"*terbit*")&gt;=1,"Sudah Terbit","On Going")</f>
        <v>Sudah Terbit</v>
      </c>
      <c r="FT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7" s="314">
        <f ca="1">IF(Table1[[#This Row],[Status Izin]]="Selesai",Table1[[#This Row],[PLAN PERMIT
finish]]-Table1[[#This Row],[Tanggal Terbit/ Target Izin Terbit]],ROUNDUP(Table1[[#This Row],[PLAN PERMIT
finish]]-NOW(),0))</f>
        <v>-445</v>
      </c>
      <c r="FV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 s="314"/>
      <c r="FX37" s="42"/>
      <c r="FY37" s="310"/>
      <c r="FZ37" s="311"/>
      <c r="GA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7" s="300">
        <v>45538</v>
      </c>
      <c r="GC37" s="301">
        <v>45519</v>
      </c>
      <c r="GD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7" s="300">
        <v>45545</v>
      </c>
      <c r="GF37" s="301">
        <v>45519</v>
      </c>
      <c r="GG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7" s="300">
        <v>45551</v>
      </c>
      <c r="GI37" s="300">
        <v>45557</v>
      </c>
      <c r="GJ37" s="323">
        <v>45609</v>
      </c>
      <c r="GK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 s="300">
        <v>45565</v>
      </c>
      <c r="GM37" s="300" t="e">
        <v>#N/A</v>
      </c>
      <c r="GN37" s="300">
        <v>45690</v>
      </c>
      <c r="GO37" s="300" t="e">
        <v>#N/A</v>
      </c>
      <c r="GP37" s="286"/>
      <c r="GQ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 s="300" t="s">
        <v>261</v>
      </c>
      <c r="GS37" s="300" t="s">
        <v>261</v>
      </c>
      <c r="GT37" s="324">
        <v>45647</v>
      </c>
      <c r="GU37" s="314" t="str">
        <f>IF(Table1[[#This Row],[Hydro Tes Actual
(tanggal)]]&lt;&gt;"","Sudah","Belum")</f>
        <v>Sudah</v>
      </c>
      <c r="GV37" s="300" t="s">
        <v>261</v>
      </c>
      <c r="GW37" s="300" t="s">
        <v>261</v>
      </c>
      <c r="GX37" s="301">
        <v>45684</v>
      </c>
      <c r="GY37" s="314" t="str">
        <f>IF(Table1[[#This Row],[Interkoneksi Actual
(tanggal)]]&lt;&gt;"","Sudah","Belum")</f>
        <v>Sudah</v>
      </c>
      <c r="GZ37" s="300" t="s">
        <v>261</v>
      </c>
      <c r="HA37" s="300" t="s">
        <v>261</v>
      </c>
      <c r="HB37" s="301">
        <v>45702</v>
      </c>
      <c r="HC37" s="314" t="str">
        <f>IF(Table1[[#This Row],[Flushing Actual
(tanggal)]]&lt;&gt;"","Sudah","Belum")</f>
        <v>Sudah</v>
      </c>
      <c r="HD37" s="300">
        <v>45677</v>
      </c>
      <c r="HE37" s="300" t="e">
        <v>#N/A</v>
      </c>
      <c r="HF37" s="300">
        <v>45683</v>
      </c>
      <c r="HG37" s="316">
        <v>45742</v>
      </c>
      <c r="HH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7" s="300" t="s">
        <v>261</v>
      </c>
      <c r="HJ37" s="300" t="s">
        <v>261</v>
      </c>
      <c r="HK37" s="301"/>
      <c r="HL37" s="286"/>
      <c r="HM37" s="300">
        <v>45702</v>
      </c>
      <c r="HN37" s="300">
        <v>45702</v>
      </c>
      <c r="HO37" s="300" t="e">
        <v>#N/A</v>
      </c>
      <c r="HP37" s="300"/>
      <c r="HQ37" s="316">
        <v>45750</v>
      </c>
      <c r="HR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7" s="300">
        <v>45709</v>
      </c>
      <c r="HT37" s="300"/>
      <c r="HU37" s="300">
        <v>45709</v>
      </c>
      <c r="HV37" s="497"/>
      <c r="HW37" s="300">
        <v>45751</v>
      </c>
      <c r="HX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7" s="42"/>
      <c r="HZ37" s="322"/>
      <c r="IA37" s="306"/>
      <c r="IC37" s="585">
        <f>IFERROR(ROUND((Table1[[#This Row],[PLAN TC
finish]]-Table1[[#This Row],[PLAN MC-0
start]])/30,2),"")</f>
        <v>4.4000000000000004</v>
      </c>
      <c r="ID37">
        <f>DATEDIF(Table1[[#This Row],[PLAN MC-0
start]],Table1[[#This Row],[PLAN TC
finish]],"m")</f>
        <v>4</v>
      </c>
    </row>
    <row r="38" spans="1:238" s="4" customFormat="1" ht="15" customHeight="1" x14ac:dyDescent="0.25">
      <c r="B38" s="281">
        <f>SUBTOTAL(3,$D$5:D38)</f>
        <v>34</v>
      </c>
      <c r="C38" s="318">
        <v>34</v>
      </c>
      <c r="D38" s="285" t="s">
        <v>244</v>
      </c>
      <c r="E38" s="285" t="s">
        <v>428</v>
      </c>
      <c r="F38" s="285" t="s">
        <v>429</v>
      </c>
      <c r="G38" s="319">
        <v>45752</v>
      </c>
      <c r="H38" s="284" t="s">
        <v>247</v>
      </c>
      <c r="I38" s="285" t="s">
        <v>278</v>
      </c>
      <c r="J38" s="285"/>
      <c r="K38" s="308" t="s">
        <v>249</v>
      </c>
      <c r="L38" s="286" t="s">
        <v>250</v>
      </c>
      <c r="M38" s="286" t="s">
        <v>269</v>
      </c>
      <c r="N38" s="94">
        <v>1541</v>
      </c>
      <c r="O38" s="31" t="s">
        <v>252</v>
      </c>
      <c r="P3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 s="82" t="e">
        <v>#N/A</v>
      </c>
      <c r="S38" s="82">
        <v>1</v>
      </c>
      <c r="T38" s="35">
        <f>Table1[[#This Row],[Progres Total Aktual
(%)]]</f>
        <v>1</v>
      </c>
      <c r="U38" s="106">
        <f>Table1[[#This Row],[Progres Aktual
(%)]]-Table1[[#This Row],[Target Progres
(%)]]</f>
        <v>0</v>
      </c>
      <c r="V38" s="320">
        <f>Table1[[#This Row],["Volume
BA MC-0"]]</f>
        <v>1541</v>
      </c>
      <c r="W38" s="321">
        <f>Table1[[#This Row],[Total Panjang Pipa Aktual
(Sum-&gt;)3]]</f>
        <v>607.70000000000005</v>
      </c>
      <c r="X38" s="42"/>
      <c r="Y38" s="62" t="s">
        <v>430</v>
      </c>
      <c r="Z38" s="62">
        <v>2053558319</v>
      </c>
      <c r="AA38" s="62">
        <f>ROUND((Table1[[#This Row],[Nilai RAB Jaringan
(Exclude Ppn)]]-Table1[[#This Row],[RAB Perizinan]])*1.11+Table1[[#This Row],[RAB Perizinan]],0)</f>
        <v>0</v>
      </c>
      <c r="AB38" s="290">
        <f>SUM(Table1[[#This Row],[RAB Kegiatan Umum]:[RAB Perizinan]])</f>
        <v>0</v>
      </c>
      <c r="AC38" s="290"/>
      <c r="AD38" s="290"/>
      <c r="AE38" s="290"/>
      <c r="AF38" s="290"/>
      <c r="AG38" s="290">
        <v>3222047128</v>
      </c>
      <c r="AH38" s="35" t="e">
        <f>SUM(Table1[[#This Row],[Bobot Keg Umum]:[Bobot Perizinan]])</f>
        <v>#DIV/0!</v>
      </c>
      <c r="AI38" s="35" t="e">
        <f>Table1[[#This Row],[RAB Kegiatan Umum]]/Table1[[#This Row],[Nilai RAB Jaringan
(Exclude Ppn)]]</f>
        <v>#DIV/0!</v>
      </c>
      <c r="AJ38" s="35" t="e">
        <f>Table1[[#This Row],[RAB Pemasangan]]/Table1[[#This Row],[Nilai RAB Jaringan
(Exclude Ppn)]]</f>
        <v>#DIV/0!</v>
      </c>
      <c r="AK38" s="35" t="e">
        <f>Table1[[#This Row],[RAB Pengadaan]]/Table1[[#This Row],[Nilai RAB Jaringan
(Exclude Ppn)]]</f>
        <v>#DIV/0!</v>
      </c>
      <c r="AL38" s="35" t="e">
        <f>Table1[[#This Row],[RAB Perizinan]]/Table1[[#This Row],[Nilai RAB Jaringan
(Exclude Ppn)]]</f>
        <v>#DIV/0!</v>
      </c>
      <c r="AM38" s="42"/>
      <c r="AN38" s="256">
        <v>1541</v>
      </c>
      <c r="AO38" s="256">
        <f>SUM(Table1[[#This Row],[Pipa 63 mm]:[Pipa 1,800 mm]])</f>
        <v>0</v>
      </c>
      <c r="AP38" s="256"/>
      <c r="AQ38" s="256"/>
      <c r="AR38" s="256"/>
      <c r="AS38" s="256"/>
      <c r="AT38" s="256"/>
      <c r="AU38" s="256"/>
      <c r="AV38" s="256"/>
      <c r="AW38" s="256"/>
      <c r="AX38" s="256"/>
      <c r="AY38" s="256"/>
      <c r="AZ38" s="256"/>
      <c r="BA38" s="256"/>
      <c r="BB38" s="256"/>
      <c r="BC38" s="256"/>
      <c r="BD38" s="256"/>
      <c r="BE38" s="256"/>
      <c r="BF38" s="256"/>
      <c r="BG38" s="256"/>
      <c r="BH38" s="256"/>
      <c r="BI38" s="256"/>
      <c r="BJ38" s="36">
        <f>SUM(Table1[[#This Row],[Pipa 63 mm2]:[Pipa 1,800 mm21]])</f>
        <v>607.70000000000005</v>
      </c>
      <c r="BK38" s="326">
        <v>607.70000000000005</v>
      </c>
      <c r="BL38" s="326"/>
      <c r="BM38" s="326"/>
      <c r="BN38" s="326"/>
      <c r="BO38" s="326"/>
      <c r="BP38" s="326"/>
      <c r="BQ38" s="326"/>
      <c r="BR38" s="326"/>
      <c r="BS38" s="326"/>
      <c r="BT38" s="326"/>
      <c r="BU38" s="326"/>
      <c r="BV38" s="326"/>
      <c r="BW38" s="326"/>
      <c r="BX38" s="326"/>
      <c r="BY38" s="326"/>
      <c r="BZ38" s="326"/>
      <c r="CA38" s="326"/>
      <c r="CB38" s="326"/>
      <c r="CC38" s="326"/>
      <c r="CD38" s="326"/>
      <c r="CE38" s="32">
        <v>992</v>
      </c>
      <c r="CF38" s="32"/>
      <c r="CG38" s="32"/>
      <c r="CH38" s="32"/>
      <c r="CI38" s="32">
        <f t="shared" si="3"/>
        <v>992</v>
      </c>
      <c r="CJ38" s="60">
        <f>IF((Table1[[#This Row],["Volume
BA MC-0"]]-Table1[[#This Row],[Total Panjang Pipa Aktual
(Sum-&gt;)3]]-Table1[[#This Row],[Total Volume
tidak dapat dipasang]])&gt;=0,Table1[[#This Row],["Volume
BA MC-0"]]-Table1[[#This Row],[Total Panjang Pipa Aktual
(Sum-&gt;)3]]-Table1[[#This Row],[Total Volume
tidak dapat dipasang]],0)</f>
        <v>0</v>
      </c>
      <c r="CK38" s="42"/>
      <c r="CL38" s="113"/>
      <c r="CM38" s="35"/>
      <c r="CN38" s="113"/>
      <c r="CO38" s="113"/>
      <c r="CP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 s="61">
        <f>IFERROR(Table1[[#This Row],[Progres Keg. Umum
(%)]]*Table1[[#This Row],[Nilai RAB Jaringan
(file pa aji)]],0)</f>
        <v>0</v>
      </c>
      <c r="CR38" s="61">
        <f>IFERROR(Table1[[#This Row],[Progres MOS
(%)]]*Table1[[#This Row],[Nilai RAB Jaringan
(file pa aji)]],0)</f>
        <v>0</v>
      </c>
      <c r="CS38" s="61">
        <f>IFERROR(Table1[[#This Row],[Progres Pemasangan
(%)]]*Table1[[#This Row],[Nilai RAB Jaringan
(file pa aji)]],0)</f>
        <v>0</v>
      </c>
      <c r="CT38" s="61">
        <f>IFERROR(Table1[[#This Row],[Progres Perizinan
(%)]]*Table1[[#This Row],[Nilai RAB Jaringan
(file pa aji)]],0)</f>
        <v>0</v>
      </c>
      <c r="CU38" s="789">
        <v>810979757</v>
      </c>
      <c r="CV38" s="299">
        <v>810979757</v>
      </c>
      <c r="CW38" s="552">
        <v>810979757</v>
      </c>
      <c r="CX38" s="789">
        <f>_xlfn.XLOOKUP(Table1[[#This Row],[Kode Program]],'[1]Breakdown VOWD Greenfield'!$E:$E,'[1]Breakdown VOWD Greenfield'!$AT:$AT)</f>
        <v>810979757</v>
      </c>
      <c r="CY38" s="42"/>
      <c r="CZ38" s="300">
        <v>45439</v>
      </c>
      <c r="DA38" s="300">
        <v>45466</v>
      </c>
      <c r="DB38" s="301"/>
      <c r="DC38" s="286"/>
      <c r="DD38" s="62"/>
      <c r="DE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8" s="301"/>
      <c r="DG38" s="286"/>
      <c r="DH38" s="62"/>
      <c r="DI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8" s="300">
        <v>45467</v>
      </c>
      <c r="DK38" s="300">
        <v>45536</v>
      </c>
      <c r="DL38" s="301">
        <v>45515</v>
      </c>
      <c r="DM38" s="327" t="s">
        <v>431</v>
      </c>
      <c r="DN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 s="301">
        <v>45540</v>
      </c>
      <c r="DP38" s="286" t="s">
        <v>432</v>
      </c>
      <c r="DQ38" s="308" t="s">
        <v>433</v>
      </c>
      <c r="DR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 s="300">
        <v>45467</v>
      </c>
      <c r="DT38" s="300" t="e">
        <v>#N/A</v>
      </c>
      <c r="DU38" s="300">
        <v>45508</v>
      </c>
      <c r="DV38" s="300" t="e">
        <v>#N/A</v>
      </c>
      <c r="DW38" s="301"/>
      <c r="DX38" s="286"/>
      <c r="DY38" s="304"/>
      <c r="DZ38" s="304"/>
      <c r="EA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8" s="301"/>
      <c r="EC38" s="302"/>
      <c r="ED38" s="302"/>
      <c r="EE38" s="300"/>
      <c r="EF38" s="35">
        <v>1</v>
      </c>
      <c r="EG38" s="307">
        <v>1</v>
      </c>
      <c r="EH38" s="286" t="str">
        <f>IF(Table1[[#This Row],[PO Material Aktual 
(%)]]&gt;=100%,"Selesai PO = 100%",IF(Table1[[#This Row],[PO Material Aktual 
(%)]]&gt;=50%,"Proses PO &gt; 100%",IF(Table1[[#This Row],[PO Material Aktual 
(%)]]&gt;0%,"Proses PO &gt; 50%",IF(Table1[[#This Row],[PO Material Aktual 
(%)]]=0,"Belum PO = 0%"))))</f>
        <v>Selesai PO = 100%</v>
      </c>
      <c r="EI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 s="300">
        <v>45509</v>
      </c>
      <c r="EK38" s="300" t="e">
        <v>#N/A</v>
      </c>
      <c r="EL38" s="300">
        <v>45620</v>
      </c>
      <c r="EM38" s="300" t="e">
        <v>#N/A</v>
      </c>
      <c r="EN38" s="301"/>
      <c r="EO38" s="302"/>
      <c r="EP38" s="302"/>
      <c r="EQ38" s="82">
        <v>1</v>
      </c>
      <c r="ER38" s="82">
        <v>1</v>
      </c>
      <c r="ES38" s="286" t="str">
        <f>IF(Table1[[#This Row],[Progres MOS]]&gt;=100%,"Selesai MOS = 100%",IF(Table1[[#This Row],[Progres MOS]]&gt;=50%,"Proses MOS &gt; 100%",IF(Table1[[#This Row],[Progres MOS]]&gt;0%,"Proses MOS &gt; 50%",IF(Table1[[#This Row],[Progres MOS]]=0,"Belum MOS = 0%"))))</f>
        <v>Selesai MOS = 100%</v>
      </c>
      <c r="ET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 s="42"/>
      <c r="EV38" s="300">
        <v>45467</v>
      </c>
      <c r="EW38" s="300" t="e">
        <v>#N/A</v>
      </c>
      <c r="EX38" s="300">
        <v>45564</v>
      </c>
      <c r="EY38" s="300" t="e">
        <v>#N/A</v>
      </c>
      <c r="EZ38" s="322" t="s">
        <v>259</v>
      </c>
      <c r="FA38" s="306" t="s">
        <v>259</v>
      </c>
      <c r="FB38" s="300" t="s">
        <v>260</v>
      </c>
      <c r="FC38" s="300">
        <v>45541</v>
      </c>
      <c r="FD38" s="300" t="s">
        <v>260</v>
      </c>
      <c r="FE38" s="300">
        <v>45566</v>
      </c>
      <c r="FF38" s="300">
        <v>45939</v>
      </c>
      <c r="FG38" s="300" t="s">
        <v>260</v>
      </c>
      <c r="FH38" s="300" t="s">
        <v>260</v>
      </c>
      <c r="FI38" s="300">
        <v>45845</v>
      </c>
      <c r="FJ38" s="300" t="s">
        <v>260</v>
      </c>
      <c r="FK38" s="300">
        <v>46009</v>
      </c>
      <c r="FL38" s="306" t="s">
        <v>259</v>
      </c>
      <c r="FM38" s="306">
        <v>45541</v>
      </c>
      <c r="FN38" s="284">
        <f>IF(Table1[[#This Row],[Tanggal Pengajuan Dokumen]]="","",Table1[[#This Row],[PLAN PERMIT
start]]-Table1[[#This Row],[Tanggal Pengajuan Dokumen]])</f>
        <v>-74</v>
      </c>
      <c r="FO38" s="306">
        <v>46009</v>
      </c>
      <c r="FP38" s="286"/>
      <c r="FQ38" s="308"/>
      <c r="FR38" s="322"/>
      <c r="FS38" s="308" t="str">
        <f t="shared" si="5"/>
        <v>Sudah Terbit</v>
      </c>
      <c r="FT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8" s="314">
        <f ca="1">IF(Table1[[#This Row],[Status Izin]]="Selesai",Table1[[#This Row],[PLAN PERMIT
finish]]-Table1[[#This Row],[Tanggal Terbit/ Target Izin Terbit]],ROUNDUP(Table1[[#This Row],[PLAN PERMIT
finish]]-NOW(),0))</f>
        <v>-445</v>
      </c>
      <c r="FV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 s="314"/>
      <c r="FX38" s="42"/>
      <c r="FY38" s="310"/>
      <c r="FZ38" s="311"/>
      <c r="GA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8" s="300">
        <v>45538</v>
      </c>
      <c r="GC38" s="301">
        <v>45519</v>
      </c>
      <c r="GD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 s="300">
        <v>45545</v>
      </c>
      <c r="GF38" s="301">
        <v>45519</v>
      </c>
      <c r="GG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 s="300">
        <v>45551</v>
      </c>
      <c r="GI38" s="300">
        <v>45557</v>
      </c>
      <c r="GJ38" s="323">
        <v>45554</v>
      </c>
      <c r="GK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 s="300">
        <v>45565</v>
      </c>
      <c r="GM38" s="300" t="e">
        <v>#N/A</v>
      </c>
      <c r="GN38" s="300">
        <v>45690</v>
      </c>
      <c r="GO38" s="300" t="e">
        <v>#N/A</v>
      </c>
      <c r="GP38" s="286"/>
      <c r="GQ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 s="300" t="s">
        <v>261</v>
      </c>
      <c r="GS38" s="300" t="s">
        <v>261</v>
      </c>
      <c r="GT38" s="324">
        <v>45638</v>
      </c>
      <c r="GU38" s="314" t="str">
        <f>IF(Table1[[#This Row],[Hydro Tes Actual
(tanggal)]]&lt;&gt;"","Sudah","Belum")</f>
        <v>Sudah</v>
      </c>
      <c r="GV38" s="300" t="s">
        <v>261</v>
      </c>
      <c r="GW38" s="300" t="s">
        <v>261</v>
      </c>
      <c r="GX38" s="301">
        <v>45626</v>
      </c>
      <c r="GY38" s="314" t="str">
        <f>IF(Table1[[#This Row],[Interkoneksi Actual
(tanggal)]]&lt;&gt;"","Sudah","Belum")</f>
        <v>Sudah</v>
      </c>
      <c r="GZ38" s="300" t="s">
        <v>261</v>
      </c>
      <c r="HA38" s="300" t="s">
        <v>261</v>
      </c>
      <c r="HB38" s="301">
        <v>45681</v>
      </c>
      <c r="HC38" s="314" t="str">
        <f>IF(Table1[[#This Row],[Flushing Actual
(tanggal)]]&lt;&gt;"","Sudah","Belum")</f>
        <v>Sudah</v>
      </c>
      <c r="HD38" s="300">
        <v>45677</v>
      </c>
      <c r="HE38" s="300" t="e">
        <v>#N/A</v>
      </c>
      <c r="HF38" s="300">
        <v>45683</v>
      </c>
      <c r="HG38" s="316">
        <v>45713</v>
      </c>
      <c r="HH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8" s="300" t="s">
        <v>261</v>
      </c>
      <c r="HJ38" s="300" t="s">
        <v>261</v>
      </c>
      <c r="HK38" s="301"/>
      <c r="HL38" s="286"/>
      <c r="HM38" s="300">
        <v>45702</v>
      </c>
      <c r="HN38" s="300">
        <v>45702</v>
      </c>
      <c r="HO38" s="300" t="e">
        <v>#N/A</v>
      </c>
      <c r="HP38" s="300"/>
      <c r="HQ38" s="316">
        <v>45741</v>
      </c>
      <c r="HR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8" s="300">
        <v>45709</v>
      </c>
      <c r="HT38" s="300"/>
      <c r="HU38" s="300">
        <v>45709</v>
      </c>
      <c r="HV38" s="497"/>
      <c r="HW38" s="300">
        <v>45748</v>
      </c>
      <c r="HX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8" s="42"/>
      <c r="HZ38" s="322"/>
      <c r="IA38" s="306"/>
      <c r="IC38" s="585">
        <f>IFERROR(ROUND((Table1[[#This Row],[PLAN TC
finish]]-Table1[[#This Row],[PLAN MC-0
start]])/30,2),"")</f>
        <v>4.4000000000000004</v>
      </c>
      <c r="ID38">
        <f>DATEDIF(Table1[[#This Row],[PLAN MC-0
start]],Table1[[#This Row],[PLAN TC
finish]],"m")</f>
        <v>4</v>
      </c>
    </row>
    <row r="39" spans="1:238" s="4" customFormat="1" ht="15" customHeight="1" x14ac:dyDescent="0.25">
      <c r="B39" s="281">
        <f>SUBTOTAL(3,$D$5:D39)</f>
        <v>35</v>
      </c>
      <c r="C39" s="318">
        <v>35</v>
      </c>
      <c r="D39" s="285" t="s">
        <v>244</v>
      </c>
      <c r="E39" s="285" t="s">
        <v>434</v>
      </c>
      <c r="F39" s="285" t="s">
        <v>435</v>
      </c>
      <c r="G39" s="319">
        <v>45752</v>
      </c>
      <c r="H39" s="284" t="s">
        <v>247</v>
      </c>
      <c r="I39" s="285" t="s">
        <v>278</v>
      </c>
      <c r="J39" s="285"/>
      <c r="K39" s="308" t="s">
        <v>249</v>
      </c>
      <c r="L39" s="286" t="s">
        <v>250</v>
      </c>
      <c r="M39" s="286" t="s">
        <v>269</v>
      </c>
      <c r="N39" s="94">
        <v>4237</v>
      </c>
      <c r="O39" s="31" t="s">
        <v>252</v>
      </c>
      <c r="P3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 s="82" t="e">
        <v>#N/A</v>
      </c>
      <c r="S39" s="82">
        <v>1</v>
      </c>
      <c r="T39" s="35">
        <f>Table1[[#This Row],[Progres Total Aktual
(%)]]</f>
        <v>1</v>
      </c>
      <c r="U39" s="106">
        <f>Table1[[#This Row],[Progres Aktual
(%)]]-Table1[[#This Row],[Target Progres
(%)]]</f>
        <v>0</v>
      </c>
      <c r="V39" s="320">
        <f>Table1[[#This Row],["Volume
BA MC-0"]]</f>
        <v>4093</v>
      </c>
      <c r="W39" s="321">
        <f>Table1[[#This Row],[Total Panjang Pipa Aktual
(Sum-&gt;)3]]</f>
        <v>3301.9</v>
      </c>
      <c r="X39" s="42"/>
      <c r="Y39" s="62" t="s">
        <v>436</v>
      </c>
      <c r="Z39" s="62">
        <v>5884646075</v>
      </c>
      <c r="AA39" s="62">
        <f>ROUND((Table1[[#This Row],[Nilai RAB Jaringan
(Exclude Ppn)]]-Table1[[#This Row],[RAB Perizinan]])*1.11+Table1[[#This Row],[RAB Perizinan]],0)</f>
        <v>0</v>
      </c>
      <c r="AB39" s="290">
        <f>SUM(Table1[[#This Row],[RAB Kegiatan Umum]:[RAB Perizinan]])</f>
        <v>0</v>
      </c>
      <c r="AC39" s="290"/>
      <c r="AD39" s="290"/>
      <c r="AE39" s="290"/>
      <c r="AF39" s="290"/>
      <c r="AG39" s="290">
        <v>6159193142</v>
      </c>
      <c r="AH39" s="35" t="e">
        <f>SUM(Table1[[#This Row],[Bobot Keg Umum]:[Bobot Perizinan]])</f>
        <v>#DIV/0!</v>
      </c>
      <c r="AI39" s="35" t="e">
        <f>Table1[[#This Row],[RAB Kegiatan Umum]]/Table1[[#This Row],[Nilai RAB Jaringan
(Exclude Ppn)]]</f>
        <v>#DIV/0!</v>
      </c>
      <c r="AJ39" s="35" t="e">
        <f>Table1[[#This Row],[RAB Pemasangan]]/Table1[[#This Row],[Nilai RAB Jaringan
(Exclude Ppn)]]</f>
        <v>#DIV/0!</v>
      </c>
      <c r="AK39" s="35" t="e">
        <f>Table1[[#This Row],[RAB Pengadaan]]/Table1[[#This Row],[Nilai RAB Jaringan
(Exclude Ppn)]]</f>
        <v>#DIV/0!</v>
      </c>
      <c r="AL39" s="35" t="e">
        <f>Table1[[#This Row],[RAB Perizinan]]/Table1[[#This Row],[Nilai RAB Jaringan
(Exclude Ppn)]]</f>
        <v>#DIV/0!</v>
      </c>
      <c r="AM39" s="42"/>
      <c r="AN39" s="256">
        <v>4093</v>
      </c>
      <c r="AO39" s="256">
        <f>SUM(Table1[[#This Row],[Pipa 63 mm]:[Pipa 1,800 mm]])</f>
        <v>0</v>
      </c>
      <c r="AP39" s="256"/>
      <c r="AQ39" s="256"/>
      <c r="AR39" s="256"/>
      <c r="AS39" s="256"/>
      <c r="AT39" s="256"/>
      <c r="AU39" s="256"/>
      <c r="AV39" s="256"/>
      <c r="AW39" s="256"/>
      <c r="AX39" s="256"/>
      <c r="AY39" s="256"/>
      <c r="AZ39" s="256"/>
      <c r="BA39" s="256"/>
      <c r="BB39" s="256"/>
      <c r="BC39" s="256"/>
      <c r="BD39" s="256"/>
      <c r="BE39" s="256"/>
      <c r="BF39" s="256"/>
      <c r="BG39" s="256"/>
      <c r="BH39" s="256"/>
      <c r="BI39" s="256"/>
      <c r="BJ39" s="36">
        <f>SUM(Table1[[#This Row],[Pipa 63 mm2]:[Pipa 1,800 mm21]])</f>
        <v>3301.9</v>
      </c>
      <c r="BK39" s="326">
        <v>3301.9</v>
      </c>
      <c r="BL39" s="326"/>
      <c r="BM39" s="326"/>
      <c r="BN39" s="326"/>
      <c r="BO39" s="326"/>
      <c r="BP39" s="326"/>
      <c r="BQ39" s="326"/>
      <c r="BR39" s="326"/>
      <c r="BS39" s="326"/>
      <c r="BT39" s="326"/>
      <c r="BU39" s="326"/>
      <c r="BV39" s="326"/>
      <c r="BW39" s="326"/>
      <c r="BX39" s="326"/>
      <c r="BY39" s="326"/>
      <c r="BZ39" s="326"/>
      <c r="CA39" s="326"/>
      <c r="CB39" s="326"/>
      <c r="CC39" s="326"/>
      <c r="CD39" s="326"/>
      <c r="CE39" s="32">
        <v>1109</v>
      </c>
      <c r="CF39" s="32"/>
      <c r="CG39" s="32"/>
      <c r="CH39" s="32"/>
      <c r="CI39" s="32">
        <f t="shared" si="3"/>
        <v>1109</v>
      </c>
      <c r="CJ39" s="60">
        <f>IF((Table1[[#This Row],["Volume
BA MC-0"]]-Table1[[#This Row],[Total Panjang Pipa Aktual
(Sum-&gt;)3]]-Table1[[#This Row],[Total Volume
tidak dapat dipasang]])&gt;=0,Table1[[#This Row],["Volume
BA MC-0"]]-Table1[[#This Row],[Total Panjang Pipa Aktual
(Sum-&gt;)3]]-Table1[[#This Row],[Total Volume
tidak dapat dipasang]],0)</f>
        <v>0</v>
      </c>
      <c r="CK39" s="42"/>
      <c r="CL39" s="113"/>
      <c r="CM39" s="35"/>
      <c r="CN39" s="113"/>
      <c r="CO39" s="113"/>
      <c r="CP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 s="61">
        <f>IFERROR(Table1[[#This Row],[Progres Keg. Umum
(%)]]*Table1[[#This Row],[Nilai RAB Jaringan
(file pa aji)]],0)</f>
        <v>0</v>
      </c>
      <c r="CR39" s="61">
        <f>IFERROR(Table1[[#This Row],[Progres MOS
(%)]]*Table1[[#This Row],[Nilai RAB Jaringan
(file pa aji)]],0)</f>
        <v>0</v>
      </c>
      <c r="CS39" s="61">
        <f>IFERROR(Table1[[#This Row],[Progres Pemasangan
(%)]]*Table1[[#This Row],[Nilai RAB Jaringan
(file pa aji)]],0)</f>
        <v>0</v>
      </c>
      <c r="CT39" s="61">
        <f>IFERROR(Table1[[#This Row],[Progres Perizinan
(%)]]*Table1[[#This Row],[Nilai RAB Jaringan
(file pa aji)]],0)</f>
        <v>0</v>
      </c>
      <c r="CU39" s="789">
        <v>4237639506</v>
      </c>
      <c r="CV39" s="299">
        <v>4237639506</v>
      </c>
      <c r="CW39" s="552">
        <v>4237639506</v>
      </c>
      <c r="CX39" s="789">
        <f>_xlfn.XLOOKUP(Table1[[#This Row],[Kode Program]],'[1]Breakdown VOWD Greenfield'!$E:$E,'[1]Breakdown VOWD Greenfield'!$AT:$AT)</f>
        <v>4237639506</v>
      </c>
      <c r="CY39" s="42"/>
      <c r="CZ39" s="300">
        <v>45439</v>
      </c>
      <c r="DA39" s="300">
        <v>45466</v>
      </c>
      <c r="DB39" s="301"/>
      <c r="DC39" s="286"/>
      <c r="DD39" s="62"/>
      <c r="DE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39" s="301"/>
      <c r="DG39" s="286"/>
      <c r="DH39" s="62"/>
      <c r="DI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39" s="300">
        <v>45467</v>
      </c>
      <c r="DK39" s="300">
        <v>45536</v>
      </c>
      <c r="DL39" s="301">
        <v>45515</v>
      </c>
      <c r="DM39" s="327" t="s">
        <v>437</v>
      </c>
      <c r="DN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 s="301">
        <v>45540</v>
      </c>
      <c r="DP39" s="286" t="s">
        <v>438</v>
      </c>
      <c r="DQ39" s="308" t="s">
        <v>433</v>
      </c>
      <c r="DR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 s="300">
        <v>45467</v>
      </c>
      <c r="DT39" s="300" t="e">
        <v>#N/A</v>
      </c>
      <c r="DU39" s="300">
        <v>45508</v>
      </c>
      <c r="DV39" s="300" t="e">
        <v>#N/A</v>
      </c>
      <c r="DW39" s="301"/>
      <c r="DX39" s="286"/>
      <c r="DY39" s="304"/>
      <c r="DZ39" s="304"/>
      <c r="EA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39" s="301"/>
      <c r="EC39" s="302"/>
      <c r="ED39" s="302"/>
      <c r="EE39" s="300"/>
      <c r="EF39" s="35">
        <v>1</v>
      </c>
      <c r="EG39" s="307">
        <v>1</v>
      </c>
      <c r="EH39" s="286" t="str">
        <f>IF(Table1[[#This Row],[PO Material Aktual 
(%)]]&gt;=100%,"Selesai PO = 100%",IF(Table1[[#This Row],[PO Material Aktual 
(%)]]&gt;=50%,"Proses PO &gt; 100%",IF(Table1[[#This Row],[PO Material Aktual 
(%)]]&gt;0%,"Proses PO &gt; 50%",IF(Table1[[#This Row],[PO Material Aktual 
(%)]]=0,"Belum PO = 0%"))))</f>
        <v>Selesai PO = 100%</v>
      </c>
      <c r="EI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 s="300">
        <v>45509</v>
      </c>
      <c r="EK39" s="300" t="e">
        <v>#N/A</v>
      </c>
      <c r="EL39" s="300">
        <v>45620</v>
      </c>
      <c r="EM39" s="300" t="e">
        <v>#N/A</v>
      </c>
      <c r="EN39" s="301"/>
      <c r="EO39" s="302"/>
      <c r="EP39" s="302"/>
      <c r="EQ39" s="82">
        <v>1</v>
      </c>
      <c r="ER39" s="82">
        <v>1</v>
      </c>
      <c r="ES39" s="286" t="str">
        <f>IF(Table1[[#This Row],[Progres MOS]]&gt;=100%,"Selesai MOS = 100%",IF(Table1[[#This Row],[Progres MOS]]&gt;=50%,"Proses MOS &gt; 100%",IF(Table1[[#This Row],[Progres MOS]]&gt;0%,"Proses MOS &gt; 50%",IF(Table1[[#This Row],[Progres MOS]]=0,"Belum MOS = 0%"))))</f>
        <v>Selesai MOS = 100%</v>
      </c>
      <c r="ET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 s="42"/>
      <c r="EV39" s="300">
        <v>45467</v>
      </c>
      <c r="EW39" s="300" t="e">
        <v>#N/A</v>
      </c>
      <c r="EX39" s="300">
        <v>45564</v>
      </c>
      <c r="EY39" s="300" t="e">
        <v>#N/A</v>
      </c>
      <c r="EZ39" s="322" t="s">
        <v>259</v>
      </c>
      <c r="FA39" s="306" t="s">
        <v>259</v>
      </c>
      <c r="FB39" s="300" t="s">
        <v>260</v>
      </c>
      <c r="FC39" s="300">
        <v>45541</v>
      </c>
      <c r="FD39" s="300" t="s">
        <v>260</v>
      </c>
      <c r="FE39" s="300">
        <v>45566</v>
      </c>
      <c r="FF39" s="300">
        <v>45939</v>
      </c>
      <c r="FG39" s="300" t="s">
        <v>260</v>
      </c>
      <c r="FH39" s="300" t="s">
        <v>260</v>
      </c>
      <c r="FI39" s="300">
        <v>45845</v>
      </c>
      <c r="FJ39" s="300" t="s">
        <v>260</v>
      </c>
      <c r="FK39" s="300">
        <v>46009</v>
      </c>
      <c r="FL39" s="306" t="s">
        <v>259</v>
      </c>
      <c r="FM39" s="306">
        <v>45541</v>
      </c>
      <c r="FN39" s="284">
        <f>IF(Table1[[#This Row],[Tanggal Pengajuan Dokumen]]="","",Table1[[#This Row],[PLAN PERMIT
start]]-Table1[[#This Row],[Tanggal Pengajuan Dokumen]])</f>
        <v>-74</v>
      </c>
      <c r="FO39" s="306">
        <v>46009</v>
      </c>
      <c r="FP39" s="286"/>
      <c r="FQ39" s="308"/>
      <c r="FR39" s="322"/>
      <c r="FS39" s="308" t="str">
        <f t="shared" si="5"/>
        <v>Sudah Terbit</v>
      </c>
      <c r="FT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9" s="314">
        <f ca="1">IF(Table1[[#This Row],[Status Izin]]="Selesai",Table1[[#This Row],[PLAN PERMIT
finish]]-Table1[[#This Row],[Tanggal Terbit/ Target Izin Terbit]],ROUNDUP(Table1[[#This Row],[PLAN PERMIT
finish]]-NOW(),0))</f>
        <v>-445</v>
      </c>
      <c r="FV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 s="314"/>
      <c r="FX39" s="42"/>
      <c r="FY39" s="310"/>
      <c r="FZ39" s="311"/>
      <c r="GA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9" s="300">
        <v>45538</v>
      </c>
      <c r="GC39" s="301">
        <v>45519</v>
      </c>
      <c r="GD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 s="300">
        <v>45545</v>
      </c>
      <c r="GF39" s="301">
        <v>45519</v>
      </c>
      <c r="GG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 s="300">
        <v>45551</v>
      </c>
      <c r="GI39" s="300">
        <v>45557</v>
      </c>
      <c r="GJ39" s="323">
        <v>45562</v>
      </c>
      <c r="GK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9" s="300">
        <v>45565</v>
      </c>
      <c r="GM39" s="300" t="e">
        <v>#N/A</v>
      </c>
      <c r="GN39" s="300">
        <v>45690</v>
      </c>
      <c r="GO39" s="300" t="e">
        <v>#N/A</v>
      </c>
      <c r="GP39" s="286"/>
      <c r="GQ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9" s="300" t="s">
        <v>261</v>
      </c>
      <c r="GS39" s="300" t="s">
        <v>261</v>
      </c>
      <c r="GT39" s="324">
        <v>45594</v>
      </c>
      <c r="GU39" s="314" t="str">
        <f>IF(Table1[[#This Row],[Hydro Tes Actual
(tanggal)]]&lt;&gt;"","Sudah","Belum")</f>
        <v>Sudah</v>
      </c>
      <c r="GV39" s="300" t="s">
        <v>261</v>
      </c>
      <c r="GW39" s="300" t="s">
        <v>261</v>
      </c>
      <c r="GX39" s="301">
        <v>45697</v>
      </c>
      <c r="GY39" s="314" t="str">
        <f>IF(Table1[[#This Row],[Interkoneksi Actual
(tanggal)]]&lt;&gt;"","Sudah","Belum")</f>
        <v>Sudah</v>
      </c>
      <c r="GZ39" s="300" t="s">
        <v>261</v>
      </c>
      <c r="HA39" s="300" t="s">
        <v>261</v>
      </c>
      <c r="HB39" s="301">
        <v>45699</v>
      </c>
      <c r="HC39" s="314" t="str">
        <f>IF(Table1[[#This Row],[Flushing Actual
(tanggal)]]&lt;&gt;"","Sudah","Belum")</f>
        <v>Sudah</v>
      </c>
      <c r="HD39" s="300">
        <v>45677</v>
      </c>
      <c r="HE39" s="300" t="e">
        <v>#N/A</v>
      </c>
      <c r="HF39" s="300">
        <v>45683</v>
      </c>
      <c r="HG39" s="316">
        <v>45714</v>
      </c>
      <c r="HH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9" s="300" t="s">
        <v>261</v>
      </c>
      <c r="HJ39" s="300" t="s">
        <v>261</v>
      </c>
      <c r="HK39" s="301"/>
      <c r="HL39" s="286"/>
      <c r="HM39" s="300">
        <v>45702</v>
      </c>
      <c r="HN39" s="300">
        <v>45702</v>
      </c>
      <c r="HO39" s="300" t="e">
        <v>#N/A</v>
      </c>
      <c r="HP39" s="300"/>
      <c r="HQ39" s="316">
        <v>45750</v>
      </c>
      <c r="HR3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9" s="300">
        <v>45709</v>
      </c>
      <c r="HT39" s="300"/>
      <c r="HU39" s="300">
        <v>45709</v>
      </c>
      <c r="HV39" s="497"/>
      <c r="HW39" s="300">
        <v>45751</v>
      </c>
      <c r="HX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9" s="42"/>
      <c r="HZ39" s="322"/>
      <c r="IA39" s="306"/>
      <c r="IC39" s="585">
        <f>IFERROR(ROUND((Table1[[#This Row],[PLAN TC
finish]]-Table1[[#This Row],[PLAN MC-0
start]])/30,2),"")</f>
        <v>4.4000000000000004</v>
      </c>
      <c r="ID39">
        <f>DATEDIF(Table1[[#This Row],[PLAN MC-0
start]],Table1[[#This Row],[PLAN TC
finish]],"m")</f>
        <v>4</v>
      </c>
    </row>
    <row r="40" spans="1:238" s="4" customFormat="1" ht="15" customHeight="1" x14ac:dyDescent="0.25">
      <c r="B40" s="281">
        <f>SUBTOTAL(3,$D$5:D40)</f>
        <v>36</v>
      </c>
      <c r="C40" s="318">
        <v>36</v>
      </c>
      <c r="D40" s="285" t="s">
        <v>244</v>
      </c>
      <c r="E40" s="285" t="s">
        <v>439</v>
      </c>
      <c r="F40" s="285" t="s">
        <v>440</v>
      </c>
      <c r="G40" s="319">
        <v>45752</v>
      </c>
      <c r="H40" s="284" t="s">
        <v>247</v>
      </c>
      <c r="I40" s="285" t="s">
        <v>278</v>
      </c>
      <c r="J40" s="285"/>
      <c r="K40" s="308" t="s">
        <v>249</v>
      </c>
      <c r="L40" s="286" t="s">
        <v>250</v>
      </c>
      <c r="M40" s="286" t="s">
        <v>269</v>
      </c>
      <c r="N40" s="94">
        <v>845</v>
      </c>
      <c r="O40" s="31" t="s">
        <v>252</v>
      </c>
      <c r="P4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0" s="82" t="e">
        <v>#N/A</v>
      </c>
      <c r="S40" s="82">
        <v>1</v>
      </c>
      <c r="T40" s="35">
        <f>Table1[[#This Row],[Progres Total Aktual
(%)]]</f>
        <v>1</v>
      </c>
      <c r="U40" s="106">
        <f>Table1[[#This Row],[Progres Aktual
(%)]]-Table1[[#This Row],[Target Progres
(%)]]</f>
        <v>0</v>
      </c>
      <c r="V40" s="320">
        <f>Table1[[#This Row],["Volume
BA MC-0"]]</f>
        <v>873</v>
      </c>
      <c r="W40" s="321">
        <f>Table1[[#This Row],[Total Panjang Pipa Aktual
(Sum-&gt;)3]]</f>
        <v>285.39999999999998</v>
      </c>
      <c r="X40" s="42"/>
      <c r="Y40" s="62" t="s">
        <v>441</v>
      </c>
      <c r="Z40" s="62">
        <v>1138504626</v>
      </c>
      <c r="AA40" s="62">
        <f>ROUND((Table1[[#This Row],[Nilai RAB Jaringan
(Exclude Ppn)]]-Table1[[#This Row],[RAB Perizinan]])*1.11+Table1[[#This Row],[RAB Perizinan]],0)</f>
        <v>0</v>
      </c>
      <c r="AB40" s="290">
        <f>SUM(Table1[[#This Row],[RAB Kegiatan Umum]:[RAB Perizinan]])</f>
        <v>0</v>
      </c>
      <c r="AC40" s="290"/>
      <c r="AD40" s="290"/>
      <c r="AE40" s="290"/>
      <c r="AF40" s="290"/>
      <c r="AG40" s="290">
        <v>3984516296</v>
      </c>
      <c r="AH40" s="35" t="e">
        <f>SUM(Table1[[#This Row],[Bobot Keg Umum]:[Bobot Perizinan]])</f>
        <v>#DIV/0!</v>
      </c>
      <c r="AI40" s="35" t="e">
        <f>Table1[[#This Row],[RAB Kegiatan Umum]]/Table1[[#This Row],[Nilai RAB Jaringan
(Exclude Ppn)]]</f>
        <v>#DIV/0!</v>
      </c>
      <c r="AJ40" s="35" t="e">
        <f>Table1[[#This Row],[RAB Pemasangan]]/Table1[[#This Row],[Nilai RAB Jaringan
(Exclude Ppn)]]</f>
        <v>#DIV/0!</v>
      </c>
      <c r="AK40" s="35" t="e">
        <f>Table1[[#This Row],[RAB Pengadaan]]/Table1[[#This Row],[Nilai RAB Jaringan
(Exclude Ppn)]]</f>
        <v>#DIV/0!</v>
      </c>
      <c r="AL40" s="35" t="e">
        <f>Table1[[#This Row],[RAB Perizinan]]/Table1[[#This Row],[Nilai RAB Jaringan
(Exclude Ppn)]]</f>
        <v>#DIV/0!</v>
      </c>
      <c r="AM40" s="42"/>
      <c r="AN40" s="256">
        <v>873</v>
      </c>
      <c r="AO40" s="256">
        <f>SUM(Table1[[#This Row],[Pipa 63 mm]:[Pipa 1,800 mm]])</f>
        <v>0</v>
      </c>
      <c r="AP40" s="256"/>
      <c r="AQ40" s="256"/>
      <c r="AR40" s="256"/>
      <c r="AS40" s="256"/>
      <c r="AT40" s="256"/>
      <c r="AU40" s="256"/>
      <c r="AV40" s="256"/>
      <c r="AW40" s="256"/>
      <c r="AX40" s="256"/>
      <c r="AY40" s="256"/>
      <c r="AZ40" s="256"/>
      <c r="BA40" s="256"/>
      <c r="BB40" s="256"/>
      <c r="BC40" s="256"/>
      <c r="BD40" s="256"/>
      <c r="BE40" s="256"/>
      <c r="BF40" s="256"/>
      <c r="BG40" s="256"/>
      <c r="BH40" s="256"/>
      <c r="BI40" s="256"/>
      <c r="BJ40" s="36">
        <f>SUM(Table1[[#This Row],[Pipa 63 mm2]:[Pipa 1,800 mm21]])</f>
        <v>285.39999999999998</v>
      </c>
      <c r="BK40" s="32">
        <v>285.39999999999998</v>
      </c>
      <c r="BL40" s="32"/>
      <c r="BM40" s="32"/>
      <c r="BN40" s="32"/>
      <c r="BO40" s="32"/>
      <c r="BP40" s="32"/>
      <c r="BQ40" s="32"/>
      <c r="BR40" s="32"/>
      <c r="BS40" s="32"/>
      <c r="BT40" s="32"/>
      <c r="BU40" s="32"/>
      <c r="BV40" s="32"/>
      <c r="BW40" s="32"/>
      <c r="BX40" s="32"/>
      <c r="BY40" s="32"/>
      <c r="BZ40" s="32"/>
      <c r="CA40" s="32"/>
      <c r="CB40" s="32"/>
      <c r="CC40" s="32"/>
      <c r="CD40" s="32"/>
      <c r="CE40" s="32">
        <v>584</v>
      </c>
      <c r="CF40" s="32"/>
      <c r="CG40" s="32"/>
      <c r="CH40" s="32"/>
      <c r="CI40" s="32">
        <f t="shared" si="3"/>
        <v>584</v>
      </c>
      <c r="CJ40" s="60">
        <f>IF((Table1[[#This Row],["Volume
BA MC-0"]]-Table1[[#This Row],[Total Panjang Pipa Aktual
(Sum-&gt;)3]]-Table1[[#This Row],[Total Volume
tidak dapat dipasang]])&gt;=0,Table1[[#This Row],["Volume
BA MC-0"]]-Table1[[#This Row],[Total Panjang Pipa Aktual
(Sum-&gt;)3]]-Table1[[#This Row],[Total Volume
tidak dapat dipasang]],0)</f>
        <v>3.6000000000000227</v>
      </c>
      <c r="CK40" s="42"/>
      <c r="CL40" s="113"/>
      <c r="CM40" s="35"/>
      <c r="CN40" s="113"/>
      <c r="CO40" s="113"/>
      <c r="CP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0" s="61">
        <f>IFERROR(Table1[[#This Row],[Progres Keg. Umum
(%)]]*Table1[[#This Row],[Nilai RAB Jaringan
(file pa aji)]],0)</f>
        <v>0</v>
      </c>
      <c r="CR40" s="61">
        <f>IFERROR(Table1[[#This Row],[Progres MOS
(%)]]*Table1[[#This Row],[Nilai RAB Jaringan
(file pa aji)]],0)</f>
        <v>0</v>
      </c>
      <c r="CS40" s="61">
        <f>IFERROR(Table1[[#This Row],[Progres Pemasangan
(%)]]*Table1[[#This Row],[Nilai RAB Jaringan
(file pa aji)]],0)</f>
        <v>0</v>
      </c>
      <c r="CT40" s="61">
        <f>IFERROR(Table1[[#This Row],[Progres Perizinan
(%)]]*Table1[[#This Row],[Nilai RAB Jaringan
(file pa aji)]],0)</f>
        <v>0</v>
      </c>
      <c r="CU40" s="789">
        <v>425508030</v>
      </c>
      <c r="CV40" s="299">
        <v>425508030</v>
      </c>
      <c r="CW40" s="552">
        <v>425508030</v>
      </c>
      <c r="CX40" s="789">
        <f>_xlfn.XLOOKUP(Table1[[#This Row],[Kode Program]],'[1]Breakdown VOWD Greenfield'!$E:$E,'[1]Breakdown VOWD Greenfield'!$AT:$AT)</f>
        <v>425508030</v>
      </c>
      <c r="CY40" s="42"/>
      <c r="CZ40" s="300">
        <v>45439</v>
      </c>
      <c r="DA40" s="300">
        <v>45466</v>
      </c>
      <c r="DB40" s="301"/>
      <c r="DC40" s="286"/>
      <c r="DD40" s="62"/>
      <c r="DE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0" s="301"/>
      <c r="DG40" s="286"/>
      <c r="DH40" s="62"/>
      <c r="DI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0" s="300">
        <v>45467</v>
      </c>
      <c r="DK40" s="300">
        <v>45536</v>
      </c>
      <c r="DL40" s="301">
        <v>45523</v>
      </c>
      <c r="DM40" s="327" t="s">
        <v>442</v>
      </c>
      <c r="DN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 s="301">
        <v>45540</v>
      </c>
      <c r="DP40" s="286" t="s">
        <v>443</v>
      </c>
      <c r="DQ40" s="308" t="s">
        <v>433</v>
      </c>
      <c r="DR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 s="300">
        <v>45467</v>
      </c>
      <c r="DT40" s="300" t="e">
        <v>#N/A</v>
      </c>
      <c r="DU40" s="300">
        <v>45508</v>
      </c>
      <c r="DV40" s="300" t="e">
        <v>#N/A</v>
      </c>
      <c r="DW40" s="301"/>
      <c r="DX40" s="286"/>
      <c r="DY40" s="304"/>
      <c r="DZ40" s="304"/>
      <c r="EA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0" s="301"/>
      <c r="EC40" s="302"/>
      <c r="ED40" s="302"/>
      <c r="EE40" s="300"/>
      <c r="EF40" s="35">
        <v>1</v>
      </c>
      <c r="EG40" s="307">
        <v>1</v>
      </c>
      <c r="EH40" s="286" t="str">
        <f>IF(Table1[[#This Row],[PO Material Aktual 
(%)]]&gt;=100%,"Selesai PO = 100%",IF(Table1[[#This Row],[PO Material Aktual 
(%)]]&gt;=50%,"Proses PO &gt; 100%",IF(Table1[[#This Row],[PO Material Aktual 
(%)]]&gt;0%,"Proses PO &gt; 50%",IF(Table1[[#This Row],[PO Material Aktual 
(%)]]=0,"Belum PO = 0%"))))</f>
        <v>Selesai PO = 100%</v>
      </c>
      <c r="EI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 s="300">
        <v>45509</v>
      </c>
      <c r="EK40" s="300" t="e">
        <v>#N/A</v>
      </c>
      <c r="EL40" s="300">
        <v>45620</v>
      </c>
      <c r="EM40" s="300" t="e">
        <v>#N/A</v>
      </c>
      <c r="EN40" s="301"/>
      <c r="EO40" s="302"/>
      <c r="EP40" s="302"/>
      <c r="EQ40" s="82">
        <v>1</v>
      </c>
      <c r="ER40" s="82">
        <v>1</v>
      </c>
      <c r="ES40" s="286" t="str">
        <f>IF(Table1[[#This Row],[Progres MOS]]&gt;=100%,"Selesai MOS = 100%",IF(Table1[[#This Row],[Progres MOS]]&gt;=50%,"Proses MOS &gt; 100%",IF(Table1[[#This Row],[Progres MOS]]&gt;0%,"Proses MOS &gt; 50%",IF(Table1[[#This Row],[Progres MOS]]=0,"Belum MOS = 0%"))))</f>
        <v>Selesai MOS = 100%</v>
      </c>
      <c r="ET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 s="42"/>
      <c r="EV40" s="300">
        <v>45467</v>
      </c>
      <c r="EW40" s="300" t="e">
        <v>#N/A</v>
      </c>
      <c r="EX40" s="300">
        <v>45564</v>
      </c>
      <c r="EY40" s="300" t="e">
        <v>#N/A</v>
      </c>
      <c r="EZ40" s="322" t="s">
        <v>259</v>
      </c>
      <c r="FA40" s="306" t="s">
        <v>259</v>
      </c>
      <c r="FB40" s="300" t="s">
        <v>260</v>
      </c>
      <c r="FC40" s="300">
        <v>45541</v>
      </c>
      <c r="FD40" s="300" t="s">
        <v>260</v>
      </c>
      <c r="FE40" s="300">
        <v>45566</v>
      </c>
      <c r="FF40" s="300">
        <v>45939</v>
      </c>
      <c r="FG40" s="300" t="s">
        <v>260</v>
      </c>
      <c r="FH40" s="300" t="s">
        <v>260</v>
      </c>
      <c r="FI40" s="300">
        <v>45845</v>
      </c>
      <c r="FJ40" s="300" t="s">
        <v>260</v>
      </c>
      <c r="FK40" s="300">
        <v>46009</v>
      </c>
      <c r="FL40" s="306" t="s">
        <v>259</v>
      </c>
      <c r="FM40" s="306">
        <v>45541</v>
      </c>
      <c r="FN40" s="284">
        <f>IF(Table1[[#This Row],[Tanggal Pengajuan Dokumen]]="","",Table1[[#This Row],[PLAN PERMIT
start]]-Table1[[#This Row],[Tanggal Pengajuan Dokumen]])</f>
        <v>-74</v>
      </c>
      <c r="FO40" s="306">
        <v>46009</v>
      </c>
      <c r="FP40" s="286"/>
      <c r="FQ40" s="308"/>
      <c r="FR40" s="322"/>
      <c r="FS40" s="308" t="str">
        <f t="shared" si="5"/>
        <v>Sudah Terbit</v>
      </c>
      <c r="FT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0" s="314">
        <f ca="1">IF(Table1[[#This Row],[Status Izin]]="Selesai",Table1[[#This Row],[PLAN PERMIT
finish]]-Table1[[#This Row],[Tanggal Terbit/ Target Izin Terbit]],ROUNDUP(Table1[[#This Row],[PLAN PERMIT
finish]]-NOW(),0))</f>
        <v>-445</v>
      </c>
      <c r="FV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 s="314"/>
      <c r="FX40" s="42"/>
      <c r="FY40" s="310"/>
      <c r="FZ40" s="311"/>
      <c r="GA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0" s="300">
        <v>45538</v>
      </c>
      <c r="GC40" s="301">
        <v>45519</v>
      </c>
      <c r="GD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 s="300">
        <v>45545</v>
      </c>
      <c r="GF40" s="301">
        <v>45519</v>
      </c>
      <c r="GG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 s="300">
        <v>45551</v>
      </c>
      <c r="GI40" s="300">
        <v>45557</v>
      </c>
      <c r="GJ40" s="323">
        <v>45561</v>
      </c>
      <c r="GK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 s="300">
        <v>45565</v>
      </c>
      <c r="GM40" s="300" t="e">
        <v>#N/A</v>
      </c>
      <c r="GN40" s="300">
        <v>45690</v>
      </c>
      <c r="GO40" s="300" t="e">
        <v>#N/A</v>
      </c>
      <c r="GP40" s="286"/>
      <c r="GQ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 s="300" t="s">
        <v>261</v>
      </c>
      <c r="GS40" s="300" t="s">
        <v>261</v>
      </c>
      <c r="GT40" s="324">
        <v>45619</v>
      </c>
      <c r="GU40" s="314" t="str">
        <f>IF(Table1[[#This Row],[Hydro Tes Actual
(tanggal)]]&lt;&gt;"","Sudah","Belum")</f>
        <v>Sudah</v>
      </c>
      <c r="GV40" s="300" t="s">
        <v>261</v>
      </c>
      <c r="GW40" s="300" t="s">
        <v>261</v>
      </c>
      <c r="GX40" s="301">
        <v>45643</v>
      </c>
      <c r="GY40" s="314" t="str">
        <f>IF(Table1[[#This Row],[Interkoneksi Actual
(tanggal)]]&lt;&gt;"","Sudah","Belum")</f>
        <v>Sudah</v>
      </c>
      <c r="GZ40" s="300" t="s">
        <v>261</v>
      </c>
      <c r="HA40" s="300" t="s">
        <v>261</v>
      </c>
      <c r="HB40" s="301">
        <v>45681</v>
      </c>
      <c r="HC40" s="314" t="str">
        <f>IF(Table1[[#This Row],[Flushing Actual
(tanggal)]]&lt;&gt;"","Sudah","Belum")</f>
        <v>Sudah</v>
      </c>
      <c r="HD40" s="300">
        <v>45677</v>
      </c>
      <c r="HE40" s="300" t="e">
        <v>#N/A</v>
      </c>
      <c r="HF40" s="300">
        <v>45683</v>
      </c>
      <c r="HG40" s="316">
        <v>45714</v>
      </c>
      <c r="HH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0" s="300" t="s">
        <v>261</v>
      </c>
      <c r="HJ40" s="300" t="s">
        <v>261</v>
      </c>
      <c r="HK40" s="301"/>
      <c r="HL40" s="286"/>
      <c r="HM40" s="300">
        <v>45702</v>
      </c>
      <c r="HN40" s="300">
        <v>45702</v>
      </c>
      <c r="HO40" s="300" t="e">
        <v>#N/A</v>
      </c>
      <c r="HP40" s="300"/>
      <c r="HQ40" s="316">
        <v>45737</v>
      </c>
      <c r="HR4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0" s="300">
        <v>45709</v>
      </c>
      <c r="HT40" s="300"/>
      <c r="HU40" s="300">
        <v>45709</v>
      </c>
      <c r="HV40" s="497"/>
      <c r="HW40" s="300">
        <v>45748</v>
      </c>
      <c r="HX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0" s="42"/>
      <c r="HZ40" s="322"/>
      <c r="IA40" s="306"/>
      <c r="IC40" s="585">
        <f>IFERROR(ROUND((Table1[[#This Row],[PLAN TC
finish]]-Table1[[#This Row],[PLAN MC-0
start]])/30,2),"")</f>
        <v>4.4000000000000004</v>
      </c>
      <c r="ID40">
        <f>DATEDIF(Table1[[#This Row],[PLAN MC-0
start]],Table1[[#This Row],[PLAN TC
finish]],"m")</f>
        <v>4</v>
      </c>
    </row>
    <row r="41" spans="1:238" s="4" customFormat="1" ht="15" customHeight="1" x14ac:dyDescent="0.25">
      <c r="B41" s="281">
        <f>SUBTOTAL(3,$D$5:D41)</f>
        <v>37</v>
      </c>
      <c r="C41" s="318">
        <v>37</v>
      </c>
      <c r="D41" s="285" t="s">
        <v>244</v>
      </c>
      <c r="E41" s="285" t="s">
        <v>444</v>
      </c>
      <c r="F41" s="285" t="s">
        <v>445</v>
      </c>
      <c r="G41" s="319">
        <v>45752</v>
      </c>
      <c r="H41" s="284" t="s">
        <v>247</v>
      </c>
      <c r="I41" s="285" t="s">
        <v>278</v>
      </c>
      <c r="J41" s="285"/>
      <c r="K41" s="308" t="s">
        <v>249</v>
      </c>
      <c r="L41" s="286" t="s">
        <v>250</v>
      </c>
      <c r="M41" s="286" t="s">
        <v>269</v>
      </c>
      <c r="N41" s="94">
        <v>672</v>
      </c>
      <c r="O41" s="31" t="s">
        <v>252</v>
      </c>
      <c r="P4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1" s="82" t="e">
        <v>#N/A</v>
      </c>
      <c r="S41" s="82">
        <v>1</v>
      </c>
      <c r="T41" s="35">
        <f>Table1[[#This Row],[Progres Total Aktual
(%)]]</f>
        <v>1</v>
      </c>
      <c r="U41" s="106">
        <f>Table1[[#This Row],[Progres Aktual
(%)]]-Table1[[#This Row],[Target Progres
(%)]]</f>
        <v>0</v>
      </c>
      <c r="V41" s="320">
        <f>Table1[[#This Row],["Volume
BA MC-0"]]</f>
        <v>704</v>
      </c>
      <c r="W41" s="321">
        <f>Table1[[#This Row],[Total Panjang Pipa Aktual
(Sum-&gt;)3]]</f>
        <v>550.9</v>
      </c>
      <c r="X41" s="42"/>
      <c r="Y41" s="62" t="s">
        <v>446</v>
      </c>
      <c r="Z41" s="62">
        <v>1005198039</v>
      </c>
      <c r="AA41" s="62">
        <f>ROUND((Table1[[#This Row],[Nilai RAB Jaringan
(Exclude Ppn)]]-Table1[[#This Row],[RAB Perizinan]])*1.11+Table1[[#This Row],[RAB Perizinan]],0)</f>
        <v>0</v>
      </c>
      <c r="AB41" s="290">
        <f>SUM(Table1[[#This Row],[RAB Kegiatan Umum]:[RAB Perizinan]])</f>
        <v>0</v>
      </c>
      <c r="AC41" s="290"/>
      <c r="AD41" s="290"/>
      <c r="AE41" s="290"/>
      <c r="AF41" s="290"/>
      <c r="AG41" s="290">
        <v>2678890329</v>
      </c>
      <c r="AH41" s="35" t="e">
        <f>SUM(Table1[[#This Row],[Bobot Keg Umum]:[Bobot Perizinan]])</f>
        <v>#DIV/0!</v>
      </c>
      <c r="AI41" s="35" t="e">
        <f>Table1[[#This Row],[RAB Kegiatan Umum]]/Table1[[#This Row],[Nilai RAB Jaringan
(Exclude Ppn)]]</f>
        <v>#DIV/0!</v>
      </c>
      <c r="AJ41" s="35" t="e">
        <f>Table1[[#This Row],[RAB Pemasangan]]/Table1[[#This Row],[Nilai RAB Jaringan
(Exclude Ppn)]]</f>
        <v>#DIV/0!</v>
      </c>
      <c r="AK41" s="35" t="e">
        <f>Table1[[#This Row],[RAB Pengadaan]]/Table1[[#This Row],[Nilai RAB Jaringan
(Exclude Ppn)]]</f>
        <v>#DIV/0!</v>
      </c>
      <c r="AL41" s="35" t="e">
        <f>Table1[[#This Row],[RAB Perizinan]]/Table1[[#This Row],[Nilai RAB Jaringan
(Exclude Ppn)]]</f>
        <v>#DIV/0!</v>
      </c>
      <c r="AM41" s="42"/>
      <c r="AN41" s="256">
        <v>704</v>
      </c>
      <c r="AO41" s="256">
        <f>SUM(Table1[[#This Row],[Pipa 63 mm]:[Pipa 1,800 mm]])</f>
        <v>0</v>
      </c>
      <c r="AP41" s="256"/>
      <c r="AQ41" s="256"/>
      <c r="AR41" s="256"/>
      <c r="AS41" s="256"/>
      <c r="AT41" s="256"/>
      <c r="AU41" s="256"/>
      <c r="AV41" s="256"/>
      <c r="AW41" s="256"/>
      <c r="AX41" s="256"/>
      <c r="AY41" s="256"/>
      <c r="AZ41" s="256"/>
      <c r="BA41" s="256"/>
      <c r="BB41" s="256"/>
      <c r="BC41" s="256"/>
      <c r="BD41" s="256"/>
      <c r="BE41" s="256"/>
      <c r="BF41" s="256"/>
      <c r="BG41" s="256"/>
      <c r="BH41" s="256"/>
      <c r="BI41" s="256"/>
      <c r="BJ41" s="36">
        <f>SUM(Table1[[#This Row],[Pipa 63 mm2]:[Pipa 1,800 mm21]])</f>
        <v>550.9</v>
      </c>
      <c r="BK41" s="326">
        <v>550.9</v>
      </c>
      <c r="BL41" s="326"/>
      <c r="BM41" s="326"/>
      <c r="BN41" s="326"/>
      <c r="BO41" s="326"/>
      <c r="BP41" s="326"/>
      <c r="BQ41" s="326"/>
      <c r="BR41" s="326"/>
      <c r="BS41" s="326"/>
      <c r="BT41" s="326"/>
      <c r="BU41" s="326"/>
      <c r="BV41" s="326"/>
      <c r="BW41" s="326"/>
      <c r="BX41" s="326"/>
      <c r="BY41" s="326"/>
      <c r="BZ41" s="326"/>
      <c r="CA41" s="326"/>
      <c r="CB41" s="326"/>
      <c r="CC41" s="326"/>
      <c r="CD41" s="326"/>
      <c r="CE41" s="32">
        <v>226</v>
      </c>
      <c r="CF41" s="32"/>
      <c r="CG41" s="32"/>
      <c r="CH41" s="32"/>
      <c r="CI41" s="32">
        <f t="shared" si="3"/>
        <v>226</v>
      </c>
      <c r="CJ41" s="60">
        <f>IF((Table1[[#This Row],["Volume
BA MC-0"]]-Table1[[#This Row],[Total Panjang Pipa Aktual
(Sum-&gt;)3]]-Table1[[#This Row],[Total Volume
tidak dapat dipasang]])&gt;=0,Table1[[#This Row],["Volume
BA MC-0"]]-Table1[[#This Row],[Total Panjang Pipa Aktual
(Sum-&gt;)3]]-Table1[[#This Row],[Total Volume
tidak dapat dipasang]],0)</f>
        <v>0</v>
      </c>
      <c r="CK41" s="42"/>
      <c r="CL41" s="113"/>
      <c r="CM41" s="35"/>
      <c r="CN41" s="113"/>
      <c r="CO41" s="113"/>
      <c r="CP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1" s="61">
        <f>IFERROR(Table1[[#This Row],[Progres Keg. Umum
(%)]]*Table1[[#This Row],[Nilai RAB Jaringan
(file pa aji)]],0)</f>
        <v>0</v>
      </c>
      <c r="CR41" s="61">
        <f>IFERROR(Table1[[#This Row],[Progres MOS
(%)]]*Table1[[#This Row],[Nilai RAB Jaringan
(file pa aji)]],0)</f>
        <v>0</v>
      </c>
      <c r="CS41" s="61">
        <f>IFERROR(Table1[[#This Row],[Progres Pemasangan
(%)]]*Table1[[#This Row],[Nilai RAB Jaringan
(file pa aji)]],0)</f>
        <v>0</v>
      </c>
      <c r="CT41" s="61">
        <f>IFERROR(Table1[[#This Row],[Progres Perizinan
(%)]]*Table1[[#This Row],[Nilai RAB Jaringan
(file pa aji)]],0)</f>
        <v>0</v>
      </c>
      <c r="CU41" s="789">
        <v>842000544</v>
      </c>
      <c r="CV41" s="299">
        <v>842000544</v>
      </c>
      <c r="CW41" s="552">
        <v>842000544</v>
      </c>
      <c r="CX41" s="789">
        <f>_xlfn.XLOOKUP(Table1[[#This Row],[Kode Program]],'[1]Breakdown VOWD Greenfield'!$E:$E,'[1]Breakdown VOWD Greenfield'!$AT:$AT)</f>
        <v>842000544</v>
      </c>
      <c r="CY41" s="42"/>
      <c r="CZ41" s="300">
        <v>45439</v>
      </c>
      <c r="DA41" s="300">
        <v>45466</v>
      </c>
      <c r="DB41" s="301"/>
      <c r="DC41" s="286"/>
      <c r="DD41" s="62"/>
      <c r="DE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1" s="301"/>
      <c r="DG41" s="286"/>
      <c r="DH41" s="62"/>
      <c r="DI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1" s="300">
        <v>45467</v>
      </c>
      <c r="DK41" s="300">
        <v>45536</v>
      </c>
      <c r="DL41" s="301">
        <v>45515</v>
      </c>
      <c r="DM41" s="364" t="s">
        <v>447</v>
      </c>
      <c r="DN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 s="301">
        <v>45540</v>
      </c>
      <c r="DP41" s="286" t="s">
        <v>448</v>
      </c>
      <c r="DQ41" s="308" t="s">
        <v>433</v>
      </c>
      <c r="DR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 s="300">
        <v>45467</v>
      </c>
      <c r="DT41" s="300" t="e">
        <v>#N/A</v>
      </c>
      <c r="DU41" s="300">
        <v>45508</v>
      </c>
      <c r="DV41" s="300" t="e">
        <v>#N/A</v>
      </c>
      <c r="DW41" s="301"/>
      <c r="DX41" s="286"/>
      <c r="DY41" s="304"/>
      <c r="DZ41" s="304"/>
      <c r="EA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1" s="301"/>
      <c r="EC41" s="302"/>
      <c r="ED41" s="302"/>
      <c r="EE41" s="300"/>
      <c r="EF41" s="35">
        <v>1</v>
      </c>
      <c r="EG41" s="307">
        <v>1</v>
      </c>
      <c r="EH41" s="286" t="str">
        <f>IF(Table1[[#This Row],[PO Material Aktual 
(%)]]&gt;=100%,"Selesai PO = 100%",IF(Table1[[#This Row],[PO Material Aktual 
(%)]]&gt;=50%,"Proses PO &gt; 100%",IF(Table1[[#This Row],[PO Material Aktual 
(%)]]&gt;0%,"Proses PO &gt; 50%",IF(Table1[[#This Row],[PO Material Aktual 
(%)]]=0,"Belum PO = 0%"))))</f>
        <v>Selesai PO = 100%</v>
      </c>
      <c r="EI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 s="300">
        <v>45509</v>
      </c>
      <c r="EK41" s="300" t="e">
        <v>#N/A</v>
      </c>
      <c r="EL41" s="300">
        <v>45620</v>
      </c>
      <c r="EM41" s="300" t="e">
        <v>#N/A</v>
      </c>
      <c r="EN41" s="301"/>
      <c r="EO41" s="302"/>
      <c r="EP41" s="302"/>
      <c r="EQ41" s="82">
        <v>1</v>
      </c>
      <c r="ER41" s="82">
        <v>1</v>
      </c>
      <c r="ES41" s="286" t="str">
        <f>IF(Table1[[#This Row],[Progres MOS]]&gt;=100%,"Selesai MOS = 100%",IF(Table1[[#This Row],[Progres MOS]]&gt;=50%,"Proses MOS &gt; 100%",IF(Table1[[#This Row],[Progres MOS]]&gt;0%,"Proses MOS &gt; 50%",IF(Table1[[#This Row],[Progres MOS]]=0,"Belum MOS = 0%"))))</f>
        <v>Selesai MOS = 100%</v>
      </c>
      <c r="ET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 s="42"/>
      <c r="EV41" s="300">
        <v>45467</v>
      </c>
      <c r="EW41" s="300" t="e">
        <v>#N/A</v>
      </c>
      <c r="EX41" s="300">
        <v>45564</v>
      </c>
      <c r="EY41" s="300" t="e">
        <v>#N/A</v>
      </c>
      <c r="EZ41" s="322" t="s">
        <v>259</v>
      </c>
      <c r="FA41" s="306" t="s">
        <v>259</v>
      </c>
      <c r="FB41" s="300" t="s">
        <v>260</v>
      </c>
      <c r="FC41" s="300">
        <v>45541</v>
      </c>
      <c r="FD41" s="300" t="s">
        <v>260</v>
      </c>
      <c r="FE41" s="300">
        <v>45566</v>
      </c>
      <c r="FF41" s="300">
        <v>45939</v>
      </c>
      <c r="FG41" s="300" t="s">
        <v>260</v>
      </c>
      <c r="FH41" s="300" t="s">
        <v>260</v>
      </c>
      <c r="FI41" s="300">
        <v>45845</v>
      </c>
      <c r="FJ41" s="300" t="s">
        <v>260</v>
      </c>
      <c r="FK41" s="300">
        <v>46009</v>
      </c>
      <c r="FL41" s="306" t="s">
        <v>259</v>
      </c>
      <c r="FM41" s="306">
        <v>45541</v>
      </c>
      <c r="FN41" s="284">
        <f>IF(Table1[[#This Row],[Tanggal Pengajuan Dokumen]]="","",Table1[[#This Row],[PLAN PERMIT
start]]-Table1[[#This Row],[Tanggal Pengajuan Dokumen]])</f>
        <v>-74</v>
      </c>
      <c r="FO41" s="306">
        <v>46009</v>
      </c>
      <c r="FP41" s="286"/>
      <c r="FQ41" s="308"/>
      <c r="FR41" s="322"/>
      <c r="FS41" s="308" t="str">
        <f t="shared" si="5"/>
        <v>Sudah Terbit</v>
      </c>
      <c r="FT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1" s="314">
        <f ca="1">IF(Table1[[#This Row],[Status Izin]]="Selesai",Table1[[#This Row],[PLAN PERMIT
finish]]-Table1[[#This Row],[Tanggal Terbit/ Target Izin Terbit]],ROUNDUP(Table1[[#This Row],[PLAN PERMIT
finish]]-NOW(),0))</f>
        <v>-445</v>
      </c>
      <c r="FV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 s="314"/>
      <c r="FX41" s="42"/>
      <c r="FY41" s="310"/>
      <c r="FZ41" s="311"/>
      <c r="GA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1" s="300">
        <v>45538</v>
      </c>
      <c r="GC41" s="301">
        <v>45519</v>
      </c>
      <c r="GD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 s="300">
        <v>45545</v>
      </c>
      <c r="GF41" s="301">
        <v>45519</v>
      </c>
      <c r="GG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 s="300">
        <v>45551</v>
      </c>
      <c r="GI41" s="300">
        <v>45557</v>
      </c>
      <c r="GJ41" s="323">
        <v>45559</v>
      </c>
      <c r="GK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 s="300">
        <v>45565</v>
      </c>
      <c r="GM41" s="300" t="e">
        <v>#N/A</v>
      </c>
      <c r="GN41" s="300">
        <v>45690</v>
      </c>
      <c r="GO41" s="300" t="e">
        <v>#N/A</v>
      </c>
      <c r="GP41" s="286"/>
      <c r="GQ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 s="300" t="s">
        <v>261</v>
      </c>
      <c r="GS41" s="300" t="s">
        <v>261</v>
      </c>
      <c r="GT41" s="324">
        <v>45644</v>
      </c>
      <c r="GU41" s="314" t="str">
        <f>IF(Table1[[#This Row],[Hydro Tes Actual
(tanggal)]]&lt;&gt;"","Sudah","Belum")</f>
        <v>Sudah</v>
      </c>
      <c r="GV41" s="300" t="s">
        <v>261</v>
      </c>
      <c r="GW41" s="300" t="s">
        <v>261</v>
      </c>
      <c r="GX41" s="301">
        <v>45654</v>
      </c>
      <c r="GY41" s="314" t="str">
        <f>IF(Table1[[#This Row],[Interkoneksi Actual
(tanggal)]]&lt;&gt;"","Sudah","Belum")</f>
        <v>Sudah</v>
      </c>
      <c r="GZ41" s="300" t="s">
        <v>261</v>
      </c>
      <c r="HA41" s="300" t="s">
        <v>261</v>
      </c>
      <c r="HB41" s="301">
        <v>45681</v>
      </c>
      <c r="HC41" s="314" t="str">
        <f>IF(Table1[[#This Row],[Flushing Actual
(tanggal)]]&lt;&gt;"","Sudah","Belum")</f>
        <v>Sudah</v>
      </c>
      <c r="HD41" s="300">
        <v>45677</v>
      </c>
      <c r="HE41" s="300" t="e">
        <v>#N/A</v>
      </c>
      <c r="HF41" s="300">
        <v>45683</v>
      </c>
      <c r="HG41" s="316">
        <v>45714</v>
      </c>
      <c r="HH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1" s="300" t="s">
        <v>261</v>
      </c>
      <c r="HJ41" s="300" t="s">
        <v>261</v>
      </c>
      <c r="HK41" s="301"/>
      <c r="HL41" s="286"/>
      <c r="HM41" s="300">
        <v>45702</v>
      </c>
      <c r="HN41" s="300">
        <v>45702</v>
      </c>
      <c r="HO41" s="300" t="e">
        <v>#N/A</v>
      </c>
      <c r="HP41" s="300"/>
      <c r="HQ41" s="316">
        <v>45750</v>
      </c>
      <c r="HR4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1" s="300">
        <v>45709</v>
      </c>
      <c r="HT41" s="300"/>
      <c r="HU41" s="300">
        <v>45709</v>
      </c>
      <c r="HV41" s="497"/>
      <c r="HW41" s="300">
        <v>45751</v>
      </c>
      <c r="HX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1" s="42"/>
      <c r="HZ41" s="322"/>
      <c r="IA41" s="306"/>
      <c r="IC41" s="585">
        <f>IFERROR(ROUND((Table1[[#This Row],[PLAN TC
finish]]-Table1[[#This Row],[PLAN MC-0
start]])/30,2),"")</f>
        <v>4.4000000000000004</v>
      </c>
      <c r="ID41">
        <f>DATEDIF(Table1[[#This Row],[PLAN MC-0
start]],Table1[[#This Row],[PLAN TC
finish]],"m")</f>
        <v>4</v>
      </c>
    </row>
    <row r="42" spans="1:238" s="4" customFormat="1" ht="15" customHeight="1" x14ac:dyDescent="0.25">
      <c r="B42" s="281">
        <f>SUBTOTAL(3,$D$5:D42)</f>
        <v>38</v>
      </c>
      <c r="C42" s="318">
        <v>38</v>
      </c>
      <c r="D42" s="285" t="s">
        <v>244</v>
      </c>
      <c r="E42" s="285" t="s">
        <v>449</v>
      </c>
      <c r="F42" s="285" t="s">
        <v>450</v>
      </c>
      <c r="G42" s="319">
        <v>45752</v>
      </c>
      <c r="H42" s="284" t="s">
        <v>247</v>
      </c>
      <c r="I42" s="285" t="s">
        <v>278</v>
      </c>
      <c r="J42" s="285"/>
      <c r="K42" s="308" t="s">
        <v>249</v>
      </c>
      <c r="L42" s="286" t="s">
        <v>250</v>
      </c>
      <c r="M42" s="286" t="s">
        <v>269</v>
      </c>
      <c r="N42" s="94">
        <v>823</v>
      </c>
      <c r="O42" s="31" t="s">
        <v>252</v>
      </c>
      <c r="P4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2" s="82" t="e">
        <v>#N/A</v>
      </c>
      <c r="S42" s="82">
        <v>1</v>
      </c>
      <c r="T42" s="35">
        <f>Table1[[#This Row],[Progres Total Aktual
(%)]]</f>
        <v>1</v>
      </c>
      <c r="U42" s="106">
        <f>Table1[[#This Row],[Progres Aktual
(%)]]-Table1[[#This Row],[Target Progres
(%)]]</f>
        <v>0</v>
      </c>
      <c r="V42" s="320">
        <f>Table1[[#This Row],["Volume
BA MC-0"]]</f>
        <v>670</v>
      </c>
      <c r="W42" s="321">
        <f>Table1[[#This Row],[Total Panjang Pipa Aktual
(Sum-&gt;)3]]</f>
        <v>695</v>
      </c>
      <c r="X42" s="42"/>
      <c r="Y42" s="62" t="s">
        <v>451</v>
      </c>
      <c r="Z42" s="62">
        <v>1053017055</v>
      </c>
      <c r="AA42" s="62">
        <f>ROUND((Table1[[#This Row],[Nilai RAB Jaringan
(Exclude Ppn)]]-Table1[[#This Row],[RAB Perizinan]])*1.11+Table1[[#This Row],[RAB Perizinan]],0)</f>
        <v>0</v>
      </c>
      <c r="AB42" s="290">
        <f>SUM(Table1[[#This Row],[RAB Kegiatan Umum]:[RAB Perizinan]])</f>
        <v>0</v>
      </c>
      <c r="AC42" s="290"/>
      <c r="AD42" s="290"/>
      <c r="AE42" s="290"/>
      <c r="AF42" s="290"/>
      <c r="AG42" s="290">
        <v>2123435639</v>
      </c>
      <c r="AH42" s="35" t="e">
        <f>SUM(Table1[[#This Row],[Bobot Keg Umum]:[Bobot Perizinan]])</f>
        <v>#DIV/0!</v>
      </c>
      <c r="AI42" s="35" t="e">
        <f>Table1[[#This Row],[RAB Kegiatan Umum]]/Table1[[#This Row],[Nilai RAB Jaringan
(Exclude Ppn)]]</f>
        <v>#DIV/0!</v>
      </c>
      <c r="AJ42" s="35" t="e">
        <f>Table1[[#This Row],[RAB Pemasangan]]/Table1[[#This Row],[Nilai RAB Jaringan
(Exclude Ppn)]]</f>
        <v>#DIV/0!</v>
      </c>
      <c r="AK42" s="35" t="e">
        <f>Table1[[#This Row],[RAB Pengadaan]]/Table1[[#This Row],[Nilai RAB Jaringan
(Exclude Ppn)]]</f>
        <v>#DIV/0!</v>
      </c>
      <c r="AL42" s="35" t="e">
        <f>Table1[[#This Row],[RAB Perizinan]]/Table1[[#This Row],[Nilai RAB Jaringan
(Exclude Ppn)]]</f>
        <v>#DIV/0!</v>
      </c>
      <c r="AM42" s="42"/>
      <c r="AN42" s="256">
        <v>670</v>
      </c>
      <c r="AO42" s="256">
        <f>SUM(Table1[[#This Row],[Pipa 63 mm]:[Pipa 1,800 mm]])</f>
        <v>0</v>
      </c>
      <c r="AP42" s="256"/>
      <c r="AQ42" s="256"/>
      <c r="AR42" s="256"/>
      <c r="AS42" s="256"/>
      <c r="AT42" s="256"/>
      <c r="AU42" s="256"/>
      <c r="AV42" s="256"/>
      <c r="AW42" s="256"/>
      <c r="AX42" s="256"/>
      <c r="AY42" s="256"/>
      <c r="AZ42" s="256"/>
      <c r="BA42" s="256"/>
      <c r="BB42" s="256"/>
      <c r="BC42" s="256"/>
      <c r="BD42" s="256"/>
      <c r="BE42" s="256"/>
      <c r="BF42" s="256"/>
      <c r="BG42" s="256"/>
      <c r="BH42" s="256"/>
      <c r="BI42" s="256"/>
      <c r="BJ42" s="36">
        <f>SUM(Table1[[#This Row],[Pipa 63 mm2]:[Pipa 1,800 mm21]])</f>
        <v>695</v>
      </c>
      <c r="BK42" s="32">
        <v>695</v>
      </c>
      <c r="BL42" s="32"/>
      <c r="BM42" s="32"/>
      <c r="BN42" s="32"/>
      <c r="BO42" s="32"/>
      <c r="BP42" s="32"/>
      <c r="BQ42" s="32"/>
      <c r="BR42" s="32"/>
      <c r="BS42" s="32"/>
      <c r="BT42" s="32"/>
      <c r="BU42" s="32"/>
      <c r="BV42" s="32"/>
      <c r="BW42" s="32"/>
      <c r="BX42" s="32"/>
      <c r="BY42" s="32"/>
      <c r="BZ42" s="32"/>
      <c r="CA42" s="32"/>
      <c r="CB42" s="32"/>
      <c r="CC42" s="32"/>
      <c r="CD42" s="32"/>
      <c r="CE42" s="32">
        <v>106</v>
      </c>
      <c r="CF42" s="32"/>
      <c r="CG42" s="32"/>
      <c r="CH42" s="32"/>
      <c r="CI42" s="32">
        <f t="shared" si="3"/>
        <v>106</v>
      </c>
      <c r="CJ42" s="60">
        <f>IF((Table1[[#This Row],["Volume
BA MC-0"]]-Table1[[#This Row],[Total Panjang Pipa Aktual
(Sum-&gt;)3]]-Table1[[#This Row],[Total Volume
tidak dapat dipasang]])&gt;=0,Table1[[#This Row],["Volume
BA MC-0"]]-Table1[[#This Row],[Total Panjang Pipa Aktual
(Sum-&gt;)3]]-Table1[[#This Row],[Total Volume
tidak dapat dipasang]],0)</f>
        <v>0</v>
      </c>
      <c r="CK42" s="42"/>
      <c r="CL42" s="113"/>
      <c r="CM42" s="35"/>
      <c r="CN42" s="113"/>
      <c r="CO42" s="113"/>
      <c r="CP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2" s="61">
        <f>IFERROR(Table1[[#This Row],[Progres Keg. Umum
(%)]]*Table1[[#This Row],[Nilai RAB Jaringan
(file pa aji)]],0)</f>
        <v>0</v>
      </c>
      <c r="CR42" s="61">
        <f>IFERROR(Table1[[#This Row],[Progres MOS
(%)]]*Table1[[#This Row],[Nilai RAB Jaringan
(file pa aji)]],0)</f>
        <v>0</v>
      </c>
      <c r="CS42" s="61">
        <f>IFERROR(Table1[[#This Row],[Progres Pemasangan
(%)]]*Table1[[#This Row],[Nilai RAB Jaringan
(file pa aji)]],0)</f>
        <v>0</v>
      </c>
      <c r="CT42" s="61">
        <f>IFERROR(Table1[[#This Row],[Progres Perizinan
(%)]]*Table1[[#This Row],[Nilai RAB Jaringan
(file pa aji)]],0)</f>
        <v>0</v>
      </c>
      <c r="CU42" s="789">
        <v>852451248</v>
      </c>
      <c r="CV42" s="299">
        <v>852451248</v>
      </c>
      <c r="CW42" s="552">
        <v>852451248</v>
      </c>
      <c r="CX42" s="789">
        <f>_xlfn.XLOOKUP(Table1[[#This Row],[Kode Program]],'[1]Breakdown VOWD Greenfield'!$E:$E,'[1]Breakdown VOWD Greenfield'!$AT:$AT)</f>
        <v>852451248</v>
      </c>
      <c r="CY42" s="42"/>
      <c r="CZ42" s="300">
        <v>45439</v>
      </c>
      <c r="DA42" s="300">
        <v>45466</v>
      </c>
      <c r="DB42" s="301"/>
      <c r="DC42" s="286"/>
      <c r="DD42" s="62"/>
      <c r="DE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2" s="301"/>
      <c r="DG42" s="286"/>
      <c r="DH42" s="62"/>
      <c r="DI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2" s="300">
        <v>45467</v>
      </c>
      <c r="DK42" s="300">
        <v>45536</v>
      </c>
      <c r="DL42" s="301">
        <v>45470</v>
      </c>
      <c r="DM42" s="327" t="s">
        <v>452</v>
      </c>
      <c r="DN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 s="301">
        <v>45482</v>
      </c>
      <c r="DP42" s="286" t="s">
        <v>453</v>
      </c>
      <c r="DQ42" s="308" t="s">
        <v>371</v>
      </c>
      <c r="DR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 s="300">
        <v>45467</v>
      </c>
      <c r="DT42" s="300" t="e">
        <v>#N/A</v>
      </c>
      <c r="DU42" s="300">
        <v>45508</v>
      </c>
      <c r="DV42" s="300" t="e">
        <v>#N/A</v>
      </c>
      <c r="DW42" s="301"/>
      <c r="DX42" s="286"/>
      <c r="DY42" s="304"/>
      <c r="DZ42" s="304"/>
      <c r="EA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2" s="301"/>
      <c r="EC42" s="302"/>
      <c r="ED42" s="302"/>
      <c r="EE42" s="300"/>
      <c r="EF42" s="35">
        <v>1</v>
      </c>
      <c r="EG42" s="307">
        <v>1</v>
      </c>
      <c r="EH42" s="286" t="str">
        <f>IF(Table1[[#This Row],[PO Material Aktual 
(%)]]&gt;=100%,"Selesai PO = 100%",IF(Table1[[#This Row],[PO Material Aktual 
(%)]]&gt;=50%,"Proses PO &gt; 100%",IF(Table1[[#This Row],[PO Material Aktual 
(%)]]&gt;0%,"Proses PO &gt; 50%",IF(Table1[[#This Row],[PO Material Aktual 
(%)]]=0,"Belum PO = 0%"))))</f>
        <v>Selesai PO = 100%</v>
      </c>
      <c r="EI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 s="300">
        <v>45509</v>
      </c>
      <c r="EK42" s="300" t="e">
        <v>#N/A</v>
      </c>
      <c r="EL42" s="300">
        <v>45620</v>
      </c>
      <c r="EM42" s="300" t="e">
        <v>#N/A</v>
      </c>
      <c r="EN42" s="301"/>
      <c r="EO42" s="302"/>
      <c r="EP42" s="302"/>
      <c r="EQ42" s="82">
        <v>1</v>
      </c>
      <c r="ER42" s="82">
        <v>1</v>
      </c>
      <c r="ES42" s="286" t="str">
        <f>IF(Table1[[#This Row],[Progres MOS]]&gt;=100%,"Selesai MOS = 100%",IF(Table1[[#This Row],[Progres MOS]]&gt;=50%,"Proses MOS &gt; 100%",IF(Table1[[#This Row],[Progres MOS]]&gt;0%,"Proses MOS &gt; 50%",IF(Table1[[#This Row],[Progres MOS]]=0,"Belum MOS = 0%"))))</f>
        <v>Selesai MOS = 100%</v>
      </c>
      <c r="ET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 s="42"/>
      <c r="EV42" s="300">
        <v>45467</v>
      </c>
      <c r="EW42" s="300" t="e">
        <v>#N/A</v>
      </c>
      <c r="EX42" s="300">
        <v>45564</v>
      </c>
      <c r="EY42" s="300" t="e">
        <v>#N/A</v>
      </c>
      <c r="EZ42" s="322" t="s">
        <v>259</v>
      </c>
      <c r="FA42" s="306" t="s">
        <v>259</v>
      </c>
      <c r="FB42" s="300" t="s">
        <v>260</v>
      </c>
      <c r="FC42" s="300">
        <v>45327</v>
      </c>
      <c r="FD42" s="300" t="s">
        <v>260</v>
      </c>
      <c r="FE42" s="300"/>
      <c r="FF42" s="300">
        <v>45442</v>
      </c>
      <c r="FG42" s="300" t="s">
        <v>260</v>
      </c>
      <c r="FH42" s="300" t="s">
        <v>260</v>
      </c>
      <c r="FI42" s="300">
        <v>45513</v>
      </c>
      <c r="FJ42" s="300" t="s">
        <v>260</v>
      </c>
      <c r="FK42" s="300">
        <v>45709</v>
      </c>
      <c r="FL42" s="306" t="s">
        <v>259</v>
      </c>
      <c r="FM42" s="306">
        <v>45327</v>
      </c>
      <c r="FN42" s="284">
        <f>IF(Table1[[#This Row],[Tanggal Pengajuan Dokumen]]="","",Table1[[#This Row],[PLAN PERMIT
start]]-Table1[[#This Row],[Tanggal Pengajuan Dokumen]])</f>
        <v>140</v>
      </c>
      <c r="FO42" s="306">
        <v>45709</v>
      </c>
      <c r="FP42" s="286"/>
      <c r="FQ42" s="308"/>
      <c r="FR42" s="322"/>
      <c r="FS42" s="308" t="str">
        <f t="shared" si="5"/>
        <v>Sudah Terbit</v>
      </c>
      <c r="FT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2" s="314">
        <f ca="1">IF(Table1[[#This Row],[Status Izin]]="Selesai",Table1[[#This Row],[PLAN PERMIT
finish]]-Table1[[#This Row],[Tanggal Terbit/ Target Izin Terbit]],ROUNDUP(Table1[[#This Row],[PLAN PERMIT
finish]]-NOW(),0))</f>
        <v>-145</v>
      </c>
      <c r="FV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 s="314"/>
      <c r="FX42" s="42"/>
      <c r="FY42" s="310"/>
      <c r="FZ42" s="311"/>
      <c r="GA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2" s="300">
        <v>45538</v>
      </c>
      <c r="GC42" s="301">
        <v>45488</v>
      </c>
      <c r="GD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 s="300">
        <v>45545</v>
      </c>
      <c r="GF42" s="301">
        <v>45488</v>
      </c>
      <c r="GG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 s="300">
        <v>45551</v>
      </c>
      <c r="GI42" s="300">
        <v>45557</v>
      </c>
      <c r="GJ42" s="323">
        <v>45490</v>
      </c>
      <c r="GK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 s="300">
        <v>45565</v>
      </c>
      <c r="GM42" s="300" t="e">
        <v>#N/A</v>
      </c>
      <c r="GN42" s="300">
        <v>45690</v>
      </c>
      <c r="GO42" s="300" t="e">
        <v>#N/A</v>
      </c>
      <c r="GP42" s="286"/>
      <c r="GQ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 s="300" t="s">
        <v>261</v>
      </c>
      <c r="GS42" s="300" t="s">
        <v>261</v>
      </c>
      <c r="GT42" s="324">
        <v>45537</v>
      </c>
      <c r="GU42" s="314" t="str">
        <f>IF(Table1[[#This Row],[Hydro Tes Actual
(tanggal)]]&lt;&gt;"","Sudah","Belum")</f>
        <v>Sudah</v>
      </c>
      <c r="GV42" s="300" t="s">
        <v>261</v>
      </c>
      <c r="GW42" s="300" t="s">
        <v>261</v>
      </c>
      <c r="GX42" s="301">
        <v>45556</v>
      </c>
      <c r="GY42" s="314" t="str">
        <f>IF(Table1[[#This Row],[Interkoneksi Actual
(tanggal)]]&lt;&gt;"","Sudah","Belum")</f>
        <v>Sudah</v>
      </c>
      <c r="GZ42" s="300" t="s">
        <v>261</v>
      </c>
      <c r="HA42" s="300" t="s">
        <v>261</v>
      </c>
      <c r="HB42" s="301">
        <v>45537</v>
      </c>
      <c r="HC42" s="314" t="str">
        <f>IF(Table1[[#This Row],[Flushing Actual
(tanggal)]]&lt;&gt;"","Sudah","Belum")</f>
        <v>Sudah</v>
      </c>
      <c r="HD42" s="300">
        <v>45677</v>
      </c>
      <c r="HE42" s="300" t="e">
        <v>#N/A</v>
      </c>
      <c r="HF42" s="300">
        <v>45683</v>
      </c>
      <c r="HG42" s="316">
        <v>45699</v>
      </c>
      <c r="HH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2" s="300" t="s">
        <v>261</v>
      </c>
      <c r="HJ42" s="300" t="s">
        <v>261</v>
      </c>
      <c r="HK42" s="301"/>
      <c r="HL42" s="286"/>
      <c r="HM42" s="300">
        <v>45702</v>
      </c>
      <c r="HN42" s="300">
        <v>45702</v>
      </c>
      <c r="HO42" s="300" t="e">
        <v>#N/A</v>
      </c>
      <c r="HP42" s="300"/>
      <c r="HQ42" s="316">
        <v>45733</v>
      </c>
      <c r="HR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2" s="300">
        <v>45709</v>
      </c>
      <c r="HT42" s="300"/>
      <c r="HU42" s="300">
        <v>45709</v>
      </c>
      <c r="HV42" s="497"/>
      <c r="HW42" s="300">
        <v>45748</v>
      </c>
      <c r="HX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2" s="42"/>
      <c r="HZ42" s="322"/>
      <c r="IA42" s="306"/>
      <c r="IC42" s="585">
        <f>IFERROR(ROUND((Table1[[#This Row],[PLAN TC
finish]]-Table1[[#This Row],[PLAN MC-0
start]])/30,2),"")</f>
        <v>4.4000000000000004</v>
      </c>
      <c r="ID42">
        <f>DATEDIF(Table1[[#This Row],[PLAN MC-0
start]],Table1[[#This Row],[PLAN TC
finish]],"m")</f>
        <v>4</v>
      </c>
    </row>
    <row r="43" spans="1:238" s="4" customFormat="1" ht="15" customHeight="1" x14ac:dyDescent="0.25">
      <c r="B43" s="281">
        <f>SUBTOTAL(3,$D$5:D43)</f>
        <v>39</v>
      </c>
      <c r="C43" s="318">
        <v>39</v>
      </c>
      <c r="D43" s="285" t="s">
        <v>244</v>
      </c>
      <c r="E43" s="285" t="s">
        <v>454</v>
      </c>
      <c r="F43" s="285" t="s">
        <v>455</v>
      </c>
      <c r="G43" s="319">
        <v>45752</v>
      </c>
      <c r="H43" s="284" t="s">
        <v>247</v>
      </c>
      <c r="I43" s="285" t="s">
        <v>278</v>
      </c>
      <c r="J43" s="285"/>
      <c r="K43" s="308" t="s">
        <v>249</v>
      </c>
      <c r="L43" s="286" t="s">
        <v>250</v>
      </c>
      <c r="M43" s="286" t="s">
        <v>269</v>
      </c>
      <c r="N43" s="94">
        <v>4149</v>
      </c>
      <c r="O43" s="31" t="s">
        <v>252</v>
      </c>
      <c r="P4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 s="82" t="e">
        <v>#N/A</v>
      </c>
      <c r="S43" s="82">
        <v>1</v>
      </c>
      <c r="T43" s="35">
        <f>Table1[[#This Row],[Progres Total Aktual
(%)]]</f>
        <v>1</v>
      </c>
      <c r="U43" s="106">
        <f>Table1[[#This Row],[Progres Aktual
(%)]]-Table1[[#This Row],[Target Progres
(%)]]</f>
        <v>0</v>
      </c>
      <c r="V43" s="320">
        <f>Table1[[#This Row],["Volume
BA MC-0"]]</f>
        <v>3987</v>
      </c>
      <c r="W43" s="321">
        <f>Table1[[#This Row],[Total Panjang Pipa Aktual
(Sum-&gt;)3]]</f>
        <v>4212</v>
      </c>
      <c r="X43" s="42"/>
      <c r="Y43" s="62" t="s">
        <v>456</v>
      </c>
      <c r="Z43" s="62">
        <v>7496818880</v>
      </c>
      <c r="AA43" s="62">
        <f>ROUND((Table1[[#This Row],[Nilai RAB Jaringan
(Exclude Ppn)]]-Table1[[#This Row],[RAB Perizinan]])*1.11+Table1[[#This Row],[RAB Perizinan]],0)</f>
        <v>0</v>
      </c>
      <c r="AB43" s="290">
        <f>SUM(Table1[[#This Row],[RAB Kegiatan Umum]:[RAB Perizinan]])</f>
        <v>0</v>
      </c>
      <c r="AC43" s="290"/>
      <c r="AD43" s="290"/>
      <c r="AE43" s="290"/>
      <c r="AF43" s="290"/>
      <c r="AG43" s="290">
        <v>2941245311</v>
      </c>
      <c r="AH43" s="35" t="e">
        <f>SUM(Table1[[#This Row],[Bobot Keg Umum]:[Bobot Perizinan]])</f>
        <v>#DIV/0!</v>
      </c>
      <c r="AI43" s="35" t="e">
        <f>Table1[[#This Row],[RAB Kegiatan Umum]]/Table1[[#This Row],[Nilai RAB Jaringan
(Exclude Ppn)]]</f>
        <v>#DIV/0!</v>
      </c>
      <c r="AJ43" s="35" t="e">
        <f>Table1[[#This Row],[RAB Pemasangan]]/Table1[[#This Row],[Nilai RAB Jaringan
(Exclude Ppn)]]</f>
        <v>#DIV/0!</v>
      </c>
      <c r="AK43" s="35" t="e">
        <f>Table1[[#This Row],[RAB Pengadaan]]/Table1[[#This Row],[Nilai RAB Jaringan
(Exclude Ppn)]]</f>
        <v>#DIV/0!</v>
      </c>
      <c r="AL43" s="35" t="e">
        <f>Table1[[#This Row],[RAB Perizinan]]/Table1[[#This Row],[Nilai RAB Jaringan
(Exclude Ppn)]]</f>
        <v>#DIV/0!</v>
      </c>
      <c r="AM43" s="42"/>
      <c r="AN43" s="256">
        <v>3987</v>
      </c>
      <c r="AO43" s="256">
        <f>SUM(Table1[[#This Row],[Pipa 63 mm]:[Pipa 1,800 mm]])</f>
        <v>0</v>
      </c>
      <c r="AP43" s="256"/>
      <c r="AQ43" s="256"/>
      <c r="AR43" s="256"/>
      <c r="AS43" s="256"/>
      <c r="AT43" s="256"/>
      <c r="AU43" s="256"/>
      <c r="AV43" s="256"/>
      <c r="AW43" s="256"/>
      <c r="AX43" s="256"/>
      <c r="AY43" s="256"/>
      <c r="AZ43" s="256"/>
      <c r="BA43" s="256"/>
      <c r="BB43" s="256"/>
      <c r="BC43" s="256"/>
      <c r="BD43" s="256"/>
      <c r="BE43" s="256"/>
      <c r="BF43" s="256"/>
      <c r="BG43" s="256"/>
      <c r="BH43" s="256"/>
      <c r="BI43" s="256"/>
      <c r="BJ43" s="36">
        <f>SUM(Table1[[#This Row],[Pipa 63 mm2]:[Pipa 1,800 mm21]])</f>
        <v>4212</v>
      </c>
      <c r="BK43" s="32">
        <v>1050.5999999999999</v>
      </c>
      <c r="BL43" s="32">
        <v>1140.0999999999999</v>
      </c>
      <c r="BM43" s="32">
        <v>896.2</v>
      </c>
      <c r="BN43" s="32">
        <v>352.6</v>
      </c>
      <c r="BO43" s="32">
        <v>553</v>
      </c>
      <c r="BP43" s="32">
        <v>219.5</v>
      </c>
      <c r="BQ43" s="32"/>
      <c r="BR43" s="32"/>
      <c r="BS43" s="32"/>
      <c r="BT43" s="32"/>
      <c r="BU43" s="32"/>
      <c r="BV43" s="32"/>
      <c r="BW43" s="32"/>
      <c r="BX43" s="32"/>
      <c r="BY43" s="32"/>
      <c r="BZ43" s="32"/>
      <c r="CA43" s="32"/>
      <c r="CB43" s="32"/>
      <c r="CC43" s="32"/>
      <c r="CD43" s="32"/>
      <c r="CE43" s="32">
        <v>48</v>
      </c>
      <c r="CF43" s="32"/>
      <c r="CG43" s="32"/>
      <c r="CH43" s="32"/>
      <c r="CI43" s="32">
        <f t="shared" si="3"/>
        <v>48</v>
      </c>
      <c r="CJ43" s="60">
        <f>IF((Table1[[#This Row],["Volume
BA MC-0"]]-Table1[[#This Row],[Total Panjang Pipa Aktual
(Sum-&gt;)3]]-Table1[[#This Row],[Total Volume
tidak dapat dipasang]])&gt;=0,Table1[[#This Row],["Volume
BA MC-0"]]-Table1[[#This Row],[Total Panjang Pipa Aktual
(Sum-&gt;)3]]-Table1[[#This Row],[Total Volume
tidak dapat dipasang]],0)</f>
        <v>0</v>
      </c>
      <c r="CK43" s="42"/>
      <c r="CL43" s="113"/>
      <c r="CM43" s="35"/>
      <c r="CN43" s="113"/>
      <c r="CO43" s="113"/>
      <c r="CP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 s="61">
        <f>IFERROR(Table1[[#This Row],[Progres Keg. Umum
(%)]]*Table1[[#This Row],[Nilai RAB Jaringan
(file pa aji)]],0)</f>
        <v>0</v>
      </c>
      <c r="CR43" s="61">
        <f>IFERROR(Table1[[#This Row],[Progres MOS
(%)]]*Table1[[#This Row],[Nilai RAB Jaringan
(file pa aji)]],0)</f>
        <v>0</v>
      </c>
      <c r="CS43" s="61">
        <f>IFERROR(Table1[[#This Row],[Progres Pemasangan
(%)]]*Table1[[#This Row],[Nilai RAB Jaringan
(file pa aji)]],0)</f>
        <v>0</v>
      </c>
      <c r="CT43" s="61">
        <f>IFERROR(Table1[[#This Row],[Progres Perizinan
(%)]]*Table1[[#This Row],[Nilai RAB Jaringan
(file pa aji)]],0)</f>
        <v>0</v>
      </c>
      <c r="CU43" s="789">
        <v>7030455174.4700003</v>
      </c>
      <c r="CV43" s="299">
        <v>7030455174.4700003</v>
      </c>
      <c r="CW43" s="552">
        <v>7030455174.4700003</v>
      </c>
      <c r="CX43" s="789">
        <f>_xlfn.XLOOKUP(Table1[[#This Row],[Kode Program]],'[1]Breakdown VOWD Greenfield'!$E:$E,'[1]Breakdown VOWD Greenfield'!$AT:$AT)</f>
        <v>7030455174.4700003</v>
      </c>
      <c r="CY43" s="42"/>
      <c r="CZ43" s="300">
        <v>45439</v>
      </c>
      <c r="DA43" s="300">
        <v>45466</v>
      </c>
      <c r="DB43" s="301"/>
      <c r="DC43" s="286"/>
      <c r="DD43" s="62"/>
      <c r="DE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3" s="301"/>
      <c r="DG43" s="286"/>
      <c r="DH43" s="62"/>
      <c r="DI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 s="300">
        <v>45467</v>
      </c>
      <c r="DK43" s="300">
        <v>45536</v>
      </c>
      <c r="DL43" s="301">
        <v>45471</v>
      </c>
      <c r="DM43" s="364" t="s">
        <v>457</v>
      </c>
      <c r="DN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 s="301">
        <v>45482</v>
      </c>
      <c r="DP43" s="286" t="s">
        <v>458</v>
      </c>
      <c r="DQ43" s="308" t="s">
        <v>371</v>
      </c>
      <c r="DR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 s="300">
        <v>45467</v>
      </c>
      <c r="DT43" s="300" t="e">
        <v>#N/A</v>
      </c>
      <c r="DU43" s="300">
        <v>45508</v>
      </c>
      <c r="DV43" s="300" t="e">
        <v>#N/A</v>
      </c>
      <c r="DW43" s="301"/>
      <c r="DX43" s="286"/>
      <c r="DY43" s="304"/>
      <c r="DZ43" s="304"/>
      <c r="EA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 s="301"/>
      <c r="EC43" s="302"/>
      <c r="ED43" s="302"/>
      <c r="EE43" s="300"/>
      <c r="EF43" s="35">
        <v>1</v>
      </c>
      <c r="EG43" s="307">
        <v>1</v>
      </c>
      <c r="EH43" s="286" t="str">
        <f>IF(Table1[[#This Row],[PO Material Aktual 
(%)]]&gt;=100%,"Selesai PO = 100%",IF(Table1[[#This Row],[PO Material Aktual 
(%)]]&gt;=50%,"Proses PO &gt; 100%",IF(Table1[[#This Row],[PO Material Aktual 
(%)]]&gt;0%,"Proses PO &gt; 50%",IF(Table1[[#This Row],[PO Material Aktual 
(%)]]=0,"Belum PO = 0%"))))</f>
        <v>Selesai PO = 100%</v>
      </c>
      <c r="EI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 s="300">
        <v>45509</v>
      </c>
      <c r="EK43" s="300" t="e">
        <v>#N/A</v>
      </c>
      <c r="EL43" s="300">
        <v>45620</v>
      </c>
      <c r="EM43" s="300" t="e">
        <v>#N/A</v>
      </c>
      <c r="EN43" s="301"/>
      <c r="EO43" s="302"/>
      <c r="EP43" s="302"/>
      <c r="EQ43" s="82">
        <v>1</v>
      </c>
      <c r="ER43" s="82">
        <v>1</v>
      </c>
      <c r="ES43" s="286" t="str">
        <f>IF(Table1[[#This Row],[Progres MOS]]&gt;=100%,"Selesai MOS = 100%",IF(Table1[[#This Row],[Progres MOS]]&gt;=50%,"Proses MOS &gt; 100%",IF(Table1[[#This Row],[Progres MOS]]&gt;0%,"Proses MOS &gt; 50%",IF(Table1[[#This Row],[Progres MOS]]=0,"Belum MOS = 0%"))))</f>
        <v>Selesai MOS = 100%</v>
      </c>
      <c r="ET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 s="42"/>
      <c r="EV43" s="300">
        <v>45467</v>
      </c>
      <c r="EW43" s="300" t="e">
        <v>#N/A</v>
      </c>
      <c r="EX43" s="300">
        <v>45564</v>
      </c>
      <c r="EY43" s="300" t="e">
        <v>#N/A</v>
      </c>
      <c r="EZ43" s="322" t="s">
        <v>259</v>
      </c>
      <c r="FA43" s="306" t="s">
        <v>259</v>
      </c>
      <c r="FB43" s="300" t="s">
        <v>260</v>
      </c>
      <c r="FC43" s="300">
        <v>45327</v>
      </c>
      <c r="FD43" s="300" t="s">
        <v>260</v>
      </c>
      <c r="FE43" s="300"/>
      <c r="FF43" s="300">
        <v>45450</v>
      </c>
      <c r="FG43" s="300" t="s">
        <v>260</v>
      </c>
      <c r="FH43" s="300" t="s">
        <v>260</v>
      </c>
      <c r="FI43" s="300">
        <v>45516</v>
      </c>
      <c r="FJ43" s="300" t="s">
        <v>260</v>
      </c>
      <c r="FK43" s="300">
        <v>45709</v>
      </c>
      <c r="FL43" s="306" t="s">
        <v>259</v>
      </c>
      <c r="FM43" s="306">
        <v>45327</v>
      </c>
      <c r="FN43" s="284">
        <f>IF(Table1[[#This Row],[Tanggal Pengajuan Dokumen]]="","",Table1[[#This Row],[PLAN PERMIT
start]]-Table1[[#This Row],[Tanggal Pengajuan Dokumen]])</f>
        <v>140</v>
      </c>
      <c r="FO43" s="306">
        <v>45709</v>
      </c>
      <c r="FP43" s="286"/>
      <c r="FQ43" s="308"/>
      <c r="FR43" s="322"/>
      <c r="FS43" s="308" t="str">
        <f t="shared" si="5"/>
        <v>Sudah Terbit</v>
      </c>
      <c r="FT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3" s="314">
        <f ca="1">IF(Table1[[#This Row],[Status Izin]]="Selesai",Table1[[#This Row],[PLAN PERMIT
finish]]-Table1[[#This Row],[Tanggal Terbit/ Target Izin Terbit]],ROUNDUP(Table1[[#This Row],[PLAN PERMIT
finish]]-NOW(),0))</f>
        <v>-145</v>
      </c>
      <c r="FV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 s="314"/>
      <c r="FX43" s="42"/>
      <c r="FY43" s="310"/>
      <c r="FZ43" s="311"/>
      <c r="GA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 s="300">
        <v>45538</v>
      </c>
      <c r="GC43" s="301">
        <v>45488</v>
      </c>
      <c r="GD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 s="300">
        <v>45545</v>
      </c>
      <c r="GF43" s="301">
        <v>45488</v>
      </c>
      <c r="GG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 s="300">
        <v>45551</v>
      </c>
      <c r="GI43" s="300">
        <v>45557</v>
      </c>
      <c r="GJ43" s="323">
        <v>45491</v>
      </c>
      <c r="GK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 s="300">
        <v>45565</v>
      </c>
      <c r="GM43" s="300" t="e">
        <v>#N/A</v>
      </c>
      <c r="GN43" s="300">
        <v>45690</v>
      </c>
      <c r="GO43" s="300" t="e">
        <v>#N/A</v>
      </c>
      <c r="GP43" s="286"/>
      <c r="GQ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 s="300" t="s">
        <v>261</v>
      </c>
      <c r="GS43" s="300" t="s">
        <v>261</v>
      </c>
      <c r="GT43" s="324">
        <v>45591</v>
      </c>
      <c r="GU43" s="314" t="str">
        <f>IF(Table1[[#This Row],[Hydro Tes Actual
(tanggal)]]&lt;&gt;"","Sudah","Belum")</f>
        <v>Sudah</v>
      </c>
      <c r="GV43" s="300" t="s">
        <v>261</v>
      </c>
      <c r="GW43" s="300" t="s">
        <v>261</v>
      </c>
      <c r="GX43" s="301">
        <v>45608</v>
      </c>
      <c r="GY43" s="314" t="str">
        <f>IF(Table1[[#This Row],[Interkoneksi Actual
(tanggal)]]&lt;&gt;"","Sudah","Belum")</f>
        <v>Sudah</v>
      </c>
      <c r="GZ43" s="300" t="s">
        <v>261</v>
      </c>
      <c r="HA43" s="300" t="s">
        <v>261</v>
      </c>
      <c r="HB43" s="301">
        <v>45738</v>
      </c>
      <c r="HC43" s="314" t="str">
        <f>IF(Table1[[#This Row],[Flushing Actual
(tanggal)]]&lt;&gt;"","Sudah","Belum")</f>
        <v>Sudah</v>
      </c>
      <c r="HD43" s="300">
        <v>45677</v>
      </c>
      <c r="HE43" s="300" t="e">
        <v>#N/A</v>
      </c>
      <c r="HF43" s="300">
        <v>45683</v>
      </c>
      <c r="HG43" s="316">
        <v>45746</v>
      </c>
      <c r="HH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3" s="300" t="s">
        <v>261</v>
      </c>
      <c r="HJ43" s="300" t="s">
        <v>261</v>
      </c>
      <c r="HK43" s="301"/>
      <c r="HL43" s="286"/>
      <c r="HM43" s="300">
        <v>45702</v>
      </c>
      <c r="HN43" s="300">
        <v>45702</v>
      </c>
      <c r="HO43" s="300" t="e">
        <v>#N/A</v>
      </c>
      <c r="HP43" s="300"/>
      <c r="HQ43" s="316">
        <v>45758</v>
      </c>
      <c r="HR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 s="300">
        <v>45709</v>
      </c>
      <c r="HT43" s="300"/>
      <c r="HU43" s="300">
        <v>45709</v>
      </c>
      <c r="HV43" s="497"/>
      <c r="HW43" s="300">
        <v>45751</v>
      </c>
      <c r="HX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 s="42"/>
      <c r="HZ43" s="322"/>
      <c r="IA43" s="306"/>
      <c r="IC43" s="585">
        <f>IFERROR(ROUND((Table1[[#This Row],[PLAN TC
finish]]-Table1[[#This Row],[PLAN MC-0
start]])/30,2),"")</f>
        <v>4.4000000000000004</v>
      </c>
      <c r="ID43">
        <f>DATEDIF(Table1[[#This Row],[PLAN MC-0
start]],Table1[[#This Row],[PLAN TC
finish]],"m")</f>
        <v>4</v>
      </c>
    </row>
    <row r="44" spans="1:238" s="4" customFormat="1" ht="15" customHeight="1" x14ac:dyDescent="0.25">
      <c r="B44" s="281">
        <f>SUBTOTAL(3,$D$5:D44)</f>
        <v>40</v>
      </c>
      <c r="C44" s="318">
        <v>40</v>
      </c>
      <c r="D44" s="285" t="s">
        <v>244</v>
      </c>
      <c r="E44" s="285" t="s">
        <v>459</v>
      </c>
      <c r="F44" s="285" t="s">
        <v>460</v>
      </c>
      <c r="G44" s="319">
        <v>45752</v>
      </c>
      <c r="H44" s="284" t="s">
        <v>247</v>
      </c>
      <c r="I44" s="285" t="s">
        <v>278</v>
      </c>
      <c r="J44" s="285"/>
      <c r="K44" s="308" t="s">
        <v>249</v>
      </c>
      <c r="L44" s="286" t="s">
        <v>250</v>
      </c>
      <c r="M44" s="286" t="s">
        <v>269</v>
      </c>
      <c r="N44" s="94">
        <v>2885</v>
      </c>
      <c r="O44" s="31" t="s">
        <v>252</v>
      </c>
      <c r="P4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4" s="82" t="e">
        <v>#N/A</v>
      </c>
      <c r="S44" s="82">
        <v>1</v>
      </c>
      <c r="T44" s="35">
        <f>Table1[[#This Row],[Progres Total Aktual
(%)]]</f>
        <v>1</v>
      </c>
      <c r="U44" s="106">
        <f>Table1[[#This Row],[Progres Aktual
(%)]]-Table1[[#This Row],[Target Progres
(%)]]</f>
        <v>0</v>
      </c>
      <c r="V44" s="320">
        <f>Table1[[#This Row],["Volume
BA MC-0"]]</f>
        <v>2919</v>
      </c>
      <c r="W44" s="321">
        <f>Table1[[#This Row],[Total Panjang Pipa Aktual
(Sum-&gt;)3]]</f>
        <v>2489</v>
      </c>
      <c r="X44" s="42"/>
      <c r="Y44" s="62" t="s">
        <v>461</v>
      </c>
      <c r="Z44" s="62">
        <v>4482892526</v>
      </c>
      <c r="AA44" s="62">
        <f>ROUND((Table1[[#This Row],[Nilai RAB Jaringan
(Exclude Ppn)]]-Table1[[#This Row],[RAB Perizinan]])*1.11+Table1[[#This Row],[RAB Perizinan]],0)</f>
        <v>0</v>
      </c>
      <c r="AB44" s="290">
        <f>SUM(Table1[[#This Row],[RAB Kegiatan Umum]:[RAB Perizinan]])</f>
        <v>0</v>
      </c>
      <c r="AC44" s="290"/>
      <c r="AD44" s="290"/>
      <c r="AE44" s="290"/>
      <c r="AF44" s="290"/>
      <c r="AG44" s="290">
        <v>2457528312</v>
      </c>
      <c r="AH44" s="35" t="e">
        <f>SUM(Table1[[#This Row],[Bobot Keg Umum]:[Bobot Perizinan]])</f>
        <v>#DIV/0!</v>
      </c>
      <c r="AI44" s="35" t="e">
        <f>Table1[[#This Row],[RAB Kegiatan Umum]]/Table1[[#This Row],[Nilai RAB Jaringan
(Exclude Ppn)]]</f>
        <v>#DIV/0!</v>
      </c>
      <c r="AJ44" s="35" t="e">
        <f>Table1[[#This Row],[RAB Pemasangan]]/Table1[[#This Row],[Nilai RAB Jaringan
(Exclude Ppn)]]</f>
        <v>#DIV/0!</v>
      </c>
      <c r="AK44" s="35" t="e">
        <f>Table1[[#This Row],[RAB Pengadaan]]/Table1[[#This Row],[Nilai RAB Jaringan
(Exclude Ppn)]]</f>
        <v>#DIV/0!</v>
      </c>
      <c r="AL44" s="35" t="e">
        <f>Table1[[#This Row],[RAB Perizinan]]/Table1[[#This Row],[Nilai RAB Jaringan
(Exclude Ppn)]]</f>
        <v>#DIV/0!</v>
      </c>
      <c r="AM44" s="42"/>
      <c r="AN44" s="256">
        <v>2919</v>
      </c>
      <c r="AO44" s="256">
        <f>SUM(Table1[[#This Row],[Pipa 63 mm]:[Pipa 1,800 mm]])</f>
        <v>0</v>
      </c>
      <c r="AP44" s="256"/>
      <c r="AQ44" s="256"/>
      <c r="AR44" s="256"/>
      <c r="AS44" s="256"/>
      <c r="AT44" s="256"/>
      <c r="AU44" s="256"/>
      <c r="AV44" s="256"/>
      <c r="AW44" s="256"/>
      <c r="AX44" s="256"/>
      <c r="AY44" s="256"/>
      <c r="AZ44" s="256"/>
      <c r="BA44" s="256"/>
      <c r="BB44" s="256"/>
      <c r="BC44" s="256"/>
      <c r="BD44" s="256"/>
      <c r="BE44" s="256"/>
      <c r="BF44" s="256"/>
      <c r="BG44" s="256"/>
      <c r="BH44" s="256"/>
      <c r="BI44" s="256"/>
      <c r="BJ44" s="36">
        <f>SUM(Table1[[#This Row],[Pipa 63 mm2]:[Pipa 1,800 mm21]])</f>
        <v>2489</v>
      </c>
      <c r="BK44" s="32">
        <v>1894</v>
      </c>
      <c r="BL44" s="32">
        <v>282</v>
      </c>
      <c r="BM44" s="32">
        <v>254</v>
      </c>
      <c r="BN44" s="32">
        <v>59</v>
      </c>
      <c r="BO44" s="32"/>
      <c r="BP44" s="32"/>
      <c r="BQ44" s="32"/>
      <c r="BR44" s="32"/>
      <c r="BS44" s="32"/>
      <c r="BT44" s="32"/>
      <c r="BU44" s="32"/>
      <c r="BV44" s="32"/>
      <c r="BW44" s="32"/>
      <c r="BX44" s="32"/>
      <c r="BY44" s="32"/>
      <c r="BZ44" s="32"/>
      <c r="CA44" s="32"/>
      <c r="CB44" s="32"/>
      <c r="CC44" s="32"/>
      <c r="CD44" s="32"/>
      <c r="CE44" s="32">
        <v>797</v>
      </c>
      <c r="CF44" s="32"/>
      <c r="CG44" s="32"/>
      <c r="CH44" s="32"/>
      <c r="CI44" s="32">
        <f t="shared" si="3"/>
        <v>797</v>
      </c>
      <c r="CJ44" s="60">
        <f>IF((Table1[[#This Row],["Volume
BA MC-0"]]-Table1[[#This Row],[Total Panjang Pipa Aktual
(Sum-&gt;)3]]-Table1[[#This Row],[Total Volume
tidak dapat dipasang]])&gt;=0,Table1[[#This Row],["Volume
BA MC-0"]]-Table1[[#This Row],[Total Panjang Pipa Aktual
(Sum-&gt;)3]]-Table1[[#This Row],[Total Volume
tidak dapat dipasang]],0)</f>
        <v>0</v>
      </c>
      <c r="CK44" s="42"/>
      <c r="CL44" s="113"/>
      <c r="CM44" s="35"/>
      <c r="CN44" s="113"/>
      <c r="CO44" s="113"/>
      <c r="CP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4" s="61">
        <f>IFERROR(Table1[[#This Row],[Progres Keg. Umum
(%)]]*Table1[[#This Row],[Nilai RAB Jaringan
(file pa aji)]],0)</f>
        <v>0</v>
      </c>
      <c r="CR44" s="61">
        <f>IFERROR(Table1[[#This Row],[Progres MOS
(%)]]*Table1[[#This Row],[Nilai RAB Jaringan
(file pa aji)]],0)</f>
        <v>0</v>
      </c>
      <c r="CS44" s="61">
        <f>IFERROR(Table1[[#This Row],[Progres Pemasangan
(%)]]*Table1[[#This Row],[Nilai RAB Jaringan
(file pa aji)]],0)</f>
        <v>0</v>
      </c>
      <c r="CT44" s="61">
        <f>IFERROR(Table1[[#This Row],[Progres Perizinan
(%)]]*Table1[[#This Row],[Nilai RAB Jaringan
(file pa aji)]],0)</f>
        <v>0</v>
      </c>
      <c r="CU44" s="789">
        <v>3321423265</v>
      </c>
      <c r="CV44" s="299">
        <v>3321423265</v>
      </c>
      <c r="CW44" s="552">
        <v>3321423265</v>
      </c>
      <c r="CX44" s="789">
        <f>_xlfn.XLOOKUP(Table1[[#This Row],[Kode Program]],'[1]Breakdown VOWD Greenfield'!$E:$E,'[1]Breakdown VOWD Greenfield'!$AT:$AT)</f>
        <v>3321423265</v>
      </c>
      <c r="CY44" s="42"/>
      <c r="CZ44" s="300">
        <v>45439</v>
      </c>
      <c r="DA44" s="300">
        <v>45466</v>
      </c>
      <c r="DB44" s="301"/>
      <c r="DC44" s="286"/>
      <c r="DD44" s="62"/>
      <c r="DE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 s="301"/>
      <c r="DG44" s="286"/>
      <c r="DH44" s="62"/>
      <c r="DI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 s="300">
        <v>45467</v>
      </c>
      <c r="DK44" s="300">
        <v>45536</v>
      </c>
      <c r="DL44" s="301">
        <v>45475</v>
      </c>
      <c r="DM44" s="327" t="s">
        <v>462</v>
      </c>
      <c r="DN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 s="301">
        <v>45482</v>
      </c>
      <c r="DP44" s="286" t="s">
        <v>463</v>
      </c>
      <c r="DQ44" s="308" t="s">
        <v>275</v>
      </c>
      <c r="DR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 s="300">
        <v>45467</v>
      </c>
      <c r="DT44" s="300" t="e">
        <v>#N/A</v>
      </c>
      <c r="DU44" s="300">
        <v>45508</v>
      </c>
      <c r="DV44" s="300" t="e">
        <v>#N/A</v>
      </c>
      <c r="DW44" s="301"/>
      <c r="DX44" s="286"/>
      <c r="DY44" s="304"/>
      <c r="DZ44" s="304"/>
      <c r="EA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 s="301"/>
      <c r="EC44" s="302"/>
      <c r="ED44" s="302"/>
      <c r="EE44" s="300"/>
      <c r="EF44" s="35">
        <v>1</v>
      </c>
      <c r="EG44" s="307">
        <v>1</v>
      </c>
      <c r="EH44" s="286" t="str">
        <f>IF(Table1[[#This Row],[PO Material Aktual 
(%)]]&gt;=100%,"Selesai PO = 100%",IF(Table1[[#This Row],[PO Material Aktual 
(%)]]&gt;=50%,"Proses PO &gt; 100%",IF(Table1[[#This Row],[PO Material Aktual 
(%)]]&gt;0%,"Proses PO &gt; 50%",IF(Table1[[#This Row],[PO Material Aktual 
(%)]]=0,"Belum PO = 0%"))))</f>
        <v>Selesai PO = 100%</v>
      </c>
      <c r="EI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 s="300">
        <v>45509</v>
      </c>
      <c r="EK44" s="300" t="e">
        <v>#N/A</v>
      </c>
      <c r="EL44" s="300">
        <v>45620</v>
      </c>
      <c r="EM44" s="300" t="e">
        <v>#N/A</v>
      </c>
      <c r="EN44" s="301"/>
      <c r="EO44" s="302"/>
      <c r="EP44" s="302"/>
      <c r="EQ44" s="82">
        <v>1</v>
      </c>
      <c r="ER44" s="82">
        <v>1</v>
      </c>
      <c r="ES44" s="286" t="str">
        <f>IF(Table1[[#This Row],[Progres MOS]]&gt;=100%,"Selesai MOS = 100%",IF(Table1[[#This Row],[Progres MOS]]&gt;=50%,"Proses MOS &gt; 100%",IF(Table1[[#This Row],[Progres MOS]]&gt;0%,"Proses MOS &gt; 50%",IF(Table1[[#This Row],[Progres MOS]]=0,"Belum MOS = 0%"))))</f>
        <v>Selesai MOS = 100%</v>
      </c>
      <c r="ET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 s="42"/>
      <c r="EV44" s="300">
        <v>45467</v>
      </c>
      <c r="EW44" s="300" t="e">
        <v>#N/A</v>
      </c>
      <c r="EX44" s="300">
        <v>45564</v>
      </c>
      <c r="EY44" s="300" t="e">
        <v>#N/A</v>
      </c>
      <c r="EZ44" s="322" t="s">
        <v>259</v>
      </c>
      <c r="FA44" s="306" t="s">
        <v>259</v>
      </c>
      <c r="FB44" s="300" t="s">
        <v>260</v>
      </c>
      <c r="FC44" s="300">
        <v>45327</v>
      </c>
      <c r="FD44" s="300" t="s">
        <v>260</v>
      </c>
      <c r="FE44" s="300"/>
      <c r="FF44" s="300">
        <v>45443</v>
      </c>
      <c r="FG44" s="300" t="s">
        <v>260</v>
      </c>
      <c r="FH44" s="300" t="s">
        <v>260</v>
      </c>
      <c r="FI44" s="300">
        <v>45513</v>
      </c>
      <c r="FJ44" s="300" t="s">
        <v>260</v>
      </c>
      <c r="FK44" s="300">
        <v>45709</v>
      </c>
      <c r="FL44" s="306" t="s">
        <v>259</v>
      </c>
      <c r="FM44" s="306">
        <v>45327</v>
      </c>
      <c r="FN44" s="284">
        <f>IF(Table1[[#This Row],[Tanggal Pengajuan Dokumen]]="","",Table1[[#This Row],[PLAN PERMIT
start]]-Table1[[#This Row],[Tanggal Pengajuan Dokumen]])</f>
        <v>140</v>
      </c>
      <c r="FO44" s="306">
        <v>45709</v>
      </c>
      <c r="FP44" s="286"/>
      <c r="FQ44" s="308"/>
      <c r="FR44" s="322"/>
      <c r="FS44" s="308" t="str">
        <f t="shared" si="5"/>
        <v>Sudah Terbit</v>
      </c>
      <c r="FT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4" s="314">
        <f ca="1">IF(Table1[[#This Row],[Status Izin]]="Selesai",Table1[[#This Row],[PLAN PERMIT
finish]]-Table1[[#This Row],[Tanggal Terbit/ Target Izin Terbit]],ROUNDUP(Table1[[#This Row],[PLAN PERMIT
finish]]-NOW(),0))</f>
        <v>-145</v>
      </c>
      <c r="FV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 s="314"/>
      <c r="FX44" s="42"/>
      <c r="FY44" s="310"/>
      <c r="FZ44" s="311"/>
      <c r="GA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 s="300">
        <v>45538</v>
      </c>
      <c r="GC44" s="301">
        <v>45488</v>
      </c>
      <c r="GD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 s="300">
        <v>45545</v>
      </c>
      <c r="GF44" s="301">
        <v>45488</v>
      </c>
      <c r="GG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 s="300">
        <v>45551</v>
      </c>
      <c r="GI44" s="300">
        <v>45557</v>
      </c>
      <c r="GJ44" s="323">
        <v>45491</v>
      </c>
      <c r="GK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 s="300">
        <v>45565</v>
      </c>
      <c r="GM44" s="300" t="e">
        <v>#N/A</v>
      </c>
      <c r="GN44" s="300">
        <v>45690</v>
      </c>
      <c r="GO44" s="300" t="e">
        <v>#N/A</v>
      </c>
      <c r="GP44" s="286"/>
      <c r="GQ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 s="300" t="s">
        <v>261</v>
      </c>
      <c r="GS44" s="300" t="s">
        <v>261</v>
      </c>
      <c r="GT44" s="324">
        <v>45584</v>
      </c>
      <c r="GU44" s="314" t="str">
        <f>IF(Table1[[#This Row],[Hydro Tes Actual
(tanggal)]]&lt;&gt;"","Sudah","Belum")</f>
        <v>Sudah</v>
      </c>
      <c r="GV44" s="300" t="s">
        <v>261</v>
      </c>
      <c r="GW44" s="300" t="s">
        <v>261</v>
      </c>
      <c r="GX44" s="301">
        <v>45618</v>
      </c>
      <c r="GY44" s="314" t="str">
        <f>IF(Table1[[#This Row],[Interkoneksi Actual
(tanggal)]]&lt;&gt;"","Sudah","Belum")</f>
        <v>Sudah</v>
      </c>
      <c r="GZ44" s="300" t="s">
        <v>261</v>
      </c>
      <c r="HA44" s="300" t="s">
        <v>261</v>
      </c>
      <c r="HB44" s="301">
        <v>45677</v>
      </c>
      <c r="HC44" s="314" t="str">
        <f>IF(Table1[[#This Row],[Flushing Actual
(tanggal)]]&lt;&gt;"","Sudah","Belum")</f>
        <v>Sudah</v>
      </c>
      <c r="HD44" s="300">
        <v>45677</v>
      </c>
      <c r="HE44" s="300" t="e">
        <v>#N/A</v>
      </c>
      <c r="HF44" s="300">
        <v>45683</v>
      </c>
      <c r="HG44" s="316">
        <v>45701</v>
      </c>
      <c r="HH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4" s="300" t="s">
        <v>261</v>
      </c>
      <c r="HJ44" s="300" t="s">
        <v>261</v>
      </c>
      <c r="HK44" s="301"/>
      <c r="HL44" s="286"/>
      <c r="HM44" s="300">
        <v>45702</v>
      </c>
      <c r="HN44" s="300">
        <v>45702</v>
      </c>
      <c r="HO44" s="300" t="e">
        <v>#N/A</v>
      </c>
      <c r="HP44" s="300"/>
      <c r="HQ44" s="316">
        <v>45737</v>
      </c>
      <c r="HR4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4" s="300">
        <v>45709</v>
      </c>
      <c r="HT44" s="300"/>
      <c r="HU44" s="300">
        <v>45709</v>
      </c>
      <c r="HV44" s="497"/>
      <c r="HW44" s="300">
        <v>45748</v>
      </c>
      <c r="HX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4" s="42"/>
      <c r="HZ44" s="322"/>
      <c r="IA44" s="306"/>
      <c r="IC44" s="585">
        <f>IFERROR(ROUND((Table1[[#This Row],[PLAN TC
finish]]-Table1[[#This Row],[PLAN MC-0
start]])/30,2),"")</f>
        <v>4.4000000000000004</v>
      </c>
      <c r="ID44">
        <f>DATEDIF(Table1[[#This Row],[PLAN MC-0
start]],Table1[[#This Row],[PLAN TC
finish]],"m")</f>
        <v>4</v>
      </c>
    </row>
    <row r="45" spans="1:238" s="4" customFormat="1" ht="15" customHeight="1" x14ac:dyDescent="0.25">
      <c r="B45" s="281">
        <f>SUBTOTAL(3,$D$5:D45)</f>
        <v>41</v>
      </c>
      <c r="C45" s="318">
        <v>41</v>
      </c>
      <c r="D45" s="285" t="s">
        <v>244</v>
      </c>
      <c r="E45" s="285" t="s">
        <v>464</v>
      </c>
      <c r="F45" s="285" t="s">
        <v>465</v>
      </c>
      <c r="G45" s="319">
        <v>45752</v>
      </c>
      <c r="H45" s="284" t="s">
        <v>247</v>
      </c>
      <c r="I45" s="285" t="s">
        <v>278</v>
      </c>
      <c r="J45" s="285"/>
      <c r="K45" s="308" t="s">
        <v>249</v>
      </c>
      <c r="L45" s="286" t="s">
        <v>250</v>
      </c>
      <c r="M45" s="286" t="s">
        <v>269</v>
      </c>
      <c r="N45" s="94">
        <v>4186</v>
      </c>
      <c r="O45" s="31" t="s">
        <v>252</v>
      </c>
      <c r="P4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5" s="82" t="e">
        <v>#N/A</v>
      </c>
      <c r="S45" s="82">
        <v>1</v>
      </c>
      <c r="T45" s="35">
        <f>Table1[[#This Row],[Progres Total Aktual
(%)]]</f>
        <v>1</v>
      </c>
      <c r="U45" s="106">
        <f>Table1[[#This Row],[Progres Aktual
(%)]]-Table1[[#This Row],[Target Progres
(%)]]</f>
        <v>0</v>
      </c>
      <c r="V45" s="320">
        <f>Table1[[#This Row],["Volume
BA MC-0"]]</f>
        <v>4050</v>
      </c>
      <c r="W45" s="321">
        <f>Table1[[#This Row],[Total Panjang Pipa Aktual
(Sum-&gt;)3]]</f>
        <v>3486.5</v>
      </c>
      <c r="X45" s="42"/>
      <c r="Y45" s="62" t="s">
        <v>466</v>
      </c>
      <c r="Z45" s="62">
        <v>5697778606</v>
      </c>
      <c r="AA45" s="62">
        <f>ROUND((Table1[[#This Row],[Nilai RAB Jaringan
(Exclude Ppn)]]-Table1[[#This Row],[RAB Perizinan]])*1.11+Table1[[#This Row],[RAB Perizinan]],0)</f>
        <v>0</v>
      </c>
      <c r="AB45" s="290">
        <f>SUM(Table1[[#This Row],[RAB Kegiatan Umum]:[RAB Perizinan]])</f>
        <v>0</v>
      </c>
      <c r="AC45" s="290"/>
      <c r="AD45" s="290"/>
      <c r="AE45" s="290"/>
      <c r="AF45" s="290"/>
      <c r="AG45" s="290">
        <v>2748578371</v>
      </c>
      <c r="AH45" s="35" t="e">
        <f>SUM(Table1[[#This Row],[Bobot Keg Umum]:[Bobot Perizinan]])</f>
        <v>#DIV/0!</v>
      </c>
      <c r="AI45" s="35" t="e">
        <f>Table1[[#This Row],[RAB Kegiatan Umum]]/Table1[[#This Row],[Nilai RAB Jaringan
(Exclude Ppn)]]</f>
        <v>#DIV/0!</v>
      </c>
      <c r="AJ45" s="35" t="e">
        <f>Table1[[#This Row],[RAB Pemasangan]]/Table1[[#This Row],[Nilai RAB Jaringan
(Exclude Ppn)]]</f>
        <v>#DIV/0!</v>
      </c>
      <c r="AK45" s="35" t="e">
        <f>Table1[[#This Row],[RAB Pengadaan]]/Table1[[#This Row],[Nilai RAB Jaringan
(Exclude Ppn)]]</f>
        <v>#DIV/0!</v>
      </c>
      <c r="AL45" s="35" t="e">
        <f>Table1[[#This Row],[RAB Perizinan]]/Table1[[#This Row],[Nilai RAB Jaringan
(Exclude Ppn)]]</f>
        <v>#DIV/0!</v>
      </c>
      <c r="AM45" s="42"/>
      <c r="AN45" s="256">
        <v>4050</v>
      </c>
      <c r="AO45" s="256">
        <f>SUM(Table1[[#This Row],[Pipa 63 mm]:[Pipa 1,800 mm]])</f>
        <v>0</v>
      </c>
      <c r="AP45" s="256"/>
      <c r="AQ45" s="256"/>
      <c r="AR45" s="256"/>
      <c r="AS45" s="256"/>
      <c r="AT45" s="256"/>
      <c r="AU45" s="256"/>
      <c r="AV45" s="256"/>
      <c r="AW45" s="256"/>
      <c r="AX45" s="256"/>
      <c r="AY45" s="256"/>
      <c r="AZ45" s="256"/>
      <c r="BA45" s="256"/>
      <c r="BB45" s="256"/>
      <c r="BC45" s="256"/>
      <c r="BD45" s="256"/>
      <c r="BE45" s="256"/>
      <c r="BF45" s="256"/>
      <c r="BG45" s="256"/>
      <c r="BH45" s="256"/>
      <c r="BI45" s="256"/>
      <c r="BJ45" s="36">
        <f>SUM(Table1[[#This Row],[Pipa 63 mm2]:[Pipa 1,800 mm21]])</f>
        <v>3486.5</v>
      </c>
      <c r="BK45" s="326">
        <v>2115.6999999999998</v>
      </c>
      <c r="BL45" s="326">
        <v>1370.8</v>
      </c>
      <c r="BM45" s="326"/>
      <c r="BN45" s="326"/>
      <c r="BO45" s="326"/>
      <c r="BP45" s="326"/>
      <c r="BQ45" s="326"/>
      <c r="BR45" s="326"/>
      <c r="BS45" s="326"/>
      <c r="BT45" s="326"/>
      <c r="BU45" s="326"/>
      <c r="BV45" s="326"/>
      <c r="BW45" s="326"/>
      <c r="BX45" s="326"/>
      <c r="BY45" s="326"/>
      <c r="BZ45" s="326"/>
      <c r="CA45" s="326"/>
      <c r="CB45" s="326"/>
      <c r="CC45" s="326"/>
      <c r="CD45" s="326"/>
      <c r="CE45" s="32">
        <v>1426</v>
      </c>
      <c r="CF45" s="32"/>
      <c r="CG45" s="32"/>
      <c r="CH45" s="32"/>
      <c r="CI45" s="32">
        <f t="shared" si="3"/>
        <v>1426</v>
      </c>
      <c r="CJ45" s="60">
        <f>IF((Table1[[#This Row],["Volume
BA MC-0"]]-Table1[[#This Row],[Total Panjang Pipa Aktual
(Sum-&gt;)3]]-Table1[[#This Row],[Total Volume
tidak dapat dipasang]])&gt;=0,Table1[[#This Row],["Volume
BA MC-0"]]-Table1[[#This Row],[Total Panjang Pipa Aktual
(Sum-&gt;)3]]-Table1[[#This Row],[Total Volume
tidak dapat dipasang]],0)</f>
        <v>0</v>
      </c>
      <c r="CK45" s="42"/>
      <c r="CL45" s="113"/>
      <c r="CM45" s="35"/>
      <c r="CN45" s="113"/>
      <c r="CO45" s="113"/>
      <c r="CP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5" s="61">
        <f>IFERROR(Table1[[#This Row],[Progres Keg. Umum
(%)]]*Table1[[#This Row],[Nilai RAB Jaringan
(file pa aji)]],0)</f>
        <v>0</v>
      </c>
      <c r="CR45" s="61">
        <f>IFERROR(Table1[[#This Row],[Progres MOS
(%)]]*Table1[[#This Row],[Nilai RAB Jaringan
(file pa aji)]],0)</f>
        <v>0</v>
      </c>
      <c r="CS45" s="61">
        <f>IFERROR(Table1[[#This Row],[Progres Pemasangan
(%)]]*Table1[[#This Row],[Nilai RAB Jaringan
(file pa aji)]],0)</f>
        <v>0</v>
      </c>
      <c r="CT45" s="61">
        <f>IFERROR(Table1[[#This Row],[Progres Perizinan
(%)]]*Table1[[#This Row],[Nilai RAB Jaringan
(file pa aji)]],0)</f>
        <v>0</v>
      </c>
      <c r="CU45" s="789">
        <v>4430159358</v>
      </c>
      <c r="CV45" s="299">
        <v>4430159358</v>
      </c>
      <c r="CW45" s="552">
        <v>4430159358</v>
      </c>
      <c r="CX45" s="789">
        <f>_xlfn.XLOOKUP(Table1[[#This Row],[Kode Program]],'[1]Breakdown VOWD Greenfield'!$E:$E,'[1]Breakdown VOWD Greenfield'!$AT:$AT)</f>
        <v>4430159358</v>
      </c>
      <c r="CY45" s="42"/>
      <c r="CZ45" s="300">
        <v>45439</v>
      </c>
      <c r="DA45" s="300">
        <v>45466</v>
      </c>
      <c r="DB45" s="301"/>
      <c r="DC45" s="286"/>
      <c r="DD45" s="62"/>
      <c r="DE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 s="301"/>
      <c r="DG45" s="286"/>
      <c r="DH45" s="62"/>
      <c r="DI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 s="300">
        <v>45467</v>
      </c>
      <c r="DK45" s="300">
        <v>45536</v>
      </c>
      <c r="DL45" s="301">
        <v>45478</v>
      </c>
      <c r="DM45" s="327" t="s">
        <v>467</v>
      </c>
      <c r="DN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5" s="301">
        <v>45483</v>
      </c>
      <c r="DP45" s="286" t="s">
        <v>468</v>
      </c>
      <c r="DQ45" s="308" t="s">
        <v>275</v>
      </c>
      <c r="DR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5" s="300">
        <v>45467</v>
      </c>
      <c r="DT45" s="300" t="e">
        <v>#N/A</v>
      </c>
      <c r="DU45" s="300">
        <v>45508</v>
      </c>
      <c r="DV45" s="300" t="e">
        <v>#N/A</v>
      </c>
      <c r="DW45" s="301"/>
      <c r="DX45" s="286"/>
      <c r="DY45" s="304"/>
      <c r="DZ45" s="304"/>
      <c r="EA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 s="301"/>
      <c r="EC45" s="302"/>
      <c r="ED45" s="302"/>
      <c r="EE45" s="300"/>
      <c r="EF45" s="35">
        <v>1</v>
      </c>
      <c r="EG45" s="307">
        <v>1</v>
      </c>
      <c r="EH45" s="286" t="str">
        <f>IF(Table1[[#This Row],[PO Material Aktual 
(%)]]&gt;=100%,"Selesai PO = 100%",IF(Table1[[#This Row],[PO Material Aktual 
(%)]]&gt;=50%,"Proses PO &gt; 100%",IF(Table1[[#This Row],[PO Material Aktual 
(%)]]&gt;0%,"Proses PO &gt; 50%",IF(Table1[[#This Row],[PO Material Aktual 
(%)]]=0,"Belum PO = 0%"))))</f>
        <v>Selesai PO = 100%</v>
      </c>
      <c r="EI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 s="300">
        <v>45509</v>
      </c>
      <c r="EK45" s="300" t="e">
        <v>#N/A</v>
      </c>
      <c r="EL45" s="300">
        <v>45620</v>
      </c>
      <c r="EM45" s="300" t="e">
        <v>#N/A</v>
      </c>
      <c r="EN45" s="301"/>
      <c r="EO45" s="302"/>
      <c r="EP45" s="302"/>
      <c r="EQ45" s="82">
        <v>1</v>
      </c>
      <c r="ER45" s="82">
        <v>1</v>
      </c>
      <c r="ES45" s="286" t="str">
        <f>IF(Table1[[#This Row],[Progres MOS]]&gt;=100%,"Selesai MOS = 100%",IF(Table1[[#This Row],[Progres MOS]]&gt;=50%,"Proses MOS &gt; 100%",IF(Table1[[#This Row],[Progres MOS]]&gt;0%,"Proses MOS &gt; 50%",IF(Table1[[#This Row],[Progres MOS]]=0,"Belum MOS = 0%"))))</f>
        <v>Selesai MOS = 100%</v>
      </c>
      <c r="ET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 s="42"/>
      <c r="EV45" s="300">
        <v>45467</v>
      </c>
      <c r="EW45" s="300" t="e">
        <v>#N/A</v>
      </c>
      <c r="EX45" s="300">
        <v>45564</v>
      </c>
      <c r="EY45" s="300" t="e">
        <v>#N/A</v>
      </c>
      <c r="EZ45" s="322" t="s">
        <v>259</v>
      </c>
      <c r="FA45" s="306" t="s">
        <v>259</v>
      </c>
      <c r="FB45" s="300" t="s">
        <v>260</v>
      </c>
      <c r="FC45" s="300">
        <v>45328</v>
      </c>
      <c r="FD45" s="300" t="s">
        <v>260</v>
      </c>
      <c r="FE45" s="300"/>
      <c r="FF45" s="300">
        <v>45443</v>
      </c>
      <c r="FG45" s="300" t="s">
        <v>260</v>
      </c>
      <c r="FH45" s="300" t="s">
        <v>260</v>
      </c>
      <c r="FI45" s="300">
        <v>45516</v>
      </c>
      <c r="FJ45" s="300" t="s">
        <v>260</v>
      </c>
      <c r="FK45" s="300">
        <v>45709</v>
      </c>
      <c r="FL45" s="306" t="s">
        <v>259</v>
      </c>
      <c r="FM45" s="306">
        <v>45328</v>
      </c>
      <c r="FN45" s="284">
        <f>IF(Table1[[#This Row],[Tanggal Pengajuan Dokumen]]="","",Table1[[#This Row],[PLAN PERMIT
start]]-Table1[[#This Row],[Tanggal Pengajuan Dokumen]])</f>
        <v>139</v>
      </c>
      <c r="FO45" s="306">
        <v>45709</v>
      </c>
      <c r="FP45" s="286"/>
      <c r="FQ45" s="308"/>
      <c r="FR45" s="322"/>
      <c r="FS45" s="308" t="str">
        <f t="shared" si="5"/>
        <v>Sudah Terbit</v>
      </c>
      <c r="FT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5" s="314">
        <f ca="1">IF(Table1[[#This Row],[Status Izin]]="Selesai",Table1[[#This Row],[PLAN PERMIT
finish]]-Table1[[#This Row],[Tanggal Terbit/ Target Izin Terbit]],ROUNDUP(Table1[[#This Row],[PLAN PERMIT
finish]]-NOW(),0))</f>
        <v>-145</v>
      </c>
      <c r="FV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 s="314"/>
      <c r="FX45" s="42"/>
      <c r="FY45" s="310"/>
      <c r="FZ45" s="311"/>
      <c r="GA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 s="300">
        <v>45538</v>
      </c>
      <c r="GC45" s="301">
        <v>45488</v>
      </c>
      <c r="GD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5" s="300">
        <v>45545</v>
      </c>
      <c r="GF45" s="301">
        <v>45488</v>
      </c>
      <c r="GG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5" s="300">
        <v>45551</v>
      </c>
      <c r="GI45" s="300">
        <v>45557</v>
      </c>
      <c r="GJ45" s="323">
        <v>45492</v>
      </c>
      <c r="GK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5" s="300">
        <v>45565</v>
      </c>
      <c r="GM45" s="300" t="e">
        <v>#N/A</v>
      </c>
      <c r="GN45" s="300">
        <v>45690</v>
      </c>
      <c r="GO45" s="300" t="e">
        <v>#N/A</v>
      </c>
      <c r="GP45" s="286"/>
      <c r="GQ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 s="300" t="s">
        <v>261</v>
      </c>
      <c r="GS45" s="300" t="s">
        <v>261</v>
      </c>
      <c r="GT45" s="324">
        <v>45638</v>
      </c>
      <c r="GU45" s="314" t="str">
        <f>IF(Table1[[#This Row],[Hydro Tes Actual
(tanggal)]]&lt;&gt;"","Sudah","Belum")</f>
        <v>Sudah</v>
      </c>
      <c r="GV45" s="300" t="s">
        <v>261</v>
      </c>
      <c r="GW45" s="300" t="s">
        <v>261</v>
      </c>
      <c r="GX45" s="301">
        <v>45629</v>
      </c>
      <c r="GY45" s="314" t="str">
        <f>IF(Table1[[#This Row],[Interkoneksi Actual
(tanggal)]]&lt;&gt;"","Sudah","Belum")</f>
        <v>Sudah</v>
      </c>
      <c r="GZ45" s="300" t="s">
        <v>261</v>
      </c>
      <c r="HA45" s="300" t="s">
        <v>261</v>
      </c>
      <c r="HB45" s="301">
        <v>45677</v>
      </c>
      <c r="HC45" s="314" t="str">
        <f>IF(Table1[[#This Row],[Flushing Actual
(tanggal)]]&lt;&gt;"","Sudah","Belum")</f>
        <v>Sudah</v>
      </c>
      <c r="HD45" s="300">
        <v>45677</v>
      </c>
      <c r="HE45" s="300" t="e">
        <v>#N/A</v>
      </c>
      <c r="HF45" s="300">
        <v>45683</v>
      </c>
      <c r="HG45" s="316">
        <v>45702</v>
      </c>
      <c r="HH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5" s="300" t="s">
        <v>261</v>
      </c>
      <c r="HJ45" s="300" t="s">
        <v>261</v>
      </c>
      <c r="HK45" s="301"/>
      <c r="HL45" s="286"/>
      <c r="HM45" s="300">
        <v>45702</v>
      </c>
      <c r="HN45" s="300">
        <v>45702</v>
      </c>
      <c r="HO45" s="300" t="e">
        <v>#N/A</v>
      </c>
      <c r="HP45" s="300"/>
      <c r="HQ45" s="316">
        <v>45733</v>
      </c>
      <c r="HR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5" s="300">
        <v>45709</v>
      </c>
      <c r="HT45" s="300"/>
      <c r="HU45" s="300">
        <v>45709</v>
      </c>
      <c r="HV45" s="497"/>
      <c r="HW45" s="300">
        <v>45748</v>
      </c>
      <c r="HX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5" s="42"/>
      <c r="HZ45" s="322"/>
      <c r="IA45" s="306"/>
      <c r="IC45" s="585">
        <f>IFERROR(ROUND((Table1[[#This Row],[PLAN TC
finish]]-Table1[[#This Row],[PLAN MC-0
start]])/30,2),"")</f>
        <v>4.4000000000000004</v>
      </c>
      <c r="ID45">
        <f>DATEDIF(Table1[[#This Row],[PLAN MC-0
start]],Table1[[#This Row],[PLAN TC
finish]],"m")</f>
        <v>4</v>
      </c>
    </row>
    <row r="46" spans="1:238" s="4" customFormat="1" ht="15" customHeight="1" x14ac:dyDescent="0.25">
      <c r="B46" s="281">
        <f>SUBTOTAL(3,$D$5:D46)</f>
        <v>42</v>
      </c>
      <c r="C46" s="318">
        <v>42</v>
      </c>
      <c r="D46" s="285" t="s">
        <v>244</v>
      </c>
      <c r="E46" s="285" t="s">
        <v>469</v>
      </c>
      <c r="F46" s="285" t="s">
        <v>470</v>
      </c>
      <c r="G46" s="319">
        <v>45752</v>
      </c>
      <c r="H46" s="284" t="s">
        <v>247</v>
      </c>
      <c r="I46" s="285" t="s">
        <v>278</v>
      </c>
      <c r="J46" s="285"/>
      <c r="K46" s="308" t="s">
        <v>249</v>
      </c>
      <c r="L46" s="286" t="s">
        <v>250</v>
      </c>
      <c r="M46" s="286" t="s">
        <v>269</v>
      </c>
      <c r="N46" s="94">
        <v>4515</v>
      </c>
      <c r="O46" s="31" t="s">
        <v>252</v>
      </c>
      <c r="P4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6" s="82" t="e">
        <v>#N/A</v>
      </c>
      <c r="S46" s="82">
        <v>1</v>
      </c>
      <c r="T46" s="35">
        <f>Table1[[#This Row],[Progres Total Aktual
(%)]]</f>
        <v>1</v>
      </c>
      <c r="U46" s="106">
        <f>Table1[[#This Row],[Progres Aktual
(%)]]-Table1[[#This Row],[Target Progres
(%)]]</f>
        <v>0</v>
      </c>
      <c r="V46" s="320">
        <f>Table1[[#This Row],["Volume
BA MC-0"]]</f>
        <v>3548</v>
      </c>
      <c r="W46" s="321">
        <f>Table1[[#This Row],[Total Panjang Pipa Aktual
(Sum-&gt;)3]]</f>
        <v>1995</v>
      </c>
      <c r="X46" s="42"/>
      <c r="Y46" s="62" t="s">
        <v>471</v>
      </c>
      <c r="Z46" s="62">
        <v>6416519434</v>
      </c>
      <c r="AA46" s="62">
        <f>ROUND((Table1[[#This Row],[Nilai RAB Jaringan
(Exclude Ppn)]]-Table1[[#This Row],[RAB Perizinan]])*1.11+Table1[[#This Row],[RAB Perizinan]],0)</f>
        <v>0</v>
      </c>
      <c r="AB46" s="290">
        <f>SUM(Table1[[#This Row],[RAB Kegiatan Umum]:[RAB Perizinan]])</f>
        <v>0</v>
      </c>
      <c r="AC46" s="290"/>
      <c r="AD46" s="290"/>
      <c r="AE46" s="290"/>
      <c r="AF46" s="290"/>
      <c r="AG46" s="290">
        <v>4638354103</v>
      </c>
      <c r="AH46" s="35" t="e">
        <f>SUM(Table1[[#This Row],[Bobot Keg Umum]:[Bobot Perizinan]])</f>
        <v>#DIV/0!</v>
      </c>
      <c r="AI46" s="35" t="e">
        <f>Table1[[#This Row],[RAB Kegiatan Umum]]/Table1[[#This Row],[Nilai RAB Jaringan
(Exclude Ppn)]]</f>
        <v>#DIV/0!</v>
      </c>
      <c r="AJ46" s="35" t="e">
        <f>Table1[[#This Row],[RAB Pemasangan]]/Table1[[#This Row],[Nilai RAB Jaringan
(Exclude Ppn)]]</f>
        <v>#DIV/0!</v>
      </c>
      <c r="AK46" s="35" t="e">
        <f>Table1[[#This Row],[RAB Pengadaan]]/Table1[[#This Row],[Nilai RAB Jaringan
(Exclude Ppn)]]</f>
        <v>#DIV/0!</v>
      </c>
      <c r="AL46" s="35" t="e">
        <f>Table1[[#This Row],[RAB Perizinan]]/Table1[[#This Row],[Nilai RAB Jaringan
(Exclude Ppn)]]</f>
        <v>#DIV/0!</v>
      </c>
      <c r="AM46" s="42"/>
      <c r="AN46" s="256">
        <v>3548</v>
      </c>
      <c r="AO46" s="256">
        <f>SUM(Table1[[#This Row],[Pipa 63 mm]:[Pipa 1,800 mm]])</f>
        <v>0</v>
      </c>
      <c r="AP46" s="256"/>
      <c r="AQ46" s="256"/>
      <c r="AR46" s="256"/>
      <c r="AS46" s="256"/>
      <c r="AT46" s="256"/>
      <c r="AU46" s="256"/>
      <c r="AV46" s="256"/>
      <c r="AW46" s="256"/>
      <c r="AX46" s="256"/>
      <c r="AY46" s="256"/>
      <c r="AZ46" s="256"/>
      <c r="BA46" s="256"/>
      <c r="BB46" s="256"/>
      <c r="BC46" s="256"/>
      <c r="BD46" s="256"/>
      <c r="BE46" s="256"/>
      <c r="BF46" s="256"/>
      <c r="BG46" s="256"/>
      <c r="BH46" s="256"/>
      <c r="BI46" s="256"/>
      <c r="BJ46" s="36">
        <f>SUM(Table1[[#This Row],[Pipa 63 mm2]:[Pipa 1,800 mm21]])</f>
        <v>1995</v>
      </c>
      <c r="BK46" s="32">
        <v>1160</v>
      </c>
      <c r="BL46" s="32"/>
      <c r="BM46" s="32">
        <v>835</v>
      </c>
      <c r="BN46" s="32"/>
      <c r="BO46" s="32"/>
      <c r="BP46" s="32"/>
      <c r="BQ46" s="32"/>
      <c r="BR46" s="32"/>
      <c r="BS46" s="32"/>
      <c r="BT46" s="32"/>
      <c r="BU46" s="32"/>
      <c r="BV46" s="32"/>
      <c r="BW46" s="32"/>
      <c r="BX46" s="32"/>
      <c r="BY46" s="32"/>
      <c r="BZ46" s="32"/>
      <c r="CA46" s="32"/>
      <c r="CB46" s="32"/>
      <c r="CC46" s="32"/>
      <c r="CD46" s="32"/>
      <c r="CE46" s="32">
        <v>2055</v>
      </c>
      <c r="CF46" s="32"/>
      <c r="CG46" s="32"/>
      <c r="CH46" s="32"/>
      <c r="CI46" s="32">
        <f t="shared" si="3"/>
        <v>2055</v>
      </c>
      <c r="CJ46" s="60">
        <f>IF((Table1[[#This Row],["Volume
BA MC-0"]]-Table1[[#This Row],[Total Panjang Pipa Aktual
(Sum-&gt;)3]]-Table1[[#This Row],[Total Volume
tidak dapat dipasang]])&gt;=0,Table1[[#This Row],["Volume
BA MC-0"]]-Table1[[#This Row],[Total Panjang Pipa Aktual
(Sum-&gt;)3]]-Table1[[#This Row],[Total Volume
tidak dapat dipasang]],0)</f>
        <v>0</v>
      </c>
      <c r="CK46" s="42"/>
      <c r="CL46" s="113"/>
      <c r="CM46" s="35"/>
      <c r="CN46" s="113"/>
      <c r="CO46" s="113"/>
      <c r="CP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6" s="61">
        <f>IFERROR(Table1[[#This Row],[Progres Keg. Umum
(%)]]*Table1[[#This Row],[Nilai RAB Jaringan
(file pa aji)]],0)</f>
        <v>0</v>
      </c>
      <c r="CR46" s="61">
        <f>IFERROR(Table1[[#This Row],[Progres MOS
(%)]]*Table1[[#This Row],[Nilai RAB Jaringan
(file pa aji)]],0)</f>
        <v>0</v>
      </c>
      <c r="CS46" s="61">
        <f>IFERROR(Table1[[#This Row],[Progres Pemasangan
(%)]]*Table1[[#This Row],[Nilai RAB Jaringan
(file pa aji)]],0)</f>
        <v>0</v>
      </c>
      <c r="CT46" s="61">
        <f>IFERROR(Table1[[#This Row],[Progres Perizinan
(%)]]*Table1[[#This Row],[Nilai RAB Jaringan
(file pa aji)]],0)</f>
        <v>0</v>
      </c>
      <c r="CU46" s="789">
        <v>2851468769</v>
      </c>
      <c r="CV46" s="299">
        <v>2851468769</v>
      </c>
      <c r="CW46" s="552">
        <v>2851468769</v>
      </c>
      <c r="CX46" s="789">
        <f>_xlfn.XLOOKUP(Table1[[#This Row],[Kode Program]],'[1]Breakdown VOWD Greenfield'!$E:$E,'[1]Breakdown VOWD Greenfield'!$AT:$AT)</f>
        <v>2851468769</v>
      </c>
      <c r="CY46" s="42"/>
      <c r="CZ46" s="300">
        <v>45439</v>
      </c>
      <c r="DA46" s="300">
        <v>45466</v>
      </c>
      <c r="DB46" s="301"/>
      <c r="DC46" s="286"/>
      <c r="DD46" s="62"/>
      <c r="DE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 s="301"/>
      <c r="DG46" s="286"/>
      <c r="DH46" s="62"/>
      <c r="DI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 s="300">
        <v>45467</v>
      </c>
      <c r="DK46" s="300">
        <v>45536</v>
      </c>
      <c r="DL46" s="301">
        <v>45478</v>
      </c>
      <c r="DM46" s="327" t="s">
        <v>472</v>
      </c>
      <c r="DN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6" s="301">
        <v>45503</v>
      </c>
      <c r="DP46" s="286" t="s">
        <v>473</v>
      </c>
      <c r="DQ46" s="308" t="s">
        <v>275</v>
      </c>
      <c r="DR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6" s="300">
        <v>45467</v>
      </c>
      <c r="DT46" s="300" t="e">
        <v>#N/A</v>
      </c>
      <c r="DU46" s="300">
        <v>45508</v>
      </c>
      <c r="DV46" s="300" t="e">
        <v>#N/A</v>
      </c>
      <c r="DW46" s="301"/>
      <c r="DX46" s="286"/>
      <c r="DY46" s="304"/>
      <c r="DZ46" s="304"/>
      <c r="EA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 s="301"/>
      <c r="EC46" s="302"/>
      <c r="ED46" s="302"/>
      <c r="EE46" s="300"/>
      <c r="EF46" s="35">
        <v>1</v>
      </c>
      <c r="EG46" s="307">
        <v>1</v>
      </c>
      <c r="EH46" s="286" t="str">
        <f>IF(Table1[[#This Row],[PO Material Aktual 
(%)]]&gt;=100%,"Selesai PO = 100%",IF(Table1[[#This Row],[PO Material Aktual 
(%)]]&gt;=50%,"Proses PO &gt; 100%",IF(Table1[[#This Row],[PO Material Aktual 
(%)]]&gt;0%,"Proses PO &gt; 50%",IF(Table1[[#This Row],[PO Material Aktual 
(%)]]=0,"Belum PO = 0%"))))</f>
        <v>Selesai PO = 100%</v>
      </c>
      <c r="EI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 s="300">
        <v>45509</v>
      </c>
      <c r="EK46" s="300" t="e">
        <v>#N/A</v>
      </c>
      <c r="EL46" s="300">
        <v>45620</v>
      </c>
      <c r="EM46" s="300" t="e">
        <v>#N/A</v>
      </c>
      <c r="EN46" s="301"/>
      <c r="EO46" s="302"/>
      <c r="EP46" s="302"/>
      <c r="EQ46" s="82">
        <v>1</v>
      </c>
      <c r="ER46" s="82">
        <v>1</v>
      </c>
      <c r="ES46" s="286" t="str">
        <f>IF(Table1[[#This Row],[Progres MOS]]&gt;=100%,"Selesai MOS = 100%",IF(Table1[[#This Row],[Progres MOS]]&gt;=50%,"Proses MOS &gt; 100%",IF(Table1[[#This Row],[Progres MOS]]&gt;0%,"Proses MOS &gt; 50%",IF(Table1[[#This Row],[Progres MOS]]=0,"Belum MOS = 0%"))))</f>
        <v>Selesai MOS = 100%</v>
      </c>
      <c r="ET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 s="42"/>
      <c r="EV46" s="300">
        <v>45467</v>
      </c>
      <c r="EW46" s="300" t="e">
        <v>#N/A</v>
      </c>
      <c r="EX46" s="300">
        <v>45564</v>
      </c>
      <c r="EY46" s="300" t="e">
        <v>#N/A</v>
      </c>
      <c r="EZ46" s="322" t="s">
        <v>298</v>
      </c>
      <c r="FA46" s="306" t="s">
        <v>259</v>
      </c>
      <c r="FB46" s="300" t="s">
        <v>260</v>
      </c>
      <c r="FC46" s="300">
        <v>45736</v>
      </c>
      <c r="FD46" s="300" t="s">
        <v>260</v>
      </c>
      <c r="FE46" s="300">
        <v>45874</v>
      </c>
      <c r="FF46" s="300">
        <v>45894</v>
      </c>
      <c r="FG46" s="300" t="s">
        <v>260</v>
      </c>
      <c r="FH46" s="300" t="s">
        <v>260</v>
      </c>
      <c r="FI46" s="300">
        <v>46020</v>
      </c>
      <c r="FJ46" s="300" t="s">
        <v>260</v>
      </c>
      <c r="FK46" s="300">
        <v>46087</v>
      </c>
      <c r="FL46" s="306" t="s">
        <v>298</v>
      </c>
      <c r="FM46" s="306">
        <v>45736</v>
      </c>
      <c r="FN46" s="284">
        <f>IF(Table1[[#This Row],[Tanggal Pengajuan Dokumen]]="","",Table1[[#This Row],[PLAN PERMIT
start]]-Table1[[#This Row],[Tanggal Pengajuan Dokumen]])</f>
        <v>-269</v>
      </c>
      <c r="FO46" s="306"/>
      <c r="FP46" s="286"/>
      <c r="FQ46" s="308"/>
      <c r="FR46" s="322"/>
      <c r="FS46" s="308" t="str">
        <f t="shared" si="5"/>
        <v>Sudah Terbit</v>
      </c>
      <c r="FT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6" s="314">
        <f ca="1">IF(Table1[[#This Row],[Status Izin]]="Selesai",Table1[[#This Row],[PLAN PERMIT
finish]]-Table1[[#This Row],[Tanggal Terbit/ Target Izin Terbit]],ROUNDUP(Table1[[#This Row],[PLAN PERMIT
finish]]-NOW(),0))</f>
        <v>45564</v>
      </c>
      <c r="FV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 s="314"/>
      <c r="FX46" s="42"/>
      <c r="FY46" s="310"/>
      <c r="FZ46" s="311"/>
      <c r="GA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 s="300">
        <v>45538</v>
      </c>
      <c r="GC46" s="301">
        <v>45488</v>
      </c>
      <c r="GD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6" s="300">
        <v>45545</v>
      </c>
      <c r="GF46" s="301">
        <v>45488</v>
      </c>
      <c r="GG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6" s="300">
        <v>45551</v>
      </c>
      <c r="GI46" s="300">
        <v>45557</v>
      </c>
      <c r="GJ46" s="323">
        <v>45491</v>
      </c>
      <c r="GK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6" s="300">
        <v>45565</v>
      </c>
      <c r="GM46" s="300" t="e">
        <v>#N/A</v>
      </c>
      <c r="GN46" s="300">
        <v>45690</v>
      </c>
      <c r="GO46" s="300" t="e">
        <v>#N/A</v>
      </c>
      <c r="GP46" s="286"/>
      <c r="GQ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 s="300" t="s">
        <v>261</v>
      </c>
      <c r="GS46" s="300" t="s">
        <v>261</v>
      </c>
      <c r="GT46" s="324">
        <v>45639</v>
      </c>
      <c r="GU46" s="314" t="str">
        <f>IF(Table1[[#This Row],[Hydro Tes Actual
(tanggal)]]&lt;&gt;"","Sudah","Belum")</f>
        <v>Sudah</v>
      </c>
      <c r="GV46" s="300" t="s">
        <v>261</v>
      </c>
      <c r="GW46" s="300" t="s">
        <v>261</v>
      </c>
      <c r="GX46" s="301">
        <v>45645</v>
      </c>
      <c r="GY46" s="314" t="str">
        <f>IF(Table1[[#This Row],[Interkoneksi Actual
(tanggal)]]&lt;&gt;"","Sudah","Belum")</f>
        <v>Sudah</v>
      </c>
      <c r="GZ46" s="300" t="s">
        <v>261</v>
      </c>
      <c r="HA46" s="300" t="s">
        <v>261</v>
      </c>
      <c r="HB46" s="301">
        <v>45677</v>
      </c>
      <c r="HC46" s="314" t="str">
        <f>IF(Table1[[#This Row],[Flushing Actual
(tanggal)]]&lt;&gt;"","Sudah","Belum")</f>
        <v>Sudah</v>
      </c>
      <c r="HD46" s="300">
        <v>45677</v>
      </c>
      <c r="HE46" s="300" t="e">
        <v>#N/A</v>
      </c>
      <c r="HF46" s="300">
        <v>45683</v>
      </c>
      <c r="HG46" s="316">
        <v>45703</v>
      </c>
      <c r="HH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6" s="300" t="s">
        <v>261</v>
      </c>
      <c r="HJ46" s="300" t="s">
        <v>261</v>
      </c>
      <c r="HK46" s="301"/>
      <c r="HL46" s="286"/>
      <c r="HM46" s="300">
        <v>45702</v>
      </c>
      <c r="HN46" s="300">
        <v>45702</v>
      </c>
      <c r="HO46" s="300" t="e">
        <v>#N/A</v>
      </c>
      <c r="HP46" s="300"/>
      <c r="HQ46" s="316">
        <v>45737</v>
      </c>
      <c r="HR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6" s="300">
        <v>45709</v>
      </c>
      <c r="HT46" s="300"/>
      <c r="HU46" s="300">
        <v>45709</v>
      </c>
      <c r="HV46" s="497"/>
      <c r="HW46" s="300">
        <v>45748</v>
      </c>
      <c r="HX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6" s="42"/>
      <c r="HZ46" s="322"/>
      <c r="IA46" s="306"/>
      <c r="IC46" s="585">
        <f>IFERROR(ROUND((Table1[[#This Row],[PLAN TC
finish]]-Table1[[#This Row],[PLAN MC-0
start]])/30,2),"")</f>
        <v>4.4000000000000004</v>
      </c>
      <c r="ID46">
        <f>DATEDIF(Table1[[#This Row],[PLAN MC-0
start]],Table1[[#This Row],[PLAN TC
finish]],"m")</f>
        <v>4</v>
      </c>
    </row>
    <row r="47" spans="1:238" s="4" customFormat="1" ht="15" customHeight="1" x14ac:dyDescent="0.25">
      <c r="B47" s="281">
        <f>SUBTOTAL(3,$D$5:D47)</f>
        <v>43</v>
      </c>
      <c r="C47" s="318">
        <v>43</v>
      </c>
      <c r="D47" s="285" t="s">
        <v>244</v>
      </c>
      <c r="E47" s="285" t="s">
        <v>474</v>
      </c>
      <c r="F47" s="285" t="s">
        <v>475</v>
      </c>
      <c r="G47" s="319">
        <v>45752</v>
      </c>
      <c r="H47" s="284" t="s">
        <v>247</v>
      </c>
      <c r="I47" s="285" t="s">
        <v>278</v>
      </c>
      <c r="J47" s="285"/>
      <c r="K47" s="308" t="s">
        <v>249</v>
      </c>
      <c r="L47" s="286" t="s">
        <v>250</v>
      </c>
      <c r="M47" s="286" t="s">
        <v>269</v>
      </c>
      <c r="N47" s="94">
        <v>3460</v>
      </c>
      <c r="O47" s="31" t="s">
        <v>252</v>
      </c>
      <c r="P4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7" s="82" t="e">
        <v>#N/A</v>
      </c>
      <c r="S47" s="82">
        <v>1</v>
      </c>
      <c r="T47" s="35">
        <f>Table1[[#This Row],[Progres Total Aktual
(%)]]</f>
        <v>1</v>
      </c>
      <c r="U47" s="106">
        <f>Table1[[#This Row],[Progres Aktual
(%)]]-Table1[[#This Row],[Target Progres
(%)]]</f>
        <v>0</v>
      </c>
      <c r="V47" s="320">
        <f>Table1[[#This Row],["Volume
BA MC-0"]]</f>
        <v>3290</v>
      </c>
      <c r="W47" s="321">
        <f>Table1[[#This Row],[Total Panjang Pipa Aktual
(Sum-&gt;)3]]</f>
        <v>3005.8</v>
      </c>
      <c r="X47" s="42"/>
      <c r="Y47" s="62" t="s">
        <v>476</v>
      </c>
      <c r="Z47" s="62">
        <v>5118988153</v>
      </c>
      <c r="AA47" s="62">
        <f>ROUND((Table1[[#This Row],[Nilai RAB Jaringan
(Exclude Ppn)]]-Table1[[#This Row],[RAB Perizinan]])*1.11+Table1[[#This Row],[RAB Perizinan]],0)</f>
        <v>0</v>
      </c>
      <c r="AB47" s="290">
        <f>SUM(Table1[[#This Row],[RAB Kegiatan Umum]:[RAB Perizinan]])</f>
        <v>0</v>
      </c>
      <c r="AC47" s="290"/>
      <c r="AD47" s="290"/>
      <c r="AE47" s="290"/>
      <c r="AF47" s="290"/>
      <c r="AG47" s="290">
        <v>4640403752</v>
      </c>
      <c r="AH47" s="35" t="e">
        <f>SUM(Table1[[#This Row],[Bobot Keg Umum]:[Bobot Perizinan]])</f>
        <v>#DIV/0!</v>
      </c>
      <c r="AI47" s="35" t="e">
        <f>Table1[[#This Row],[RAB Kegiatan Umum]]/Table1[[#This Row],[Nilai RAB Jaringan
(Exclude Ppn)]]</f>
        <v>#DIV/0!</v>
      </c>
      <c r="AJ47" s="35" t="e">
        <f>Table1[[#This Row],[RAB Pemasangan]]/Table1[[#This Row],[Nilai RAB Jaringan
(Exclude Ppn)]]</f>
        <v>#DIV/0!</v>
      </c>
      <c r="AK47" s="35" t="e">
        <f>Table1[[#This Row],[RAB Pengadaan]]/Table1[[#This Row],[Nilai RAB Jaringan
(Exclude Ppn)]]</f>
        <v>#DIV/0!</v>
      </c>
      <c r="AL47" s="35" t="e">
        <f>Table1[[#This Row],[RAB Perizinan]]/Table1[[#This Row],[Nilai RAB Jaringan
(Exclude Ppn)]]</f>
        <v>#DIV/0!</v>
      </c>
      <c r="AM47" s="42"/>
      <c r="AN47" s="256">
        <v>3290</v>
      </c>
      <c r="AO47" s="256">
        <f>SUM(Table1[[#This Row],[Pipa 63 mm]:[Pipa 1,800 mm]])</f>
        <v>0</v>
      </c>
      <c r="AP47" s="256"/>
      <c r="AQ47" s="256"/>
      <c r="AR47" s="256"/>
      <c r="AS47" s="256"/>
      <c r="AT47" s="256"/>
      <c r="AU47" s="256"/>
      <c r="AV47" s="256"/>
      <c r="AW47" s="256"/>
      <c r="AX47" s="256"/>
      <c r="AY47" s="256"/>
      <c r="AZ47" s="256"/>
      <c r="BA47" s="256"/>
      <c r="BB47" s="256"/>
      <c r="BC47" s="256"/>
      <c r="BD47" s="256"/>
      <c r="BE47" s="256"/>
      <c r="BF47" s="256"/>
      <c r="BG47" s="256"/>
      <c r="BH47" s="256"/>
      <c r="BI47" s="256"/>
      <c r="BJ47" s="36">
        <f>SUM(Table1[[#This Row],[Pipa 63 mm2]:[Pipa 1,800 mm21]])</f>
        <v>3005.8</v>
      </c>
      <c r="BK47" s="326">
        <v>1798.8</v>
      </c>
      <c r="BL47" s="326">
        <v>471</v>
      </c>
      <c r="BM47" s="326">
        <v>736</v>
      </c>
      <c r="BN47" s="326"/>
      <c r="BO47" s="326"/>
      <c r="BP47" s="326"/>
      <c r="BQ47" s="326"/>
      <c r="BR47" s="326"/>
      <c r="BS47" s="326"/>
      <c r="BT47" s="326"/>
      <c r="BU47" s="326"/>
      <c r="BV47" s="326"/>
      <c r="BW47" s="326"/>
      <c r="BX47" s="326"/>
      <c r="BY47" s="326"/>
      <c r="BZ47" s="326"/>
      <c r="CA47" s="326"/>
      <c r="CB47" s="326"/>
      <c r="CC47" s="326"/>
      <c r="CD47" s="326"/>
      <c r="CE47" s="32">
        <v>863</v>
      </c>
      <c r="CF47" s="32"/>
      <c r="CG47" s="32"/>
      <c r="CH47" s="32"/>
      <c r="CI47" s="32">
        <f t="shared" si="3"/>
        <v>863</v>
      </c>
      <c r="CJ47" s="60">
        <f>IF((Table1[[#This Row],["Volume
BA MC-0"]]-Table1[[#This Row],[Total Panjang Pipa Aktual
(Sum-&gt;)3]]-Table1[[#This Row],[Total Volume
tidak dapat dipasang]])&gt;=0,Table1[[#This Row],["Volume
BA MC-0"]]-Table1[[#This Row],[Total Panjang Pipa Aktual
(Sum-&gt;)3]]-Table1[[#This Row],[Total Volume
tidak dapat dipasang]],0)</f>
        <v>0</v>
      </c>
      <c r="CK47" s="42"/>
      <c r="CL47" s="113"/>
      <c r="CM47" s="35"/>
      <c r="CN47" s="113"/>
      <c r="CO47" s="113"/>
      <c r="CP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7" s="61">
        <f>IFERROR(Table1[[#This Row],[Progres Keg. Umum
(%)]]*Table1[[#This Row],[Nilai RAB Jaringan
(file pa aji)]],0)</f>
        <v>0</v>
      </c>
      <c r="CR47" s="61">
        <f>IFERROR(Table1[[#This Row],[Progres MOS
(%)]]*Table1[[#This Row],[Nilai RAB Jaringan
(file pa aji)]],0)</f>
        <v>0</v>
      </c>
      <c r="CS47" s="61">
        <f>IFERROR(Table1[[#This Row],[Progres Pemasangan
(%)]]*Table1[[#This Row],[Nilai RAB Jaringan
(file pa aji)]],0)</f>
        <v>0</v>
      </c>
      <c r="CT47" s="61">
        <f>IFERROR(Table1[[#This Row],[Progres Perizinan
(%)]]*Table1[[#This Row],[Nilai RAB Jaringan
(file pa aji)]],0)</f>
        <v>0</v>
      </c>
      <c r="CU47" s="789">
        <v>4879057186</v>
      </c>
      <c r="CV47" s="299">
        <v>4879057186</v>
      </c>
      <c r="CW47" s="552">
        <v>4879057186</v>
      </c>
      <c r="CX47" s="789">
        <f>_xlfn.XLOOKUP(Table1[[#This Row],[Kode Program]],'[1]Breakdown VOWD Greenfield'!$E:$E,'[1]Breakdown VOWD Greenfield'!$AT:$AT)</f>
        <v>4879057186</v>
      </c>
      <c r="CY47" s="42"/>
      <c r="CZ47" s="300">
        <v>45439</v>
      </c>
      <c r="DA47" s="300">
        <v>45466</v>
      </c>
      <c r="DB47" s="301"/>
      <c r="DC47" s="286"/>
      <c r="DD47" s="62"/>
      <c r="DE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7" s="301"/>
      <c r="DG47" s="286"/>
      <c r="DH47" s="62"/>
      <c r="DI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7" s="300">
        <v>45467</v>
      </c>
      <c r="DK47" s="300">
        <v>45536</v>
      </c>
      <c r="DL47" s="301">
        <v>45476</v>
      </c>
      <c r="DM47" s="327" t="s">
        <v>477</v>
      </c>
      <c r="DN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7" s="301">
        <v>45482</v>
      </c>
      <c r="DP47" s="286" t="s">
        <v>478</v>
      </c>
      <c r="DQ47" s="308" t="s">
        <v>479</v>
      </c>
      <c r="DR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7" s="300">
        <v>45467</v>
      </c>
      <c r="DT47" s="300" t="e">
        <v>#N/A</v>
      </c>
      <c r="DU47" s="300">
        <v>45508</v>
      </c>
      <c r="DV47" s="300" t="e">
        <v>#N/A</v>
      </c>
      <c r="DW47" s="301"/>
      <c r="DX47" s="286"/>
      <c r="DY47" s="304"/>
      <c r="DZ47" s="304"/>
      <c r="EA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7" s="301"/>
      <c r="EC47" s="302"/>
      <c r="ED47" s="302"/>
      <c r="EE47" s="300"/>
      <c r="EF47" s="35">
        <v>1</v>
      </c>
      <c r="EG47" s="307">
        <v>1</v>
      </c>
      <c r="EH47" s="286" t="str">
        <f>IF(Table1[[#This Row],[PO Material Aktual 
(%)]]&gt;=100%,"Selesai PO = 100%",IF(Table1[[#This Row],[PO Material Aktual 
(%)]]&gt;=50%,"Proses PO &gt; 100%",IF(Table1[[#This Row],[PO Material Aktual 
(%)]]&gt;0%,"Proses PO &gt; 50%",IF(Table1[[#This Row],[PO Material Aktual 
(%)]]=0,"Belum PO = 0%"))))</f>
        <v>Selesai PO = 100%</v>
      </c>
      <c r="EI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7" s="300">
        <v>45509</v>
      </c>
      <c r="EK47" s="300" t="e">
        <v>#N/A</v>
      </c>
      <c r="EL47" s="300">
        <v>45620</v>
      </c>
      <c r="EM47" s="300" t="e">
        <v>#N/A</v>
      </c>
      <c r="EN47" s="301"/>
      <c r="EO47" s="302"/>
      <c r="EP47" s="302"/>
      <c r="EQ47" s="82">
        <v>1</v>
      </c>
      <c r="ER47" s="82">
        <v>1</v>
      </c>
      <c r="ES47" s="286" t="str">
        <f>IF(Table1[[#This Row],[Progres MOS]]&gt;=100%,"Selesai MOS = 100%",IF(Table1[[#This Row],[Progres MOS]]&gt;=50%,"Proses MOS &gt; 100%",IF(Table1[[#This Row],[Progres MOS]]&gt;0%,"Proses MOS &gt; 50%",IF(Table1[[#This Row],[Progres MOS]]=0,"Belum MOS = 0%"))))</f>
        <v>Selesai MOS = 100%</v>
      </c>
      <c r="ET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7" s="42"/>
      <c r="EV47" s="300">
        <v>45467</v>
      </c>
      <c r="EW47" s="300" t="e">
        <v>#N/A</v>
      </c>
      <c r="EX47" s="300">
        <v>45564</v>
      </c>
      <c r="EY47" s="300" t="e">
        <v>#N/A</v>
      </c>
      <c r="EZ47" s="322" t="s">
        <v>298</v>
      </c>
      <c r="FA47" s="306" t="s">
        <v>259</v>
      </c>
      <c r="FB47" s="300" t="s">
        <v>260</v>
      </c>
      <c r="FC47" s="300">
        <v>45736</v>
      </c>
      <c r="FD47" s="300" t="s">
        <v>260</v>
      </c>
      <c r="FE47" s="300">
        <v>45874</v>
      </c>
      <c r="FF47" s="300">
        <v>45894</v>
      </c>
      <c r="FG47" s="300" t="s">
        <v>260</v>
      </c>
      <c r="FH47" s="300" t="s">
        <v>260</v>
      </c>
      <c r="FI47" s="300">
        <v>46020</v>
      </c>
      <c r="FJ47" s="300" t="s">
        <v>260</v>
      </c>
      <c r="FK47" s="300">
        <v>46087</v>
      </c>
      <c r="FL47" s="306" t="s">
        <v>298</v>
      </c>
      <c r="FM47" s="306">
        <v>45736</v>
      </c>
      <c r="FN47" s="284">
        <f>IF(Table1[[#This Row],[Tanggal Pengajuan Dokumen]]="","",Table1[[#This Row],[PLAN PERMIT
start]]-Table1[[#This Row],[Tanggal Pengajuan Dokumen]])</f>
        <v>-269</v>
      </c>
      <c r="FO47" s="306"/>
      <c r="FP47" s="286"/>
      <c r="FQ47" s="308"/>
      <c r="FR47" s="322"/>
      <c r="FS47" s="308" t="str">
        <f t="shared" si="5"/>
        <v>Sudah Terbit</v>
      </c>
      <c r="FT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7" s="314">
        <f ca="1">IF(Table1[[#This Row],[Status Izin]]="Selesai",Table1[[#This Row],[PLAN PERMIT
finish]]-Table1[[#This Row],[Tanggal Terbit/ Target Izin Terbit]],ROUNDUP(Table1[[#This Row],[PLAN PERMIT
finish]]-NOW(),0))</f>
        <v>45564</v>
      </c>
      <c r="FV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7" s="314"/>
      <c r="FX47" s="42"/>
      <c r="FY47" s="310"/>
      <c r="FZ47" s="311"/>
      <c r="GA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7" s="300">
        <v>45538</v>
      </c>
      <c r="GC47" s="301">
        <v>45488</v>
      </c>
      <c r="GD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7" s="300">
        <v>45545</v>
      </c>
      <c r="GF47" s="301">
        <v>45488</v>
      </c>
      <c r="GG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7" s="300">
        <v>45551</v>
      </c>
      <c r="GI47" s="300">
        <v>45557</v>
      </c>
      <c r="GJ47" s="323">
        <v>45491</v>
      </c>
      <c r="GK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7" s="300">
        <v>45565</v>
      </c>
      <c r="GM47" s="300" t="e">
        <v>#N/A</v>
      </c>
      <c r="GN47" s="300">
        <v>45690</v>
      </c>
      <c r="GO47" s="300" t="e">
        <v>#N/A</v>
      </c>
      <c r="GP47" s="286"/>
      <c r="GQ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7" s="300" t="s">
        <v>261</v>
      </c>
      <c r="GS47" s="300" t="s">
        <v>261</v>
      </c>
      <c r="GT47" s="324">
        <v>45602</v>
      </c>
      <c r="GU47" s="314" t="str">
        <f>IF(Table1[[#This Row],[Hydro Tes Actual
(tanggal)]]&lt;&gt;"","Sudah","Belum")</f>
        <v>Sudah</v>
      </c>
      <c r="GV47" s="300" t="s">
        <v>261</v>
      </c>
      <c r="GW47" s="300" t="s">
        <v>261</v>
      </c>
      <c r="GX47" s="301">
        <v>45621</v>
      </c>
      <c r="GY47" s="314" t="str">
        <f>IF(Table1[[#This Row],[Interkoneksi Actual
(tanggal)]]&lt;&gt;"","Sudah","Belum")</f>
        <v>Sudah</v>
      </c>
      <c r="GZ47" s="300" t="s">
        <v>261</v>
      </c>
      <c r="HA47" s="300" t="s">
        <v>261</v>
      </c>
      <c r="HB47" s="301">
        <v>45677</v>
      </c>
      <c r="HC47" s="314" t="str">
        <f>IF(Table1[[#This Row],[Flushing Actual
(tanggal)]]&lt;&gt;"","Sudah","Belum")</f>
        <v>Sudah</v>
      </c>
      <c r="HD47" s="300">
        <v>45677</v>
      </c>
      <c r="HE47" s="300" t="e">
        <v>#N/A</v>
      </c>
      <c r="HF47" s="300">
        <v>45683</v>
      </c>
      <c r="HG47" s="316">
        <v>45704</v>
      </c>
      <c r="HH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7" s="300" t="s">
        <v>261</v>
      </c>
      <c r="HJ47" s="300" t="s">
        <v>261</v>
      </c>
      <c r="HK47" s="301"/>
      <c r="HL47" s="286"/>
      <c r="HM47" s="300">
        <v>45702</v>
      </c>
      <c r="HN47" s="300">
        <v>45702</v>
      </c>
      <c r="HO47" s="300" t="e">
        <v>#N/A</v>
      </c>
      <c r="HP47" s="300"/>
      <c r="HQ47" s="316">
        <v>45733</v>
      </c>
      <c r="HR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7" s="300">
        <v>45709</v>
      </c>
      <c r="HT47" s="300"/>
      <c r="HU47" s="300">
        <v>45709</v>
      </c>
      <c r="HV47" s="497"/>
      <c r="HW47" s="300">
        <v>45748</v>
      </c>
      <c r="HX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7" s="42"/>
      <c r="HZ47" s="322"/>
      <c r="IA47" s="306"/>
      <c r="IC47" s="585">
        <f>IFERROR(ROUND((Table1[[#This Row],[PLAN TC
finish]]-Table1[[#This Row],[PLAN MC-0
start]])/30,2),"")</f>
        <v>4.4000000000000004</v>
      </c>
      <c r="ID47">
        <f>DATEDIF(Table1[[#This Row],[PLAN MC-0
start]],Table1[[#This Row],[PLAN TC
finish]],"m")</f>
        <v>4</v>
      </c>
    </row>
    <row r="48" spans="1:238" s="4" customFormat="1" ht="15" customHeight="1" x14ac:dyDescent="0.25">
      <c r="B48" s="281">
        <f>SUBTOTAL(3,$D$5:D48)</f>
        <v>44</v>
      </c>
      <c r="C48" s="318">
        <v>44</v>
      </c>
      <c r="D48" s="285" t="s">
        <v>244</v>
      </c>
      <c r="E48" s="285" t="s">
        <v>480</v>
      </c>
      <c r="F48" s="285" t="s">
        <v>481</v>
      </c>
      <c r="G48" s="319">
        <v>45752</v>
      </c>
      <c r="H48" s="284" t="s">
        <v>247</v>
      </c>
      <c r="I48" s="285" t="s">
        <v>278</v>
      </c>
      <c r="J48" s="285"/>
      <c r="K48" s="308" t="s">
        <v>249</v>
      </c>
      <c r="L48" s="286" t="s">
        <v>250</v>
      </c>
      <c r="M48" s="286" t="s">
        <v>269</v>
      </c>
      <c r="N48" s="94">
        <v>4533</v>
      </c>
      <c r="O48" s="31" t="s">
        <v>252</v>
      </c>
      <c r="P4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8" s="82" t="e">
        <v>#N/A</v>
      </c>
      <c r="S48" s="82">
        <v>1</v>
      </c>
      <c r="T48" s="35">
        <f>Table1[[#This Row],[Progres Total Aktual
(%)]]</f>
        <v>1</v>
      </c>
      <c r="U48" s="106">
        <f>Table1[[#This Row],[Progres Aktual
(%)]]-Table1[[#This Row],[Target Progres
(%)]]</f>
        <v>0</v>
      </c>
      <c r="V48" s="320">
        <f>Table1[[#This Row],["Volume
BA MC-0"]]</f>
        <v>5129</v>
      </c>
      <c r="W48" s="321">
        <f>Table1[[#This Row],[Total Panjang Pipa Aktual
(Sum-&gt;)3]]</f>
        <v>1976.5</v>
      </c>
      <c r="X48" s="42"/>
      <c r="Y48" s="62" t="s">
        <v>482</v>
      </c>
      <c r="Z48" s="62">
        <v>9297004378</v>
      </c>
      <c r="AA48" s="62">
        <f>ROUND((Table1[[#This Row],[Nilai RAB Jaringan
(Exclude Ppn)]]-Table1[[#This Row],[RAB Perizinan]])*1.11+Table1[[#This Row],[RAB Perizinan]],0)</f>
        <v>0</v>
      </c>
      <c r="AB48" s="290">
        <f>SUM(Table1[[#This Row],[RAB Kegiatan Umum]:[RAB Perizinan]])</f>
        <v>0</v>
      </c>
      <c r="AC48" s="290"/>
      <c r="AD48" s="290"/>
      <c r="AE48" s="290"/>
      <c r="AF48" s="290"/>
      <c r="AG48" s="290">
        <v>6116150528</v>
      </c>
      <c r="AH48" s="35" t="e">
        <f>SUM(Table1[[#This Row],[Bobot Keg Umum]:[Bobot Perizinan]])</f>
        <v>#DIV/0!</v>
      </c>
      <c r="AI48" s="35" t="e">
        <f>Table1[[#This Row],[RAB Kegiatan Umum]]/Table1[[#This Row],[Nilai RAB Jaringan
(Exclude Ppn)]]</f>
        <v>#DIV/0!</v>
      </c>
      <c r="AJ48" s="35" t="e">
        <f>Table1[[#This Row],[RAB Pemasangan]]/Table1[[#This Row],[Nilai RAB Jaringan
(Exclude Ppn)]]</f>
        <v>#DIV/0!</v>
      </c>
      <c r="AK48" s="35" t="e">
        <f>Table1[[#This Row],[RAB Pengadaan]]/Table1[[#This Row],[Nilai RAB Jaringan
(Exclude Ppn)]]</f>
        <v>#DIV/0!</v>
      </c>
      <c r="AL48" s="35" t="e">
        <f>Table1[[#This Row],[RAB Perizinan]]/Table1[[#This Row],[Nilai RAB Jaringan
(Exclude Ppn)]]</f>
        <v>#DIV/0!</v>
      </c>
      <c r="AM48" s="42"/>
      <c r="AN48" s="256">
        <v>5129</v>
      </c>
      <c r="AO48" s="256">
        <f>SUM(Table1[[#This Row],[Pipa 63 mm]:[Pipa 1,800 mm]])</f>
        <v>0</v>
      </c>
      <c r="AP48" s="256"/>
      <c r="AQ48" s="256"/>
      <c r="AR48" s="256"/>
      <c r="AS48" s="256"/>
      <c r="AT48" s="256"/>
      <c r="AU48" s="256"/>
      <c r="AV48" s="256"/>
      <c r="AW48" s="256"/>
      <c r="AX48" s="256"/>
      <c r="AY48" s="256"/>
      <c r="AZ48" s="256"/>
      <c r="BA48" s="256"/>
      <c r="BB48" s="256"/>
      <c r="BC48" s="256"/>
      <c r="BD48" s="256"/>
      <c r="BE48" s="256"/>
      <c r="BF48" s="256"/>
      <c r="BG48" s="256"/>
      <c r="BH48" s="256"/>
      <c r="BI48" s="256"/>
      <c r="BJ48" s="36">
        <f>SUM(Table1[[#This Row],[Pipa 63 mm2]:[Pipa 1,800 mm21]])</f>
        <v>1976.5</v>
      </c>
      <c r="BK48" s="326">
        <v>1106.2</v>
      </c>
      <c r="BL48" s="326">
        <v>97.1</v>
      </c>
      <c r="BM48" s="326"/>
      <c r="BN48" s="326"/>
      <c r="BO48" s="326"/>
      <c r="BP48" s="326">
        <v>94.3</v>
      </c>
      <c r="BQ48" s="326">
        <v>678.9</v>
      </c>
      <c r="BR48" s="326"/>
      <c r="BS48" s="326"/>
      <c r="BT48" s="326"/>
      <c r="BU48" s="326"/>
      <c r="BV48" s="326"/>
      <c r="BW48" s="326"/>
      <c r="BX48" s="326"/>
      <c r="BY48" s="326"/>
      <c r="BZ48" s="326"/>
      <c r="CA48" s="326"/>
      <c r="CB48" s="326"/>
      <c r="CC48" s="326"/>
      <c r="CD48" s="326"/>
      <c r="CE48" s="32">
        <v>2564</v>
      </c>
      <c r="CF48" s="32"/>
      <c r="CG48" s="32"/>
      <c r="CH48" s="32"/>
      <c r="CI48" s="32">
        <f t="shared" si="3"/>
        <v>2564</v>
      </c>
      <c r="CJ48" s="60">
        <f>IF((Table1[[#This Row],["Volume
BA MC-0"]]-Table1[[#This Row],[Total Panjang Pipa Aktual
(Sum-&gt;)3]]-Table1[[#This Row],[Total Volume
tidak dapat dipasang]])&gt;=0,Table1[[#This Row],["Volume
BA MC-0"]]-Table1[[#This Row],[Total Panjang Pipa Aktual
(Sum-&gt;)3]]-Table1[[#This Row],[Total Volume
tidak dapat dipasang]],0)</f>
        <v>588.5</v>
      </c>
      <c r="CK48" s="42"/>
      <c r="CL48" s="113"/>
      <c r="CM48" s="35"/>
      <c r="CN48" s="113"/>
      <c r="CO48" s="113"/>
      <c r="CP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8" s="61">
        <f>IFERROR(Table1[[#This Row],[Progres Keg. Umum
(%)]]*Table1[[#This Row],[Nilai RAB Jaringan
(file pa aji)]],0)</f>
        <v>0</v>
      </c>
      <c r="CR48" s="61">
        <f>IFERROR(Table1[[#This Row],[Progres MOS
(%)]]*Table1[[#This Row],[Nilai RAB Jaringan
(file pa aji)]],0)</f>
        <v>0</v>
      </c>
      <c r="CS48" s="61">
        <f>IFERROR(Table1[[#This Row],[Progres Pemasangan
(%)]]*Table1[[#This Row],[Nilai RAB Jaringan
(file pa aji)]],0)</f>
        <v>0</v>
      </c>
      <c r="CT48" s="61">
        <f>IFERROR(Table1[[#This Row],[Progres Perizinan
(%)]]*Table1[[#This Row],[Nilai RAB Jaringan
(file pa aji)]],0)</f>
        <v>0</v>
      </c>
      <c r="CU48" s="789">
        <v>6416913974</v>
      </c>
      <c r="CV48" s="299">
        <v>6416913974</v>
      </c>
      <c r="CW48" s="552">
        <v>6416913974</v>
      </c>
      <c r="CX48" s="789">
        <f>_xlfn.XLOOKUP(Table1[[#This Row],[Kode Program]],'[1]Breakdown VOWD Greenfield'!$E:$E,'[1]Breakdown VOWD Greenfield'!$AT:$AT)</f>
        <v>6416913974</v>
      </c>
      <c r="CY48" s="42"/>
      <c r="CZ48" s="300">
        <v>45439</v>
      </c>
      <c r="DA48" s="300">
        <v>45466</v>
      </c>
      <c r="DB48" s="301"/>
      <c r="DC48" s="286"/>
      <c r="DD48" s="62"/>
      <c r="DE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8" s="301"/>
      <c r="DG48" s="286"/>
      <c r="DH48" s="62"/>
      <c r="DI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8" s="300">
        <v>45467</v>
      </c>
      <c r="DK48" s="300">
        <v>45536</v>
      </c>
      <c r="DL48" s="301">
        <v>45498</v>
      </c>
      <c r="DM48" s="327" t="s">
        <v>483</v>
      </c>
      <c r="DN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8" s="301">
        <v>45527</v>
      </c>
      <c r="DP48" s="286" t="s">
        <v>484</v>
      </c>
      <c r="DQ48" s="308" t="s">
        <v>485</v>
      </c>
      <c r="DR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8" s="300">
        <v>45467</v>
      </c>
      <c r="DT48" s="300" t="e">
        <v>#N/A</v>
      </c>
      <c r="DU48" s="300">
        <v>45508</v>
      </c>
      <c r="DV48" s="300" t="e">
        <v>#N/A</v>
      </c>
      <c r="DW48" s="301"/>
      <c r="DX48" s="286"/>
      <c r="DY48" s="304"/>
      <c r="DZ48" s="304"/>
      <c r="EA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8" s="301"/>
      <c r="EC48" s="302"/>
      <c r="ED48" s="302"/>
      <c r="EE48" s="300"/>
      <c r="EF48" s="35">
        <v>1</v>
      </c>
      <c r="EG48" s="307">
        <v>1</v>
      </c>
      <c r="EH48" s="286" t="str">
        <f>IF(Table1[[#This Row],[PO Material Aktual 
(%)]]&gt;=100%,"Selesai PO = 100%",IF(Table1[[#This Row],[PO Material Aktual 
(%)]]&gt;=50%,"Proses PO &gt; 100%",IF(Table1[[#This Row],[PO Material Aktual 
(%)]]&gt;0%,"Proses PO &gt; 50%",IF(Table1[[#This Row],[PO Material Aktual 
(%)]]=0,"Belum PO = 0%"))))</f>
        <v>Selesai PO = 100%</v>
      </c>
      <c r="EI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8" s="300">
        <v>45509</v>
      </c>
      <c r="EK48" s="300" t="e">
        <v>#N/A</v>
      </c>
      <c r="EL48" s="300">
        <v>45620</v>
      </c>
      <c r="EM48" s="300" t="e">
        <v>#N/A</v>
      </c>
      <c r="EN48" s="301"/>
      <c r="EO48" s="302"/>
      <c r="EP48" s="302"/>
      <c r="EQ48" s="82">
        <v>1</v>
      </c>
      <c r="ER48" s="82">
        <v>1</v>
      </c>
      <c r="ES48" s="286" t="str">
        <f>IF(Table1[[#This Row],[Progres MOS]]&gt;=100%,"Selesai MOS = 100%",IF(Table1[[#This Row],[Progres MOS]]&gt;=50%,"Proses MOS &gt; 100%",IF(Table1[[#This Row],[Progres MOS]]&gt;0%,"Proses MOS &gt; 50%",IF(Table1[[#This Row],[Progres MOS]]=0,"Belum MOS = 0%"))))</f>
        <v>Selesai MOS = 100%</v>
      </c>
      <c r="ET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8" s="42"/>
      <c r="EV48" s="300">
        <v>45467</v>
      </c>
      <c r="EW48" s="300" t="e">
        <v>#N/A</v>
      </c>
      <c r="EX48" s="300">
        <v>45564</v>
      </c>
      <c r="EY48" s="300" t="e">
        <v>#N/A</v>
      </c>
      <c r="EZ48" s="322" t="s">
        <v>259</v>
      </c>
      <c r="FA48" s="306" t="s">
        <v>259</v>
      </c>
      <c r="FB48" s="300" t="s">
        <v>260</v>
      </c>
      <c r="FC48" s="300">
        <v>45553</v>
      </c>
      <c r="FD48" s="300" t="s">
        <v>260</v>
      </c>
      <c r="FE48" s="300">
        <v>45607</v>
      </c>
      <c r="FF48" s="300">
        <v>45671</v>
      </c>
      <c r="FG48" s="300" t="s">
        <v>260</v>
      </c>
      <c r="FH48" s="300" t="s">
        <v>260</v>
      </c>
      <c r="FI48" s="300">
        <v>45972</v>
      </c>
      <c r="FJ48" s="300" t="s">
        <v>260</v>
      </c>
      <c r="FK48" s="300">
        <v>46050</v>
      </c>
      <c r="FL48" s="306" t="s">
        <v>259</v>
      </c>
      <c r="FM48" s="306">
        <v>45553</v>
      </c>
      <c r="FN48" s="284">
        <f>IF(Table1[[#This Row],[Tanggal Pengajuan Dokumen]]="","",Table1[[#This Row],[PLAN PERMIT
start]]-Table1[[#This Row],[Tanggal Pengajuan Dokumen]])</f>
        <v>-86</v>
      </c>
      <c r="FO48" s="306"/>
      <c r="FP48" s="286"/>
      <c r="FQ48" s="308"/>
      <c r="FR48" s="322"/>
      <c r="FS48" s="308" t="str">
        <f t="shared" si="5"/>
        <v>Sudah Terbit</v>
      </c>
      <c r="FT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8" s="314">
        <f ca="1">IF(Table1[[#This Row],[Status Izin]]="Selesai",Table1[[#This Row],[PLAN PERMIT
finish]]-Table1[[#This Row],[Tanggal Terbit/ Target Izin Terbit]],ROUNDUP(Table1[[#This Row],[PLAN PERMIT
finish]]-NOW(),0))</f>
        <v>45564</v>
      </c>
      <c r="FV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8" s="314"/>
      <c r="FX48" s="42"/>
      <c r="FY48" s="310"/>
      <c r="FZ48" s="311"/>
      <c r="GA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8" s="300">
        <v>45538</v>
      </c>
      <c r="GC48" s="301">
        <v>45519</v>
      </c>
      <c r="GD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8" s="300">
        <v>45545</v>
      </c>
      <c r="GF48" s="301">
        <v>45519</v>
      </c>
      <c r="GG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8" s="300">
        <v>45551</v>
      </c>
      <c r="GI48" s="300">
        <v>45557</v>
      </c>
      <c r="GJ48" s="323">
        <v>45553</v>
      </c>
      <c r="GK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8" s="300">
        <v>45565</v>
      </c>
      <c r="GM48" s="300" t="e">
        <v>#N/A</v>
      </c>
      <c r="GN48" s="300">
        <v>45690</v>
      </c>
      <c r="GO48" s="300" t="e">
        <v>#N/A</v>
      </c>
      <c r="GP48" s="286"/>
      <c r="GQ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8" s="300" t="s">
        <v>261</v>
      </c>
      <c r="GS48" s="300" t="s">
        <v>261</v>
      </c>
      <c r="GT48" s="324">
        <v>45740</v>
      </c>
      <c r="GU48" s="314" t="str">
        <f>IF(Table1[[#This Row],[Hydro Tes Actual
(tanggal)]]&lt;&gt;"","Sudah","Belum")</f>
        <v>Sudah</v>
      </c>
      <c r="GV48" s="300" t="s">
        <v>261</v>
      </c>
      <c r="GW48" s="300" t="s">
        <v>261</v>
      </c>
      <c r="GX48" s="301">
        <v>45699</v>
      </c>
      <c r="GY48" s="314" t="str">
        <f>IF(Table1[[#This Row],[Interkoneksi Actual
(tanggal)]]&lt;&gt;"","Sudah","Belum")</f>
        <v>Sudah</v>
      </c>
      <c r="GZ48" s="300" t="s">
        <v>261</v>
      </c>
      <c r="HA48" s="300" t="s">
        <v>261</v>
      </c>
      <c r="HB48" s="301">
        <v>45744</v>
      </c>
      <c r="HC48" s="314" t="str">
        <f>IF(Table1[[#This Row],[Flushing Actual
(tanggal)]]&lt;&gt;"","Sudah","Belum")</f>
        <v>Sudah</v>
      </c>
      <c r="HD48" s="300">
        <v>45677</v>
      </c>
      <c r="HE48" s="300" t="e">
        <v>#N/A</v>
      </c>
      <c r="HF48" s="300">
        <v>45683</v>
      </c>
      <c r="HG48" s="316">
        <v>45720</v>
      </c>
      <c r="HH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8" s="300" t="s">
        <v>261</v>
      </c>
      <c r="HJ48" s="300" t="s">
        <v>261</v>
      </c>
      <c r="HK48" s="301"/>
      <c r="HL48" s="286"/>
      <c r="HM48" s="300">
        <v>45702</v>
      </c>
      <c r="HN48" s="300">
        <v>45702</v>
      </c>
      <c r="HO48" s="300" t="e">
        <v>#N/A</v>
      </c>
      <c r="HP48" s="300"/>
      <c r="HQ48" s="316">
        <v>45810</v>
      </c>
      <c r="HR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8" s="300">
        <v>45709</v>
      </c>
      <c r="HT48" s="300"/>
      <c r="HU48" s="300">
        <v>45709</v>
      </c>
      <c r="HV48" s="497"/>
      <c r="HW48" s="300">
        <v>45751</v>
      </c>
      <c r="HX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8" s="42"/>
      <c r="HZ48" s="322"/>
      <c r="IA48" s="306"/>
      <c r="IC48" s="585">
        <f>IFERROR(ROUND((Table1[[#This Row],[PLAN TC
finish]]-Table1[[#This Row],[PLAN MC-0
start]])/30,2),"")</f>
        <v>4.4000000000000004</v>
      </c>
      <c r="ID48">
        <f>DATEDIF(Table1[[#This Row],[PLAN MC-0
start]],Table1[[#This Row],[PLAN TC
finish]],"m")</f>
        <v>4</v>
      </c>
    </row>
    <row r="49" spans="1:238" s="4" customFormat="1" ht="15" customHeight="1" x14ac:dyDescent="0.25">
      <c r="B49" s="281">
        <f>SUBTOTAL(3,$D$5:D49)</f>
        <v>45</v>
      </c>
      <c r="C49" s="318">
        <v>45</v>
      </c>
      <c r="D49" s="285" t="s">
        <v>244</v>
      </c>
      <c r="E49" s="285" t="s">
        <v>486</v>
      </c>
      <c r="F49" s="285" t="s">
        <v>487</v>
      </c>
      <c r="G49" s="319">
        <v>45752</v>
      </c>
      <c r="H49" s="284" t="s">
        <v>247</v>
      </c>
      <c r="I49" s="285" t="s">
        <v>278</v>
      </c>
      <c r="J49" s="285"/>
      <c r="K49" s="308" t="s">
        <v>249</v>
      </c>
      <c r="L49" s="286" t="s">
        <v>250</v>
      </c>
      <c r="M49" s="286" t="s">
        <v>269</v>
      </c>
      <c r="N49" s="94">
        <v>6501</v>
      </c>
      <c r="O49" s="31" t="s">
        <v>252</v>
      </c>
      <c r="P4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9" s="82" t="e">
        <v>#N/A</v>
      </c>
      <c r="S49" s="82">
        <v>1</v>
      </c>
      <c r="T49" s="35">
        <f>Table1[[#This Row],[Progres Total Aktual
(%)]]</f>
        <v>1</v>
      </c>
      <c r="U49" s="106">
        <f>Table1[[#This Row],[Progres Aktual
(%)]]-Table1[[#This Row],[Target Progres
(%)]]</f>
        <v>0</v>
      </c>
      <c r="V49" s="320">
        <f>Table1[[#This Row],["Volume
BA MC-0"]]</f>
        <v>6208</v>
      </c>
      <c r="W49" s="321">
        <f>Table1[[#This Row],[Total Panjang Pipa Aktual
(Sum-&gt;)3]]</f>
        <v>4127</v>
      </c>
      <c r="X49" s="42"/>
      <c r="Y49" s="62" t="s">
        <v>488</v>
      </c>
      <c r="Z49" s="62">
        <v>11040926895</v>
      </c>
      <c r="AA49" s="62">
        <f>ROUND((Table1[[#This Row],[Nilai RAB Jaringan
(Exclude Ppn)]]-Table1[[#This Row],[RAB Perizinan]])*1.11+Table1[[#This Row],[RAB Perizinan]],0)</f>
        <v>0</v>
      </c>
      <c r="AB49" s="290">
        <f>SUM(Table1[[#This Row],[RAB Kegiatan Umum]:[RAB Perizinan]])</f>
        <v>0</v>
      </c>
      <c r="AC49" s="290"/>
      <c r="AD49" s="290"/>
      <c r="AE49" s="290"/>
      <c r="AF49" s="290"/>
      <c r="AG49" s="290">
        <v>5558646190</v>
      </c>
      <c r="AH49" s="35" t="e">
        <f>SUM(Table1[[#This Row],[Bobot Keg Umum]:[Bobot Perizinan]])</f>
        <v>#DIV/0!</v>
      </c>
      <c r="AI49" s="35" t="e">
        <f>Table1[[#This Row],[RAB Kegiatan Umum]]/Table1[[#This Row],[Nilai RAB Jaringan
(Exclude Ppn)]]</f>
        <v>#DIV/0!</v>
      </c>
      <c r="AJ49" s="35" t="e">
        <f>Table1[[#This Row],[RAB Pemasangan]]/Table1[[#This Row],[Nilai RAB Jaringan
(Exclude Ppn)]]</f>
        <v>#DIV/0!</v>
      </c>
      <c r="AK49" s="35" t="e">
        <f>Table1[[#This Row],[RAB Pengadaan]]/Table1[[#This Row],[Nilai RAB Jaringan
(Exclude Ppn)]]</f>
        <v>#DIV/0!</v>
      </c>
      <c r="AL49" s="35" t="e">
        <f>Table1[[#This Row],[RAB Perizinan]]/Table1[[#This Row],[Nilai RAB Jaringan
(Exclude Ppn)]]</f>
        <v>#DIV/0!</v>
      </c>
      <c r="AM49" s="42"/>
      <c r="AN49" s="256">
        <v>6208</v>
      </c>
      <c r="AO49" s="256">
        <f>SUM(Table1[[#This Row],[Pipa 63 mm]:[Pipa 1,800 mm]])</f>
        <v>0</v>
      </c>
      <c r="AP49" s="256"/>
      <c r="AQ49" s="256"/>
      <c r="AR49" s="256"/>
      <c r="AS49" s="256"/>
      <c r="AT49" s="256"/>
      <c r="AU49" s="256"/>
      <c r="AV49" s="256"/>
      <c r="AW49" s="256"/>
      <c r="AX49" s="256"/>
      <c r="AY49" s="256"/>
      <c r="AZ49" s="256"/>
      <c r="BA49" s="256"/>
      <c r="BB49" s="256"/>
      <c r="BC49" s="256"/>
      <c r="BD49" s="256"/>
      <c r="BE49" s="256"/>
      <c r="BF49" s="256"/>
      <c r="BG49" s="256"/>
      <c r="BH49" s="256"/>
      <c r="BI49" s="256"/>
      <c r="BJ49" s="36">
        <f>SUM(Table1[[#This Row],[Pipa 63 mm2]:[Pipa 1,800 mm21]])</f>
        <v>4127</v>
      </c>
      <c r="BK49" s="32">
        <v>2229.6999999999998</v>
      </c>
      <c r="BL49" s="32">
        <v>444.4</v>
      </c>
      <c r="BM49" s="32">
        <v>741.2</v>
      </c>
      <c r="BN49" s="32">
        <v>438.2</v>
      </c>
      <c r="BO49" s="32">
        <v>264.2</v>
      </c>
      <c r="BP49" s="32">
        <v>9.3000000000000007</v>
      </c>
      <c r="BQ49" s="32"/>
      <c r="BR49" s="32"/>
      <c r="BS49" s="32"/>
      <c r="BT49" s="32"/>
      <c r="BU49" s="32"/>
      <c r="BV49" s="32"/>
      <c r="BW49" s="32"/>
      <c r="BX49" s="32"/>
      <c r="BY49" s="32"/>
      <c r="BZ49" s="32"/>
      <c r="CA49" s="32"/>
      <c r="CB49" s="32"/>
      <c r="CC49" s="32"/>
      <c r="CD49" s="32"/>
      <c r="CE49" s="32">
        <v>1860</v>
      </c>
      <c r="CF49" s="32"/>
      <c r="CG49" s="32"/>
      <c r="CH49" s="32"/>
      <c r="CI49" s="32">
        <f t="shared" si="3"/>
        <v>1860</v>
      </c>
      <c r="CJ49" s="60">
        <f>IF((Table1[[#This Row],["Volume
BA MC-0"]]-Table1[[#This Row],[Total Panjang Pipa Aktual
(Sum-&gt;)3]]-Table1[[#This Row],[Total Volume
tidak dapat dipasang]])&gt;=0,Table1[[#This Row],["Volume
BA MC-0"]]-Table1[[#This Row],[Total Panjang Pipa Aktual
(Sum-&gt;)3]]-Table1[[#This Row],[Total Volume
tidak dapat dipasang]],0)</f>
        <v>221</v>
      </c>
      <c r="CK49" s="42"/>
      <c r="CL49" s="113"/>
      <c r="CM49" s="35"/>
      <c r="CN49" s="113"/>
      <c r="CO49" s="113"/>
      <c r="CP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9" s="61">
        <f>IFERROR(Table1[[#This Row],[Progres Keg. Umum
(%)]]*Table1[[#This Row],[Nilai RAB Jaringan
(file pa aji)]],0)</f>
        <v>0</v>
      </c>
      <c r="CR49" s="61">
        <f>IFERROR(Table1[[#This Row],[Progres MOS
(%)]]*Table1[[#This Row],[Nilai RAB Jaringan
(file pa aji)]],0)</f>
        <v>0</v>
      </c>
      <c r="CS49" s="61">
        <f>IFERROR(Table1[[#This Row],[Progres Pemasangan
(%)]]*Table1[[#This Row],[Nilai RAB Jaringan
(file pa aji)]],0)</f>
        <v>0</v>
      </c>
      <c r="CT49" s="61">
        <f>IFERROR(Table1[[#This Row],[Progres Perizinan
(%)]]*Table1[[#This Row],[Nilai RAB Jaringan
(file pa aji)]],0)</f>
        <v>0</v>
      </c>
      <c r="CU49" s="789">
        <v>6237279855</v>
      </c>
      <c r="CV49" s="299">
        <v>6237279855</v>
      </c>
      <c r="CW49" s="552">
        <v>6237279855</v>
      </c>
      <c r="CX49" s="789">
        <f>_xlfn.XLOOKUP(Table1[[#This Row],[Kode Program]],'[1]Breakdown VOWD Greenfield'!$E:$E,'[1]Breakdown VOWD Greenfield'!$AT:$AT)</f>
        <v>6237279855</v>
      </c>
      <c r="CY49" s="42"/>
      <c r="CZ49" s="300">
        <v>45439</v>
      </c>
      <c r="DA49" s="300">
        <v>45466</v>
      </c>
      <c r="DB49" s="301"/>
      <c r="DC49" s="286"/>
      <c r="DD49" s="62"/>
      <c r="DE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9" s="301"/>
      <c r="DG49" s="286"/>
      <c r="DH49" s="62"/>
      <c r="DI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9" s="300">
        <v>45467</v>
      </c>
      <c r="DK49" s="300">
        <v>45536</v>
      </c>
      <c r="DL49" s="301">
        <v>45498</v>
      </c>
      <c r="DM49" s="327" t="s">
        <v>489</v>
      </c>
      <c r="DN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9" s="301">
        <v>45530</v>
      </c>
      <c r="DP49" s="286" t="s">
        <v>490</v>
      </c>
      <c r="DQ49" s="308" t="s">
        <v>485</v>
      </c>
      <c r="DR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9" s="300">
        <v>45467</v>
      </c>
      <c r="DT49" s="300" t="e">
        <v>#N/A</v>
      </c>
      <c r="DU49" s="300">
        <v>45508</v>
      </c>
      <c r="DV49" s="300" t="e">
        <v>#N/A</v>
      </c>
      <c r="DW49" s="301"/>
      <c r="DX49" s="286"/>
      <c r="DY49" s="304"/>
      <c r="DZ49" s="304"/>
      <c r="EA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9" s="301"/>
      <c r="EC49" s="302"/>
      <c r="ED49" s="302"/>
      <c r="EE49" s="300"/>
      <c r="EF49" s="35">
        <v>1</v>
      </c>
      <c r="EG49" s="307">
        <v>1</v>
      </c>
      <c r="EH49" s="286" t="str">
        <f>IF(Table1[[#This Row],[PO Material Aktual 
(%)]]&gt;=100%,"Selesai PO = 100%",IF(Table1[[#This Row],[PO Material Aktual 
(%)]]&gt;=50%,"Proses PO &gt; 100%",IF(Table1[[#This Row],[PO Material Aktual 
(%)]]&gt;0%,"Proses PO &gt; 50%",IF(Table1[[#This Row],[PO Material Aktual 
(%)]]=0,"Belum PO = 0%"))))</f>
        <v>Selesai PO = 100%</v>
      </c>
      <c r="EI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9" s="300">
        <v>45509</v>
      </c>
      <c r="EK49" s="300" t="e">
        <v>#N/A</v>
      </c>
      <c r="EL49" s="300">
        <v>45620</v>
      </c>
      <c r="EM49" s="300" t="e">
        <v>#N/A</v>
      </c>
      <c r="EN49" s="301"/>
      <c r="EO49" s="302"/>
      <c r="EP49" s="302"/>
      <c r="EQ49" s="82">
        <v>1</v>
      </c>
      <c r="ER49" s="82">
        <v>1</v>
      </c>
      <c r="ES49" s="286" t="str">
        <f>IF(Table1[[#This Row],[Progres MOS]]&gt;=100%,"Selesai MOS = 100%",IF(Table1[[#This Row],[Progres MOS]]&gt;=50%,"Proses MOS &gt; 100%",IF(Table1[[#This Row],[Progres MOS]]&gt;0%,"Proses MOS &gt; 50%",IF(Table1[[#This Row],[Progres MOS]]=0,"Belum MOS = 0%"))))</f>
        <v>Selesai MOS = 100%</v>
      </c>
      <c r="ET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9" s="42"/>
      <c r="EV49" s="300">
        <v>45467</v>
      </c>
      <c r="EW49" s="300" t="e">
        <v>#N/A</v>
      </c>
      <c r="EX49" s="300">
        <v>45564</v>
      </c>
      <c r="EY49" s="300" t="e">
        <v>#N/A</v>
      </c>
      <c r="EZ49" s="322" t="s">
        <v>259</v>
      </c>
      <c r="FA49" s="306" t="s">
        <v>259</v>
      </c>
      <c r="FB49" s="300" t="s">
        <v>260</v>
      </c>
      <c r="FC49" s="300">
        <v>45603</v>
      </c>
      <c r="FD49" s="300" t="s">
        <v>260</v>
      </c>
      <c r="FE49" s="300">
        <v>45679</v>
      </c>
      <c r="FF49" s="300">
        <v>45698</v>
      </c>
      <c r="FG49" s="300" t="s">
        <v>260</v>
      </c>
      <c r="FH49" s="300" t="s">
        <v>260</v>
      </c>
      <c r="FI49" s="300">
        <v>45981</v>
      </c>
      <c r="FJ49" s="300" t="s">
        <v>260</v>
      </c>
      <c r="FK49" s="300">
        <v>46022</v>
      </c>
      <c r="FL49" s="306" t="s">
        <v>259</v>
      </c>
      <c r="FM49" s="306">
        <v>45603</v>
      </c>
      <c r="FN49" s="284">
        <f>IF(Table1[[#This Row],[Tanggal Pengajuan Dokumen]]="","",Table1[[#This Row],[PLAN PERMIT
start]]-Table1[[#This Row],[Tanggal Pengajuan Dokumen]])</f>
        <v>-136</v>
      </c>
      <c r="FO49" s="306"/>
      <c r="FP49" s="286"/>
      <c r="FQ49" s="308"/>
      <c r="FR49" s="322"/>
      <c r="FS49" s="308" t="str">
        <f t="shared" si="5"/>
        <v>Sudah Terbit</v>
      </c>
      <c r="FT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49" s="314">
        <f ca="1">IF(Table1[[#This Row],[Status Izin]]="Selesai",Table1[[#This Row],[PLAN PERMIT
finish]]-Table1[[#This Row],[Tanggal Terbit/ Target Izin Terbit]],ROUNDUP(Table1[[#This Row],[PLAN PERMIT
finish]]-NOW(),0))</f>
        <v>45564</v>
      </c>
      <c r="FV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9" s="314"/>
      <c r="FX49" s="42"/>
      <c r="FY49" s="310"/>
      <c r="FZ49" s="311"/>
      <c r="GA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9" s="300">
        <v>45538</v>
      </c>
      <c r="GC49" s="301">
        <v>45519</v>
      </c>
      <c r="GD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9" s="300">
        <v>45545</v>
      </c>
      <c r="GF49" s="301">
        <v>45519</v>
      </c>
      <c r="GG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9" s="300">
        <v>45551</v>
      </c>
      <c r="GI49" s="300">
        <v>45557</v>
      </c>
      <c r="GJ49" s="323">
        <v>45523</v>
      </c>
      <c r="GK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9" s="300">
        <v>45565</v>
      </c>
      <c r="GM49" s="300" t="e">
        <v>#N/A</v>
      </c>
      <c r="GN49" s="300">
        <v>45690</v>
      </c>
      <c r="GO49" s="300" t="e">
        <v>#N/A</v>
      </c>
      <c r="GP49" s="286"/>
      <c r="GQ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9" s="300" t="s">
        <v>261</v>
      </c>
      <c r="GS49" s="300" t="s">
        <v>261</v>
      </c>
      <c r="GT49" s="324">
        <v>45701</v>
      </c>
      <c r="GU49" s="314" t="str">
        <f>IF(Table1[[#This Row],[Hydro Tes Actual
(tanggal)]]&lt;&gt;"","Sudah","Belum")</f>
        <v>Sudah</v>
      </c>
      <c r="GV49" s="300" t="s">
        <v>261</v>
      </c>
      <c r="GW49" s="300" t="s">
        <v>261</v>
      </c>
      <c r="GX49" s="301">
        <v>45720</v>
      </c>
      <c r="GY49" s="314" t="str">
        <f>IF(Table1[[#This Row],[Interkoneksi Actual
(tanggal)]]&lt;&gt;"","Sudah","Belum")</f>
        <v>Sudah</v>
      </c>
      <c r="GZ49" s="300" t="s">
        <v>261</v>
      </c>
      <c r="HA49" s="300" t="s">
        <v>261</v>
      </c>
      <c r="HB49" s="301">
        <v>45744</v>
      </c>
      <c r="HC49" s="314" t="str">
        <f>IF(Table1[[#This Row],[Flushing Actual
(tanggal)]]&lt;&gt;"","Sudah","Belum")</f>
        <v>Sudah</v>
      </c>
      <c r="HD49" s="300">
        <v>45677</v>
      </c>
      <c r="HE49" s="300" t="e">
        <v>#N/A</v>
      </c>
      <c r="HF49" s="300">
        <v>45683</v>
      </c>
      <c r="HG49" s="316">
        <v>45793</v>
      </c>
      <c r="HH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49" s="300" t="s">
        <v>261</v>
      </c>
      <c r="HJ49" s="300" t="s">
        <v>261</v>
      </c>
      <c r="HK49" s="301"/>
      <c r="HL49" s="286"/>
      <c r="HM49" s="300">
        <v>45702</v>
      </c>
      <c r="HN49" s="300">
        <v>45702</v>
      </c>
      <c r="HO49" s="300" t="e">
        <v>#N/A</v>
      </c>
      <c r="HP49" s="300"/>
      <c r="HQ49" s="316">
        <v>45805</v>
      </c>
      <c r="HR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9" s="300">
        <v>45709</v>
      </c>
      <c r="HT49" s="300"/>
      <c r="HU49" s="300">
        <v>45709</v>
      </c>
      <c r="HV49" s="497"/>
      <c r="HW49" s="300">
        <v>45751</v>
      </c>
      <c r="HX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9" s="42"/>
      <c r="HZ49" s="322"/>
      <c r="IA49" s="306"/>
      <c r="IC49" s="585">
        <f>IFERROR(ROUND((Table1[[#This Row],[PLAN TC
finish]]-Table1[[#This Row],[PLAN MC-0
start]])/30,2),"")</f>
        <v>4.4000000000000004</v>
      </c>
      <c r="ID49">
        <f>DATEDIF(Table1[[#This Row],[PLAN MC-0
start]],Table1[[#This Row],[PLAN TC
finish]],"m")</f>
        <v>4</v>
      </c>
    </row>
    <row r="50" spans="1:238" s="4" customFormat="1" ht="15" customHeight="1" x14ac:dyDescent="0.25">
      <c r="B50" s="281">
        <f>SUBTOTAL(3,$D$5:D50)</f>
        <v>46</v>
      </c>
      <c r="C50" s="318">
        <v>46</v>
      </c>
      <c r="D50" s="285" t="s">
        <v>244</v>
      </c>
      <c r="E50" s="285" t="s">
        <v>491</v>
      </c>
      <c r="F50" s="285" t="s">
        <v>492</v>
      </c>
      <c r="G50" s="319">
        <v>45752</v>
      </c>
      <c r="H50" s="284" t="s">
        <v>247</v>
      </c>
      <c r="I50" s="285" t="s">
        <v>278</v>
      </c>
      <c r="J50" s="285"/>
      <c r="K50" s="308" t="s">
        <v>249</v>
      </c>
      <c r="L50" s="286" t="s">
        <v>250</v>
      </c>
      <c r="M50" s="286" t="s">
        <v>269</v>
      </c>
      <c r="N50" s="94">
        <v>525</v>
      </c>
      <c r="O50" s="31" t="s">
        <v>252</v>
      </c>
      <c r="P5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0" s="82" t="e">
        <v>#N/A</v>
      </c>
      <c r="S50" s="82">
        <v>1</v>
      </c>
      <c r="T50" s="35">
        <f>Table1[[#This Row],[Progres Total Aktual
(%)]]</f>
        <v>1</v>
      </c>
      <c r="U50" s="106">
        <f>Table1[[#This Row],[Progres Aktual
(%)]]-Table1[[#This Row],[Target Progres
(%)]]</f>
        <v>0</v>
      </c>
      <c r="V50" s="320">
        <f>Table1[[#This Row],["Volume
BA MC-0"]]</f>
        <v>500</v>
      </c>
      <c r="W50" s="321">
        <f>Table1[[#This Row],[Total Panjang Pipa Aktual
(Sum-&gt;)3]]</f>
        <v>466.9</v>
      </c>
      <c r="X50" s="42"/>
      <c r="Y50" s="62" t="s">
        <v>493</v>
      </c>
      <c r="Z50" s="62">
        <v>788603901</v>
      </c>
      <c r="AA50" s="62">
        <f>ROUND((Table1[[#This Row],[Nilai RAB Jaringan
(Exclude Ppn)]]-Table1[[#This Row],[RAB Perizinan]])*1.11+Table1[[#This Row],[RAB Perizinan]],0)</f>
        <v>0</v>
      </c>
      <c r="AB50" s="290">
        <f>SUM(Table1[[#This Row],[RAB Kegiatan Umum]:[RAB Perizinan]])</f>
        <v>0</v>
      </c>
      <c r="AC50" s="290"/>
      <c r="AD50" s="290"/>
      <c r="AE50" s="290"/>
      <c r="AF50" s="290"/>
      <c r="AG50" s="290">
        <v>4201779015</v>
      </c>
      <c r="AH50" s="35" t="e">
        <f>SUM(Table1[[#This Row],[Bobot Keg Umum]:[Bobot Perizinan]])</f>
        <v>#DIV/0!</v>
      </c>
      <c r="AI50" s="35" t="e">
        <f>Table1[[#This Row],[RAB Kegiatan Umum]]/Table1[[#This Row],[Nilai RAB Jaringan
(Exclude Ppn)]]</f>
        <v>#DIV/0!</v>
      </c>
      <c r="AJ50" s="35" t="e">
        <f>Table1[[#This Row],[RAB Pemasangan]]/Table1[[#This Row],[Nilai RAB Jaringan
(Exclude Ppn)]]</f>
        <v>#DIV/0!</v>
      </c>
      <c r="AK50" s="35" t="e">
        <f>Table1[[#This Row],[RAB Pengadaan]]/Table1[[#This Row],[Nilai RAB Jaringan
(Exclude Ppn)]]</f>
        <v>#DIV/0!</v>
      </c>
      <c r="AL50" s="35" t="e">
        <f>Table1[[#This Row],[RAB Perizinan]]/Table1[[#This Row],[Nilai RAB Jaringan
(Exclude Ppn)]]</f>
        <v>#DIV/0!</v>
      </c>
      <c r="AM50" s="42"/>
      <c r="AN50" s="256">
        <v>500</v>
      </c>
      <c r="AO50" s="256">
        <f>SUM(Table1[[#This Row],[Pipa 63 mm]:[Pipa 1,800 mm]])</f>
        <v>0</v>
      </c>
      <c r="AP50" s="256"/>
      <c r="AQ50" s="256"/>
      <c r="AR50" s="256"/>
      <c r="AS50" s="256"/>
      <c r="AT50" s="256"/>
      <c r="AU50" s="256"/>
      <c r="AV50" s="256"/>
      <c r="AW50" s="256"/>
      <c r="AX50" s="256"/>
      <c r="AY50" s="256"/>
      <c r="AZ50" s="256"/>
      <c r="BA50" s="256"/>
      <c r="BB50" s="256"/>
      <c r="BC50" s="256"/>
      <c r="BD50" s="256"/>
      <c r="BE50" s="256"/>
      <c r="BF50" s="256"/>
      <c r="BG50" s="256"/>
      <c r="BH50" s="256"/>
      <c r="BI50" s="256"/>
      <c r="BJ50" s="36">
        <f>SUM(Table1[[#This Row],[Pipa 63 mm2]:[Pipa 1,800 mm21]])</f>
        <v>466.9</v>
      </c>
      <c r="BK50" s="326">
        <v>424.9</v>
      </c>
      <c r="BL50" s="326">
        <v>42</v>
      </c>
      <c r="BM50" s="326"/>
      <c r="BN50" s="326"/>
      <c r="BO50" s="326"/>
      <c r="BP50" s="326"/>
      <c r="BQ50" s="326"/>
      <c r="BR50" s="326"/>
      <c r="BS50" s="326"/>
      <c r="BT50" s="326"/>
      <c r="BU50" s="326"/>
      <c r="BV50" s="326"/>
      <c r="BW50" s="326"/>
      <c r="BX50" s="326"/>
      <c r="BY50" s="326"/>
      <c r="BZ50" s="326"/>
      <c r="CA50" s="326"/>
      <c r="CB50" s="326"/>
      <c r="CC50" s="326"/>
      <c r="CD50" s="326"/>
      <c r="CE50" s="32">
        <v>278</v>
      </c>
      <c r="CF50" s="32"/>
      <c r="CG50" s="32"/>
      <c r="CH50" s="32"/>
      <c r="CI50" s="32">
        <f t="shared" si="3"/>
        <v>278</v>
      </c>
      <c r="CJ50" s="60">
        <f>IF((Table1[[#This Row],["Volume
BA MC-0"]]-Table1[[#This Row],[Total Panjang Pipa Aktual
(Sum-&gt;)3]]-Table1[[#This Row],[Total Volume
tidak dapat dipasang]])&gt;=0,Table1[[#This Row],["Volume
BA MC-0"]]-Table1[[#This Row],[Total Panjang Pipa Aktual
(Sum-&gt;)3]]-Table1[[#This Row],[Total Volume
tidak dapat dipasang]],0)</f>
        <v>0</v>
      </c>
      <c r="CK50" s="42"/>
      <c r="CL50" s="113"/>
      <c r="CM50" s="35"/>
      <c r="CN50" s="113"/>
      <c r="CO50" s="113"/>
      <c r="CP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0" s="61">
        <f>IFERROR(Table1[[#This Row],[Progres Keg. Umum
(%)]]*Table1[[#This Row],[Nilai RAB Jaringan
(file pa aji)]],0)</f>
        <v>0</v>
      </c>
      <c r="CR50" s="61">
        <f>IFERROR(Table1[[#This Row],[Progres MOS
(%)]]*Table1[[#This Row],[Nilai RAB Jaringan
(file pa aji)]],0)</f>
        <v>0</v>
      </c>
      <c r="CS50" s="61">
        <f>IFERROR(Table1[[#This Row],[Progres Pemasangan
(%)]]*Table1[[#This Row],[Nilai RAB Jaringan
(file pa aji)]],0)</f>
        <v>0</v>
      </c>
      <c r="CT50" s="61">
        <f>IFERROR(Table1[[#This Row],[Progres Perizinan
(%)]]*Table1[[#This Row],[Nilai RAB Jaringan
(file pa aji)]],0)</f>
        <v>0</v>
      </c>
      <c r="CU50" s="789">
        <v>567304695</v>
      </c>
      <c r="CV50" s="299">
        <v>567304695</v>
      </c>
      <c r="CW50" s="552">
        <v>567304695</v>
      </c>
      <c r="CX50" s="789">
        <f>_xlfn.XLOOKUP(Table1[[#This Row],[Kode Program]],'[1]Breakdown VOWD Greenfield'!$E:$E,'[1]Breakdown VOWD Greenfield'!$AT:$AT)</f>
        <v>567304695</v>
      </c>
      <c r="CY50" s="42"/>
      <c r="CZ50" s="300">
        <v>45439</v>
      </c>
      <c r="DA50" s="300">
        <v>45466</v>
      </c>
      <c r="DB50" s="301"/>
      <c r="DC50" s="286"/>
      <c r="DD50" s="62"/>
      <c r="DE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0" s="301"/>
      <c r="DG50" s="286"/>
      <c r="DH50" s="62"/>
      <c r="DI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0" s="300">
        <v>45467</v>
      </c>
      <c r="DK50" s="300">
        <v>45536</v>
      </c>
      <c r="DL50" s="301">
        <v>45526</v>
      </c>
      <c r="DM50" s="327" t="s">
        <v>494</v>
      </c>
      <c r="DN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0" s="301">
        <v>45560</v>
      </c>
      <c r="DP50" s="286" t="s">
        <v>495</v>
      </c>
      <c r="DQ50" s="308" t="s">
        <v>485</v>
      </c>
      <c r="DR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0" s="300">
        <v>45467</v>
      </c>
      <c r="DT50" s="300" t="e">
        <v>#N/A</v>
      </c>
      <c r="DU50" s="300">
        <v>45508</v>
      </c>
      <c r="DV50" s="300" t="e">
        <v>#N/A</v>
      </c>
      <c r="DW50" s="301"/>
      <c r="DX50" s="286"/>
      <c r="DY50" s="304"/>
      <c r="DZ50" s="304"/>
      <c r="EA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0" s="301"/>
      <c r="EC50" s="302"/>
      <c r="ED50" s="302"/>
      <c r="EE50" s="300"/>
      <c r="EF50" s="35">
        <v>1</v>
      </c>
      <c r="EG50" s="307">
        <v>1</v>
      </c>
      <c r="EH50" s="286" t="str">
        <f>IF(Table1[[#This Row],[PO Material Aktual 
(%)]]&gt;=100%,"Selesai PO = 100%",IF(Table1[[#This Row],[PO Material Aktual 
(%)]]&gt;=50%,"Proses PO &gt; 100%",IF(Table1[[#This Row],[PO Material Aktual 
(%)]]&gt;0%,"Proses PO &gt; 50%",IF(Table1[[#This Row],[PO Material Aktual 
(%)]]=0,"Belum PO = 0%"))))</f>
        <v>Selesai PO = 100%</v>
      </c>
      <c r="EI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0" s="300">
        <v>45509</v>
      </c>
      <c r="EK50" s="300" t="e">
        <v>#N/A</v>
      </c>
      <c r="EL50" s="300">
        <v>45620</v>
      </c>
      <c r="EM50" s="300" t="e">
        <v>#N/A</v>
      </c>
      <c r="EN50" s="301"/>
      <c r="EO50" s="302"/>
      <c r="EP50" s="302"/>
      <c r="EQ50" s="82">
        <v>1</v>
      </c>
      <c r="ER50" s="82">
        <v>1</v>
      </c>
      <c r="ES50" s="286" t="str">
        <f>IF(Table1[[#This Row],[Progres MOS]]&gt;=100%,"Selesai MOS = 100%",IF(Table1[[#This Row],[Progres MOS]]&gt;=50%,"Proses MOS &gt; 100%",IF(Table1[[#This Row],[Progres MOS]]&gt;0%,"Proses MOS &gt; 50%",IF(Table1[[#This Row],[Progres MOS]]=0,"Belum MOS = 0%"))))</f>
        <v>Selesai MOS = 100%</v>
      </c>
      <c r="ET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0" s="42"/>
      <c r="EV50" s="300">
        <v>45467</v>
      </c>
      <c r="EW50" s="300" t="e">
        <v>#N/A</v>
      </c>
      <c r="EX50" s="300">
        <v>45564</v>
      </c>
      <c r="EY50" s="300" t="e">
        <v>#N/A</v>
      </c>
      <c r="EZ50" s="322" t="s">
        <v>259</v>
      </c>
      <c r="FA50" s="306" t="s">
        <v>259</v>
      </c>
      <c r="FB50" s="300" t="s">
        <v>260</v>
      </c>
      <c r="FC50" s="300">
        <v>45603</v>
      </c>
      <c r="FD50" s="300" t="s">
        <v>260</v>
      </c>
      <c r="FE50" s="300">
        <v>45679</v>
      </c>
      <c r="FF50" s="300">
        <v>45698</v>
      </c>
      <c r="FG50" s="300" t="s">
        <v>260</v>
      </c>
      <c r="FH50" s="300" t="s">
        <v>260</v>
      </c>
      <c r="FI50" s="300">
        <v>45981</v>
      </c>
      <c r="FJ50" s="300" t="s">
        <v>260</v>
      </c>
      <c r="FK50" s="300">
        <v>46022</v>
      </c>
      <c r="FL50" s="306" t="s">
        <v>259</v>
      </c>
      <c r="FM50" s="306">
        <v>45603</v>
      </c>
      <c r="FN50" s="284">
        <f>IF(Table1[[#This Row],[Tanggal Pengajuan Dokumen]]="","",Table1[[#This Row],[PLAN PERMIT
start]]-Table1[[#This Row],[Tanggal Pengajuan Dokumen]])</f>
        <v>-136</v>
      </c>
      <c r="FO50" s="306"/>
      <c r="FP50" s="286"/>
      <c r="FQ50" s="308"/>
      <c r="FR50" s="322"/>
      <c r="FS50" s="308" t="str">
        <f t="shared" si="5"/>
        <v>Sudah Terbit</v>
      </c>
      <c r="FT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0" s="314">
        <f ca="1">IF(Table1[[#This Row],[Status Izin]]="Selesai",Table1[[#This Row],[PLAN PERMIT
finish]]-Table1[[#This Row],[Tanggal Terbit/ Target Izin Terbit]],ROUNDUP(Table1[[#This Row],[PLAN PERMIT
finish]]-NOW(),0))</f>
        <v>45564</v>
      </c>
      <c r="FV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0" s="314"/>
      <c r="FX50" s="42"/>
      <c r="FY50" s="310"/>
      <c r="FZ50" s="311"/>
      <c r="GA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0" s="300">
        <v>45538</v>
      </c>
      <c r="GC50" s="301">
        <v>45519</v>
      </c>
      <c r="GD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0" s="300">
        <v>45545</v>
      </c>
      <c r="GF50" s="301">
        <v>45519</v>
      </c>
      <c r="GG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0" s="300">
        <v>45551</v>
      </c>
      <c r="GI50" s="300">
        <v>45557</v>
      </c>
      <c r="GJ50" s="323">
        <v>45523</v>
      </c>
      <c r="GK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0" s="300">
        <v>45565</v>
      </c>
      <c r="GM50" s="300" t="e">
        <v>#N/A</v>
      </c>
      <c r="GN50" s="300">
        <v>45690</v>
      </c>
      <c r="GO50" s="300" t="e">
        <v>#N/A</v>
      </c>
      <c r="GP50" s="286"/>
      <c r="GQ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0" s="300" t="s">
        <v>261</v>
      </c>
      <c r="GS50" s="300" t="s">
        <v>261</v>
      </c>
      <c r="GT50" s="324">
        <v>45693</v>
      </c>
      <c r="GU50" s="314" t="str">
        <f>IF(Table1[[#This Row],[Hydro Tes Actual
(tanggal)]]&lt;&gt;"","Sudah","Belum")</f>
        <v>Sudah</v>
      </c>
      <c r="GV50" s="300" t="s">
        <v>261</v>
      </c>
      <c r="GW50" s="300" t="s">
        <v>261</v>
      </c>
      <c r="GX50" s="301">
        <v>45696</v>
      </c>
      <c r="GY50" s="314" t="str">
        <f>IF(Table1[[#This Row],[Interkoneksi Actual
(tanggal)]]&lt;&gt;"","Sudah","Belum")</f>
        <v>Sudah</v>
      </c>
      <c r="GZ50" s="300" t="s">
        <v>261</v>
      </c>
      <c r="HA50" s="300" t="s">
        <v>261</v>
      </c>
      <c r="HB50" s="301">
        <v>45712</v>
      </c>
      <c r="HC50" s="314" t="str">
        <f>IF(Table1[[#This Row],[Flushing Actual
(tanggal)]]&lt;&gt;"","Sudah","Belum")</f>
        <v>Sudah</v>
      </c>
      <c r="HD50" s="300">
        <v>45677</v>
      </c>
      <c r="HE50" s="300" t="e">
        <v>#N/A</v>
      </c>
      <c r="HF50" s="300">
        <v>45683</v>
      </c>
      <c r="HG50" s="316">
        <v>45723</v>
      </c>
      <c r="HH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0" s="300" t="s">
        <v>261</v>
      </c>
      <c r="HJ50" s="300" t="s">
        <v>261</v>
      </c>
      <c r="HK50" s="301"/>
      <c r="HL50" s="286"/>
      <c r="HM50" s="300">
        <v>45702</v>
      </c>
      <c r="HN50" s="300">
        <v>45702</v>
      </c>
      <c r="HO50" s="300" t="e">
        <v>#N/A</v>
      </c>
      <c r="HP50" s="300"/>
      <c r="HQ50" s="316">
        <v>45743</v>
      </c>
      <c r="HR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0" s="300">
        <v>45709</v>
      </c>
      <c r="HT50" s="300"/>
      <c r="HU50" s="300">
        <v>45709</v>
      </c>
      <c r="HV50" s="497"/>
      <c r="HW50" s="300">
        <v>45751</v>
      </c>
      <c r="HX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0" s="42"/>
      <c r="HZ50" s="322"/>
      <c r="IA50" s="306"/>
      <c r="IC50" s="585">
        <f>IFERROR(ROUND((Table1[[#This Row],[PLAN TC
finish]]-Table1[[#This Row],[PLAN MC-0
start]])/30,2),"")</f>
        <v>4.4000000000000004</v>
      </c>
      <c r="ID50">
        <f>DATEDIF(Table1[[#This Row],[PLAN MC-0
start]],Table1[[#This Row],[PLAN TC
finish]],"m")</f>
        <v>4</v>
      </c>
    </row>
    <row r="51" spans="1:238" s="4" customFormat="1" ht="15" customHeight="1" x14ac:dyDescent="0.25">
      <c r="B51" s="281">
        <f>SUBTOTAL(3,$D$5:D51)</f>
        <v>47</v>
      </c>
      <c r="C51" s="318">
        <v>47</v>
      </c>
      <c r="D51" s="285" t="s">
        <v>244</v>
      </c>
      <c r="E51" s="285" t="s">
        <v>496</v>
      </c>
      <c r="F51" s="285" t="s">
        <v>497</v>
      </c>
      <c r="G51" s="319">
        <v>45752</v>
      </c>
      <c r="H51" s="284" t="s">
        <v>247</v>
      </c>
      <c r="I51" s="285" t="s">
        <v>278</v>
      </c>
      <c r="J51" s="285"/>
      <c r="K51" s="308" t="s">
        <v>249</v>
      </c>
      <c r="L51" s="286" t="s">
        <v>250</v>
      </c>
      <c r="M51" s="286" t="s">
        <v>269</v>
      </c>
      <c r="N51" s="94">
        <v>1586</v>
      </c>
      <c r="O51" s="31" t="s">
        <v>252</v>
      </c>
      <c r="P5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1" s="82" t="e">
        <v>#N/A</v>
      </c>
      <c r="S51" s="82">
        <v>1</v>
      </c>
      <c r="T51" s="35">
        <f>Table1[[#This Row],[Progres Total Aktual
(%)]]</f>
        <v>1</v>
      </c>
      <c r="U51" s="106">
        <f>Table1[[#This Row],[Progres Aktual
(%)]]-Table1[[#This Row],[Target Progres
(%)]]</f>
        <v>0</v>
      </c>
      <c r="V51" s="320">
        <f>Table1[[#This Row],["Volume
BA MC-0"]]</f>
        <v>1447</v>
      </c>
      <c r="W51" s="321">
        <f>Table1[[#This Row],[Total Panjang Pipa Aktual
(Sum-&gt;)3]]</f>
        <v>1284.3</v>
      </c>
      <c r="X51" s="42"/>
      <c r="Y51" s="62" t="s">
        <v>498</v>
      </c>
      <c r="Z51" s="62">
        <v>2811131794</v>
      </c>
      <c r="AA51" s="62">
        <f>ROUND((Table1[[#This Row],[Nilai RAB Jaringan
(Exclude Ppn)]]-Table1[[#This Row],[RAB Perizinan]])*1.11+Table1[[#This Row],[RAB Perizinan]],0)</f>
        <v>0</v>
      </c>
      <c r="AB51" s="290">
        <f>SUM(Table1[[#This Row],[RAB Kegiatan Umum]:[RAB Perizinan]])</f>
        <v>0</v>
      </c>
      <c r="AC51" s="290"/>
      <c r="AD51" s="290"/>
      <c r="AE51" s="290"/>
      <c r="AF51" s="290"/>
      <c r="AG51" s="290">
        <v>3539742615</v>
      </c>
      <c r="AH51" s="35" t="e">
        <f>SUM(Table1[[#This Row],[Bobot Keg Umum]:[Bobot Perizinan]])</f>
        <v>#DIV/0!</v>
      </c>
      <c r="AI51" s="35" t="e">
        <f>Table1[[#This Row],[RAB Kegiatan Umum]]/Table1[[#This Row],[Nilai RAB Jaringan
(Exclude Ppn)]]</f>
        <v>#DIV/0!</v>
      </c>
      <c r="AJ51" s="35" t="e">
        <f>Table1[[#This Row],[RAB Pemasangan]]/Table1[[#This Row],[Nilai RAB Jaringan
(Exclude Ppn)]]</f>
        <v>#DIV/0!</v>
      </c>
      <c r="AK51" s="35" t="e">
        <f>Table1[[#This Row],[RAB Pengadaan]]/Table1[[#This Row],[Nilai RAB Jaringan
(Exclude Ppn)]]</f>
        <v>#DIV/0!</v>
      </c>
      <c r="AL51" s="35" t="e">
        <f>Table1[[#This Row],[RAB Perizinan]]/Table1[[#This Row],[Nilai RAB Jaringan
(Exclude Ppn)]]</f>
        <v>#DIV/0!</v>
      </c>
      <c r="AM51" s="42"/>
      <c r="AN51" s="256">
        <v>1447</v>
      </c>
      <c r="AO51" s="256">
        <f>SUM(Table1[[#This Row],[Pipa 63 mm]:[Pipa 1,800 mm]])</f>
        <v>0</v>
      </c>
      <c r="AP51" s="256"/>
      <c r="AQ51" s="256"/>
      <c r="AR51" s="256"/>
      <c r="AS51" s="256"/>
      <c r="AT51" s="256"/>
      <c r="AU51" s="256"/>
      <c r="AV51" s="256"/>
      <c r="AW51" s="256"/>
      <c r="AX51" s="256"/>
      <c r="AY51" s="256"/>
      <c r="AZ51" s="256"/>
      <c r="BA51" s="256"/>
      <c r="BB51" s="256"/>
      <c r="BC51" s="256"/>
      <c r="BD51" s="256"/>
      <c r="BE51" s="256"/>
      <c r="BF51" s="256"/>
      <c r="BG51" s="256"/>
      <c r="BH51" s="256"/>
      <c r="BI51" s="256"/>
      <c r="BJ51" s="36">
        <f>SUM(Table1[[#This Row],[Pipa 63 mm2]:[Pipa 1,800 mm21]])</f>
        <v>1284.3</v>
      </c>
      <c r="BK51" s="326">
        <v>485.3</v>
      </c>
      <c r="BL51" s="326">
        <v>799</v>
      </c>
      <c r="BM51" s="326"/>
      <c r="BN51" s="326"/>
      <c r="BO51" s="326"/>
      <c r="BP51" s="326"/>
      <c r="BQ51" s="326"/>
      <c r="BR51" s="326"/>
      <c r="BS51" s="326"/>
      <c r="BT51" s="326"/>
      <c r="BU51" s="326"/>
      <c r="BV51" s="326"/>
      <c r="BW51" s="326"/>
      <c r="BX51" s="326"/>
      <c r="BY51" s="326"/>
      <c r="BZ51" s="326"/>
      <c r="CA51" s="326"/>
      <c r="CB51" s="326"/>
      <c r="CC51" s="326"/>
      <c r="CD51" s="326"/>
      <c r="CE51" s="32">
        <v>298</v>
      </c>
      <c r="CF51" s="32"/>
      <c r="CG51" s="32"/>
      <c r="CH51" s="32"/>
      <c r="CI51" s="32">
        <f t="shared" si="3"/>
        <v>298</v>
      </c>
      <c r="CJ51" s="60">
        <f>IF((Table1[[#This Row],["Volume
BA MC-0"]]-Table1[[#This Row],[Total Panjang Pipa Aktual
(Sum-&gt;)3]]-Table1[[#This Row],[Total Volume
tidak dapat dipasang]])&gt;=0,Table1[[#This Row],["Volume
BA MC-0"]]-Table1[[#This Row],[Total Panjang Pipa Aktual
(Sum-&gt;)3]]-Table1[[#This Row],[Total Volume
tidak dapat dipasang]],0)</f>
        <v>0</v>
      </c>
      <c r="CK51" s="42"/>
      <c r="CL51" s="113"/>
      <c r="CM51" s="35"/>
      <c r="CN51" s="113"/>
      <c r="CO51" s="113"/>
      <c r="CP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1" s="61">
        <f>IFERROR(Table1[[#This Row],[Progres Keg. Umum
(%)]]*Table1[[#This Row],[Nilai RAB Jaringan
(file pa aji)]],0)</f>
        <v>0</v>
      </c>
      <c r="CR51" s="61">
        <f>IFERROR(Table1[[#This Row],[Progres MOS
(%)]]*Table1[[#This Row],[Nilai RAB Jaringan
(file pa aji)]],0)</f>
        <v>0</v>
      </c>
      <c r="CS51" s="61">
        <f>IFERROR(Table1[[#This Row],[Progres Pemasangan
(%)]]*Table1[[#This Row],[Nilai RAB Jaringan
(file pa aji)]],0)</f>
        <v>0</v>
      </c>
      <c r="CT51" s="61">
        <f>IFERROR(Table1[[#This Row],[Progres Perizinan
(%)]]*Table1[[#This Row],[Nilai RAB Jaringan
(file pa aji)]],0)</f>
        <v>0</v>
      </c>
      <c r="CU51" s="789">
        <v>2017603182</v>
      </c>
      <c r="CV51" s="299">
        <v>2017603182</v>
      </c>
      <c r="CW51" s="552">
        <v>2017603182</v>
      </c>
      <c r="CX51" s="789">
        <f>_xlfn.XLOOKUP(Table1[[#This Row],[Kode Program]],'[1]Breakdown VOWD Greenfield'!$E:$E,'[1]Breakdown VOWD Greenfield'!$AT:$AT)</f>
        <v>2017603182</v>
      </c>
      <c r="CY51" s="42"/>
      <c r="CZ51" s="300">
        <v>45439</v>
      </c>
      <c r="DA51" s="300">
        <v>45466</v>
      </c>
      <c r="DB51" s="301"/>
      <c r="DC51" s="286"/>
      <c r="DD51" s="62"/>
      <c r="DE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1" s="301"/>
      <c r="DG51" s="286"/>
      <c r="DH51" s="62"/>
      <c r="DI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1" s="300">
        <v>45467</v>
      </c>
      <c r="DK51" s="300">
        <v>45536</v>
      </c>
      <c r="DL51" s="301">
        <v>45505</v>
      </c>
      <c r="DM51" s="327" t="s">
        <v>499</v>
      </c>
      <c r="DN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1" s="301">
        <v>45530</v>
      </c>
      <c r="DP51" s="286" t="s">
        <v>500</v>
      </c>
      <c r="DQ51" s="308" t="s">
        <v>501</v>
      </c>
      <c r="DR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1" s="300">
        <v>45467</v>
      </c>
      <c r="DT51" s="300" t="e">
        <v>#N/A</v>
      </c>
      <c r="DU51" s="300">
        <v>45508</v>
      </c>
      <c r="DV51" s="300" t="e">
        <v>#N/A</v>
      </c>
      <c r="DW51" s="301"/>
      <c r="DX51" s="286"/>
      <c r="DY51" s="304"/>
      <c r="DZ51" s="304"/>
      <c r="EA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1" s="301"/>
      <c r="EC51" s="302"/>
      <c r="ED51" s="302"/>
      <c r="EE51" s="300"/>
      <c r="EF51" s="35">
        <v>1</v>
      </c>
      <c r="EG51" s="307">
        <v>1</v>
      </c>
      <c r="EH51" s="286" t="str">
        <f>IF(Table1[[#This Row],[PO Material Aktual 
(%)]]&gt;=100%,"Selesai PO = 100%",IF(Table1[[#This Row],[PO Material Aktual 
(%)]]&gt;=50%,"Proses PO &gt; 100%",IF(Table1[[#This Row],[PO Material Aktual 
(%)]]&gt;0%,"Proses PO &gt; 50%",IF(Table1[[#This Row],[PO Material Aktual 
(%)]]=0,"Belum PO = 0%"))))</f>
        <v>Selesai PO = 100%</v>
      </c>
      <c r="EI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1" s="300">
        <v>45509</v>
      </c>
      <c r="EK51" s="300" t="e">
        <v>#N/A</v>
      </c>
      <c r="EL51" s="300">
        <v>45620</v>
      </c>
      <c r="EM51" s="300" t="e">
        <v>#N/A</v>
      </c>
      <c r="EN51" s="301"/>
      <c r="EO51" s="302"/>
      <c r="EP51" s="302"/>
      <c r="EQ51" s="82">
        <v>1</v>
      </c>
      <c r="ER51" s="82">
        <v>1</v>
      </c>
      <c r="ES51" s="286" t="str">
        <f>IF(Table1[[#This Row],[Progres MOS]]&gt;=100%,"Selesai MOS = 100%",IF(Table1[[#This Row],[Progres MOS]]&gt;=50%,"Proses MOS &gt; 100%",IF(Table1[[#This Row],[Progres MOS]]&gt;0%,"Proses MOS &gt; 50%",IF(Table1[[#This Row],[Progres MOS]]=0,"Belum MOS = 0%"))))</f>
        <v>Selesai MOS = 100%</v>
      </c>
      <c r="ET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1" s="42"/>
      <c r="EV51" s="300">
        <v>45467</v>
      </c>
      <c r="EW51" s="300" t="e">
        <v>#N/A</v>
      </c>
      <c r="EX51" s="300">
        <v>45564</v>
      </c>
      <c r="EY51" s="300" t="e">
        <v>#N/A</v>
      </c>
      <c r="EZ51" s="322" t="s">
        <v>259</v>
      </c>
      <c r="FA51" s="306" t="s">
        <v>259</v>
      </c>
      <c r="FB51" s="300" t="s">
        <v>260</v>
      </c>
      <c r="FC51" s="300">
        <v>45603</v>
      </c>
      <c r="FD51" s="300" t="s">
        <v>260</v>
      </c>
      <c r="FE51" s="300">
        <v>45680</v>
      </c>
      <c r="FF51" s="300">
        <v>45698</v>
      </c>
      <c r="FG51" s="300" t="s">
        <v>260</v>
      </c>
      <c r="FH51" s="300" t="s">
        <v>260</v>
      </c>
      <c r="FI51" s="300">
        <v>45981</v>
      </c>
      <c r="FJ51" s="300" t="s">
        <v>260</v>
      </c>
      <c r="FK51" s="300">
        <v>46049</v>
      </c>
      <c r="FL51" s="306" t="s">
        <v>259</v>
      </c>
      <c r="FM51" s="306">
        <v>45603</v>
      </c>
      <c r="FN51" s="284">
        <f>IF(Table1[[#This Row],[Tanggal Pengajuan Dokumen]]="","",Table1[[#This Row],[PLAN PERMIT
start]]-Table1[[#This Row],[Tanggal Pengajuan Dokumen]])</f>
        <v>-136</v>
      </c>
      <c r="FO51" s="306"/>
      <c r="FP51" s="286"/>
      <c r="FQ51" s="308"/>
      <c r="FR51" s="322"/>
      <c r="FS51" s="308" t="str">
        <f t="shared" si="5"/>
        <v>Sudah Terbit</v>
      </c>
      <c r="FT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1" s="314">
        <f ca="1">IF(Table1[[#This Row],[Status Izin]]="Selesai",Table1[[#This Row],[PLAN PERMIT
finish]]-Table1[[#This Row],[Tanggal Terbit/ Target Izin Terbit]],ROUNDUP(Table1[[#This Row],[PLAN PERMIT
finish]]-NOW(),0))</f>
        <v>45564</v>
      </c>
      <c r="FV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1" s="314"/>
      <c r="FX51" s="42"/>
      <c r="FY51" s="310"/>
      <c r="FZ51" s="311"/>
      <c r="GA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1" s="300">
        <v>45538</v>
      </c>
      <c r="GC51" s="301">
        <v>45519</v>
      </c>
      <c r="GD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1" s="300">
        <v>45545</v>
      </c>
      <c r="GF51" s="301">
        <v>45519</v>
      </c>
      <c r="GG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1" s="300">
        <v>45551</v>
      </c>
      <c r="GI51" s="300">
        <v>45557</v>
      </c>
      <c r="GJ51" s="323">
        <v>45527</v>
      </c>
      <c r="GK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1" s="300">
        <v>45565</v>
      </c>
      <c r="GM51" s="300" t="e">
        <v>#N/A</v>
      </c>
      <c r="GN51" s="300">
        <v>45690</v>
      </c>
      <c r="GO51" s="300" t="e">
        <v>#N/A</v>
      </c>
      <c r="GP51" s="286"/>
      <c r="GQ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1" s="300" t="s">
        <v>261</v>
      </c>
      <c r="GS51" s="300" t="s">
        <v>261</v>
      </c>
      <c r="GT51" s="324">
        <v>45603</v>
      </c>
      <c r="GU51" s="314" t="str">
        <f>IF(Table1[[#This Row],[Hydro Tes Actual
(tanggal)]]&lt;&gt;"","Sudah","Belum")</f>
        <v>Sudah</v>
      </c>
      <c r="GV51" s="300" t="s">
        <v>261</v>
      </c>
      <c r="GW51" s="300" t="s">
        <v>261</v>
      </c>
      <c r="GX51" s="301">
        <v>45709</v>
      </c>
      <c r="GY51" s="314" t="str">
        <f>IF(Table1[[#This Row],[Interkoneksi Actual
(tanggal)]]&lt;&gt;"","Sudah","Belum")</f>
        <v>Sudah</v>
      </c>
      <c r="GZ51" s="300" t="s">
        <v>261</v>
      </c>
      <c r="HA51" s="300" t="s">
        <v>261</v>
      </c>
      <c r="HB51" s="301">
        <v>45712</v>
      </c>
      <c r="HC51" s="314" t="str">
        <f>IF(Table1[[#This Row],[Flushing Actual
(tanggal)]]&lt;&gt;"","Sudah","Belum")</f>
        <v>Sudah</v>
      </c>
      <c r="HD51" s="300">
        <v>45677</v>
      </c>
      <c r="HE51" s="300" t="e">
        <v>#N/A</v>
      </c>
      <c r="HF51" s="300">
        <v>45683</v>
      </c>
      <c r="HG51" s="316">
        <v>45717</v>
      </c>
      <c r="HH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1" s="300" t="s">
        <v>261</v>
      </c>
      <c r="HJ51" s="300" t="s">
        <v>261</v>
      </c>
      <c r="HK51" s="301"/>
      <c r="HL51" s="286"/>
      <c r="HM51" s="300">
        <v>45702</v>
      </c>
      <c r="HN51" s="300">
        <v>45702</v>
      </c>
      <c r="HO51" s="300" t="e">
        <v>#N/A</v>
      </c>
      <c r="HP51" s="300"/>
      <c r="HQ51" s="316">
        <v>45758</v>
      </c>
      <c r="HR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1" s="300">
        <v>45709</v>
      </c>
      <c r="HT51" s="300"/>
      <c r="HU51" s="300">
        <v>45709</v>
      </c>
      <c r="HV51" s="497"/>
      <c r="HW51" s="300">
        <v>45751</v>
      </c>
      <c r="HX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1" s="42"/>
      <c r="HZ51" s="322"/>
      <c r="IA51" s="306"/>
      <c r="IC51" s="585">
        <f>IFERROR(ROUND((Table1[[#This Row],[PLAN TC
finish]]-Table1[[#This Row],[PLAN MC-0
start]])/30,2),"")</f>
        <v>4.4000000000000004</v>
      </c>
      <c r="ID51">
        <f>DATEDIF(Table1[[#This Row],[PLAN MC-0
start]],Table1[[#This Row],[PLAN TC
finish]],"m")</f>
        <v>4</v>
      </c>
    </row>
    <row r="52" spans="1:238" s="4" customFormat="1" ht="15" customHeight="1" x14ac:dyDescent="0.25">
      <c r="B52" s="281">
        <f>SUBTOTAL(3,$D$5:D52)</f>
        <v>48</v>
      </c>
      <c r="C52" s="318">
        <v>48</v>
      </c>
      <c r="D52" s="285" t="s">
        <v>244</v>
      </c>
      <c r="E52" s="285" t="s">
        <v>502</v>
      </c>
      <c r="F52" s="285" t="s">
        <v>503</v>
      </c>
      <c r="G52" s="319">
        <v>45752</v>
      </c>
      <c r="H52" s="284" t="s">
        <v>247</v>
      </c>
      <c r="I52" s="285" t="s">
        <v>278</v>
      </c>
      <c r="J52" s="285"/>
      <c r="K52" s="308" t="s">
        <v>249</v>
      </c>
      <c r="L52" s="286" t="s">
        <v>250</v>
      </c>
      <c r="M52" s="286" t="s">
        <v>269</v>
      </c>
      <c r="N52" s="94">
        <v>1282</v>
      </c>
      <c r="O52" s="31" t="s">
        <v>252</v>
      </c>
      <c r="P5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2" s="82" t="e">
        <v>#N/A</v>
      </c>
      <c r="S52" s="82">
        <v>1</v>
      </c>
      <c r="T52" s="35">
        <f>Table1[[#This Row],[Progres Total Aktual
(%)]]</f>
        <v>1</v>
      </c>
      <c r="U52" s="106">
        <f>Table1[[#This Row],[Progres Aktual
(%)]]-Table1[[#This Row],[Target Progres
(%)]]</f>
        <v>0</v>
      </c>
      <c r="V52" s="320">
        <f>Table1[[#This Row],["Volume
BA MC-0"]]</f>
        <v>1140</v>
      </c>
      <c r="W52" s="321">
        <f>Table1[[#This Row],[Total Panjang Pipa Aktual
(Sum-&gt;)3]]</f>
        <v>536.4</v>
      </c>
      <c r="X52" s="42"/>
      <c r="Y52" s="62" t="s">
        <v>504</v>
      </c>
      <c r="Z52" s="62">
        <v>1911435195</v>
      </c>
      <c r="AA52" s="62">
        <f>ROUND((Table1[[#This Row],[Nilai RAB Jaringan
(Exclude Ppn)]]-Table1[[#This Row],[RAB Perizinan]])*1.11+Table1[[#This Row],[RAB Perizinan]],0)</f>
        <v>0</v>
      </c>
      <c r="AB52" s="290">
        <f>SUM(Table1[[#This Row],[RAB Kegiatan Umum]:[RAB Perizinan]])</f>
        <v>0</v>
      </c>
      <c r="AC52" s="290"/>
      <c r="AD52" s="290"/>
      <c r="AE52" s="290"/>
      <c r="AF52" s="290"/>
      <c r="AG52" s="290">
        <v>3271238687</v>
      </c>
      <c r="AH52" s="35" t="e">
        <f>SUM(Table1[[#This Row],[Bobot Keg Umum]:[Bobot Perizinan]])</f>
        <v>#DIV/0!</v>
      </c>
      <c r="AI52" s="35" t="e">
        <f>Table1[[#This Row],[RAB Kegiatan Umum]]/Table1[[#This Row],[Nilai RAB Jaringan
(Exclude Ppn)]]</f>
        <v>#DIV/0!</v>
      </c>
      <c r="AJ52" s="35" t="e">
        <f>Table1[[#This Row],[RAB Pemasangan]]/Table1[[#This Row],[Nilai RAB Jaringan
(Exclude Ppn)]]</f>
        <v>#DIV/0!</v>
      </c>
      <c r="AK52" s="35" t="e">
        <f>Table1[[#This Row],[RAB Pengadaan]]/Table1[[#This Row],[Nilai RAB Jaringan
(Exclude Ppn)]]</f>
        <v>#DIV/0!</v>
      </c>
      <c r="AL52" s="35" t="e">
        <f>Table1[[#This Row],[RAB Perizinan]]/Table1[[#This Row],[Nilai RAB Jaringan
(Exclude Ppn)]]</f>
        <v>#DIV/0!</v>
      </c>
      <c r="AM52" s="42"/>
      <c r="AN52" s="256">
        <v>1140</v>
      </c>
      <c r="AO52" s="256">
        <f>SUM(Table1[[#This Row],[Pipa 63 mm]:[Pipa 1,800 mm]])</f>
        <v>0</v>
      </c>
      <c r="AP52" s="256"/>
      <c r="AQ52" s="256"/>
      <c r="AR52" s="256"/>
      <c r="AS52" s="256"/>
      <c r="AT52" s="256"/>
      <c r="AU52" s="256"/>
      <c r="AV52" s="256"/>
      <c r="AW52" s="256"/>
      <c r="AX52" s="256"/>
      <c r="AY52" s="256"/>
      <c r="AZ52" s="256"/>
      <c r="BA52" s="256"/>
      <c r="BB52" s="256"/>
      <c r="BC52" s="256"/>
      <c r="BD52" s="256"/>
      <c r="BE52" s="256"/>
      <c r="BF52" s="256"/>
      <c r="BG52" s="256"/>
      <c r="BH52" s="256"/>
      <c r="BI52" s="256"/>
      <c r="BJ52" s="36">
        <f>SUM(Table1[[#This Row],[Pipa 63 mm2]:[Pipa 1,800 mm21]])</f>
        <v>536.4</v>
      </c>
      <c r="BK52" s="326">
        <v>313.3</v>
      </c>
      <c r="BL52" s="326">
        <v>223.1</v>
      </c>
      <c r="BM52" s="326"/>
      <c r="BN52" s="326"/>
      <c r="BO52" s="326"/>
      <c r="BP52" s="326"/>
      <c r="BQ52" s="326"/>
      <c r="BR52" s="326"/>
      <c r="BS52" s="326"/>
      <c r="BT52" s="326"/>
      <c r="BU52" s="326"/>
      <c r="BV52" s="326"/>
      <c r="BW52" s="326"/>
      <c r="BX52" s="326"/>
      <c r="BY52" s="326"/>
      <c r="BZ52" s="326"/>
      <c r="CA52" s="326"/>
      <c r="CB52" s="326"/>
      <c r="CC52" s="326"/>
      <c r="CD52" s="326"/>
      <c r="CE52" s="32">
        <v>763</v>
      </c>
      <c r="CF52" s="32"/>
      <c r="CG52" s="32"/>
      <c r="CH52" s="32"/>
      <c r="CI52" s="32">
        <f t="shared" si="3"/>
        <v>763</v>
      </c>
      <c r="CJ52" s="60">
        <f>IF((Table1[[#This Row],["Volume
BA MC-0"]]-Table1[[#This Row],[Total Panjang Pipa Aktual
(Sum-&gt;)3]]-Table1[[#This Row],[Total Volume
tidak dapat dipasang]])&gt;=0,Table1[[#This Row],["Volume
BA MC-0"]]-Table1[[#This Row],[Total Panjang Pipa Aktual
(Sum-&gt;)3]]-Table1[[#This Row],[Total Volume
tidak dapat dipasang]],0)</f>
        <v>0</v>
      </c>
      <c r="CK52" s="42"/>
      <c r="CL52" s="113"/>
      <c r="CM52" s="35"/>
      <c r="CN52" s="113"/>
      <c r="CO52" s="113"/>
      <c r="CP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2" s="61">
        <f>IFERROR(Table1[[#This Row],[Progres Keg. Umum
(%)]]*Table1[[#This Row],[Nilai RAB Jaringan
(file pa aji)]],0)</f>
        <v>0</v>
      </c>
      <c r="CR52" s="61">
        <f>IFERROR(Table1[[#This Row],[Progres MOS
(%)]]*Table1[[#This Row],[Nilai RAB Jaringan
(file pa aji)]],0)</f>
        <v>0</v>
      </c>
      <c r="CS52" s="61">
        <f>IFERROR(Table1[[#This Row],[Progres Pemasangan
(%)]]*Table1[[#This Row],[Nilai RAB Jaringan
(file pa aji)]],0)</f>
        <v>0</v>
      </c>
      <c r="CT52" s="61">
        <f>IFERROR(Table1[[#This Row],[Progres Perizinan
(%)]]*Table1[[#This Row],[Nilai RAB Jaringan
(file pa aji)]],0)</f>
        <v>0</v>
      </c>
      <c r="CU52" s="789">
        <v>820145020</v>
      </c>
      <c r="CV52" s="299">
        <v>820145020</v>
      </c>
      <c r="CW52" s="552">
        <v>820145020</v>
      </c>
      <c r="CX52" s="789">
        <f>_xlfn.XLOOKUP(Table1[[#This Row],[Kode Program]],'[1]Breakdown VOWD Greenfield'!$E:$E,'[1]Breakdown VOWD Greenfield'!$AT:$AT)</f>
        <v>820145020</v>
      </c>
      <c r="CY52" s="42"/>
      <c r="CZ52" s="300">
        <v>45439</v>
      </c>
      <c r="DA52" s="300">
        <v>45466</v>
      </c>
      <c r="DB52" s="301"/>
      <c r="DC52" s="286"/>
      <c r="DD52" s="62"/>
      <c r="DE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2" s="301"/>
      <c r="DG52" s="286"/>
      <c r="DH52" s="62"/>
      <c r="DI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2" s="300">
        <v>45467</v>
      </c>
      <c r="DK52" s="300">
        <v>45536</v>
      </c>
      <c r="DL52" s="301">
        <v>45505</v>
      </c>
      <c r="DM52" s="327" t="s">
        <v>505</v>
      </c>
      <c r="DN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2" s="301">
        <v>45527</v>
      </c>
      <c r="DP52" s="286" t="s">
        <v>506</v>
      </c>
      <c r="DQ52" s="308" t="s">
        <v>501</v>
      </c>
      <c r="DR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2" s="300">
        <v>45467</v>
      </c>
      <c r="DT52" s="300" t="e">
        <v>#N/A</v>
      </c>
      <c r="DU52" s="300">
        <v>45508</v>
      </c>
      <c r="DV52" s="300" t="e">
        <v>#N/A</v>
      </c>
      <c r="DW52" s="301"/>
      <c r="DX52" s="286"/>
      <c r="DY52" s="304"/>
      <c r="DZ52" s="304"/>
      <c r="EA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2" s="301"/>
      <c r="EC52" s="302"/>
      <c r="ED52" s="302"/>
      <c r="EE52" s="300"/>
      <c r="EF52" s="35">
        <v>1</v>
      </c>
      <c r="EG52" s="307">
        <v>1</v>
      </c>
      <c r="EH52" s="286" t="str">
        <f>IF(Table1[[#This Row],[PO Material Aktual 
(%)]]&gt;=100%,"Selesai PO = 100%",IF(Table1[[#This Row],[PO Material Aktual 
(%)]]&gt;=50%,"Proses PO &gt; 100%",IF(Table1[[#This Row],[PO Material Aktual 
(%)]]&gt;0%,"Proses PO &gt; 50%",IF(Table1[[#This Row],[PO Material Aktual 
(%)]]=0,"Belum PO = 0%"))))</f>
        <v>Selesai PO = 100%</v>
      </c>
      <c r="EI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2" s="300">
        <v>45509</v>
      </c>
      <c r="EK52" s="300" t="e">
        <v>#N/A</v>
      </c>
      <c r="EL52" s="300">
        <v>45620</v>
      </c>
      <c r="EM52" s="300" t="e">
        <v>#N/A</v>
      </c>
      <c r="EN52" s="301"/>
      <c r="EO52" s="302"/>
      <c r="EP52" s="302"/>
      <c r="EQ52" s="82">
        <v>1</v>
      </c>
      <c r="ER52" s="82">
        <v>1</v>
      </c>
      <c r="ES52" s="286" t="str">
        <f>IF(Table1[[#This Row],[Progres MOS]]&gt;=100%,"Selesai MOS = 100%",IF(Table1[[#This Row],[Progres MOS]]&gt;=50%,"Proses MOS &gt; 100%",IF(Table1[[#This Row],[Progres MOS]]&gt;0%,"Proses MOS &gt; 50%",IF(Table1[[#This Row],[Progres MOS]]=0,"Belum MOS = 0%"))))</f>
        <v>Selesai MOS = 100%</v>
      </c>
      <c r="ET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2" s="42"/>
      <c r="EV52" s="300">
        <v>45467</v>
      </c>
      <c r="EW52" s="300" t="e">
        <v>#N/A</v>
      </c>
      <c r="EX52" s="300">
        <v>45564</v>
      </c>
      <c r="EY52" s="300" t="e">
        <v>#N/A</v>
      </c>
      <c r="EZ52" s="322" t="s">
        <v>259</v>
      </c>
      <c r="FA52" s="306" t="s">
        <v>259</v>
      </c>
      <c r="FB52" s="300" t="s">
        <v>260</v>
      </c>
      <c r="FC52" s="300">
        <v>45603</v>
      </c>
      <c r="FD52" s="300" t="s">
        <v>260</v>
      </c>
      <c r="FE52" s="300">
        <v>45680</v>
      </c>
      <c r="FF52" s="300">
        <v>45698</v>
      </c>
      <c r="FG52" s="300" t="s">
        <v>260</v>
      </c>
      <c r="FH52" s="300" t="s">
        <v>260</v>
      </c>
      <c r="FI52" s="300">
        <v>45981</v>
      </c>
      <c r="FJ52" s="300" t="s">
        <v>260</v>
      </c>
      <c r="FK52" s="300">
        <v>46049</v>
      </c>
      <c r="FL52" s="306" t="s">
        <v>259</v>
      </c>
      <c r="FM52" s="306">
        <v>45603</v>
      </c>
      <c r="FN52" s="284">
        <f>IF(Table1[[#This Row],[Tanggal Pengajuan Dokumen]]="","",Table1[[#This Row],[PLAN PERMIT
start]]-Table1[[#This Row],[Tanggal Pengajuan Dokumen]])</f>
        <v>-136</v>
      </c>
      <c r="FO52" s="306"/>
      <c r="FP52" s="286"/>
      <c r="FQ52" s="308"/>
      <c r="FR52" s="322"/>
      <c r="FS52" s="308" t="str">
        <f t="shared" si="5"/>
        <v>Sudah Terbit</v>
      </c>
      <c r="FT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2" s="314">
        <f ca="1">IF(Table1[[#This Row],[Status Izin]]="Selesai",Table1[[#This Row],[PLAN PERMIT
finish]]-Table1[[#This Row],[Tanggal Terbit/ Target Izin Terbit]],ROUNDUP(Table1[[#This Row],[PLAN PERMIT
finish]]-NOW(),0))</f>
        <v>45564</v>
      </c>
      <c r="FV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2" s="314"/>
      <c r="FX52" s="42"/>
      <c r="FY52" s="310"/>
      <c r="FZ52" s="311"/>
      <c r="GA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2" s="300">
        <v>45538</v>
      </c>
      <c r="GC52" s="301">
        <v>45519</v>
      </c>
      <c r="GD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2" s="300">
        <v>45545</v>
      </c>
      <c r="GF52" s="301">
        <v>45519</v>
      </c>
      <c r="GG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2" s="300">
        <v>45551</v>
      </c>
      <c r="GI52" s="300">
        <v>45557</v>
      </c>
      <c r="GJ52" s="323">
        <v>45528</v>
      </c>
      <c r="GK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2" s="300">
        <v>45565</v>
      </c>
      <c r="GM52" s="300" t="e">
        <v>#N/A</v>
      </c>
      <c r="GN52" s="300">
        <v>45690</v>
      </c>
      <c r="GO52" s="300" t="e">
        <v>#N/A</v>
      </c>
      <c r="GP52" s="286"/>
      <c r="GQ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2" s="300" t="s">
        <v>261</v>
      </c>
      <c r="GS52" s="300" t="s">
        <v>261</v>
      </c>
      <c r="GT52" s="324">
        <v>45718</v>
      </c>
      <c r="GU52" s="314" t="str">
        <f>IF(Table1[[#This Row],[Hydro Tes Actual
(tanggal)]]&lt;&gt;"","Sudah","Belum")</f>
        <v>Sudah</v>
      </c>
      <c r="GV52" s="300" t="s">
        <v>261</v>
      </c>
      <c r="GW52" s="300" t="s">
        <v>261</v>
      </c>
      <c r="GX52" s="301">
        <v>45710</v>
      </c>
      <c r="GY52" s="314" t="str">
        <f>IF(Table1[[#This Row],[Interkoneksi Actual
(tanggal)]]&lt;&gt;"","Sudah","Belum")</f>
        <v>Sudah</v>
      </c>
      <c r="GZ52" s="300" t="s">
        <v>261</v>
      </c>
      <c r="HA52" s="300" t="s">
        <v>261</v>
      </c>
      <c r="HB52" s="301">
        <v>45734</v>
      </c>
      <c r="HC52" s="314" t="str">
        <f>IF(Table1[[#This Row],[Flushing Actual
(tanggal)]]&lt;&gt;"","Sudah","Belum")</f>
        <v>Sudah</v>
      </c>
      <c r="HD52" s="300">
        <v>45677</v>
      </c>
      <c r="HE52" s="300" t="e">
        <v>#N/A</v>
      </c>
      <c r="HF52" s="300">
        <v>45683</v>
      </c>
      <c r="HG52" s="316">
        <v>45740</v>
      </c>
      <c r="HH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2" s="300" t="s">
        <v>261</v>
      </c>
      <c r="HJ52" s="300" t="s">
        <v>261</v>
      </c>
      <c r="HK52" s="301"/>
      <c r="HL52" s="286"/>
      <c r="HM52" s="300">
        <v>45702</v>
      </c>
      <c r="HN52" s="300">
        <v>45702</v>
      </c>
      <c r="HO52" s="300" t="e">
        <v>#N/A</v>
      </c>
      <c r="HP52" s="300"/>
      <c r="HQ52" s="316">
        <v>45758</v>
      </c>
      <c r="HR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2" s="300">
        <v>45709</v>
      </c>
      <c r="HT52" s="300"/>
      <c r="HU52" s="300">
        <v>45709</v>
      </c>
      <c r="HV52" s="497"/>
      <c r="HW52" s="300">
        <v>45751</v>
      </c>
      <c r="HX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2" s="42"/>
      <c r="HZ52" s="322"/>
      <c r="IA52" s="306"/>
      <c r="IC52" s="585">
        <f>IFERROR(ROUND((Table1[[#This Row],[PLAN TC
finish]]-Table1[[#This Row],[PLAN MC-0
start]])/30,2),"")</f>
        <v>4.4000000000000004</v>
      </c>
      <c r="ID52">
        <f>DATEDIF(Table1[[#This Row],[PLAN MC-0
start]],Table1[[#This Row],[PLAN TC
finish]],"m")</f>
        <v>4</v>
      </c>
    </row>
    <row r="53" spans="1:238" s="4" customFormat="1" ht="15" customHeight="1" x14ac:dyDescent="0.25">
      <c r="B53" s="281">
        <f>SUBTOTAL(3,$D$5:D53)</f>
        <v>49</v>
      </c>
      <c r="C53" s="318">
        <v>49</v>
      </c>
      <c r="D53" s="285" t="s">
        <v>244</v>
      </c>
      <c r="E53" s="285" t="s">
        <v>507</v>
      </c>
      <c r="F53" s="285" t="s">
        <v>508</v>
      </c>
      <c r="G53" s="319">
        <v>45752</v>
      </c>
      <c r="H53" s="284" t="s">
        <v>247</v>
      </c>
      <c r="I53" s="285" t="s">
        <v>278</v>
      </c>
      <c r="J53" s="285"/>
      <c r="K53" s="308" t="s">
        <v>249</v>
      </c>
      <c r="L53" s="286" t="s">
        <v>250</v>
      </c>
      <c r="M53" s="286" t="s">
        <v>269</v>
      </c>
      <c r="N53" s="94">
        <v>3309</v>
      </c>
      <c r="O53" s="31" t="s">
        <v>252</v>
      </c>
      <c r="P5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3" s="82" t="e">
        <v>#N/A</v>
      </c>
      <c r="S53" s="82">
        <v>1</v>
      </c>
      <c r="T53" s="35">
        <f>Table1[[#This Row],[Progres Total Aktual
(%)]]</f>
        <v>1</v>
      </c>
      <c r="U53" s="106">
        <f>Table1[[#This Row],[Progres Aktual
(%)]]-Table1[[#This Row],[Target Progres
(%)]]</f>
        <v>0</v>
      </c>
      <c r="V53" s="320">
        <f>Table1[[#This Row],["Volume
BA MC-0"]]</f>
        <v>3069</v>
      </c>
      <c r="W53" s="321">
        <f>Table1[[#This Row],[Total Panjang Pipa Aktual
(Sum-&gt;)3]]</f>
        <v>1709.5</v>
      </c>
      <c r="X53" s="42"/>
      <c r="Y53" s="62" t="s">
        <v>509</v>
      </c>
      <c r="Z53" s="62">
        <v>5334810853</v>
      </c>
      <c r="AA53" s="62">
        <f>ROUND((Table1[[#This Row],[Nilai RAB Jaringan
(Exclude Ppn)]]-Table1[[#This Row],[RAB Perizinan]])*1.11+Table1[[#This Row],[RAB Perizinan]],0)</f>
        <v>0</v>
      </c>
      <c r="AB53" s="290">
        <f>SUM(Table1[[#This Row],[RAB Kegiatan Umum]:[RAB Perizinan]])</f>
        <v>0</v>
      </c>
      <c r="AC53" s="290"/>
      <c r="AD53" s="290"/>
      <c r="AE53" s="290"/>
      <c r="AF53" s="290"/>
      <c r="AG53" s="290">
        <v>4107495194</v>
      </c>
      <c r="AH53" s="35" t="e">
        <f>SUM(Table1[[#This Row],[Bobot Keg Umum]:[Bobot Perizinan]])</f>
        <v>#DIV/0!</v>
      </c>
      <c r="AI53" s="35" t="e">
        <f>Table1[[#This Row],[RAB Kegiatan Umum]]/Table1[[#This Row],[Nilai RAB Jaringan
(Exclude Ppn)]]</f>
        <v>#DIV/0!</v>
      </c>
      <c r="AJ53" s="35" t="e">
        <f>Table1[[#This Row],[RAB Pemasangan]]/Table1[[#This Row],[Nilai RAB Jaringan
(Exclude Ppn)]]</f>
        <v>#DIV/0!</v>
      </c>
      <c r="AK53" s="35" t="e">
        <f>Table1[[#This Row],[RAB Pengadaan]]/Table1[[#This Row],[Nilai RAB Jaringan
(Exclude Ppn)]]</f>
        <v>#DIV/0!</v>
      </c>
      <c r="AL53" s="35" t="e">
        <f>Table1[[#This Row],[RAB Perizinan]]/Table1[[#This Row],[Nilai RAB Jaringan
(Exclude Ppn)]]</f>
        <v>#DIV/0!</v>
      </c>
      <c r="AM53" s="42"/>
      <c r="AN53" s="256">
        <v>3069</v>
      </c>
      <c r="AO53" s="256">
        <f>SUM(Table1[[#This Row],[Pipa 63 mm]:[Pipa 1,800 mm]])</f>
        <v>0</v>
      </c>
      <c r="AP53" s="256"/>
      <c r="AQ53" s="256"/>
      <c r="AR53" s="256"/>
      <c r="AS53" s="256"/>
      <c r="AT53" s="256"/>
      <c r="AU53" s="256"/>
      <c r="AV53" s="256"/>
      <c r="AW53" s="256"/>
      <c r="AX53" s="256"/>
      <c r="AY53" s="256"/>
      <c r="AZ53" s="256"/>
      <c r="BA53" s="256"/>
      <c r="BB53" s="256"/>
      <c r="BC53" s="256"/>
      <c r="BD53" s="256"/>
      <c r="BE53" s="256"/>
      <c r="BF53" s="256"/>
      <c r="BG53" s="256"/>
      <c r="BH53" s="256"/>
      <c r="BI53" s="256"/>
      <c r="BJ53" s="36">
        <f>SUM(Table1[[#This Row],[Pipa 63 mm2]:[Pipa 1,800 mm21]])</f>
        <v>1709.5</v>
      </c>
      <c r="BK53" s="326">
        <v>526.29999999999995</v>
      </c>
      <c r="BL53" s="326">
        <v>170.1</v>
      </c>
      <c r="BM53" s="326">
        <v>340.4</v>
      </c>
      <c r="BN53" s="326">
        <v>672.7</v>
      </c>
      <c r="BO53" s="326"/>
      <c r="BP53" s="326"/>
      <c r="BQ53" s="326"/>
      <c r="BR53" s="326"/>
      <c r="BS53" s="326"/>
      <c r="BT53" s="326"/>
      <c r="BU53" s="326"/>
      <c r="BV53" s="326"/>
      <c r="BW53" s="326"/>
      <c r="BX53" s="326"/>
      <c r="BY53" s="326"/>
      <c r="BZ53" s="326"/>
      <c r="CA53" s="326"/>
      <c r="CB53" s="326"/>
      <c r="CC53" s="326"/>
      <c r="CD53" s="326"/>
      <c r="CE53" s="32">
        <v>1673</v>
      </c>
      <c r="CF53" s="32"/>
      <c r="CG53" s="32"/>
      <c r="CH53" s="32"/>
      <c r="CI53" s="32">
        <f t="shared" si="3"/>
        <v>1673</v>
      </c>
      <c r="CJ53" s="60">
        <f>IF((Table1[[#This Row],["Volume
BA MC-0"]]-Table1[[#This Row],[Total Panjang Pipa Aktual
(Sum-&gt;)3]]-Table1[[#This Row],[Total Volume
tidak dapat dipasang]])&gt;=0,Table1[[#This Row],["Volume
BA MC-0"]]-Table1[[#This Row],[Total Panjang Pipa Aktual
(Sum-&gt;)3]]-Table1[[#This Row],[Total Volume
tidak dapat dipasang]],0)</f>
        <v>0</v>
      </c>
      <c r="CK53" s="42"/>
      <c r="CL53" s="113"/>
      <c r="CM53" s="35"/>
      <c r="CN53" s="113"/>
      <c r="CO53" s="113"/>
      <c r="CP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3" s="61">
        <f>IFERROR(Table1[[#This Row],[Progres Keg. Umum
(%)]]*Table1[[#This Row],[Nilai RAB Jaringan
(file pa aji)]],0)</f>
        <v>0</v>
      </c>
      <c r="CR53" s="61">
        <f>IFERROR(Table1[[#This Row],[Progres MOS
(%)]]*Table1[[#This Row],[Nilai RAB Jaringan
(file pa aji)]],0)</f>
        <v>0</v>
      </c>
      <c r="CS53" s="61">
        <f>IFERROR(Table1[[#This Row],[Progres Pemasangan
(%)]]*Table1[[#This Row],[Nilai RAB Jaringan
(file pa aji)]],0)</f>
        <v>0</v>
      </c>
      <c r="CT53" s="61">
        <f>IFERROR(Table1[[#This Row],[Progres Perizinan
(%)]]*Table1[[#This Row],[Nilai RAB Jaringan
(file pa aji)]],0)</f>
        <v>0</v>
      </c>
      <c r="CU53" s="789">
        <v>3080878239</v>
      </c>
      <c r="CV53" s="299">
        <v>3080878239</v>
      </c>
      <c r="CW53" s="552">
        <v>3080878239</v>
      </c>
      <c r="CX53" s="789">
        <f>_xlfn.XLOOKUP(Table1[[#This Row],[Kode Program]],'[1]Breakdown VOWD Greenfield'!$E:$E,'[1]Breakdown VOWD Greenfield'!$AT:$AT)</f>
        <v>3080878239</v>
      </c>
      <c r="CY53" s="42"/>
      <c r="CZ53" s="300">
        <v>45439</v>
      </c>
      <c r="DA53" s="300">
        <v>45466</v>
      </c>
      <c r="DB53" s="301"/>
      <c r="DC53" s="286"/>
      <c r="DD53" s="62"/>
      <c r="DE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3" s="301"/>
      <c r="DG53" s="286"/>
      <c r="DH53" s="62"/>
      <c r="DI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3" s="300">
        <v>45467</v>
      </c>
      <c r="DK53" s="300">
        <v>45536</v>
      </c>
      <c r="DL53" s="301">
        <v>45506</v>
      </c>
      <c r="DM53" s="327" t="s">
        <v>510</v>
      </c>
      <c r="DN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3" s="301">
        <v>45527</v>
      </c>
      <c r="DP53" s="286" t="s">
        <v>511</v>
      </c>
      <c r="DQ53" s="308" t="s">
        <v>501</v>
      </c>
      <c r="DR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3" s="300">
        <v>45467</v>
      </c>
      <c r="DT53" s="300" t="e">
        <v>#N/A</v>
      </c>
      <c r="DU53" s="300">
        <v>45508</v>
      </c>
      <c r="DV53" s="300" t="e">
        <v>#N/A</v>
      </c>
      <c r="DW53" s="301"/>
      <c r="DX53" s="286"/>
      <c r="DY53" s="304"/>
      <c r="DZ53" s="304"/>
      <c r="EA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3" s="301"/>
      <c r="EC53" s="302"/>
      <c r="ED53" s="302"/>
      <c r="EE53" s="300"/>
      <c r="EF53" s="35">
        <v>1</v>
      </c>
      <c r="EG53" s="307">
        <v>1</v>
      </c>
      <c r="EH53" s="286" t="str">
        <f>IF(Table1[[#This Row],[PO Material Aktual 
(%)]]&gt;=100%,"Selesai PO = 100%",IF(Table1[[#This Row],[PO Material Aktual 
(%)]]&gt;=50%,"Proses PO &gt; 100%",IF(Table1[[#This Row],[PO Material Aktual 
(%)]]&gt;0%,"Proses PO &gt; 50%",IF(Table1[[#This Row],[PO Material Aktual 
(%)]]=0,"Belum PO = 0%"))))</f>
        <v>Selesai PO = 100%</v>
      </c>
      <c r="EI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3" s="300">
        <v>45509</v>
      </c>
      <c r="EK53" s="300" t="e">
        <v>#N/A</v>
      </c>
      <c r="EL53" s="300">
        <v>45620</v>
      </c>
      <c r="EM53" s="300" t="e">
        <v>#N/A</v>
      </c>
      <c r="EN53" s="301"/>
      <c r="EO53" s="302"/>
      <c r="EP53" s="302"/>
      <c r="EQ53" s="82">
        <v>1</v>
      </c>
      <c r="ER53" s="82">
        <v>1</v>
      </c>
      <c r="ES53" s="286" t="str">
        <f>IF(Table1[[#This Row],[Progres MOS]]&gt;=100%,"Selesai MOS = 100%",IF(Table1[[#This Row],[Progres MOS]]&gt;=50%,"Proses MOS &gt; 100%",IF(Table1[[#This Row],[Progres MOS]]&gt;0%,"Proses MOS &gt; 50%",IF(Table1[[#This Row],[Progres MOS]]=0,"Belum MOS = 0%"))))</f>
        <v>Selesai MOS = 100%</v>
      </c>
      <c r="ET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3" s="42"/>
      <c r="EV53" s="300">
        <v>45467</v>
      </c>
      <c r="EW53" s="300" t="e">
        <v>#N/A</v>
      </c>
      <c r="EX53" s="300">
        <v>45564</v>
      </c>
      <c r="EY53" s="300" t="e">
        <v>#N/A</v>
      </c>
      <c r="EZ53" s="322" t="s">
        <v>259</v>
      </c>
      <c r="FA53" s="306" t="s">
        <v>259</v>
      </c>
      <c r="FB53" s="300" t="s">
        <v>260</v>
      </c>
      <c r="FC53" s="300">
        <v>45603</v>
      </c>
      <c r="FD53" s="300" t="s">
        <v>260</v>
      </c>
      <c r="FE53" s="300">
        <v>45680</v>
      </c>
      <c r="FF53" s="300">
        <v>45698</v>
      </c>
      <c r="FG53" s="300" t="s">
        <v>260</v>
      </c>
      <c r="FH53" s="300" t="s">
        <v>260</v>
      </c>
      <c r="FI53" s="300">
        <v>45981</v>
      </c>
      <c r="FJ53" s="300" t="s">
        <v>260</v>
      </c>
      <c r="FK53" s="300">
        <v>46049</v>
      </c>
      <c r="FL53" s="306" t="s">
        <v>259</v>
      </c>
      <c r="FM53" s="306">
        <v>45603</v>
      </c>
      <c r="FN53" s="284">
        <f>IF(Table1[[#This Row],[Tanggal Pengajuan Dokumen]]="","",Table1[[#This Row],[PLAN PERMIT
start]]-Table1[[#This Row],[Tanggal Pengajuan Dokumen]])</f>
        <v>-136</v>
      </c>
      <c r="FO53" s="306"/>
      <c r="FP53" s="286"/>
      <c r="FQ53" s="308"/>
      <c r="FR53" s="322"/>
      <c r="FS53" s="308" t="str">
        <f t="shared" si="5"/>
        <v>Sudah Terbit</v>
      </c>
      <c r="FT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3" s="314">
        <f ca="1">IF(Table1[[#This Row],[Status Izin]]="Selesai",Table1[[#This Row],[PLAN PERMIT
finish]]-Table1[[#This Row],[Tanggal Terbit/ Target Izin Terbit]],ROUNDUP(Table1[[#This Row],[PLAN PERMIT
finish]]-NOW(),0))</f>
        <v>45564</v>
      </c>
      <c r="FV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3" s="314"/>
      <c r="FX53" s="42"/>
      <c r="FY53" s="310"/>
      <c r="FZ53" s="311"/>
      <c r="GA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3" s="300">
        <v>45538</v>
      </c>
      <c r="GC53" s="301">
        <v>45519</v>
      </c>
      <c r="GD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3" s="300">
        <v>45545</v>
      </c>
      <c r="GF53" s="301">
        <v>45519</v>
      </c>
      <c r="GG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3" s="300">
        <v>45551</v>
      </c>
      <c r="GI53" s="300">
        <v>45557</v>
      </c>
      <c r="GJ53" s="323">
        <v>45530</v>
      </c>
      <c r="GK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3" s="300">
        <v>45565</v>
      </c>
      <c r="GM53" s="300" t="e">
        <v>#N/A</v>
      </c>
      <c r="GN53" s="300">
        <v>45690</v>
      </c>
      <c r="GO53" s="300" t="e">
        <v>#N/A</v>
      </c>
      <c r="GP53" s="286"/>
      <c r="GQ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3" s="300" t="s">
        <v>261</v>
      </c>
      <c r="GS53" s="300" t="s">
        <v>261</v>
      </c>
      <c r="GT53" s="324">
        <v>45722</v>
      </c>
      <c r="GU53" s="314" t="str">
        <f>IF(Table1[[#This Row],[Hydro Tes Actual
(tanggal)]]&lt;&gt;"","Sudah","Belum")</f>
        <v>Sudah</v>
      </c>
      <c r="GV53" s="300" t="s">
        <v>261</v>
      </c>
      <c r="GW53" s="300" t="s">
        <v>261</v>
      </c>
      <c r="GX53" s="301">
        <v>45717</v>
      </c>
      <c r="GY53" s="314" t="str">
        <f>IF(Table1[[#This Row],[Interkoneksi Actual
(tanggal)]]&lt;&gt;"","Sudah","Belum")</f>
        <v>Sudah</v>
      </c>
      <c r="GZ53" s="300" t="s">
        <v>261</v>
      </c>
      <c r="HA53" s="300" t="s">
        <v>261</v>
      </c>
      <c r="HB53" s="301">
        <v>45734</v>
      </c>
      <c r="HC53" s="314" t="str">
        <f>IF(Table1[[#This Row],[Flushing Actual
(tanggal)]]&lt;&gt;"","Sudah","Belum")</f>
        <v>Sudah</v>
      </c>
      <c r="HD53" s="300">
        <v>45677</v>
      </c>
      <c r="HE53" s="300" t="e">
        <v>#N/A</v>
      </c>
      <c r="HF53" s="300">
        <v>45683</v>
      </c>
      <c r="HG53" s="316">
        <v>45742</v>
      </c>
      <c r="HH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3" s="300" t="s">
        <v>261</v>
      </c>
      <c r="HJ53" s="300" t="s">
        <v>261</v>
      </c>
      <c r="HK53" s="301"/>
      <c r="HL53" s="286"/>
      <c r="HM53" s="300">
        <v>45702</v>
      </c>
      <c r="HN53" s="300">
        <v>45702</v>
      </c>
      <c r="HO53" s="300" t="e">
        <v>#N/A</v>
      </c>
      <c r="HP53" s="300"/>
      <c r="HQ53" s="316">
        <v>45758</v>
      </c>
      <c r="HR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3" s="300">
        <v>45709</v>
      </c>
      <c r="HT53" s="300"/>
      <c r="HU53" s="300">
        <v>45709</v>
      </c>
      <c r="HV53" s="497"/>
      <c r="HW53" s="300">
        <v>45751</v>
      </c>
      <c r="HX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3" s="42"/>
      <c r="HZ53" s="322"/>
      <c r="IA53" s="306"/>
      <c r="IC53" s="585">
        <f>IFERROR(ROUND((Table1[[#This Row],[PLAN TC
finish]]-Table1[[#This Row],[PLAN MC-0
start]])/30,2),"")</f>
        <v>4.4000000000000004</v>
      </c>
      <c r="ID53">
        <f>DATEDIF(Table1[[#This Row],[PLAN MC-0
start]],Table1[[#This Row],[PLAN TC
finish]],"m")</f>
        <v>4</v>
      </c>
    </row>
    <row r="54" spans="1:238" s="4" customFormat="1" ht="15" customHeight="1" x14ac:dyDescent="0.25">
      <c r="B54" s="281">
        <f>SUBTOTAL(3,$D$5:D54)</f>
        <v>50</v>
      </c>
      <c r="C54" s="318">
        <v>50</v>
      </c>
      <c r="D54" s="285" t="s">
        <v>244</v>
      </c>
      <c r="E54" s="285" t="s">
        <v>512</v>
      </c>
      <c r="F54" s="285" t="s">
        <v>513</v>
      </c>
      <c r="G54" s="319">
        <v>45752</v>
      </c>
      <c r="H54" s="284" t="s">
        <v>247</v>
      </c>
      <c r="I54" s="285" t="s">
        <v>278</v>
      </c>
      <c r="J54" s="285"/>
      <c r="K54" s="308" t="s">
        <v>249</v>
      </c>
      <c r="L54" s="286" t="s">
        <v>250</v>
      </c>
      <c r="M54" s="286" t="s">
        <v>269</v>
      </c>
      <c r="N54" s="94">
        <v>2287</v>
      </c>
      <c r="O54" s="31" t="s">
        <v>252</v>
      </c>
      <c r="P5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4" s="82" t="e">
        <v>#N/A</v>
      </c>
      <c r="S54" s="82">
        <v>1</v>
      </c>
      <c r="T54" s="35">
        <f>Table1[[#This Row],[Progres Total Aktual
(%)]]</f>
        <v>1</v>
      </c>
      <c r="U54" s="106">
        <f>Table1[[#This Row],[Progres Aktual
(%)]]-Table1[[#This Row],[Target Progres
(%)]]</f>
        <v>0</v>
      </c>
      <c r="V54" s="320">
        <f>Table1[[#This Row],["Volume
BA MC-0"]]</f>
        <v>2197</v>
      </c>
      <c r="W54" s="321">
        <f>Table1[[#This Row],[Total Panjang Pipa Aktual
(Sum-&gt;)3]]</f>
        <v>1357.6</v>
      </c>
      <c r="X54" s="42"/>
      <c r="Y54" s="62" t="s">
        <v>514</v>
      </c>
      <c r="Z54" s="62">
        <v>3272811907</v>
      </c>
      <c r="AA54" s="62">
        <f>ROUND((Table1[[#This Row],[Nilai RAB Jaringan
(Exclude Ppn)]]-Table1[[#This Row],[RAB Perizinan]])*1.11+Table1[[#This Row],[RAB Perizinan]],0)</f>
        <v>0</v>
      </c>
      <c r="AB54" s="290">
        <f>SUM(Table1[[#This Row],[RAB Kegiatan Umum]:[RAB Perizinan]])</f>
        <v>0</v>
      </c>
      <c r="AC54" s="290"/>
      <c r="AD54" s="290"/>
      <c r="AE54" s="290"/>
      <c r="AF54" s="290"/>
      <c r="AG54" s="290">
        <v>7382833177</v>
      </c>
      <c r="AH54" s="35" t="e">
        <f>SUM(Table1[[#This Row],[Bobot Keg Umum]:[Bobot Perizinan]])</f>
        <v>#DIV/0!</v>
      </c>
      <c r="AI54" s="35" t="e">
        <f>Table1[[#This Row],[RAB Kegiatan Umum]]/Table1[[#This Row],[Nilai RAB Jaringan
(Exclude Ppn)]]</f>
        <v>#DIV/0!</v>
      </c>
      <c r="AJ54" s="35" t="e">
        <f>Table1[[#This Row],[RAB Pemasangan]]/Table1[[#This Row],[Nilai RAB Jaringan
(Exclude Ppn)]]</f>
        <v>#DIV/0!</v>
      </c>
      <c r="AK54" s="35" t="e">
        <f>Table1[[#This Row],[RAB Pengadaan]]/Table1[[#This Row],[Nilai RAB Jaringan
(Exclude Ppn)]]</f>
        <v>#DIV/0!</v>
      </c>
      <c r="AL54" s="35" t="e">
        <f>Table1[[#This Row],[RAB Perizinan]]/Table1[[#This Row],[Nilai RAB Jaringan
(Exclude Ppn)]]</f>
        <v>#DIV/0!</v>
      </c>
      <c r="AM54" s="42"/>
      <c r="AN54" s="256">
        <v>2197</v>
      </c>
      <c r="AO54" s="256">
        <f>SUM(Table1[[#This Row],[Pipa 63 mm]:[Pipa 1,800 mm]])</f>
        <v>0</v>
      </c>
      <c r="AP54" s="256"/>
      <c r="AQ54" s="256"/>
      <c r="AR54" s="256"/>
      <c r="AS54" s="256"/>
      <c r="AT54" s="256"/>
      <c r="AU54" s="256"/>
      <c r="AV54" s="256"/>
      <c r="AW54" s="256"/>
      <c r="AX54" s="256"/>
      <c r="AY54" s="256"/>
      <c r="AZ54" s="256"/>
      <c r="BA54" s="256"/>
      <c r="BB54" s="256"/>
      <c r="BC54" s="256"/>
      <c r="BD54" s="256"/>
      <c r="BE54" s="256"/>
      <c r="BF54" s="256"/>
      <c r="BG54" s="256"/>
      <c r="BH54" s="256"/>
      <c r="BI54" s="256"/>
      <c r="BJ54" s="36">
        <f>SUM(Table1[[#This Row],[Pipa 63 mm2]:[Pipa 1,800 mm21]])</f>
        <v>1357.6</v>
      </c>
      <c r="BK54" s="326">
        <v>1357.6</v>
      </c>
      <c r="BL54" s="326"/>
      <c r="BM54" s="326"/>
      <c r="BN54" s="326"/>
      <c r="BO54" s="326"/>
      <c r="BP54" s="326"/>
      <c r="BQ54" s="326"/>
      <c r="BR54" s="326"/>
      <c r="BS54" s="326"/>
      <c r="BT54" s="326"/>
      <c r="BU54" s="326"/>
      <c r="BV54" s="326"/>
      <c r="BW54" s="326"/>
      <c r="BX54" s="326"/>
      <c r="BY54" s="326"/>
      <c r="BZ54" s="326"/>
      <c r="CA54" s="326"/>
      <c r="CB54" s="326"/>
      <c r="CC54" s="326"/>
      <c r="CD54" s="326"/>
      <c r="CE54" s="32">
        <v>984</v>
      </c>
      <c r="CF54" s="32"/>
      <c r="CG54" s="32"/>
      <c r="CH54" s="32"/>
      <c r="CI54" s="32">
        <f t="shared" si="3"/>
        <v>984</v>
      </c>
      <c r="CJ54" s="60">
        <f>IF((Table1[[#This Row],["Volume
BA MC-0"]]-Table1[[#This Row],[Total Panjang Pipa Aktual
(Sum-&gt;)3]]-Table1[[#This Row],[Total Volume
tidak dapat dipasang]])&gt;=0,Table1[[#This Row],["Volume
BA MC-0"]]-Table1[[#This Row],[Total Panjang Pipa Aktual
(Sum-&gt;)3]]-Table1[[#This Row],[Total Volume
tidak dapat dipasang]],0)</f>
        <v>0</v>
      </c>
      <c r="CK54" s="42"/>
      <c r="CL54" s="113"/>
      <c r="CM54" s="35"/>
      <c r="CN54" s="113"/>
      <c r="CO54" s="113"/>
      <c r="CP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4" s="61">
        <f>IFERROR(Table1[[#This Row],[Progres Keg. Umum
(%)]]*Table1[[#This Row],[Nilai RAB Jaringan
(file pa aji)]],0)</f>
        <v>0</v>
      </c>
      <c r="CR54" s="61">
        <f>IFERROR(Table1[[#This Row],[Progres MOS
(%)]]*Table1[[#This Row],[Nilai RAB Jaringan
(file pa aji)]],0)</f>
        <v>0</v>
      </c>
      <c r="CS54" s="61">
        <f>IFERROR(Table1[[#This Row],[Progres Pemasangan
(%)]]*Table1[[#This Row],[Nilai RAB Jaringan
(file pa aji)]],0)</f>
        <v>0</v>
      </c>
      <c r="CT54" s="61">
        <f>IFERROR(Table1[[#This Row],[Progres Perizinan
(%)]]*Table1[[#This Row],[Nilai RAB Jaringan
(file pa aji)]],0)</f>
        <v>0</v>
      </c>
      <c r="CU54" s="789">
        <v>3601671426</v>
      </c>
      <c r="CV54" s="299">
        <v>3601671426</v>
      </c>
      <c r="CW54" s="552">
        <v>3601671426</v>
      </c>
      <c r="CX54" s="789">
        <f>_xlfn.XLOOKUP(Table1[[#This Row],[Kode Program]],'[1]Breakdown VOWD Greenfield'!$E:$E,'[1]Breakdown VOWD Greenfield'!$AT:$AT)</f>
        <v>3601671426</v>
      </c>
      <c r="CY54" s="42"/>
      <c r="CZ54" s="300">
        <v>45439</v>
      </c>
      <c r="DA54" s="300">
        <v>45466</v>
      </c>
      <c r="DB54" s="301"/>
      <c r="DC54" s="286"/>
      <c r="DD54" s="62"/>
      <c r="DE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4" s="301"/>
      <c r="DG54" s="286"/>
      <c r="DH54" s="62"/>
      <c r="DI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4" s="300">
        <v>45467</v>
      </c>
      <c r="DK54" s="300">
        <v>45536</v>
      </c>
      <c r="DL54" s="301">
        <v>45489</v>
      </c>
      <c r="DM54" s="327" t="s">
        <v>515</v>
      </c>
      <c r="DN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4" s="301">
        <v>45523</v>
      </c>
      <c r="DP54" s="286" t="s">
        <v>516</v>
      </c>
      <c r="DQ54" s="308" t="s">
        <v>275</v>
      </c>
      <c r="DR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4" s="300">
        <v>45467</v>
      </c>
      <c r="DT54" s="300" t="e">
        <v>#N/A</v>
      </c>
      <c r="DU54" s="300">
        <v>45508</v>
      </c>
      <c r="DV54" s="300" t="e">
        <v>#N/A</v>
      </c>
      <c r="DW54" s="301"/>
      <c r="DX54" s="286"/>
      <c r="DY54" s="304"/>
      <c r="DZ54" s="304"/>
      <c r="EA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4" s="301"/>
      <c r="EC54" s="302"/>
      <c r="ED54" s="302"/>
      <c r="EE54" s="300"/>
      <c r="EF54" s="35">
        <v>1</v>
      </c>
      <c r="EG54" s="307">
        <v>1</v>
      </c>
      <c r="EH54" s="286" t="str">
        <f>IF(Table1[[#This Row],[PO Material Aktual 
(%)]]&gt;=100%,"Selesai PO = 100%",IF(Table1[[#This Row],[PO Material Aktual 
(%)]]&gt;=50%,"Proses PO &gt; 100%",IF(Table1[[#This Row],[PO Material Aktual 
(%)]]&gt;0%,"Proses PO &gt; 50%",IF(Table1[[#This Row],[PO Material Aktual 
(%)]]=0,"Belum PO = 0%"))))</f>
        <v>Selesai PO = 100%</v>
      </c>
      <c r="EI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4" s="300">
        <v>45509</v>
      </c>
      <c r="EK54" s="300" t="e">
        <v>#N/A</v>
      </c>
      <c r="EL54" s="300">
        <v>45620</v>
      </c>
      <c r="EM54" s="300" t="e">
        <v>#N/A</v>
      </c>
      <c r="EN54" s="301"/>
      <c r="EO54" s="302"/>
      <c r="EP54" s="302"/>
      <c r="EQ54" s="82">
        <v>1</v>
      </c>
      <c r="ER54" s="82">
        <v>1</v>
      </c>
      <c r="ES54" s="286" t="str">
        <f>IF(Table1[[#This Row],[Progres MOS]]&gt;=100%,"Selesai MOS = 100%",IF(Table1[[#This Row],[Progres MOS]]&gt;=50%,"Proses MOS &gt; 100%",IF(Table1[[#This Row],[Progres MOS]]&gt;0%,"Proses MOS &gt; 50%",IF(Table1[[#This Row],[Progres MOS]]=0,"Belum MOS = 0%"))))</f>
        <v>Selesai MOS = 100%</v>
      </c>
      <c r="ET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4" s="42"/>
      <c r="EV54" s="300">
        <v>45467</v>
      </c>
      <c r="EW54" s="300" t="e">
        <v>#N/A</v>
      </c>
      <c r="EX54" s="300">
        <v>45564</v>
      </c>
      <c r="EY54" s="300" t="e">
        <v>#N/A</v>
      </c>
      <c r="EZ54" s="322" t="s">
        <v>259</v>
      </c>
      <c r="FA54" s="306" t="s">
        <v>259</v>
      </c>
      <c r="FB54" s="300" t="s">
        <v>260</v>
      </c>
      <c r="FC54" s="300">
        <v>45204</v>
      </c>
      <c r="FD54" s="300" t="s">
        <v>260</v>
      </c>
      <c r="FE54" s="300"/>
      <c r="FF54" s="300">
        <v>45496</v>
      </c>
      <c r="FG54" s="300" t="s">
        <v>260</v>
      </c>
      <c r="FH54" s="300" t="s">
        <v>260</v>
      </c>
      <c r="FI54" s="300">
        <v>45512</v>
      </c>
      <c r="FJ54" s="300" t="s">
        <v>260</v>
      </c>
      <c r="FK54" s="300">
        <v>45791</v>
      </c>
      <c r="FL54" s="306" t="s">
        <v>259</v>
      </c>
      <c r="FM54" s="306">
        <v>45204</v>
      </c>
      <c r="FN54" s="284">
        <f>IF(Table1[[#This Row],[Tanggal Pengajuan Dokumen]]="","",Table1[[#This Row],[PLAN PERMIT
start]]-Table1[[#This Row],[Tanggal Pengajuan Dokumen]])</f>
        <v>263</v>
      </c>
      <c r="FO54" s="306">
        <v>45791</v>
      </c>
      <c r="FP54" s="286"/>
      <c r="FQ54" s="308"/>
      <c r="FR54" s="322"/>
      <c r="FS54" s="308" t="str">
        <f t="shared" si="5"/>
        <v>Sudah Terbit</v>
      </c>
      <c r="FT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4" s="314">
        <f ca="1">IF(Table1[[#This Row],[Status Izin]]="Selesai",Table1[[#This Row],[PLAN PERMIT
finish]]-Table1[[#This Row],[Tanggal Terbit/ Target Izin Terbit]],ROUNDUP(Table1[[#This Row],[PLAN PERMIT
finish]]-NOW(),0))</f>
        <v>-227</v>
      </c>
      <c r="FV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4" s="314"/>
      <c r="FX54" s="42"/>
      <c r="FY54" s="310"/>
      <c r="FZ54" s="311"/>
      <c r="GA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4" s="300">
        <v>45538</v>
      </c>
      <c r="GC54" s="301">
        <v>45519</v>
      </c>
      <c r="GD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4" s="300">
        <v>45545</v>
      </c>
      <c r="GF54" s="301">
        <v>45519</v>
      </c>
      <c r="GG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4" s="300">
        <v>45551</v>
      </c>
      <c r="GI54" s="300">
        <v>45557</v>
      </c>
      <c r="GJ54" s="323">
        <v>45532</v>
      </c>
      <c r="GK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4" s="300">
        <v>45565</v>
      </c>
      <c r="GM54" s="300" t="e">
        <v>#N/A</v>
      </c>
      <c r="GN54" s="300">
        <v>45690</v>
      </c>
      <c r="GO54" s="300" t="e">
        <v>#N/A</v>
      </c>
      <c r="GP54" s="286"/>
      <c r="GQ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4" s="300" t="s">
        <v>261</v>
      </c>
      <c r="GS54" s="300" t="s">
        <v>261</v>
      </c>
      <c r="GT54" s="324">
        <v>45638</v>
      </c>
      <c r="GU54" s="314" t="str">
        <f>IF(Table1[[#This Row],[Hydro Tes Actual
(tanggal)]]&lt;&gt;"","Sudah","Belum")</f>
        <v>Sudah</v>
      </c>
      <c r="GV54" s="300" t="s">
        <v>261</v>
      </c>
      <c r="GW54" s="300" t="s">
        <v>261</v>
      </c>
      <c r="GX54" s="301">
        <v>45706</v>
      </c>
      <c r="GY54" s="314" t="str">
        <f>IF(Table1[[#This Row],[Interkoneksi Actual
(tanggal)]]&lt;&gt;"","Sudah","Belum")</f>
        <v>Sudah</v>
      </c>
      <c r="GZ54" s="300" t="s">
        <v>261</v>
      </c>
      <c r="HA54" s="300" t="s">
        <v>261</v>
      </c>
      <c r="HB54" s="301">
        <v>45708</v>
      </c>
      <c r="HC54" s="314" t="str">
        <f>IF(Table1[[#This Row],[Flushing Actual
(tanggal)]]&lt;&gt;"","Sudah","Belum")</f>
        <v>Sudah</v>
      </c>
      <c r="HD54" s="300">
        <v>45677</v>
      </c>
      <c r="HE54" s="300" t="e">
        <v>#N/A</v>
      </c>
      <c r="HF54" s="300">
        <v>45683</v>
      </c>
      <c r="HG54" s="316">
        <v>45728</v>
      </c>
      <c r="HH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4" s="300" t="s">
        <v>261</v>
      </c>
      <c r="HJ54" s="300" t="s">
        <v>261</v>
      </c>
      <c r="HK54" s="301"/>
      <c r="HL54" s="286"/>
      <c r="HM54" s="300">
        <v>45702</v>
      </c>
      <c r="HN54" s="300">
        <v>45702</v>
      </c>
      <c r="HO54" s="300" t="e">
        <v>#N/A</v>
      </c>
      <c r="HP54" s="300"/>
      <c r="HQ54" s="316">
        <v>45739</v>
      </c>
      <c r="HR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4" s="300">
        <v>45709</v>
      </c>
      <c r="HT54" s="300"/>
      <c r="HU54" s="300">
        <v>45709</v>
      </c>
      <c r="HV54" s="497"/>
      <c r="HW54" s="300">
        <v>45751</v>
      </c>
      <c r="HX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4" s="42"/>
      <c r="HZ54" s="322"/>
      <c r="IA54" s="306"/>
      <c r="IC54" s="585">
        <f>IFERROR(ROUND((Table1[[#This Row],[PLAN TC
finish]]-Table1[[#This Row],[PLAN MC-0
start]])/30,2),"")</f>
        <v>4.4000000000000004</v>
      </c>
      <c r="ID54">
        <f>DATEDIF(Table1[[#This Row],[PLAN MC-0
start]],Table1[[#This Row],[PLAN TC
finish]],"m")</f>
        <v>4</v>
      </c>
    </row>
    <row r="55" spans="1:238" s="4" customFormat="1" ht="15" customHeight="1" x14ac:dyDescent="0.25">
      <c r="B55" s="281">
        <f>SUBTOTAL(3,$D$5:D55)</f>
        <v>51</v>
      </c>
      <c r="C55" s="318">
        <v>51</v>
      </c>
      <c r="D55" s="285" t="s">
        <v>244</v>
      </c>
      <c r="E55" s="285" t="s">
        <v>517</v>
      </c>
      <c r="F55" s="285" t="s">
        <v>518</v>
      </c>
      <c r="G55" s="319">
        <v>45752</v>
      </c>
      <c r="H55" s="284" t="s">
        <v>247</v>
      </c>
      <c r="I55" s="285" t="s">
        <v>278</v>
      </c>
      <c r="J55" s="285"/>
      <c r="K55" s="308" t="s">
        <v>249</v>
      </c>
      <c r="L55" s="286" t="s">
        <v>250</v>
      </c>
      <c r="M55" s="286" t="s">
        <v>269</v>
      </c>
      <c r="N55" s="94">
        <v>2336</v>
      </c>
      <c r="O55" s="31" t="s">
        <v>252</v>
      </c>
      <c r="P5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5" s="82" t="e">
        <v>#N/A</v>
      </c>
      <c r="S55" s="82">
        <v>1</v>
      </c>
      <c r="T55" s="35">
        <f>Table1[[#This Row],[Progres Total Aktual
(%)]]</f>
        <v>1</v>
      </c>
      <c r="U55" s="106">
        <f>Table1[[#This Row],[Progres Aktual
(%)]]-Table1[[#This Row],[Target Progres
(%)]]</f>
        <v>0</v>
      </c>
      <c r="V55" s="320">
        <f>Table1[[#This Row],["Volume
BA MC-0"]]</f>
        <v>2304</v>
      </c>
      <c r="W55" s="321">
        <f>Table1[[#This Row],[Total Panjang Pipa Aktual
(Sum-&gt;)3]]</f>
        <v>1142</v>
      </c>
      <c r="X55" s="42"/>
      <c r="Y55" s="62" t="s">
        <v>519</v>
      </c>
      <c r="Z55" s="62">
        <v>3433192006</v>
      </c>
      <c r="AA55" s="62">
        <f>ROUND((Table1[[#This Row],[Nilai RAB Jaringan
(Exclude Ppn)]]-Table1[[#This Row],[RAB Perizinan]])*1.11+Table1[[#This Row],[RAB Perizinan]],0)</f>
        <v>0</v>
      </c>
      <c r="AB55" s="290">
        <f>SUM(Table1[[#This Row],[RAB Kegiatan Umum]:[RAB Perizinan]])</f>
        <v>0</v>
      </c>
      <c r="AC55" s="290"/>
      <c r="AD55" s="290"/>
      <c r="AE55" s="290"/>
      <c r="AF55" s="290"/>
      <c r="AG55" s="290">
        <v>6878619695</v>
      </c>
      <c r="AH55" s="35" t="e">
        <f>SUM(Table1[[#This Row],[Bobot Keg Umum]:[Bobot Perizinan]])</f>
        <v>#DIV/0!</v>
      </c>
      <c r="AI55" s="35" t="e">
        <f>Table1[[#This Row],[RAB Kegiatan Umum]]/Table1[[#This Row],[Nilai RAB Jaringan
(Exclude Ppn)]]</f>
        <v>#DIV/0!</v>
      </c>
      <c r="AJ55" s="35" t="e">
        <f>Table1[[#This Row],[RAB Pemasangan]]/Table1[[#This Row],[Nilai RAB Jaringan
(Exclude Ppn)]]</f>
        <v>#DIV/0!</v>
      </c>
      <c r="AK55" s="35" t="e">
        <f>Table1[[#This Row],[RAB Pengadaan]]/Table1[[#This Row],[Nilai RAB Jaringan
(Exclude Ppn)]]</f>
        <v>#DIV/0!</v>
      </c>
      <c r="AL55" s="35" t="e">
        <f>Table1[[#This Row],[RAB Perizinan]]/Table1[[#This Row],[Nilai RAB Jaringan
(Exclude Ppn)]]</f>
        <v>#DIV/0!</v>
      </c>
      <c r="AM55" s="42"/>
      <c r="AN55" s="256">
        <v>2304</v>
      </c>
      <c r="AO55" s="256">
        <f>SUM(Table1[[#This Row],[Pipa 63 mm]:[Pipa 1,800 mm]])</f>
        <v>0</v>
      </c>
      <c r="AP55" s="256"/>
      <c r="AQ55" s="256"/>
      <c r="AR55" s="256"/>
      <c r="AS55" s="256"/>
      <c r="AT55" s="256"/>
      <c r="AU55" s="256"/>
      <c r="AV55" s="256"/>
      <c r="AW55" s="256"/>
      <c r="AX55" s="256"/>
      <c r="AY55" s="256"/>
      <c r="AZ55" s="256"/>
      <c r="BA55" s="256"/>
      <c r="BB55" s="256"/>
      <c r="BC55" s="256"/>
      <c r="BD55" s="256"/>
      <c r="BE55" s="256"/>
      <c r="BF55" s="256"/>
      <c r="BG55" s="256"/>
      <c r="BH55" s="256"/>
      <c r="BI55" s="256"/>
      <c r="BJ55" s="36">
        <f>SUM(Table1[[#This Row],[Pipa 63 mm2]:[Pipa 1,800 mm21]])</f>
        <v>1142</v>
      </c>
      <c r="BK55" s="32">
        <v>705.7</v>
      </c>
      <c r="BL55" s="32">
        <v>179.5</v>
      </c>
      <c r="BM55" s="32">
        <v>33.799999999999997</v>
      </c>
      <c r="BN55" s="32">
        <v>223</v>
      </c>
      <c r="BO55" s="32"/>
      <c r="BP55" s="32"/>
      <c r="BQ55" s="32"/>
      <c r="BR55" s="32"/>
      <c r="BS55" s="32"/>
      <c r="BT55" s="32"/>
      <c r="BU55" s="32"/>
      <c r="BV55" s="32"/>
      <c r="BW55" s="32"/>
      <c r="BX55" s="32"/>
      <c r="BY55" s="32"/>
      <c r="BZ55" s="32"/>
      <c r="CA55" s="32"/>
      <c r="CB55" s="32"/>
      <c r="CC55" s="32"/>
      <c r="CD55" s="32"/>
      <c r="CE55" s="32">
        <v>1210</v>
      </c>
      <c r="CF55" s="32"/>
      <c r="CG55" s="32"/>
      <c r="CH55" s="32"/>
      <c r="CI55" s="32">
        <f t="shared" si="3"/>
        <v>1210</v>
      </c>
      <c r="CJ55" s="60">
        <f>IF((Table1[[#This Row],["Volume
BA MC-0"]]-Table1[[#This Row],[Total Panjang Pipa Aktual
(Sum-&gt;)3]]-Table1[[#This Row],[Total Volume
tidak dapat dipasang]])&gt;=0,Table1[[#This Row],["Volume
BA MC-0"]]-Table1[[#This Row],[Total Panjang Pipa Aktual
(Sum-&gt;)3]]-Table1[[#This Row],[Total Volume
tidak dapat dipasang]],0)</f>
        <v>0</v>
      </c>
      <c r="CK55" s="42"/>
      <c r="CL55" s="113"/>
      <c r="CM55" s="35"/>
      <c r="CN55" s="113"/>
      <c r="CO55" s="113"/>
      <c r="CP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5" s="61">
        <f>IFERROR(Table1[[#This Row],[Progres Keg. Umum
(%)]]*Table1[[#This Row],[Nilai RAB Jaringan
(file pa aji)]],0)</f>
        <v>0</v>
      </c>
      <c r="CR55" s="61">
        <f>IFERROR(Table1[[#This Row],[Progres MOS
(%)]]*Table1[[#This Row],[Nilai RAB Jaringan
(file pa aji)]],0)</f>
        <v>0</v>
      </c>
      <c r="CS55" s="61">
        <f>IFERROR(Table1[[#This Row],[Progres Pemasangan
(%)]]*Table1[[#This Row],[Nilai RAB Jaringan
(file pa aji)]],0)</f>
        <v>0</v>
      </c>
      <c r="CT55" s="61">
        <f>IFERROR(Table1[[#This Row],[Progres Perizinan
(%)]]*Table1[[#This Row],[Nilai RAB Jaringan
(file pa aji)]],0)</f>
        <v>0</v>
      </c>
      <c r="CU55" s="789">
        <v>2169658095</v>
      </c>
      <c r="CV55" s="299">
        <v>2169658095</v>
      </c>
      <c r="CW55" s="552">
        <v>2169658095</v>
      </c>
      <c r="CX55" s="789">
        <f>_xlfn.XLOOKUP(Table1[[#This Row],[Kode Program]],'[1]Breakdown VOWD Greenfield'!$E:$E,'[1]Breakdown VOWD Greenfield'!$AT:$AT)</f>
        <v>2169658095</v>
      </c>
      <c r="CY55" s="42"/>
      <c r="CZ55" s="300">
        <v>45439</v>
      </c>
      <c r="DA55" s="300">
        <v>45466</v>
      </c>
      <c r="DB55" s="301"/>
      <c r="DC55" s="286"/>
      <c r="DD55" s="62"/>
      <c r="DE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5" s="301"/>
      <c r="DG55" s="286"/>
      <c r="DH55" s="62"/>
      <c r="DI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5" s="300">
        <v>45467</v>
      </c>
      <c r="DK55" s="300">
        <v>45536</v>
      </c>
      <c r="DL55" s="301">
        <v>45526</v>
      </c>
      <c r="DM55" s="327" t="s">
        <v>520</v>
      </c>
      <c r="DN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5" s="301">
        <v>45530</v>
      </c>
      <c r="DP55" s="286" t="s">
        <v>521</v>
      </c>
      <c r="DQ55" s="308" t="s">
        <v>275</v>
      </c>
      <c r="DR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5" s="300">
        <v>45467</v>
      </c>
      <c r="DT55" s="300" t="e">
        <v>#N/A</v>
      </c>
      <c r="DU55" s="300">
        <v>45508</v>
      </c>
      <c r="DV55" s="300" t="e">
        <v>#N/A</v>
      </c>
      <c r="DW55" s="301"/>
      <c r="DX55" s="286"/>
      <c r="DY55" s="304"/>
      <c r="DZ55" s="304"/>
      <c r="EA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5" s="301"/>
      <c r="EC55" s="302"/>
      <c r="ED55" s="302"/>
      <c r="EE55" s="300"/>
      <c r="EF55" s="35">
        <v>1</v>
      </c>
      <c r="EG55" s="307">
        <v>1</v>
      </c>
      <c r="EH55" s="286" t="str">
        <f>IF(Table1[[#This Row],[PO Material Aktual 
(%)]]&gt;=100%,"Selesai PO = 100%",IF(Table1[[#This Row],[PO Material Aktual 
(%)]]&gt;=50%,"Proses PO &gt; 100%",IF(Table1[[#This Row],[PO Material Aktual 
(%)]]&gt;0%,"Proses PO &gt; 50%",IF(Table1[[#This Row],[PO Material Aktual 
(%)]]=0,"Belum PO = 0%"))))</f>
        <v>Selesai PO = 100%</v>
      </c>
      <c r="EI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5" s="300">
        <v>45509</v>
      </c>
      <c r="EK55" s="300" t="e">
        <v>#N/A</v>
      </c>
      <c r="EL55" s="300">
        <v>45620</v>
      </c>
      <c r="EM55" s="300" t="e">
        <v>#N/A</v>
      </c>
      <c r="EN55" s="301"/>
      <c r="EO55" s="302"/>
      <c r="EP55" s="302"/>
      <c r="EQ55" s="82">
        <v>1</v>
      </c>
      <c r="ER55" s="82">
        <v>1</v>
      </c>
      <c r="ES55" s="286" t="str">
        <f>IF(Table1[[#This Row],[Progres MOS]]&gt;=100%,"Selesai MOS = 100%",IF(Table1[[#This Row],[Progres MOS]]&gt;=50%,"Proses MOS &gt; 100%",IF(Table1[[#This Row],[Progres MOS]]&gt;0%,"Proses MOS &gt; 50%",IF(Table1[[#This Row],[Progres MOS]]=0,"Belum MOS = 0%"))))</f>
        <v>Selesai MOS = 100%</v>
      </c>
      <c r="ET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5" s="42"/>
      <c r="EV55" s="300">
        <v>45467</v>
      </c>
      <c r="EW55" s="300" t="e">
        <v>#N/A</v>
      </c>
      <c r="EX55" s="300">
        <v>45564</v>
      </c>
      <c r="EY55" s="300" t="e">
        <v>#N/A</v>
      </c>
      <c r="EZ55" s="322" t="s">
        <v>259</v>
      </c>
      <c r="FA55" s="306" t="s">
        <v>259</v>
      </c>
      <c r="FB55" s="300" t="s">
        <v>260</v>
      </c>
      <c r="FC55" s="300">
        <v>45204</v>
      </c>
      <c r="FD55" s="300" t="s">
        <v>260</v>
      </c>
      <c r="FE55" s="300"/>
      <c r="FF55" s="300">
        <v>45496</v>
      </c>
      <c r="FG55" s="300" t="s">
        <v>260</v>
      </c>
      <c r="FH55" s="300" t="s">
        <v>260</v>
      </c>
      <c r="FI55" s="300">
        <v>45516</v>
      </c>
      <c r="FJ55" s="300" t="s">
        <v>260</v>
      </c>
      <c r="FK55" s="300">
        <v>45779</v>
      </c>
      <c r="FL55" s="306" t="s">
        <v>259</v>
      </c>
      <c r="FM55" s="306">
        <v>45204</v>
      </c>
      <c r="FN55" s="284">
        <f>IF(Table1[[#This Row],[Tanggal Pengajuan Dokumen]]="","",Table1[[#This Row],[PLAN PERMIT
start]]-Table1[[#This Row],[Tanggal Pengajuan Dokumen]])</f>
        <v>263</v>
      </c>
      <c r="FO55" s="306">
        <v>45779</v>
      </c>
      <c r="FP55" s="286"/>
      <c r="FQ55" s="308"/>
      <c r="FR55" s="322"/>
      <c r="FS55" s="308" t="str">
        <f t="shared" si="5"/>
        <v>Sudah Terbit</v>
      </c>
      <c r="FT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5" s="314">
        <f ca="1">IF(Table1[[#This Row],[Status Izin]]="Selesai",Table1[[#This Row],[PLAN PERMIT
finish]]-Table1[[#This Row],[Tanggal Terbit/ Target Izin Terbit]],ROUNDUP(Table1[[#This Row],[PLAN PERMIT
finish]]-NOW(),0))</f>
        <v>-215</v>
      </c>
      <c r="FV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5" s="314"/>
      <c r="FX55" s="42"/>
      <c r="FY55" s="310"/>
      <c r="FZ55" s="311"/>
      <c r="GA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5" s="300">
        <v>45538</v>
      </c>
      <c r="GC55" s="301">
        <v>45519</v>
      </c>
      <c r="GD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5" s="300">
        <v>45545</v>
      </c>
      <c r="GF55" s="301">
        <v>45519</v>
      </c>
      <c r="GG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5" s="300">
        <v>45551</v>
      </c>
      <c r="GI55" s="300">
        <v>45557</v>
      </c>
      <c r="GJ55" s="323">
        <v>45533</v>
      </c>
      <c r="GK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5" s="300">
        <v>45565</v>
      </c>
      <c r="GM55" s="300" t="e">
        <v>#N/A</v>
      </c>
      <c r="GN55" s="300">
        <v>45690</v>
      </c>
      <c r="GO55" s="300" t="e">
        <v>#N/A</v>
      </c>
      <c r="GP55" s="286"/>
      <c r="GQ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5" s="300" t="s">
        <v>261</v>
      </c>
      <c r="GS55" s="300" t="s">
        <v>261</v>
      </c>
      <c r="GT55" s="324">
        <v>45663</v>
      </c>
      <c r="GU55" s="314" t="str">
        <f>IF(Table1[[#This Row],[Hydro Tes Actual
(tanggal)]]&lt;&gt;"","Sudah","Belum")</f>
        <v>Sudah</v>
      </c>
      <c r="GV55" s="300" t="s">
        <v>261</v>
      </c>
      <c r="GW55" s="300" t="s">
        <v>261</v>
      </c>
      <c r="GX55" s="301">
        <v>45712</v>
      </c>
      <c r="GY55" s="314" t="str">
        <f>IF(Table1[[#This Row],[Interkoneksi Actual
(tanggal)]]&lt;&gt;"","Sudah","Belum")</f>
        <v>Sudah</v>
      </c>
      <c r="GZ55" s="300" t="s">
        <v>261</v>
      </c>
      <c r="HA55" s="300" t="s">
        <v>261</v>
      </c>
      <c r="HB55" s="301">
        <v>45713</v>
      </c>
      <c r="HC55" s="314" t="str">
        <f>IF(Table1[[#This Row],[Flushing Actual
(tanggal)]]&lt;&gt;"","Sudah","Belum")</f>
        <v>Sudah</v>
      </c>
      <c r="HD55" s="300">
        <v>45677</v>
      </c>
      <c r="HE55" s="300" t="e">
        <v>#N/A</v>
      </c>
      <c r="HF55" s="300">
        <v>45683</v>
      </c>
      <c r="HG55" s="316">
        <v>45726</v>
      </c>
      <c r="HH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5" s="300" t="s">
        <v>261</v>
      </c>
      <c r="HJ55" s="300" t="s">
        <v>261</v>
      </c>
      <c r="HK55" s="301"/>
      <c r="HL55" s="286"/>
      <c r="HM55" s="300">
        <v>45702</v>
      </c>
      <c r="HN55" s="300">
        <v>45702</v>
      </c>
      <c r="HO55" s="300" t="e">
        <v>#N/A</v>
      </c>
      <c r="HP55" s="300"/>
      <c r="HQ55" s="316">
        <v>45739</v>
      </c>
      <c r="HR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5" s="300">
        <v>45709</v>
      </c>
      <c r="HT55" s="300"/>
      <c r="HU55" s="300">
        <v>45709</v>
      </c>
      <c r="HV55" s="497"/>
      <c r="HW55" s="300">
        <v>45751</v>
      </c>
      <c r="HX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5" s="42"/>
      <c r="HZ55" s="322"/>
      <c r="IA55" s="306"/>
      <c r="IC55" s="585">
        <f>IFERROR(ROUND((Table1[[#This Row],[PLAN TC
finish]]-Table1[[#This Row],[PLAN MC-0
start]])/30,2),"")</f>
        <v>4.4000000000000004</v>
      </c>
      <c r="ID55">
        <f>DATEDIF(Table1[[#This Row],[PLAN MC-0
start]],Table1[[#This Row],[PLAN TC
finish]],"m")</f>
        <v>4</v>
      </c>
    </row>
    <row r="56" spans="1:238" s="4" customFormat="1" ht="15" customHeight="1" x14ac:dyDescent="0.25">
      <c r="B56" s="281">
        <f>SUBTOTAL(3,$D$5:D56)</f>
        <v>52</v>
      </c>
      <c r="C56" s="318">
        <v>52</v>
      </c>
      <c r="D56" s="285" t="s">
        <v>244</v>
      </c>
      <c r="E56" s="285" t="s">
        <v>522</v>
      </c>
      <c r="F56" s="285" t="s">
        <v>523</v>
      </c>
      <c r="G56" s="319">
        <v>45752</v>
      </c>
      <c r="H56" s="284" t="s">
        <v>247</v>
      </c>
      <c r="I56" s="285" t="s">
        <v>278</v>
      </c>
      <c r="J56" s="285"/>
      <c r="K56" s="308" t="s">
        <v>249</v>
      </c>
      <c r="L56" s="286" t="s">
        <v>250</v>
      </c>
      <c r="M56" s="286" t="s">
        <v>269</v>
      </c>
      <c r="N56" s="94">
        <v>4453</v>
      </c>
      <c r="O56" s="31" t="s">
        <v>252</v>
      </c>
      <c r="P5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6" s="82" t="e">
        <v>#N/A</v>
      </c>
      <c r="S56" s="82">
        <v>1</v>
      </c>
      <c r="T56" s="35">
        <f>Table1[[#This Row],[Progres Total Aktual
(%)]]</f>
        <v>1</v>
      </c>
      <c r="U56" s="106">
        <f>Table1[[#This Row],[Progres Aktual
(%)]]-Table1[[#This Row],[Target Progres
(%)]]</f>
        <v>0</v>
      </c>
      <c r="V56" s="320">
        <f>Table1[[#This Row],["Volume
BA MC-0"]]</f>
        <v>4487</v>
      </c>
      <c r="W56" s="321">
        <f>Table1[[#This Row],[Total Panjang Pipa Aktual
(Sum-&gt;)3]]</f>
        <v>3206.6000000000004</v>
      </c>
      <c r="X56" s="42"/>
      <c r="Y56" s="62" t="s">
        <v>524</v>
      </c>
      <c r="Z56" s="62">
        <v>6254327757</v>
      </c>
      <c r="AA56" s="62">
        <f>ROUND((Table1[[#This Row],[Nilai RAB Jaringan
(Exclude Ppn)]]-Table1[[#This Row],[RAB Perizinan]])*1.11+Table1[[#This Row],[RAB Perizinan]],0)</f>
        <v>0</v>
      </c>
      <c r="AB56" s="290">
        <f>SUM(Table1[[#This Row],[RAB Kegiatan Umum]:[RAB Perizinan]])</f>
        <v>0</v>
      </c>
      <c r="AC56" s="290"/>
      <c r="AD56" s="290"/>
      <c r="AE56" s="290"/>
      <c r="AF56" s="290"/>
      <c r="AG56" s="290">
        <v>5993171630</v>
      </c>
      <c r="AH56" s="35" t="e">
        <f>SUM(Table1[[#This Row],[Bobot Keg Umum]:[Bobot Perizinan]])</f>
        <v>#DIV/0!</v>
      </c>
      <c r="AI56" s="35" t="e">
        <f>Table1[[#This Row],[RAB Kegiatan Umum]]/Table1[[#This Row],[Nilai RAB Jaringan
(Exclude Ppn)]]</f>
        <v>#DIV/0!</v>
      </c>
      <c r="AJ56" s="35" t="e">
        <f>Table1[[#This Row],[RAB Pemasangan]]/Table1[[#This Row],[Nilai RAB Jaringan
(Exclude Ppn)]]</f>
        <v>#DIV/0!</v>
      </c>
      <c r="AK56" s="35" t="e">
        <f>Table1[[#This Row],[RAB Pengadaan]]/Table1[[#This Row],[Nilai RAB Jaringan
(Exclude Ppn)]]</f>
        <v>#DIV/0!</v>
      </c>
      <c r="AL56" s="35" t="e">
        <f>Table1[[#This Row],[RAB Perizinan]]/Table1[[#This Row],[Nilai RAB Jaringan
(Exclude Ppn)]]</f>
        <v>#DIV/0!</v>
      </c>
      <c r="AM56" s="42"/>
      <c r="AN56" s="256">
        <v>4487</v>
      </c>
      <c r="AO56" s="256">
        <f>SUM(Table1[[#This Row],[Pipa 63 mm]:[Pipa 1,800 mm]])</f>
        <v>0</v>
      </c>
      <c r="AP56" s="256"/>
      <c r="AQ56" s="256"/>
      <c r="AR56" s="256"/>
      <c r="AS56" s="256"/>
      <c r="AT56" s="256"/>
      <c r="AU56" s="256"/>
      <c r="AV56" s="256"/>
      <c r="AW56" s="256"/>
      <c r="AX56" s="256"/>
      <c r="AY56" s="256"/>
      <c r="AZ56" s="256"/>
      <c r="BA56" s="256"/>
      <c r="BB56" s="256"/>
      <c r="BC56" s="256"/>
      <c r="BD56" s="256"/>
      <c r="BE56" s="256"/>
      <c r="BF56" s="256"/>
      <c r="BG56" s="256"/>
      <c r="BH56" s="256"/>
      <c r="BI56" s="256"/>
      <c r="BJ56" s="36">
        <f>SUM(Table1[[#This Row],[Pipa 63 mm2]:[Pipa 1,800 mm21]])</f>
        <v>3206.6000000000004</v>
      </c>
      <c r="BK56" s="326">
        <v>3148.3</v>
      </c>
      <c r="BL56" s="326">
        <v>58.3</v>
      </c>
      <c r="BM56" s="326"/>
      <c r="BN56" s="326"/>
      <c r="BO56" s="326"/>
      <c r="BP56" s="326"/>
      <c r="BQ56" s="326"/>
      <c r="BR56" s="326"/>
      <c r="BS56" s="326"/>
      <c r="BT56" s="326"/>
      <c r="BU56" s="326"/>
      <c r="BV56" s="326"/>
      <c r="BW56" s="326"/>
      <c r="BX56" s="326"/>
      <c r="BY56" s="326"/>
      <c r="BZ56" s="326"/>
      <c r="CA56" s="326"/>
      <c r="CB56" s="326"/>
      <c r="CC56" s="326"/>
      <c r="CD56" s="326"/>
      <c r="CE56" s="32">
        <v>1743</v>
      </c>
      <c r="CF56" s="32"/>
      <c r="CG56" s="32"/>
      <c r="CH56" s="32"/>
      <c r="CI56" s="32">
        <f t="shared" si="3"/>
        <v>1743</v>
      </c>
      <c r="CJ56" s="60">
        <f>IF((Table1[[#This Row],["Volume
BA MC-0"]]-Table1[[#This Row],[Total Panjang Pipa Aktual
(Sum-&gt;)3]]-Table1[[#This Row],[Total Volume
tidak dapat dipasang]])&gt;=0,Table1[[#This Row],["Volume
BA MC-0"]]-Table1[[#This Row],[Total Panjang Pipa Aktual
(Sum-&gt;)3]]-Table1[[#This Row],[Total Volume
tidak dapat dipasang]],0)</f>
        <v>0</v>
      </c>
      <c r="CK56" s="42"/>
      <c r="CL56" s="113"/>
      <c r="CM56" s="35"/>
      <c r="CN56" s="113"/>
      <c r="CO56" s="113"/>
      <c r="CP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6" s="61">
        <f>IFERROR(Table1[[#This Row],[Progres Keg. Umum
(%)]]*Table1[[#This Row],[Nilai RAB Jaringan
(file pa aji)]],0)</f>
        <v>0</v>
      </c>
      <c r="CR56" s="61">
        <f>IFERROR(Table1[[#This Row],[Progres MOS
(%)]]*Table1[[#This Row],[Nilai RAB Jaringan
(file pa aji)]],0)</f>
        <v>0</v>
      </c>
      <c r="CS56" s="61">
        <f>IFERROR(Table1[[#This Row],[Progres Pemasangan
(%)]]*Table1[[#This Row],[Nilai RAB Jaringan
(file pa aji)]],0)</f>
        <v>0</v>
      </c>
      <c r="CT56" s="61">
        <f>IFERROR(Table1[[#This Row],[Progres Perizinan
(%)]]*Table1[[#This Row],[Nilai RAB Jaringan
(file pa aji)]],0)</f>
        <v>0</v>
      </c>
      <c r="CU56" s="789">
        <v>5081250388</v>
      </c>
      <c r="CV56" s="299">
        <v>5081250388</v>
      </c>
      <c r="CW56" s="552">
        <v>5081250388</v>
      </c>
      <c r="CX56" s="789">
        <f>_xlfn.XLOOKUP(Table1[[#This Row],[Kode Program]],'[1]Breakdown VOWD Greenfield'!$E:$E,'[1]Breakdown VOWD Greenfield'!$AT:$AT)</f>
        <v>5081250388</v>
      </c>
      <c r="CY56" s="42"/>
      <c r="CZ56" s="300">
        <v>45439</v>
      </c>
      <c r="DA56" s="300">
        <v>45466</v>
      </c>
      <c r="DB56" s="301"/>
      <c r="DC56" s="286"/>
      <c r="DD56" s="62"/>
      <c r="DE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6" s="301"/>
      <c r="DG56" s="286"/>
      <c r="DH56" s="62"/>
      <c r="DI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6" s="300">
        <v>45467</v>
      </c>
      <c r="DK56" s="300">
        <v>45536</v>
      </c>
      <c r="DL56" s="301">
        <v>45489</v>
      </c>
      <c r="DM56" s="327" t="s">
        <v>525</v>
      </c>
      <c r="DN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6" s="301">
        <v>45523</v>
      </c>
      <c r="DP56" s="286" t="s">
        <v>526</v>
      </c>
      <c r="DQ56" s="308" t="s">
        <v>275</v>
      </c>
      <c r="DR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6" s="300">
        <v>45467</v>
      </c>
      <c r="DT56" s="300" t="e">
        <v>#N/A</v>
      </c>
      <c r="DU56" s="300">
        <v>45508</v>
      </c>
      <c r="DV56" s="300" t="e">
        <v>#N/A</v>
      </c>
      <c r="DW56" s="301"/>
      <c r="DX56" s="286"/>
      <c r="DY56" s="304"/>
      <c r="DZ56" s="304"/>
      <c r="EA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6" s="301"/>
      <c r="EC56" s="302"/>
      <c r="ED56" s="302"/>
      <c r="EE56" s="300"/>
      <c r="EF56" s="35">
        <v>1</v>
      </c>
      <c r="EG56" s="307">
        <v>1</v>
      </c>
      <c r="EH56" s="286" t="str">
        <f>IF(Table1[[#This Row],[PO Material Aktual 
(%)]]&gt;=100%,"Selesai PO = 100%",IF(Table1[[#This Row],[PO Material Aktual 
(%)]]&gt;=50%,"Proses PO &gt; 100%",IF(Table1[[#This Row],[PO Material Aktual 
(%)]]&gt;0%,"Proses PO &gt; 50%",IF(Table1[[#This Row],[PO Material Aktual 
(%)]]=0,"Belum PO = 0%"))))</f>
        <v>Selesai PO = 100%</v>
      </c>
      <c r="EI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6" s="300">
        <v>45509</v>
      </c>
      <c r="EK56" s="300" t="e">
        <v>#N/A</v>
      </c>
      <c r="EL56" s="300">
        <v>45620</v>
      </c>
      <c r="EM56" s="300" t="e">
        <v>#N/A</v>
      </c>
      <c r="EN56" s="301"/>
      <c r="EO56" s="302"/>
      <c r="EP56" s="302"/>
      <c r="EQ56" s="82">
        <v>1</v>
      </c>
      <c r="ER56" s="82">
        <v>1</v>
      </c>
      <c r="ES56" s="286" t="str">
        <f>IF(Table1[[#This Row],[Progres MOS]]&gt;=100%,"Selesai MOS = 100%",IF(Table1[[#This Row],[Progres MOS]]&gt;=50%,"Proses MOS &gt; 100%",IF(Table1[[#This Row],[Progres MOS]]&gt;0%,"Proses MOS &gt; 50%",IF(Table1[[#This Row],[Progres MOS]]=0,"Belum MOS = 0%"))))</f>
        <v>Selesai MOS = 100%</v>
      </c>
      <c r="ET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6" s="42"/>
      <c r="EV56" s="300">
        <v>45467</v>
      </c>
      <c r="EW56" s="300" t="e">
        <v>#N/A</v>
      </c>
      <c r="EX56" s="300">
        <v>45564</v>
      </c>
      <c r="EY56" s="300" t="e">
        <v>#N/A</v>
      </c>
      <c r="EZ56" s="322" t="s">
        <v>259</v>
      </c>
      <c r="FA56" s="306" t="s">
        <v>259</v>
      </c>
      <c r="FB56" s="300" t="s">
        <v>260</v>
      </c>
      <c r="FC56" s="300">
        <v>45209</v>
      </c>
      <c r="FD56" s="300" t="s">
        <v>260</v>
      </c>
      <c r="FE56" s="300"/>
      <c r="FF56" s="300">
        <v>45502</v>
      </c>
      <c r="FG56" s="300" t="s">
        <v>260</v>
      </c>
      <c r="FH56" s="300" t="s">
        <v>260</v>
      </c>
      <c r="FI56" s="300">
        <v>45512</v>
      </c>
      <c r="FJ56" s="300" t="s">
        <v>260</v>
      </c>
      <c r="FK56" s="300">
        <v>45791</v>
      </c>
      <c r="FL56" s="306" t="s">
        <v>259</v>
      </c>
      <c r="FM56" s="306">
        <v>45209</v>
      </c>
      <c r="FN56" s="284">
        <f>IF(Table1[[#This Row],[Tanggal Pengajuan Dokumen]]="","",Table1[[#This Row],[PLAN PERMIT
start]]-Table1[[#This Row],[Tanggal Pengajuan Dokumen]])</f>
        <v>258</v>
      </c>
      <c r="FO56" s="306">
        <v>45791</v>
      </c>
      <c r="FP56" s="286"/>
      <c r="FQ56" s="308"/>
      <c r="FR56" s="322"/>
      <c r="FS56" s="308" t="str">
        <f t="shared" si="5"/>
        <v>Sudah Terbit</v>
      </c>
      <c r="FT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6" s="314">
        <f ca="1">IF(Table1[[#This Row],[Status Izin]]="Selesai",Table1[[#This Row],[PLAN PERMIT
finish]]-Table1[[#This Row],[Tanggal Terbit/ Target Izin Terbit]],ROUNDUP(Table1[[#This Row],[PLAN PERMIT
finish]]-NOW(),0))</f>
        <v>-227</v>
      </c>
      <c r="FV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6" s="314"/>
      <c r="FX56" s="42"/>
      <c r="FY56" s="310"/>
      <c r="FZ56" s="311"/>
      <c r="GA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6" s="300">
        <v>45538</v>
      </c>
      <c r="GC56" s="301">
        <v>45519</v>
      </c>
      <c r="GD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6" s="300">
        <v>45545</v>
      </c>
      <c r="GF56" s="301">
        <v>45519</v>
      </c>
      <c r="GG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6" s="300">
        <v>45551</v>
      </c>
      <c r="GI56" s="300">
        <v>45557</v>
      </c>
      <c r="GJ56" s="323">
        <v>45531</v>
      </c>
      <c r="GK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6" s="300">
        <v>45565</v>
      </c>
      <c r="GM56" s="300" t="e">
        <v>#N/A</v>
      </c>
      <c r="GN56" s="300">
        <v>45690</v>
      </c>
      <c r="GO56" s="300" t="e">
        <v>#N/A</v>
      </c>
      <c r="GP56" s="286"/>
      <c r="GQ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6" s="300" t="s">
        <v>261</v>
      </c>
      <c r="GS56" s="300" t="s">
        <v>261</v>
      </c>
      <c r="GT56" s="324">
        <v>45661</v>
      </c>
      <c r="GU56" s="314" t="str">
        <f>IF(Table1[[#This Row],[Hydro Tes Actual
(tanggal)]]&lt;&gt;"","Sudah","Belum")</f>
        <v>Sudah</v>
      </c>
      <c r="GV56" s="300" t="s">
        <v>261</v>
      </c>
      <c r="GW56" s="300" t="s">
        <v>261</v>
      </c>
      <c r="GX56" s="301">
        <v>45694</v>
      </c>
      <c r="GY56" s="314" t="str">
        <f>IF(Table1[[#This Row],[Interkoneksi Actual
(tanggal)]]&lt;&gt;"","Sudah","Belum")</f>
        <v>Sudah</v>
      </c>
      <c r="GZ56" s="300" t="s">
        <v>261</v>
      </c>
      <c r="HA56" s="300" t="s">
        <v>261</v>
      </c>
      <c r="HB56" s="301">
        <v>45708</v>
      </c>
      <c r="HC56" s="314" t="str">
        <f>IF(Table1[[#This Row],[Flushing Actual
(tanggal)]]&lt;&gt;"","Sudah","Belum")</f>
        <v>Sudah</v>
      </c>
      <c r="HD56" s="300">
        <v>45677</v>
      </c>
      <c r="HE56" s="300" t="e">
        <v>#N/A</v>
      </c>
      <c r="HF56" s="300">
        <v>45683</v>
      </c>
      <c r="HG56" s="316">
        <v>45728</v>
      </c>
      <c r="HH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6" s="300" t="s">
        <v>261</v>
      </c>
      <c r="HJ56" s="300" t="s">
        <v>261</v>
      </c>
      <c r="HK56" s="301"/>
      <c r="HL56" s="286"/>
      <c r="HM56" s="300">
        <v>45702</v>
      </c>
      <c r="HN56" s="300">
        <v>45702</v>
      </c>
      <c r="HO56" s="300" t="e">
        <v>#N/A</v>
      </c>
      <c r="HP56" s="300"/>
      <c r="HQ56" s="316">
        <v>45739</v>
      </c>
      <c r="HR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6" s="300">
        <v>45709</v>
      </c>
      <c r="HT56" s="300"/>
      <c r="HU56" s="300">
        <v>45709</v>
      </c>
      <c r="HV56" s="497"/>
      <c r="HW56" s="300">
        <v>45751</v>
      </c>
      <c r="HX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6" s="42"/>
      <c r="HZ56" s="322"/>
      <c r="IA56" s="306"/>
      <c r="IC56" s="585">
        <f>IFERROR(ROUND((Table1[[#This Row],[PLAN TC
finish]]-Table1[[#This Row],[PLAN MC-0
start]])/30,2),"")</f>
        <v>4.4000000000000004</v>
      </c>
      <c r="ID56">
        <f>DATEDIF(Table1[[#This Row],[PLAN MC-0
start]],Table1[[#This Row],[PLAN TC
finish]],"m")</f>
        <v>4</v>
      </c>
    </row>
    <row r="57" spans="1:238" s="30" customFormat="1" ht="15" customHeight="1" x14ac:dyDescent="0.25">
      <c r="A57" s="72"/>
      <c r="B57" s="281">
        <f>SUBTOTAL(3,$D$5:D57)</f>
        <v>53</v>
      </c>
      <c r="C57" s="332">
        <v>53</v>
      </c>
      <c r="D57" s="333" t="s">
        <v>244</v>
      </c>
      <c r="E57" s="333" t="s">
        <v>527</v>
      </c>
      <c r="F57" s="333" t="s">
        <v>528</v>
      </c>
      <c r="G57" s="334">
        <v>45752</v>
      </c>
      <c r="H57" s="335" t="s">
        <v>247</v>
      </c>
      <c r="I57" s="333" t="s">
        <v>278</v>
      </c>
      <c r="J57" s="333"/>
      <c r="K57" s="336" t="s">
        <v>249</v>
      </c>
      <c r="L57" s="337" t="s">
        <v>250</v>
      </c>
      <c r="M57" s="337" t="s">
        <v>269</v>
      </c>
      <c r="N57" s="338">
        <v>1782</v>
      </c>
      <c r="O57" s="339" t="s">
        <v>252</v>
      </c>
      <c r="P5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7" s="340" t="s">
        <v>389</v>
      </c>
      <c r="R57" s="83" t="e">
        <v>#N/A</v>
      </c>
      <c r="S57" s="83">
        <v>1</v>
      </c>
      <c r="T57" s="341">
        <f>Table1[[#This Row],[Progres Total Aktual
(%)]]</f>
        <v>0</v>
      </c>
      <c r="U57" s="342">
        <f>Table1[[#This Row],[Progres Aktual
(%)]]-Table1[[#This Row],[Target Progres
(%)]]</f>
        <v>-1</v>
      </c>
      <c r="V57" s="343">
        <f>Table1[[#This Row],["Volume
BA MC-0"]]</f>
        <v>0</v>
      </c>
      <c r="W57" s="344">
        <f>Table1[[#This Row],[Total Panjang Pipa Aktual
(Sum-&gt;)3]]</f>
        <v>0</v>
      </c>
      <c r="X57" s="42"/>
      <c r="Y57" s="345" t="s">
        <v>529</v>
      </c>
      <c r="Z57" s="345">
        <v>2460991357</v>
      </c>
      <c r="AA57" s="345">
        <f>ROUND((Table1[[#This Row],[Nilai RAB Jaringan
(Exclude Ppn)]]-Table1[[#This Row],[RAB Perizinan]])*1.11+Table1[[#This Row],[RAB Perizinan]],0)</f>
        <v>0</v>
      </c>
      <c r="AB57" s="340">
        <f>SUM(Table1[[#This Row],[RAB Kegiatan Umum]:[RAB Perizinan]])</f>
        <v>0</v>
      </c>
      <c r="AC57" s="340"/>
      <c r="AD57" s="340"/>
      <c r="AE57" s="340"/>
      <c r="AF57" s="340"/>
      <c r="AG57" s="340">
        <v>1959463775</v>
      </c>
      <c r="AH57" s="341" t="e">
        <f>SUM(Table1[[#This Row],[Bobot Keg Umum]:[Bobot Perizinan]])</f>
        <v>#DIV/0!</v>
      </c>
      <c r="AI57" s="341" t="e">
        <f>Table1[[#This Row],[RAB Kegiatan Umum]]/Table1[[#This Row],[Nilai RAB Jaringan
(Exclude Ppn)]]</f>
        <v>#DIV/0!</v>
      </c>
      <c r="AJ57" s="341" t="e">
        <f>Table1[[#This Row],[RAB Pemasangan]]/Table1[[#This Row],[Nilai RAB Jaringan
(Exclude Ppn)]]</f>
        <v>#DIV/0!</v>
      </c>
      <c r="AK57" s="341" t="e">
        <f>Table1[[#This Row],[RAB Pengadaan]]/Table1[[#This Row],[Nilai RAB Jaringan
(Exclude Ppn)]]</f>
        <v>#DIV/0!</v>
      </c>
      <c r="AL57" s="341" t="e">
        <f>Table1[[#This Row],[RAB Perizinan]]/Table1[[#This Row],[Nilai RAB Jaringan
(Exclude Ppn)]]</f>
        <v>#DIV/0!</v>
      </c>
      <c r="AM57" s="42"/>
      <c r="AN57" s="346">
        <v>0</v>
      </c>
      <c r="AO57" s="346">
        <f>SUM(Table1[[#This Row],[Pipa 63 mm]:[Pipa 1,800 mm]])</f>
        <v>0</v>
      </c>
      <c r="AP57" s="346"/>
      <c r="AQ57" s="346"/>
      <c r="AR57" s="346"/>
      <c r="AS57" s="346"/>
      <c r="AT57" s="346"/>
      <c r="AU57" s="346"/>
      <c r="AV57" s="346"/>
      <c r="AW57" s="346"/>
      <c r="AX57" s="346"/>
      <c r="AY57" s="346"/>
      <c r="AZ57" s="346"/>
      <c r="BA57" s="346"/>
      <c r="BB57" s="346"/>
      <c r="BC57" s="346"/>
      <c r="BD57" s="346"/>
      <c r="BE57" s="346"/>
      <c r="BF57" s="346"/>
      <c r="BG57" s="346"/>
      <c r="BH57" s="346"/>
      <c r="BI57" s="346"/>
      <c r="BJ57" s="347">
        <f>SUM(Table1[[#This Row],[Pipa 63 mm2]:[Pipa 1,800 mm21]])</f>
        <v>0</v>
      </c>
      <c r="BK57" s="348"/>
      <c r="BL57" s="348"/>
      <c r="BM57" s="348"/>
      <c r="BN57" s="348"/>
      <c r="BO57" s="348"/>
      <c r="BP57" s="348"/>
      <c r="BQ57" s="348"/>
      <c r="BR57" s="348"/>
      <c r="BS57" s="348"/>
      <c r="BT57" s="348"/>
      <c r="BU57" s="348"/>
      <c r="BV57" s="348"/>
      <c r="BW57" s="348"/>
      <c r="BX57" s="348"/>
      <c r="BY57" s="348"/>
      <c r="BZ57" s="348"/>
      <c r="CA57" s="348"/>
      <c r="CB57" s="348"/>
      <c r="CC57" s="348"/>
      <c r="CD57" s="348"/>
      <c r="CE57" s="348">
        <v>0</v>
      </c>
      <c r="CF57" s="348"/>
      <c r="CG57" s="348"/>
      <c r="CH57" s="348"/>
      <c r="CI57" s="348">
        <f t="shared" si="3"/>
        <v>0</v>
      </c>
      <c r="CJ57" s="348">
        <f>IF((Table1[[#This Row],["Volume
BA MC-0"]]-Table1[[#This Row],[Total Panjang Pipa Aktual
(Sum-&gt;)3]]-Table1[[#This Row],[Total Volume
tidak dapat dipasang]])&gt;=0,Table1[[#This Row],["Volume
BA MC-0"]]-Table1[[#This Row],[Total Panjang Pipa Aktual
(Sum-&gt;)3]]-Table1[[#This Row],[Total Volume
tidak dapat dipasang]],0)</f>
        <v>0</v>
      </c>
      <c r="CK57" s="42"/>
      <c r="CL57" s="349"/>
      <c r="CM57" s="341"/>
      <c r="CN57" s="349"/>
      <c r="CO57" s="349"/>
      <c r="CP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57" s="350">
        <f>IFERROR(Table1[[#This Row],[Progres Keg. Umum
(%)]]*Table1[[#This Row],[Nilai RAB Jaringan
(file pa aji)]],0)</f>
        <v>0</v>
      </c>
      <c r="CR57" s="350">
        <f>IFERROR(Table1[[#This Row],[Progres MOS
(%)]]*Table1[[#This Row],[Nilai RAB Jaringan
(file pa aji)]],0)</f>
        <v>0</v>
      </c>
      <c r="CS57" s="350">
        <f>IFERROR(Table1[[#This Row],[Progres Pemasangan
(%)]]*Table1[[#This Row],[Nilai RAB Jaringan
(file pa aji)]],0)</f>
        <v>0</v>
      </c>
      <c r="CT57" s="350">
        <f>IFERROR(Table1[[#This Row],[Progres Perizinan
(%)]]*Table1[[#This Row],[Nilai RAB Jaringan
(file pa aji)]],0)</f>
        <v>0</v>
      </c>
      <c r="CU57" s="789">
        <v>0</v>
      </c>
      <c r="CV57" s="299">
        <v>0</v>
      </c>
      <c r="CW57" s="551">
        <v>0</v>
      </c>
      <c r="CX57" s="789">
        <f>_xlfn.XLOOKUP(Table1[[#This Row],[Kode Program]],'[1]Breakdown VOWD Greenfield'!$E:$E,'[1]Breakdown VOWD Greenfield'!$AT:$AT)</f>
        <v>0</v>
      </c>
      <c r="CY57" s="42"/>
      <c r="CZ57" s="300">
        <v>45439</v>
      </c>
      <c r="DA57" s="300">
        <v>45466</v>
      </c>
      <c r="DB57" s="301"/>
      <c r="DC57" s="337"/>
      <c r="DD57" s="345"/>
      <c r="DE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7" s="301"/>
      <c r="DG57" s="337"/>
      <c r="DH57" s="345"/>
      <c r="DI5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7" s="300">
        <v>45467</v>
      </c>
      <c r="DK57" s="300">
        <v>45536</v>
      </c>
      <c r="DL57" s="301">
        <v>45490</v>
      </c>
      <c r="DM57" s="351" t="s">
        <v>530</v>
      </c>
      <c r="DN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7" s="301">
        <v>45508</v>
      </c>
      <c r="DP57" s="337" t="s">
        <v>531</v>
      </c>
      <c r="DQ57" s="336" t="s">
        <v>312</v>
      </c>
      <c r="DR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7" s="300">
        <v>45467</v>
      </c>
      <c r="DT57" s="300" t="e">
        <v>#N/A</v>
      </c>
      <c r="DU57" s="300">
        <v>45508</v>
      </c>
      <c r="DV57" s="300" t="e">
        <v>#N/A</v>
      </c>
      <c r="DW57" s="301"/>
      <c r="DX57" s="337"/>
      <c r="DY57" s="352"/>
      <c r="DZ57" s="352"/>
      <c r="EA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7" s="301"/>
      <c r="EC57" s="302"/>
      <c r="ED57" s="302"/>
      <c r="EE57" s="300"/>
      <c r="EF57" s="341" t="b">
        <v>0</v>
      </c>
      <c r="EG57" s="353" t="b">
        <v>0</v>
      </c>
      <c r="EH57" s="286" t="str">
        <f>IF(Table1[[#This Row],[PO Material Aktual 
(%)]]&gt;=100%,"Selesai PO = 100%",IF(Table1[[#This Row],[PO Material Aktual 
(%)]]&gt;=50%,"Proses PO &gt; 100%",IF(Table1[[#This Row],[PO Material Aktual 
(%)]]&gt;0%,"Proses PO &gt; 50%",IF(Table1[[#This Row],[PO Material Aktual 
(%)]]=0,"Belum PO = 0%"))))</f>
        <v>Selesai PO = 100%</v>
      </c>
      <c r="EI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7" s="300">
        <v>45509</v>
      </c>
      <c r="EK57" s="300" t="e">
        <v>#N/A</v>
      </c>
      <c r="EL57" s="300">
        <v>45620</v>
      </c>
      <c r="EM57" s="300" t="e">
        <v>#N/A</v>
      </c>
      <c r="EN57" s="301"/>
      <c r="EO57" s="302"/>
      <c r="EP57" s="302"/>
      <c r="EQ57" s="83" t="b">
        <v>0</v>
      </c>
      <c r="ER57" s="83" t="b">
        <v>0</v>
      </c>
      <c r="ES57" s="286" t="str">
        <f>IF(Table1[[#This Row],[Progres MOS]]&gt;=100%,"Selesai MOS = 100%",IF(Table1[[#This Row],[Progres MOS]]&gt;=50%,"Proses MOS &gt; 100%",IF(Table1[[#This Row],[Progres MOS]]&gt;0%,"Proses MOS &gt; 50%",IF(Table1[[#This Row],[Progres MOS]]=0,"Belum MOS = 0%"))))</f>
        <v>Selesai MOS = 100%</v>
      </c>
      <c r="ET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7" s="42"/>
      <c r="EV57" s="300">
        <v>45467</v>
      </c>
      <c r="EW57" s="300" t="e">
        <v>#N/A</v>
      </c>
      <c r="EX57" s="300">
        <v>45564</v>
      </c>
      <c r="EY57" s="300" t="e">
        <v>#N/A</v>
      </c>
      <c r="EZ57" s="354" t="s">
        <v>259</v>
      </c>
      <c r="FA57" s="355" t="s">
        <v>389</v>
      </c>
      <c r="FB57" s="356" t="s">
        <v>260</v>
      </c>
      <c r="FC57" s="300">
        <v>45209</v>
      </c>
      <c r="FD57" s="356" t="s">
        <v>260</v>
      </c>
      <c r="FE57" s="356"/>
      <c r="FF57" s="356">
        <v>45502</v>
      </c>
      <c r="FG57" s="356" t="s">
        <v>260</v>
      </c>
      <c r="FH57" s="356" t="s">
        <v>260</v>
      </c>
      <c r="FI57" s="356">
        <v>45512</v>
      </c>
      <c r="FJ57" s="356" t="s">
        <v>260</v>
      </c>
      <c r="FK57" s="356">
        <v>45779</v>
      </c>
      <c r="FL57" s="306" t="s">
        <v>259</v>
      </c>
      <c r="FM57" s="306">
        <v>45209</v>
      </c>
      <c r="FN57" s="284">
        <f>IF(Table1[[#This Row],[Tanggal Pengajuan Dokumen]]="","",Table1[[#This Row],[PLAN PERMIT
start]]-Table1[[#This Row],[Tanggal Pengajuan Dokumen]])</f>
        <v>258</v>
      </c>
      <c r="FO57" s="306">
        <v>45779</v>
      </c>
      <c r="FP57" s="337"/>
      <c r="FQ57" s="336"/>
      <c r="FR57" s="354"/>
      <c r="FS57" s="308" t="str">
        <f t="shared" si="5"/>
        <v>Sudah Terbit</v>
      </c>
      <c r="FT5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7" s="357">
        <f ca="1">IF(Table1[[#This Row],[Status Izin]]="Selesai",Table1[[#This Row],[PLAN PERMIT
finish]]-Table1[[#This Row],[Tanggal Terbit/ Target Izin Terbit]],ROUNDUP(Table1[[#This Row],[PLAN PERMIT
finish]]-NOW(),0))</f>
        <v>-215</v>
      </c>
      <c r="FV5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7" s="357"/>
      <c r="FX57" s="42"/>
      <c r="FY57" s="310"/>
      <c r="FZ57" s="311"/>
      <c r="GA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7" s="300">
        <v>45538</v>
      </c>
      <c r="GC57" s="358">
        <v>45519</v>
      </c>
      <c r="GD5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7" s="300">
        <v>45545</v>
      </c>
      <c r="GF57" s="358">
        <v>45519</v>
      </c>
      <c r="GG5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7" s="300">
        <v>45551</v>
      </c>
      <c r="GI57" s="300">
        <v>45557</v>
      </c>
      <c r="GJ57" s="359">
        <v>45518</v>
      </c>
      <c r="GK5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7" s="300">
        <v>45565</v>
      </c>
      <c r="GM57" s="300" t="e">
        <v>#N/A</v>
      </c>
      <c r="GN57" s="300">
        <v>45690</v>
      </c>
      <c r="GO57" s="300" t="e">
        <v>#N/A</v>
      </c>
      <c r="GP57" s="337"/>
      <c r="GQ5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7" s="356" t="s">
        <v>261</v>
      </c>
      <c r="GS57" s="356" t="s">
        <v>261</v>
      </c>
      <c r="GT57" s="360"/>
      <c r="GU57" s="357" t="str">
        <f>IF(Table1[[#This Row],[Hydro Tes Actual
(tanggal)]]&lt;&gt;"","Sudah","Belum")</f>
        <v>Belum</v>
      </c>
      <c r="GV57" s="356" t="s">
        <v>261</v>
      </c>
      <c r="GW57" s="356" t="s">
        <v>261</v>
      </c>
      <c r="GX57" s="358"/>
      <c r="GY57" s="314" t="str">
        <f>IF(Table1[[#This Row],[Interkoneksi Actual
(tanggal)]]&lt;&gt;"","Sudah","Belum")</f>
        <v>Belum</v>
      </c>
      <c r="GZ57" s="356" t="s">
        <v>261</v>
      </c>
      <c r="HA57" s="356" t="s">
        <v>261</v>
      </c>
      <c r="HB57" s="358"/>
      <c r="HC57" s="314" t="str">
        <f>IF(Table1[[#This Row],[Flushing Actual
(tanggal)]]&lt;&gt;"","Sudah","Belum")</f>
        <v>Belum</v>
      </c>
      <c r="HD57" s="300">
        <v>45677</v>
      </c>
      <c r="HE57" s="300" t="e">
        <v>#N/A</v>
      </c>
      <c r="HF57" s="300">
        <v>45683</v>
      </c>
      <c r="HG57" s="361"/>
      <c r="HH5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57" s="356" t="s">
        <v>261</v>
      </c>
      <c r="HJ57" s="356" t="s">
        <v>261</v>
      </c>
      <c r="HK57" s="358"/>
      <c r="HL57" s="337"/>
      <c r="HM57" s="300">
        <v>45702</v>
      </c>
      <c r="HN57" s="300">
        <v>45702</v>
      </c>
      <c r="HO57" s="300" t="e">
        <v>#N/A</v>
      </c>
      <c r="HP57" s="300"/>
      <c r="HQ57" s="361"/>
      <c r="HR5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57" s="300">
        <v>45709</v>
      </c>
      <c r="HT57" s="300"/>
      <c r="HU57" s="300">
        <v>45709</v>
      </c>
      <c r="HV57" s="497"/>
      <c r="HW57" s="356"/>
      <c r="HX5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57" s="42"/>
      <c r="HZ57" s="354"/>
      <c r="IA57" s="306"/>
      <c r="IC57" s="585">
        <f>IFERROR(ROUND((Table1[[#This Row],[PLAN TC
finish]]-Table1[[#This Row],[PLAN MC-0
start]])/30,2),"")</f>
        <v>4.4000000000000004</v>
      </c>
      <c r="ID57">
        <f>DATEDIF(Table1[[#This Row],[PLAN MC-0
start]],Table1[[#This Row],[PLAN TC
finish]],"m")</f>
        <v>4</v>
      </c>
    </row>
    <row r="58" spans="1:238" s="4" customFormat="1" ht="15" customHeight="1" x14ac:dyDescent="0.25">
      <c r="B58" s="281">
        <f>SUBTOTAL(3,$D$5:D58)</f>
        <v>54</v>
      </c>
      <c r="C58" s="318">
        <v>54</v>
      </c>
      <c r="D58" s="285" t="s">
        <v>244</v>
      </c>
      <c r="E58" s="285" t="s">
        <v>532</v>
      </c>
      <c r="F58" s="285" t="s">
        <v>533</v>
      </c>
      <c r="G58" s="319">
        <v>45752</v>
      </c>
      <c r="H58" s="284" t="s">
        <v>247</v>
      </c>
      <c r="I58" s="285" t="s">
        <v>278</v>
      </c>
      <c r="J58" s="285"/>
      <c r="K58" s="308" t="s">
        <v>249</v>
      </c>
      <c r="L58" s="286" t="s">
        <v>250</v>
      </c>
      <c r="M58" s="286" t="s">
        <v>269</v>
      </c>
      <c r="N58" s="94">
        <v>3875</v>
      </c>
      <c r="O58" s="31" t="s">
        <v>252</v>
      </c>
      <c r="P5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8" s="82" t="e">
        <v>#N/A</v>
      </c>
      <c r="S58" s="82">
        <v>1</v>
      </c>
      <c r="T58" s="35">
        <f>Table1[[#This Row],[Progres Total Aktual
(%)]]</f>
        <v>1</v>
      </c>
      <c r="U58" s="106">
        <f>Table1[[#This Row],[Progres Aktual
(%)]]-Table1[[#This Row],[Target Progres
(%)]]</f>
        <v>0</v>
      </c>
      <c r="V58" s="320">
        <f>Table1[[#This Row],["Volume
BA MC-0"]]</f>
        <v>3785</v>
      </c>
      <c r="W58" s="321">
        <f>Table1[[#This Row],[Total Panjang Pipa Aktual
(Sum-&gt;)3]]</f>
        <v>2718.8</v>
      </c>
      <c r="X58" s="42"/>
      <c r="Y58" s="62" t="s">
        <v>534</v>
      </c>
      <c r="Z58" s="62">
        <v>6550476497</v>
      </c>
      <c r="AA58" s="62">
        <f>ROUND((Table1[[#This Row],[Nilai RAB Jaringan
(Exclude Ppn)]]-Table1[[#This Row],[RAB Perizinan]])*1.11+Table1[[#This Row],[RAB Perizinan]],0)</f>
        <v>0</v>
      </c>
      <c r="AB58" s="290">
        <f>SUM(Table1[[#This Row],[RAB Kegiatan Umum]:[RAB Perizinan]])</f>
        <v>0</v>
      </c>
      <c r="AC58" s="290"/>
      <c r="AD58" s="290"/>
      <c r="AE58" s="290"/>
      <c r="AF58" s="290"/>
      <c r="AG58" s="290">
        <v>5425419051</v>
      </c>
      <c r="AH58" s="35" t="e">
        <f>SUM(Table1[[#This Row],[Bobot Keg Umum]:[Bobot Perizinan]])</f>
        <v>#DIV/0!</v>
      </c>
      <c r="AI58" s="35" t="e">
        <f>Table1[[#This Row],[RAB Kegiatan Umum]]/Table1[[#This Row],[Nilai RAB Jaringan
(Exclude Ppn)]]</f>
        <v>#DIV/0!</v>
      </c>
      <c r="AJ58" s="35" t="e">
        <f>Table1[[#This Row],[RAB Pemasangan]]/Table1[[#This Row],[Nilai RAB Jaringan
(Exclude Ppn)]]</f>
        <v>#DIV/0!</v>
      </c>
      <c r="AK58" s="35" t="e">
        <f>Table1[[#This Row],[RAB Pengadaan]]/Table1[[#This Row],[Nilai RAB Jaringan
(Exclude Ppn)]]</f>
        <v>#DIV/0!</v>
      </c>
      <c r="AL58" s="35" t="e">
        <f>Table1[[#This Row],[RAB Perizinan]]/Table1[[#This Row],[Nilai RAB Jaringan
(Exclude Ppn)]]</f>
        <v>#DIV/0!</v>
      </c>
      <c r="AM58" s="42"/>
      <c r="AN58" s="256">
        <v>3785</v>
      </c>
      <c r="AO58" s="256">
        <f>SUM(Table1[[#This Row],[Pipa 63 mm]:[Pipa 1,800 mm]])</f>
        <v>0</v>
      </c>
      <c r="AP58" s="256"/>
      <c r="AQ58" s="256"/>
      <c r="AR58" s="256"/>
      <c r="AS58" s="256"/>
      <c r="AT58" s="256"/>
      <c r="AU58" s="256"/>
      <c r="AV58" s="256"/>
      <c r="AW58" s="256"/>
      <c r="AX58" s="256"/>
      <c r="AY58" s="256"/>
      <c r="AZ58" s="256"/>
      <c r="BA58" s="256"/>
      <c r="BB58" s="256"/>
      <c r="BC58" s="256"/>
      <c r="BD58" s="256"/>
      <c r="BE58" s="256"/>
      <c r="BF58" s="256"/>
      <c r="BG58" s="256"/>
      <c r="BH58" s="256"/>
      <c r="BI58" s="256"/>
      <c r="BJ58" s="36">
        <f>SUM(Table1[[#This Row],[Pipa 63 mm2]:[Pipa 1,800 mm21]])</f>
        <v>2718.8</v>
      </c>
      <c r="BK58" s="326">
        <v>1631.6</v>
      </c>
      <c r="BL58" s="326"/>
      <c r="BM58" s="326">
        <v>508</v>
      </c>
      <c r="BN58" s="326">
        <v>579.20000000000005</v>
      </c>
      <c r="BO58" s="326"/>
      <c r="BP58" s="326"/>
      <c r="BQ58" s="326"/>
      <c r="BR58" s="326"/>
      <c r="BS58" s="326"/>
      <c r="BT58" s="326"/>
      <c r="BU58" s="326"/>
      <c r="BV58" s="326"/>
      <c r="BW58" s="326"/>
      <c r="BX58" s="326"/>
      <c r="BY58" s="326"/>
      <c r="BZ58" s="326"/>
      <c r="CA58" s="326"/>
      <c r="CB58" s="326"/>
      <c r="CC58" s="326"/>
      <c r="CD58" s="326"/>
      <c r="CE58" s="32">
        <v>1422</v>
      </c>
      <c r="CF58" s="32"/>
      <c r="CG58" s="32"/>
      <c r="CH58" s="32"/>
      <c r="CI58" s="32">
        <f t="shared" si="3"/>
        <v>1422</v>
      </c>
      <c r="CJ58" s="60">
        <f>IF((Table1[[#This Row],["Volume
BA MC-0"]]-Table1[[#This Row],[Total Panjang Pipa Aktual
(Sum-&gt;)3]]-Table1[[#This Row],[Total Volume
tidak dapat dipasang]])&gt;=0,Table1[[#This Row],["Volume
BA MC-0"]]-Table1[[#This Row],[Total Panjang Pipa Aktual
(Sum-&gt;)3]]-Table1[[#This Row],[Total Volume
tidak dapat dipasang]],0)</f>
        <v>0</v>
      </c>
      <c r="CK58" s="42"/>
      <c r="CL58" s="113"/>
      <c r="CM58" s="35"/>
      <c r="CN58" s="113"/>
      <c r="CO58" s="113"/>
      <c r="CP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8" s="61">
        <f>IFERROR(Table1[[#This Row],[Progres Keg. Umum
(%)]]*Table1[[#This Row],[Nilai RAB Jaringan
(file pa aji)]],0)</f>
        <v>0</v>
      </c>
      <c r="CR58" s="61">
        <f>IFERROR(Table1[[#This Row],[Progres MOS
(%)]]*Table1[[#This Row],[Nilai RAB Jaringan
(file pa aji)]],0)</f>
        <v>0</v>
      </c>
      <c r="CS58" s="61">
        <f>IFERROR(Table1[[#This Row],[Progres Pemasangan
(%)]]*Table1[[#This Row],[Nilai RAB Jaringan
(file pa aji)]],0)</f>
        <v>0</v>
      </c>
      <c r="CT58" s="61">
        <f>IFERROR(Table1[[#This Row],[Progres Perizinan
(%)]]*Table1[[#This Row],[Nilai RAB Jaringan
(file pa aji)]],0)</f>
        <v>0</v>
      </c>
      <c r="CU58" s="789">
        <v>4782298448</v>
      </c>
      <c r="CV58" s="299">
        <v>4782298448</v>
      </c>
      <c r="CW58" s="552">
        <v>4782298448</v>
      </c>
      <c r="CX58" s="789">
        <f>_xlfn.XLOOKUP(Table1[[#This Row],[Kode Program]],'[1]Breakdown VOWD Greenfield'!$E:$E,'[1]Breakdown VOWD Greenfield'!$AT:$AT)</f>
        <v>4782298448</v>
      </c>
      <c r="CY58" s="42"/>
      <c r="CZ58" s="300">
        <v>45439</v>
      </c>
      <c r="DA58" s="300">
        <v>45466</v>
      </c>
      <c r="DB58" s="301"/>
      <c r="DC58" s="286"/>
      <c r="DD58" s="62"/>
      <c r="DE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8" s="301"/>
      <c r="DG58" s="286"/>
      <c r="DH58" s="62"/>
      <c r="DI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8" s="300">
        <v>45467</v>
      </c>
      <c r="DK58" s="300">
        <v>45536</v>
      </c>
      <c r="DL58" s="301">
        <v>45526</v>
      </c>
      <c r="DM58" s="327" t="s">
        <v>535</v>
      </c>
      <c r="DN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8" s="301">
        <v>45540</v>
      </c>
      <c r="DP58" s="286" t="s">
        <v>536</v>
      </c>
      <c r="DQ58" s="308" t="s">
        <v>312</v>
      </c>
      <c r="DR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58" s="300">
        <v>45467</v>
      </c>
      <c r="DT58" s="300" t="e">
        <v>#N/A</v>
      </c>
      <c r="DU58" s="300">
        <v>45508</v>
      </c>
      <c r="DV58" s="300" t="e">
        <v>#N/A</v>
      </c>
      <c r="DW58" s="301"/>
      <c r="DX58" s="286"/>
      <c r="DY58" s="304"/>
      <c r="DZ58" s="304"/>
      <c r="EA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8" s="301"/>
      <c r="EC58" s="302"/>
      <c r="ED58" s="302"/>
      <c r="EE58" s="300"/>
      <c r="EF58" s="35">
        <v>1</v>
      </c>
      <c r="EG58" s="307">
        <v>1</v>
      </c>
      <c r="EH58" s="286" t="str">
        <f>IF(Table1[[#This Row],[PO Material Aktual 
(%)]]&gt;=100%,"Selesai PO = 100%",IF(Table1[[#This Row],[PO Material Aktual 
(%)]]&gt;=50%,"Proses PO &gt; 100%",IF(Table1[[#This Row],[PO Material Aktual 
(%)]]&gt;0%,"Proses PO &gt; 50%",IF(Table1[[#This Row],[PO Material Aktual 
(%)]]=0,"Belum PO = 0%"))))</f>
        <v>Selesai PO = 100%</v>
      </c>
      <c r="EI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8" s="300">
        <v>45509</v>
      </c>
      <c r="EK58" s="300" t="e">
        <v>#N/A</v>
      </c>
      <c r="EL58" s="300">
        <v>45620</v>
      </c>
      <c r="EM58" s="300" t="e">
        <v>#N/A</v>
      </c>
      <c r="EN58" s="301"/>
      <c r="EO58" s="302"/>
      <c r="EP58" s="302"/>
      <c r="EQ58" s="82">
        <v>1</v>
      </c>
      <c r="ER58" s="82">
        <v>1</v>
      </c>
      <c r="ES58" s="286" t="str">
        <f>IF(Table1[[#This Row],[Progres MOS]]&gt;=100%,"Selesai MOS = 100%",IF(Table1[[#This Row],[Progres MOS]]&gt;=50%,"Proses MOS &gt; 100%",IF(Table1[[#This Row],[Progres MOS]]&gt;0%,"Proses MOS &gt; 50%",IF(Table1[[#This Row],[Progres MOS]]=0,"Belum MOS = 0%"))))</f>
        <v>Selesai MOS = 100%</v>
      </c>
      <c r="ET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8" s="42"/>
      <c r="EV58" s="300">
        <v>45467</v>
      </c>
      <c r="EW58" s="300" t="e">
        <v>#N/A</v>
      </c>
      <c r="EX58" s="300">
        <v>45564</v>
      </c>
      <c r="EY58" s="300" t="e">
        <v>#N/A</v>
      </c>
      <c r="EZ58" s="322" t="s">
        <v>259</v>
      </c>
      <c r="FA58" s="306" t="s">
        <v>259</v>
      </c>
      <c r="FB58" s="300" t="s">
        <v>260</v>
      </c>
      <c r="FC58" s="300">
        <v>45209</v>
      </c>
      <c r="FD58" s="300" t="s">
        <v>260</v>
      </c>
      <c r="FE58" s="300"/>
      <c r="FF58" s="300">
        <v>45505</v>
      </c>
      <c r="FG58" s="300" t="s">
        <v>260</v>
      </c>
      <c r="FH58" s="300" t="s">
        <v>260</v>
      </c>
      <c r="FI58" s="300">
        <v>45512</v>
      </c>
      <c r="FJ58" s="300" t="s">
        <v>260</v>
      </c>
      <c r="FK58" s="300">
        <v>45702</v>
      </c>
      <c r="FL58" s="306" t="s">
        <v>259</v>
      </c>
      <c r="FM58" s="306">
        <v>45209</v>
      </c>
      <c r="FN58" s="284">
        <f>IF(Table1[[#This Row],[Tanggal Pengajuan Dokumen]]="","",Table1[[#This Row],[PLAN PERMIT
start]]-Table1[[#This Row],[Tanggal Pengajuan Dokumen]])</f>
        <v>258</v>
      </c>
      <c r="FO58" s="306">
        <v>45702</v>
      </c>
      <c r="FP58" s="286"/>
      <c r="FQ58" s="308"/>
      <c r="FR58" s="322"/>
      <c r="FS58" s="308" t="str">
        <f t="shared" si="5"/>
        <v>Sudah Terbit</v>
      </c>
      <c r="FT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8" s="314">
        <f ca="1">IF(Table1[[#This Row],[Status Izin]]="Selesai",Table1[[#This Row],[PLAN PERMIT
finish]]-Table1[[#This Row],[Tanggal Terbit/ Target Izin Terbit]],ROUNDUP(Table1[[#This Row],[PLAN PERMIT
finish]]-NOW(),0))</f>
        <v>-138</v>
      </c>
      <c r="FV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8" s="314"/>
      <c r="FX58" s="42"/>
      <c r="FY58" s="310"/>
      <c r="FZ58" s="311"/>
      <c r="GA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8" s="300">
        <v>45538</v>
      </c>
      <c r="GC58" s="301">
        <v>45519</v>
      </c>
      <c r="GD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8" s="300">
        <v>45545</v>
      </c>
      <c r="GF58" s="301">
        <v>45519</v>
      </c>
      <c r="GG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8" s="300">
        <v>45551</v>
      </c>
      <c r="GI58" s="300">
        <v>45557</v>
      </c>
      <c r="GJ58" s="323">
        <v>45535</v>
      </c>
      <c r="GK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8" s="300">
        <v>45565</v>
      </c>
      <c r="GM58" s="300" t="e">
        <v>#N/A</v>
      </c>
      <c r="GN58" s="300">
        <v>45690</v>
      </c>
      <c r="GO58" s="300" t="e">
        <v>#N/A</v>
      </c>
      <c r="GP58" s="286"/>
      <c r="GQ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8" s="300" t="s">
        <v>261</v>
      </c>
      <c r="GS58" s="300" t="s">
        <v>261</v>
      </c>
      <c r="GT58" s="324">
        <v>45640</v>
      </c>
      <c r="GU58" s="314" t="str">
        <f>IF(Table1[[#This Row],[Hydro Tes Actual
(tanggal)]]&lt;&gt;"","Sudah","Belum")</f>
        <v>Sudah</v>
      </c>
      <c r="GV58" s="300" t="s">
        <v>261</v>
      </c>
      <c r="GW58" s="300" t="s">
        <v>261</v>
      </c>
      <c r="GX58" s="301">
        <v>45663</v>
      </c>
      <c r="GY58" s="314" t="str">
        <f>IF(Table1[[#This Row],[Interkoneksi Actual
(tanggal)]]&lt;&gt;"","Sudah","Belum")</f>
        <v>Sudah</v>
      </c>
      <c r="GZ58" s="300" t="s">
        <v>261</v>
      </c>
      <c r="HA58" s="300" t="s">
        <v>261</v>
      </c>
      <c r="HB58" s="301">
        <v>45708</v>
      </c>
      <c r="HC58" s="314" t="str">
        <f>IF(Table1[[#This Row],[Flushing Actual
(tanggal)]]&lt;&gt;"","Sudah","Belum")</f>
        <v>Sudah</v>
      </c>
      <c r="HD58" s="300">
        <v>45677</v>
      </c>
      <c r="HE58" s="300" t="e">
        <v>#N/A</v>
      </c>
      <c r="HF58" s="300">
        <v>45683</v>
      </c>
      <c r="HG58" s="316">
        <v>45720</v>
      </c>
      <c r="HH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8" s="300" t="s">
        <v>261</v>
      </c>
      <c r="HJ58" s="300" t="s">
        <v>261</v>
      </c>
      <c r="HK58" s="301"/>
      <c r="HL58" s="286"/>
      <c r="HM58" s="300">
        <v>45702</v>
      </c>
      <c r="HN58" s="300">
        <v>45702</v>
      </c>
      <c r="HO58" s="300" t="e">
        <v>#N/A</v>
      </c>
      <c r="HP58" s="300"/>
      <c r="HQ58" s="316">
        <v>45739</v>
      </c>
      <c r="HR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8" s="300">
        <v>45709</v>
      </c>
      <c r="HT58" s="300"/>
      <c r="HU58" s="300">
        <v>45709</v>
      </c>
      <c r="HV58" s="497"/>
      <c r="HW58" s="300">
        <v>45751</v>
      </c>
      <c r="HX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8" s="42"/>
      <c r="HZ58" s="322"/>
      <c r="IA58" s="306"/>
      <c r="IC58" s="585">
        <f>IFERROR(ROUND((Table1[[#This Row],[PLAN TC
finish]]-Table1[[#This Row],[PLAN MC-0
start]])/30,2),"")</f>
        <v>4.4000000000000004</v>
      </c>
      <c r="ID58">
        <f>DATEDIF(Table1[[#This Row],[PLAN MC-0
start]],Table1[[#This Row],[PLAN TC
finish]],"m")</f>
        <v>4</v>
      </c>
    </row>
    <row r="59" spans="1:238" s="4" customFormat="1" ht="15" customHeight="1" x14ac:dyDescent="0.25">
      <c r="B59" s="281">
        <f>SUBTOTAL(3,$D$5:D59)</f>
        <v>55</v>
      </c>
      <c r="C59" s="318">
        <v>55</v>
      </c>
      <c r="D59" s="285" t="s">
        <v>244</v>
      </c>
      <c r="E59" s="285" t="s">
        <v>537</v>
      </c>
      <c r="F59" s="285" t="s">
        <v>538</v>
      </c>
      <c r="G59" s="319">
        <v>45752</v>
      </c>
      <c r="H59" s="284" t="s">
        <v>247</v>
      </c>
      <c r="I59" s="285" t="s">
        <v>278</v>
      </c>
      <c r="J59" s="285"/>
      <c r="K59" s="308" t="s">
        <v>249</v>
      </c>
      <c r="L59" s="286" t="s">
        <v>250</v>
      </c>
      <c r="M59" s="286" t="s">
        <v>269</v>
      </c>
      <c r="N59" s="94">
        <v>3745</v>
      </c>
      <c r="O59" s="31" t="s">
        <v>252</v>
      </c>
      <c r="P5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59" s="82" t="e">
        <v>#N/A</v>
      </c>
      <c r="S59" s="82">
        <v>1</v>
      </c>
      <c r="T59" s="35">
        <f>Table1[[#This Row],[Progres Total Aktual
(%)]]</f>
        <v>1</v>
      </c>
      <c r="U59" s="106">
        <f>Table1[[#This Row],[Progres Aktual
(%)]]-Table1[[#This Row],[Target Progres
(%)]]</f>
        <v>0</v>
      </c>
      <c r="V59" s="320">
        <f>Table1[[#This Row],["Volume
BA MC-0"]]</f>
        <v>3794</v>
      </c>
      <c r="W59" s="321">
        <f>Table1[[#This Row],[Total Panjang Pipa Aktual
(Sum-&gt;)3]]</f>
        <v>2346.1</v>
      </c>
      <c r="X59" s="42"/>
      <c r="Y59" s="62" t="s">
        <v>539</v>
      </c>
      <c r="Z59" s="62">
        <v>5397654199</v>
      </c>
      <c r="AA59" s="62">
        <f>ROUND((Table1[[#This Row],[Nilai RAB Jaringan
(Exclude Ppn)]]-Table1[[#This Row],[RAB Perizinan]])*1.11+Table1[[#This Row],[RAB Perizinan]],0)</f>
        <v>0</v>
      </c>
      <c r="AB59" s="290">
        <f>SUM(Table1[[#This Row],[RAB Kegiatan Umum]:[RAB Perizinan]])</f>
        <v>0</v>
      </c>
      <c r="AC59" s="290"/>
      <c r="AD59" s="290"/>
      <c r="AE59" s="290"/>
      <c r="AF59" s="290"/>
      <c r="AG59" s="290">
        <v>3988615592</v>
      </c>
      <c r="AH59" s="35" t="e">
        <f>SUM(Table1[[#This Row],[Bobot Keg Umum]:[Bobot Perizinan]])</f>
        <v>#DIV/0!</v>
      </c>
      <c r="AI59" s="35" t="e">
        <f>Table1[[#This Row],[RAB Kegiatan Umum]]/Table1[[#This Row],[Nilai RAB Jaringan
(Exclude Ppn)]]</f>
        <v>#DIV/0!</v>
      </c>
      <c r="AJ59" s="35" t="e">
        <f>Table1[[#This Row],[RAB Pemasangan]]/Table1[[#This Row],[Nilai RAB Jaringan
(Exclude Ppn)]]</f>
        <v>#DIV/0!</v>
      </c>
      <c r="AK59" s="35" t="e">
        <f>Table1[[#This Row],[RAB Pengadaan]]/Table1[[#This Row],[Nilai RAB Jaringan
(Exclude Ppn)]]</f>
        <v>#DIV/0!</v>
      </c>
      <c r="AL59" s="35" t="e">
        <f>Table1[[#This Row],[RAB Perizinan]]/Table1[[#This Row],[Nilai RAB Jaringan
(Exclude Ppn)]]</f>
        <v>#DIV/0!</v>
      </c>
      <c r="AM59" s="42"/>
      <c r="AN59" s="256">
        <v>3794</v>
      </c>
      <c r="AO59" s="256">
        <f>SUM(Table1[[#This Row],[Pipa 63 mm]:[Pipa 1,800 mm]])</f>
        <v>0</v>
      </c>
      <c r="AP59" s="256"/>
      <c r="AQ59" s="256"/>
      <c r="AR59" s="256"/>
      <c r="AS59" s="256"/>
      <c r="AT59" s="256"/>
      <c r="AU59" s="256"/>
      <c r="AV59" s="256"/>
      <c r="AW59" s="256"/>
      <c r="AX59" s="256"/>
      <c r="AY59" s="256"/>
      <c r="AZ59" s="256"/>
      <c r="BA59" s="256"/>
      <c r="BB59" s="256"/>
      <c r="BC59" s="256"/>
      <c r="BD59" s="256"/>
      <c r="BE59" s="256"/>
      <c r="BF59" s="256"/>
      <c r="BG59" s="256"/>
      <c r="BH59" s="256"/>
      <c r="BI59" s="256"/>
      <c r="BJ59" s="36">
        <f>SUM(Table1[[#This Row],[Pipa 63 mm2]:[Pipa 1,800 mm21]])</f>
        <v>2346.1</v>
      </c>
      <c r="BK59" s="326">
        <v>2223.6999999999998</v>
      </c>
      <c r="BL59" s="326">
        <v>122.4</v>
      </c>
      <c r="BM59" s="326"/>
      <c r="BN59" s="326"/>
      <c r="BO59" s="326"/>
      <c r="BP59" s="326"/>
      <c r="BQ59" s="326"/>
      <c r="BR59" s="326"/>
      <c r="BS59" s="326"/>
      <c r="BT59" s="326"/>
      <c r="BU59" s="326"/>
      <c r="BV59" s="326"/>
      <c r="BW59" s="326"/>
      <c r="BX59" s="326"/>
      <c r="BY59" s="326"/>
      <c r="BZ59" s="326"/>
      <c r="CA59" s="326"/>
      <c r="CB59" s="326"/>
      <c r="CC59" s="326"/>
      <c r="CD59" s="326"/>
      <c r="CE59" s="32">
        <v>1603</v>
      </c>
      <c r="CF59" s="32"/>
      <c r="CG59" s="32"/>
      <c r="CH59" s="32"/>
      <c r="CI59" s="32">
        <f t="shared" si="3"/>
        <v>1603</v>
      </c>
      <c r="CJ59" s="60">
        <f>IF((Table1[[#This Row],["Volume
BA MC-0"]]-Table1[[#This Row],[Total Panjang Pipa Aktual
(Sum-&gt;)3]]-Table1[[#This Row],[Total Volume
tidak dapat dipasang]])&gt;=0,Table1[[#This Row],["Volume
BA MC-0"]]-Table1[[#This Row],[Total Panjang Pipa Aktual
(Sum-&gt;)3]]-Table1[[#This Row],[Total Volume
tidak dapat dipasang]],0)</f>
        <v>0</v>
      </c>
      <c r="CK59" s="42"/>
      <c r="CL59" s="113"/>
      <c r="CM59" s="35"/>
      <c r="CN59" s="113"/>
      <c r="CO59" s="113"/>
      <c r="CP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59" s="61">
        <f>IFERROR(Table1[[#This Row],[Progres Keg. Umum
(%)]]*Table1[[#This Row],[Nilai RAB Jaringan
(file pa aji)]],0)</f>
        <v>0</v>
      </c>
      <c r="CR59" s="61">
        <f>IFERROR(Table1[[#This Row],[Progres MOS
(%)]]*Table1[[#This Row],[Nilai RAB Jaringan
(file pa aji)]],0)</f>
        <v>0</v>
      </c>
      <c r="CS59" s="61">
        <f>IFERROR(Table1[[#This Row],[Progres Pemasangan
(%)]]*Table1[[#This Row],[Nilai RAB Jaringan
(file pa aji)]],0)</f>
        <v>0</v>
      </c>
      <c r="CT59" s="61">
        <f>IFERROR(Table1[[#This Row],[Progres Perizinan
(%)]]*Table1[[#This Row],[Nilai RAB Jaringan
(file pa aji)]],0)</f>
        <v>0</v>
      </c>
      <c r="CU59" s="789">
        <v>4834993334</v>
      </c>
      <c r="CV59" s="299">
        <v>4834993334</v>
      </c>
      <c r="CW59" s="552">
        <v>4834993334</v>
      </c>
      <c r="CX59" s="789">
        <f>_xlfn.XLOOKUP(Table1[[#This Row],[Kode Program]],'[1]Breakdown VOWD Greenfield'!$E:$E,'[1]Breakdown VOWD Greenfield'!$AT:$AT)</f>
        <v>4834993334</v>
      </c>
      <c r="CY59" s="42"/>
      <c r="CZ59" s="300">
        <v>45439</v>
      </c>
      <c r="DA59" s="300">
        <v>45466</v>
      </c>
      <c r="DB59" s="301"/>
      <c r="DC59" s="286"/>
      <c r="DD59" s="62"/>
      <c r="DE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59" s="301"/>
      <c r="DG59" s="286"/>
      <c r="DH59" s="62"/>
      <c r="DI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59" s="300">
        <v>45467</v>
      </c>
      <c r="DK59" s="300">
        <v>45536</v>
      </c>
      <c r="DL59" s="301">
        <v>45491</v>
      </c>
      <c r="DM59" s="327" t="s">
        <v>540</v>
      </c>
      <c r="DN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59" s="301">
        <v>45508</v>
      </c>
      <c r="DP59" s="286" t="s">
        <v>541</v>
      </c>
      <c r="DQ59" s="308" t="s">
        <v>312</v>
      </c>
      <c r="DR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59" s="300">
        <v>45467</v>
      </c>
      <c r="DT59" s="300" t="e">
        <v>#N/A</v>
      </c>
      <c r="DU59" s="300">
        <v>45508</v>
      </c>
      <c r="DV59" s="300" t="e">
        <v>#N/A</v>
      </c>
      <c r="DW59" s="301"/>
      <c r="DX59" s="286"/>
      <c r="DY59" s="304"/>
      <c r="DZ59" s="304"/>
      <c r="EA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59" s="301"/>
      <c r="EC59" s="302"/>
      <c r="ED59" s="302"/>
      <c r="EE59" s="300"/>
      <c r="EF59" s="35">
        <v>1</v>
      </c>
      <c r="EG59" s="307">
        <v>1</v>
      </c>
      <c r="EH59" s="286" t="str">
        <f>IF(Table1[[#This Row],[PO Material Aktual 
(%)]]&gt;=100%,"Selesai PO = 100%",IF(Table1[[#This Row],[PO Material Aktual 
(%)]]&gt;=50%,"Proses PO &gt; 100%",IF(Table1[[#This Row],[PO Material Aktual 
(%)]]&gt;0%,"Proses PO &gt; 50%",IF(Table1[[#This Row],[PO Material Aktual 
(%)]]=0,"Belum PO = 0%"))))</f>
        <v>Selesai PO = 100%</v>
      </c>
      <c r="EI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59" s="300">
        <v>45509</v>
      </c>
      <c r="EK59" s="300" t="e">
        <v>#N/A</v>
      </c>
      <c r="EL59" s="300">
        <v>45620</v>
      </c>
      <c r="EM59" s="300" t="e">
        <v>#N/A</v>
      </c>
      <c r="EN59" s="301"/>
      <c r="EO59" s="302"/>
      <c r="EP59" s="302"/>
      <c r="EQ59" s="82">
        <v>1</v>
      </c>
      <c r="ER59" s="82">
        <v>1</v>
      </c>
      <c r="ES59" s="286" t="str">
        <f>IF(Table1[[#This Row],[Progres MOS]]&gt;=100%,"Selesai MOS = 100%",IF(Table1[[#This Row],[Progres MOS]]&gt;=50%,"Proses MOS &gt; 100%",IF(Table1[[#This Row],[Progres MOS]]&gt;0%,"Proses MOS &gt; 50%",IF(Table1[[#This Row],[Progres MOS]]=0,"Belum MOS = 0%"))))</f>
        <v>Selesai MOS = 100%</v>
      </c>
      <c r="ET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59" s="42"/>
      <c r="EV59" s="300">
        <v>45467</v>
      </c>
      <c r="EW59" s="300" t="e">
        <v>#N/A</v>
      </c>
      <c r="EX59" s="300">
        <v>45564</v>
      </c>
      <c r="EY59" s="300" t="e">
        <v>#N/A</v>
      </c>
      <c r="EZ59" s="322" t="s">
        <v>259</v>
      </c>
      <c r="FA59" s="306" t="s">
        <v>259</v>
      </c>
      <c r="FB59" s="300" t="s">
        <v>260</v>
      </c>
      <c r="FC59" s="300">
        <v>45209</v>
      </c>
      <c r="FD59" s="300" t="s">
        <v>260</v>
      </c>
      <c r="FE59" s="300"/>
      <c r="FF59" s="300">
        <v>45505</v>
      </c>
      <c r="FG59" s="300" t="s">
        <v>260</v>
      </c>
      <c r="FH59" s="300" t="s">
        <v>260</v>
      </c>
      <c r="FI59" s="300">
        <v>45512</v>
      </c>
      <c r="FJ59" s="300" t="s">
        <v>260</v>
      </c>
      <c r="FK59" s="300">
        <v>45702</v>
      </c>
      <c r="FL59" s="306" t="s">
        <v>259</v>
      </c>
      <c r="FM59" s="306">
        <v>45209</v>
      </c>
      <c r="FN59" s="284">
        <f>IF(Table1[[#This Row],[Tanggal Pengajuan Dokumen]]="","",Table1[[#This Row],[PLAN PERMIT
start]]-Table1[[#This Row],[Tanggal Pengajuan Dokumen]])</f>
        <v>258</v>
      </c>
      <c r="FO59" s="306">
        <v>45702</v>
      </c>
      <c r="FP59" s="286"/>
      <c r="FQ59" s="308"/>
      <c r="FR59" s="322"/>
      <c r="FS59" s="308" t="str">
        <f t="shared" si="5"/>
        <v>Sudah Terbit</v>
      </c>
      <c r="FT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59" s="314">
        <f ca="1">IF(Table1[[#This Row],[Status Izin]]="Selesai",Table1[[#This Row],[PLAN PERMIT
finish]]-Table1[[#This Row],[Tanggal Terbit/ Target Izin Terbit]],ROUNDUP(Table1[[#This Row],[PLAN PERMIT
finish]]-NOW(),0))</f>
        <v>-138</v>
      </c>
      <c r="FV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59" s="314"/>
      <c r="FX59" s="42"/>
      <c r="FY59" s="310"/>
      <c r="FZ59" s="311"/>
      <c r="GA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59" s="300">
        <v>45538</v>
      </c>
      <c r="GC59" s="301">
        <v>45519</v>
      </c>
      <c r="GD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59" s="300">
        <v>45545</v>
      </c>
      <c r="GF59" s="301">
        <v>45519</v>
      </c>
      <c r="GG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59" s="300">
        <v>45551</v>
      </c>
      <c r="GI59" s="300">
        <v>45557</v>
      </c>
      <c r="GJ59" s="323">
        <v>45537</v>
      </c>
      <c r="GK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59" s="300">
        <v>45565</v>
      </c>
      <c r="GM59" s="300" t="e">
        <v>#N/A</v>
      </c>
      <c r="GN59" s="300">
        <v>45690</v>
      </c>
      <c r="GO59" s="300" t="e">
        <v>#N/A</v>
      </c>
      <c r="GP59" s="286"/>
      <c r="GQ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59" s="300" t="s">
        <v>261</v>
      </c>
      <c r="GS59" s="300" t="s">
        <v>261</v>
      </c>
      <c r="GT59" s="324">
        <v>45677</v>
      </c>
      <c r="GU59" s="314" t="str">
        <f>IF(Table1[[#This Row],[Hydro Tes Actual
(tanggal)]]&lt;&gt;"","Sudah","Belum")</f>
        <v>Sudah</v>
      </c>
      <c r="GV59" s="300" t="s">
        <v>261</v>
      </c>
      <c r="GW59" s="300" t="s">
        <v>261</v>
      </c>
      <c r="GX59" s="301">
        <v>45683</v>
      </c>
      <c r="GY59" s="314" t="str">
        <f>IF(Table1[[#This Row],[Interkoneksi Actual
(tanggal)]]&lt;&gt;"","Sudah","Belum")</f>
        <v>Sudah</v>
      </c>
      <c r="GZ59" s="300" t="s">
        <v>261</v>
      </c>
      <c r="HA59" s="300" t="s">
        <v>261</v>
      </c>
      <c r="HB59" s="301">
        <v>45699</v>
      </c>
      <c r="HC59" s="314" t="str">
        <f>IF(Table1[[#This Row],[Flushing Actual
(tanggal)]]&lt;&gt;"","Sudah","Belum")</f>
        <v>Sudah</v>
      </c>
      <c r="HD59" s="300">
        <v>45677</v>
      </c>
      <c r="HE59" s="300" t="e">
        <v>#N/A</v>
      </c>
      <c r="HF59" s="300">
        <v>45683</v>
      </c>
      <c r="HG59" s="316">
        <v>45719</v>
      </c>
      <c r="HH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59" s="300" t="s">
        <v>261</v>
      </c>
      <c r="HJ59" s="300" t="s">
        <v>261</v>
      </c>
      <c r="HK59" s="301"/>
      <c r="HL59" s="286"/>
      <c r="HM59" s="300">
        <v>45702</v>
      </c>
      <c r="HN59" s="300">
        <v>45702</v>
      </c>
      <c r="HO59" s="300" t="e">
        <v>#N/A</v>
      </c>
      <c r="HP59" s="300"/>
      <c r="HQ59" s="316">
        <v>45739</v>
      </c>
      <c r="HR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59" s="300">
        <v>45709</v>
      </c>
      <c r="HT59" s="300"/>
      <c r="HU59" s="300">
        <v>45709</v>
      </c>
      <c r="HV59" s="497"/>
      <c r="HW59" s="300">
        <v>45751</v>
      </c>
      <c r="HX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59" s="42"/>
      <c r="HZ59" s="322"/>
      <c r="IA59" s="306"/>
      <c r="IC59" s="585">
        <f>IFERROR(ROUND((Table1[[#This Row],[PLAN TC
finish]]-Table1[[#This Row],[PLAN MC-0
start]])/30,2),"")</f>
        <v>4.4000000000000004</v>
      </c>
      <c r="ID59">
        <f>DATEDIF(Table1[[#This Row],[PLAN MC-0
start]],Table1[[#This Row],[PLAN TC
finish]],"m")</f>
        <v>4</v>
      </c>
    </row>
    <row r="60" spans="1:238" s="4" customFormat="1" ht="15" customHeight="1" x14ac:dyDescent="0.25">
      <c r="B60" s="281">
        <f>SUBTOTAL(3,$D$5:D60)</f>
        <v>56</v>
      </c>
      <c r="C60" s="318">
        <v>56</v>
      </c>
      <c r="D60" s="285" t="s">
        <v>244</v>
      </c>
      <c r="E60" s="285" t="s">
        <v>542</v>
      </c>
      <c r="F60" s="285" t="s">
        <v>543</v>
      </c>
      <c r="G60" s="319">
        <v>45752</v>
      </c>
      <c r="H60" s="284" t="s">
        <v>247</v>
      </c>
      <c r="I60" s="285" t="s">
        <v>278</v>
      </c>
      <c r="J60" s="285"/>
      <c r="K60" s="308" t="s">
        <v>249</v>
      </c>
      <c r="L60" s="286" t="s">
        <v>250</v>
      </c>
      <c r="M60" s="286" t="s">
        <v>269</v>
      </c>
      <c r="N60" s="94">
        <v>4596</v>
      </c>
      <c r="O60" s="31" t="s">
        <v>252</v>
      </c>
      <c r="P6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0" s="82" t="e">
        <v>#N/A</v>
      </c>
      <c r="S60" s="82">
        <v>1</v>
      </c>
      <c r="T60" s="35">
        <f>Table1[[#This Row],[Progres Total Aktual
(%)]]</f>
        <v>1</v>
      </c>
      <c r="U60" s="106">
        <f>Table1[[#This Row],[Progres Aktual
(%)]]-Table1[[#This Row],[Target Progres
(%)]]</f>
        <v>0</v>
      </c>
      <c r="V60" s="320">
        <f>Table1[[#This Row],["Volume
BA MC-0"]]</f>
        <v>3699</v>
      </c>
      <c r="W60" s="321">
        <f>Table1[[#This Row],[Total Panjang Pipa Aktual
(Sum-&gt;)3]]</f>
        <v>3853.7</v>
      </c>
      <c r="X60" s="42"/>
      <c r="Y60" s="62" t="s">
        <v>544</v>
      </c>
      <c r="Z60" s="62">
        <v>8934748674</v>
      </c>
      <c r="AA60" s="62">
        <f>ROUND((Table1[[#This Row],[Nilai RAB Jaringan
(Exclude Ppn)]]-Table1[[#This Row],[RAB Perizinan]])*1.11+Table1[[#This Row],[RAB Perizinan]],0)</f>
        <v>0</v>
      </c>
      <c r="AB60" s="290">
        <f>SUM(Table1[[#This Row],[RAB Kegiatan Umum]:[RAB Perizinan]])</f>
        <v>0</v>
      </c>
      <c r="AC60" s="290"/>
      <c r="AD60" s="290"/>
      <c r="AE60" s="290"/>
      <c r="AF60" s="290"/>
      <c r="AG60" s="290">
        <v>4730588277</v>
      </c>
      <c r="AH60" s="35" t="e">
        <f>SUM(Table1[[#This Row],[Bobot Keg Umum]:[Bobot Perizinan]])</f>
        <v>#DIV/0!</v>
      </c>
      <c r="AI60" s="35" t="e">
        <f>Table1[[#This Row],[RAB Kegiatan Umum]]/Table1[[#This Row],[Nilai RAB Jaringan
(Exclude Ppn)]]</f>
        <v>#DIV/0!</v>
      </c>
      <c r="AJ60" s="35" t="e">
        <f>Table1[[#This Row],[RAB Pemasangan]]/Table1[[#This Row],[Nilai RAB Jaringan
(Exclude Ppn)]]</f>
        <v>#DIV/0!</v>
      </c>
      <c r="AK60" s="35" t="e">
        <f>Table1[[#This Row],[RAB Pengadaan]]/Table1[[#This Row],[Nilai RAB Jaringan
(Exclude Ppn)]]</f>
        <v>#DIV/0!</v>
      </c>
      <c r="AL60" s="35" t="e">
        <f>Table1[[#This Row],[RAB Perizinan]]/Table1[[#This Row],[Nilai RAB Jaringan
(Exclude Ppn)]]</f>
        <v>#DIV/0!</v>
      </c>
      <c r="AM60" s="42"/>
      <c r="AN60" s="256">
        <v>3699</v>
      </c>
      <c r="AO60" s="256">
        <f>SUM(Table1[[#This Row],[Pipa 63 mm]:[Pipa 1,800 mm]])</f>
        <v>0</v>
      </c>
      <c r="AP60" s="256"/>
      <c r="AQ60" s="256"/>
      <c r="AR60" s="256"/>
      <c r="AS60" s="256"/>
      <c r="AT60" s="256"/>
      <c r="AU60" s="256"/>
      <c r="AV60" s="256"/>
      <c r="AW60" s="256"/>
      <c r="AX60" s="256"/>
      <c r="AY60" s="256"/>
      <c r="AZ60" s="256"/>
      <c r="BA60" s="256"/>
      <c r="BB60" s="256"/>
      <c r="BC60" s="256"/>
      <c r="BD60" s="256"/>
      <c r="BE60" s="256"/>
      <c r="BF60" s="256"/>
      <c r="BG60" s="256"/>
      <c r="BH60" s="256"/>
      <c r="BI60" s="256"/>
      <c r="BJ60" s="36">
        <f>SUM(Table1[[#This Row],[Pipa 63 mm2]:[Pipa 1,800 mm21]])</f>
        <v>3853.7</v>
      </c>
      <c r="BK60" s="326">
        <v>2026</v>
      </c>
      <c r="BL60" s="326">
        <v>622.9</v>
      </c>
      <c r="BM60" s="326"/>
      <c r="BN60" s="326">
        <v>759.3</v>
      </c>
      <c r="BO60" s="326"/>
      <c r="BP60" s="326">
        <v>332.4</v>
      </c>
      <c r="BQ60" s="326">
        <v>113.1</v>
      </c>
      <c r="BR60" s="326"/>
      <c r="BS60" s="326"/>
      <c r="BT60" s="326"/>
      <c r="BU60" s="326"/>
      <c r="BV60" s="326"/>
      <c r="BW60" s="326"/>
      <c r="BX60" s="326"/>
      <c r="BY60" s="326"/>
      <c r="BZ60" s="326"/>
      <c r="CA60" s="326"/>
      <c r="CB60" s="326"/>
      <c r="CC60" s="326"/>
      <c r="CD60" s="326"/>
      <c r="CE60" s="32">
        <v>475</v>
      </c>
      <c r="CF60" s="32"/>
      <c r="CG60" s="32"/>
      <c r="CH60" s="32"/>
      <c r="CI60" s="32">
        <f t="shared" si="3"/>
        <v>475</v>
      </c>
      <c r="CJ60" s="60">
        <f>IF((Table1[[#This Row],["Volume
BA MC-0"]]-Table1[[#This Row],[Total Panjang Pipa Aktual
(Sum-&gt;)3]]-Table1[[#This Row],[Total Volume
tidak dapat dipasang]])&gt;=0,Table1[[#This Row],["Volume
BA MC-0"]]-Table1[[#This Row],[Total Panjang Pipa Aktual
(Sum-&gt;)3]]-Table1[[#This Row],[Total Volume
tidak dapat dipasang]],0)</f>
        <v>0</v>
      </c>
      <c r="CK60" s="42"/>
      <c r="CL60" s="113"/>
      <c r="CM60" s="35"/>
      <c r="CN60" s="113"/>
      <c r="CO60" s="113"/>
      <c r="CP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0" s="61">
        <f>IFERROR(Table1[[#This Row],[Progres Keg. Umum
(%)]]*Table1[[#This Row],[Nilai RAB Jaringan
(file pa aji)]],0)</f>
        <v>0</v>
      </c>
      <c r="CR60" s="61">
        <f>IFERROR(Table1[[#This Row],[Progres MOS
(%)]]*Table1[[#This Row],[Nilai RAB Jaringan
(file pa aji)]],0)</f>
        <v>0</v>
      </c>
      <c r="CS60" s="61">
        <f>IFERROR(Table1[[#This Row],[Progres Pemasangan
(%)]]*Table1[[#This Row],[Nilai RAB Jaringan
(file pa aji)]],0)</f>
        <v>0</v>
      </c>
      <c r="CT60" s="61">
        <f>IFERROR(Table1[[#This Row],[Progres Perizinan
(%)]]*Table1[[#This Row],[Nilai RAB Jaringan
(file pa aji)]],0)</f>
        <v>0</v>
      </c>
      <c r="CU60" s="789">
        <v>6819754532</v>
      </c>
      <c r="CV60" s="299">
        <v>6819754532</v>
      </c>
      <c r="CW60" s="552">
        <v>6819754532</v>
      </c>
      <c r="CX60" s="789">
        <f>_xlfn.XLOOKUP(Table1[[#This Row],[Kode Program]],'[1]Breakdown VOWD Greenfield'!$E:$E,'[1]Breakdown VOWD Greenfield'!$AT:$AT)</f>
        <v>6819754532</v>
      </c>
      <c r="CY60" s="42"/>
      <c r="CZ60" s="300">
        <v>45439</v>
      </c>
      <c r="DA60" s="300">
        <v>45466</v>
      </c>
      <c r="DB60" s="301"/>
      <c r="DC60" s="286"/>
      <c r="DD60" s="62"/>
      <c r="DE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0" s="301"/>
      <c r="DG60" s="286"/>
      <c r="DH60" s="62"/>
      <c r="DI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0" s="300">
        <v>45467</v>
      </c>
      <c r="DK60" s="300">
        <v>45536</v>
      </c>
      <c r="DL60" s="301">
        <v>45477</v>
      </c>
      <c r="DM60" s="365" t="s">
        <v>545</v>
      </c>
      <c r="DN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0" s="301">
        <v>45485</v>
      </c>
      <c r="DP60" s="286" t="s">
        <v>546</v>
      </c>
      <c r="DQ60" s="308" t="s">
        <v>365</v>
      </c>
      <c r="DR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0" s="300">
        <v>45467</v>
      </c>
      <c r="DT60" s="300" t="e">
        <v>#N/A</v>
      </c>
      <c r="DU60" s="300">
        <v>45508</v>
      </c>
      <c r="DV60" s="300" t="e">
        <v>#N/A</v>
      </c>
      <c r="DW60" s="301"/>
      <c r="DX60" s="286"/>
      <c r="DY60" s="304"/>
      <c r="DZ60" s="304"/>
      <c r="EA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0" s="301"/>
      <c r="EC60" s="302"/>
      <c r="ED60" s="302"/>
      <c r="EE60" s="300"/>
      <c r="EF60" s="35">
        <v>1</v>
      </c>
      <c r="EG60" s="307">
        <v>1</v>
      </c>
      <c r="EH60" s="286" t="str">
        <f>IF(Table1[[#This Row],[PO Material Aktual 
(%)]]&gt;=100%,"Selesai PO = 100%",IF(Table1[[#This Row],[PO Material Aktual 
(%)]]&gt;=50%,"Proses PO &gt; 100%",IF(Table1[[#This Row],[PO Material Aktual 
(%)]]&gt;0%,"Proses PO &gt; 50%",IF(Table1[[#This Row],[PO Material Aktual 
(%)]]=0,"Belum PO = 0%"))))</f>
        <v>Selesai PO = 100%</v>
      </c>
      <c r="EI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0" s="300">
        <v>45509</v>
      </c>
      <c r="EK60" s="300" t="e">
        <v>#N/A</v>
      </c>
      <c r="EL60" s="300">
        <v>45620</v>
      </c>
      <c r="EM60" s="300" t="e">
        <v>#N/A</v>
      </c>
      <c r="EN60" s="301"/>
      <c r="EO60" s="302"/>
      <c r="EP60" s="302"/>
      <c r="EQ60" s="82">
        <v>1</v>
      </c>
      <c r="ER60" s="82">
        <v>1</v>
      </c>
      <c r="ES60" s="286" t="str">
        <f>IF(Table1[[#This Row],[Progres MOS]]&gt;=100%,"Selesai MOS = 100%",IF(Table1[[#This Row],[Progres MOS]]&gt;=50%,"Proses MOS &gt; 100%",IF(Table1[[#This Row],[Progres MOS]]&gt;0%,"Proses MOS &gt; 50%",IF(Table1[[#This Row],[Progres MOS]]=0,"Belum MOS = 0%"))))</f>
        <v>Selesai MOS = 100%</v>
      </c>
      <c r="ET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0" s="42"/>
      <c r="EV60" s="300">
        <v>45467</v>
      </c>
      <c r="EW60" s="300" t="e">
        <v>#N/A</v>
      </c>
      <c r="EX60" s="300">
        <v>45564</v>
      </c>
      <c r="EY60" s="300" t="e">
        <v>#N/A</v>
      </c>
      <c r="EZ60" s="322" t="s">
        <v>259</v>
      </c>
      <c r="FA60" s="306" t="s">
        <v>259</v>
      </c>
      <c r="FB60" s="300" t="s">
        <v>260</v>
      </c>
      <c r="FC60" s="300">
        <v>45345</v>
      </c>
      <c r="FD60" s="300" t="s">
        <v>260</v>
      </c>
      <c r="FE60" s="300"/>
      <c r="FF60" s="300">
        <v>45490</v>
      </c>
      <c r="FG60" s="300" t="s">
        <v>260</v>
      </c>
      <c r="FH60" s="300" t="s">
        <v>260</v>
      </c>
      <c r="FI60" s="300">
        <v>45512</v>
      </c>
      <c r="FJ60" s="300" t="s">
        <v>260</v>
      </c>
      <c r="FK60" s="300">
        <v>45699</v>
      </c>
      <c r="FL60" s="306" t="s">
        <v>259</v>
      </c>
      <c r="FM60" s="306">
        <v>45345</v>
      </c>
      <c r="FN60" s="284">
        <f>IF(Table1[[#This Row],[Tanggal Pengajuan Dokumen]]="","",Table1[[#This Row],[PLAN PERMIT
start]]-Table1[[#This Row],[Tanggal Pengajuan Dokumen]])</f>
        <v>122</v>
      </c>
      <c r="FO60" s="306">
        <v>45699</v>
      </c>
      <c r="FP60" s="286"/>
      <c r="FQ60" s="308"/>
      <c r="FR60" s="322"/>
      <c r="FS60" s="308" t="str">
        <f t="shared" si="5"/>
        <v>Sudah Terbit</v>
      </c>
      <c r="FT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0" s="314">
        <f ca="1">IF(Table1[[#This Row],[Status Izin]]="Selesai",Table1[[#This Row],[PLAN PERMIT
finish]]-Table1[[#This Row],[Tanggal Terbit/ Target Izin Terbit]],ROUNDUP(Table1[[#This Row],[PLAN PERMIT
finish]]-NOW(),0))</f>
        <v>-135</v>
      </c>
      <c r="FV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0" s="314"/>
      <c r="FX60" s="42"/>
      <c r="FY60" s="310"/>
      <c r="FZ60" s="311"/>
      <c r="GA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0" s="300">
        <v>45538</v>
      </c>
      <c r="GC60" s="301">
        <v>45488</v>
      </c>
      <c r="GD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0" s="300">
        <v>45545</v>
      </c>
      <c r="GF60" s="301">
        <v>45488</v>
      </c>
      <c r="GG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0" s="300">
        <v>45551</v>
      </c>
      <c r="GI60" s="300">
        <v>45557</v>
      </c>
      <c r="GJ60" s="323">
        <v>45495</v>
      </c>
      <c r="GK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0" s="300">
        <v>45565</v>
      </c>
      <c r="GM60" s="300" t="e">
        <v>#N/A</v>
      </c>
      <c r="GN60" s="300">
        <v>45690</v>
      </c>
      <c r="GO60" s="300" t="e">
        <v>#N/A</v>
      </c>
      <c r="GP60" s="286"/>
      <c r="GQ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0" s="300" t="s">
        <v>261</v>
      </c>
      <c r="GS60" s="300" t="s">
        <v>261</v>
      </c>
      <c r="GT60" s="324">
        <v>45686</v>
      </c>
      <c r="GU60" s="314" t="str">
        <f>IF(Table1[[#This Row],[Hydro Tes Actual
(tanggal)]]&lt;&gt;"","Sudah","Belum")</f>
        <v>Sudah</v>
      </c>
      <c r="GV60" s="300" t="s">
        <v>261</v>
      </c>
      <c r="GW60" s="300" t="s">
        <v>261</v>
      </c>
      <c r="GX60" s="301">
        <v>45722</v>
      </c>
      <c r="GY60" s="314" t="str">
        <f>IF(Table1[[#This Row],[Interkoneksi Actual
(tanggal)]]&lt;&gt;"","Sudah","Belum")</f>
        <v>Sudah</v>
      </c>
      <c r="GZ60" s="300" t="s">
        <v>261</v>
      </c>
      <c r="HA60" s="300" t="s">
        <v>261</v>
      </c>
      <c r="HB60" s="301">
        <v>45691</v>
      </c>
      <c r="HC60" s="314" t="str">
        <f>IF(Table1[[#This Row],[Flushing Actual
(tanggal)]]&lt;&gt;"","Sudah","Belum")</f>
        <v>Sudah</v>
      </c>
      <c r="HD60" s="300">
        <v>45677</v>
      </c>
      <c r="HE60" s="300" t="e">
        <v>#N/A</v>
      </c>
      <c r="HF60" s="300">
        <v>45683</v>
      </c>
      <c r="HG60" s="316">
        <v>45728</v>
      </c>
      <c r="HH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0" s="300" t="s">
        <v>261</v>
      </c>
      <c r="HJ60" s="300" t="s">
        <v>261</v>
      </c>
      <c r="HK60" s="301"/>
      <c r="HL60" s="286"/>
      <c r="HM60" s="300">
        <v>45702</v>
      </c>
      <c r="HN60" s="300">
        <v>45702</v>
      </c>
      <c r="HO60" s="300" t="e">
        <v>#N/A</v>
      </c>
      <c r="HP60" s="300"/>
      <c r="HQ60" s="316">
        <v>45743</v>
      </c>
      <c r="HR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0" s="300">
        <v>45709</v>
      </c>
      <c r="HT60" s="300"/>
      <c r="HU60" s="300">
        <v>45709</v>
      </c>
      <c r="HV60" s="497"/>
      <c r="HW60" s="300">
        <v>45751</v>
      </c>
      <c r="HX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0" s="42"/>
      <c r="HZ60" s="322"/>
      <c r="IA60" s="306"/>
      <c r="IC60" s="585">
        <f>IFERROR(ROUND((Table1[[#This Row],[PLAN TC
finish]]-Table1[[#This Row],[PLAN MC-0
start]])/30,2),"")</f>
        <v>4.4000000000000004</v>
      </c>
      <c r="ID60">
        <f>DATEDIF(Table1[[#This Row],[PLAN MC-0
start]],Table1[[#This Row],[PLAN TC
finish]],"m")</f>
        <v>4</v>
      </c>
    </row>
    <row r="61" spans="1:238" s="4" customFormat="1" ht="15" customHeight="1" x14ac:dyDescent="0.25">
      <c r="B61" s="281">
        <f>SUBTOTAL(3,$D$5:D61)</f>
        <v>57</v>
      </c>
      <c r="C61" s="318">
        <v>57</v>
      </c>
      <c r="D61" s="285" t="s">
        <v>244</v>
      </c>
      <c r="E61" s="285" t="s">
        <v>547</v>
      </c>
      <c r="F61" s="285" t="s">
        <v>548</v>
      </c>
      <c r="G61" s="319">
        <v>45752</v>
      </c>
      <c r="H61" s="284" t="s">
        <v>247</v>
      </c>
      <c r="I61" s="285" t="s">
        <v>278</v>
      </c>
      <c r="J61" s="285"/>
      <c r="K61" s="308" t="s">
        <v>249</v>
      </c>
      <c r="L61" s="286" t="s">
        <v>250</v>
      </c>
      <c r="M61" s="286" t="s">
        <v>269</v>
      </c>
      <c r="N61" s="94">
        <v>5758</v>
      </c>
      <c r="O61" s="31" t="s">
        <v>252</v>
      </c>
      <c r="P6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1" s="82" t="e">
        <v>#N/A</v>
      </c>
      <c r="S61" s="82">
        <v>1</v>
      </c>
      <c r="T61" s="35">
        <f>Table1[[#This Row],[Progres Total Aktual
(%)]]</f>
        <v>1</v>
      </c>
      <c r="U61" s="106">
        <f>Table1[[#This Row],[Progres Aktual
(%)]]-Table1[[#This Row],[Target Progres
(%)]]</f>
        <v>0</v>
      </c>
      <c r="V61" s="320">
        <f>Table1[[#This Row],["Volume
BA MC-0"]]</f>
        <v>4580</v>
      </c>
      <c r="W61" s="321">
        <f>Table1[[#This Row],[Total Panjang Pipa Aktual
(Sum-&gt;)3]]</f>
        <v>2219</v>
      </c>
      <c r="X61" s="42"/>
      <c r="Y61" s="62" t="s">
        <v>549</v>
      </c>
      <c r="Z61" s="62">
        <v>8385049637</v>
      </c>
      <c r="AA61" s="62">
        <f>ROUND((Table1[[#This Row],[Nilai RAB Jaringan
(Exclude Ppn)]]-Table1[[#This Row],[RAB Perizinan]])*1.11+Table1[[#This Row],[RAB Perizinan]],0)</f>
        <v>0</v>
      </c>
      <c r="AB61" s="290">
        <f>SUM(Table1[[#This Row],[RAB Kegiatan Umum]:[RAB Perizinan]])</f>
        <v>0</v>
      </c>
      <c r="AC61" s="290"/>
      <c r="AD61" s="290"/>
      <c r="AE61" s="290"/>
      <c r="AF61" s="290"/>
      <c r="AG61" s="290">
        <v>4238672685</v>
      </c>
      <c r="AH61" s="35" t="e">
        <f>SUM(Table1[[#This Row],[Bobot Keg Umum]:[Bobot Perizinan]])</f>
        <v>#DIV/0!</v>
      </c>
      <c r="AI61" s="35" t="e">
        <f>Table1[[#This Row],[RAB Kegiatan Umum]]/Table1[[#This Row],[Nilai RAB Jaringan
(Exclude Ppn)]]</f>
        <v>#DIV/0!</v>
      </c>
      <c r="AJ61" s="35" t="e">
        <f>Table1[[#This Row],[RAB Pemasangan]]/Table1[[#This Row],[Nilai RAB Jaringan
(Exclude Ppn)]]</f>
        <v>#DIV/0!</v>
      </c>
      <c r="AK61" s="35" t="e">
        <f>Table1[[#This Row],[RAB Pengadaan]]/Table1[[#This Row],[Nilai RAB Jaringan
(Exclude Ppn)]]</f>
        <v>#DIV/0!</v>
      </c>
      <c r="AL61" s="35" t="e">
        <f>Table1[[#This Row],[RAB Perizinan]]/Table1[[#This Row],[Nilai RAB Jaringan
(Exclude Ppn)]]</f>
        <v>#DIV/0!</v>
      </c>
      <c r="AM61" s="42"/>
      <c r="AN61" s="256">
        <v>4580</v>
      </c>
      <c r="AO61" s="256">
        <f>SUM(Table1[[#This Row],[Pipa 63 mm]:[Pipa 1,800 mm]])</f>
        <v>0</v>
      </c>
      <c r="AP61" s="256"/>
      <c r="AQ61" s="256"/>
      <c r="AR61" s="256"/>
      <c r="AS61" s="256"/>
      <c r="AT61" s="256"/>
      <c r="AU61" s="256"/>
      <c r="AV61" s="256"/>
      <c r="AW61" s="256"/>
      <c r="AX61" s="256"/>
      <c r="AY61" s="256"/>
      <c r="AZ61" s="256"/>
      <c r="BA61" s="256"/>
      <c r="BB61" s="256"/>
      <c r="BC61" s="256"/>
      <c r="BD61" s="256"/>
      <c r="BE61" s="256"/>
      <c r="BF61" s="256"/>
      <c r="BG61" s="256"/>
      <c r="BH61" s="256"/>
      <c r="BI61" s="256"/>
      <c r="BJ61" s="36">
        <f>SUM(Table1[[#This Row],[Pipa 63 mm2]:[Pipa 1,800 mm21]])</f>
        <v>2219</v>
      </c>
      <c r="BK61" s="32">
        <v>1197</v>
      </c>
      <c r="BL61" s="32">
        <v>279</v>
      </c>
      <c r="BM61" s="32">
        <v>474</v>
      </c>
      <c r="BN61" s="32">
        <v>269</v>
      </c>
      <c r="BO61" s="32"/>
      <c r="BP61" s="32"/>
      <c r="BQ61" s="32"/>
      <c r="BR61" s="32"/>
      <c r="BS61" s="32"/>
      <c r="BT61" s="32"/>
      <c r="BU61" s="32"/>
      <c r="BV61" s="32"/>
      <c r="BW61" s="32"/>
      <c r="BX61" s="32"/>
      <c r="BY61" s="32"/>
      <c r="BZ61" s="32"/>
      <c r="CA61" s="32"/>
      <c r="CB61" s="32"/>
      <c r="CC61" s="32"/>
      <c r="CD61" s="32"/>
      <c r="CE61" s="32">
        <v>2935</v>
      </c>
      <c r="CF61" s="32"/>
      <c r="CG61" s="32"/>
      <c r="CH61" s="32"/>
      <c r="CI61" s="32">
        <f t="shared" si="3"/>
        <v>2935</v>
      </c>
      <c r="CJ61" s="60">
        <f>IF((Table1[[#This Row],["Volume
BA MC-0"]]-Table1[[#This Row],[Total Panjang Pipa Aktual
(Sum-&gt;)3]]-Table1[[#This Row],[Total Volume
tidak dapat dipasang]])&gt;=0,Table1[[#This Row],["Volume
BA MC-0"]]-Table1[[#This Row],[Total Panjang Pipa Aktual
(Sum-&gt;)3]]-Table1[[#This Row],[Total Volume
tidak dapat dipasang]],0)</f>
        <v>0</v>
      </c>
      <c r="CK61" s="42"/>
      <c r="CL61" s="113"/>
      <c r="CM61" s="35"/>
      <c r="CN61" s="113"/>
      <c r="CO61" s="113"/>
      <c r="CP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1" s="61">
        <f>IFERROR(Table1[[#This Row],[Progres Keg. Umum
(%)]]*Table1[[#This Row],[Nilai RAB Jaringan
(file pa aji)]],0)</f>
        <v>0</v>
      </c>
      <c r="CR61" s="61">
        <f>IFERROR(Table1[[#This Row],[Progres MOS
(%)]]*Table1[[#This Row],[Nilai RAB Jaringan
(file pa aji)]],0)</f>
        <v>0</v>
      </c>
      <c r="CS61" s="61">
        <f>IFERROR(Table1[[#This Row],[Progres Pemasangan
(%)]]*Table1[[#This Row],[Nilai RAB Jaringan
(file pa aji)]],0)</f>
        <v>0</v>
      </c>
      <c r="CT61" s="61">
        <f>IFERROR(Table1[[#This Row],[Progres Perizinan
(%)]]*Table1[[#This Row],[Nilai RAB Jaringan
(file pa aji)]],0)</f>
        <v>0</v>
      </c>
      <c r="CU61" s="789">
        <v>3594410481</v>
      </c>
      <c r="CV61" s="299">
        <v>3594410481</v>
      </c>
      <c r="CW61" s="552">
        <v>3594410481</v>
      </c>
      <c r="CX61" s="789">
        <f>_xlfn.XLOOKUP(Table1[[#This Row],[Kode Program]],'[1]Breakdown VOWD Greenfield'!$E:$E,'[1]Breakdown VOWD Greenfield'!$AT:$AT)</f>
        <v>3594410481</v>
      </c>
      <c r="CY61" s="42"/>
      <c r="CZ61" s="300">
        <v>45439</v>
      </c>
      <c r="DA61" s="300">
        <v>45466</v>
      </c>
      <c r="DB61" s="301"/>
      <c r="DC61" s="286"/>
      <c r="DD61" s="62"/>
      <c r="DE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1" s="301"/>
      <c r="DG61" s="286"/>
      <c r="DH61" s="62"/>
      <c r="DI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1" s="300">
        <v>45467</v>
      </c>
      <c r="DK61" s="300">
        <v>45536</v>
      </c>
      <c r="DL61" s="301">
        <v>45476</v>
      </c>
      <c r="DM61" s="365" t="s">
        <v>550</v>
      </c>
      <c r="DN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1" s="301">
        <v>45485</v>
      </c>
      <c r="DP61" s="286" t="s">
        <v>546</v>
      </c>
      <c r="DQ61" s="308" t="s">
        <v>365</v>
      </c>
      <c r="DR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1" s="300">
        <v>45467</v>
      </c>
      <c r="DT61" s="300" t="e">
        <v>#N/A</v>
      </c>
      <c r="DU61" s="300">
        <v>45508</v>
      </c>
      <c r="DV61" s="300" t="e">
        <v>#N/A</v>
      </c>
      <c r="DW61" s="301"/>
      <c r="DX61" s="286"/>
      <c r="DY61" s="304"/>
      <c r="DZ61" s="304"/>
      <c r="EA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1" s="301"/>
      <c r="EC61" s="302"/>
      <c r="ED61" s="302"/>
      <c r="EE61" s="300"/>
      <c r="EF61" s="35">
        <v>1</v>
      </c>
      <c r="EG61" s="307">
        <v>1</v>
      </c>
      <c r="EH61" s="286" t="str">
        <f>IF(Table1[[#This Row],[PO Material Aktual 
(%)]]&gt;=100%,"Selesai PO = 100%",IF(Table1[[#This Row],[PO Material Aktual 
(%)]]&gt;=50%,"Proses PO &gt; 100%",IF(Table1[[#This Row],[PO Material Aktual 
(%)]]&gt;0%,"Proses PO &gt; 50%",IF(Table1[[#This Row],[PO Material Aktual 
(%)]]=0,"Belum PO = 0%"))))</f>
        <v>Selesai PO = 100%</v>
      </c>
      <c r="EI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1" s="300">
        <v>45509</v>
      </c>
      <c r="EK61" s="300" t="e">
        <v>#N/A</v>
      </c>
      <c r="EL61" s="300">
        <v>45620</v>
      </c>
      <c r="EM61" s="300" t="e">
        <v>#N/A</v>
      </c>
      <c r="EN61" s="301"/>
      <c r="EO61" s="302"/>
      <c r="EP61" s="302"/>
      <c r="EQ61" s="82">
        <v>1</v>
      </c>
      <c r="ER61" s="82">
        <v>1</v>
      </c>
      <c r="ES61" s="286" t="str">
        <f>IF(Table1[[#This Row],[Progres MOS]]&gt;=100%,"Selesai MOS = 100%",IF(Table1[[#This Row],[Progres MOS]]&gt;=50%,"Proses MOS &gt; 100%",IF(Table1[[#This Row],[Progres MOS]]&gt;0%,"Proses MOS &gt; 50%",IF(Table1[[#This Row],[Progres MOS]]=0,"Belum MOS = 0%"))))</f>
        <v>Selesai MOS = 100%</v>
      </c>
      <c r="ET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1" s="42"/>
      <c r="EV61" s="300">
        <v>45467</v>
      </c>
      <c r="EW61" s="300" t="e">
        <v>#N/A</v>
      </c>
      <c r="EX61" s="300">
        <v>45564</v>
      </c>
      <c r="EY61" s="300" t="e">
        <v>#N/A</v>
      </c>
      <c r="EZ61" s="322" t="s">
        <v>259</v>
      </c>
      <c r="FA61" s="306" t="s">
        <v>259</v>
      </c>
      <c r="FB61" s="300" t="s">
        <v>260</v>
      </c>
      <c r="FC61" s="300">
        <v>45342</v>
      </c>
      <c r="FD61" s="300" t="s">
        <v>260</v>
      </c>
      <c r="FE61" s="300"/>
      <c r="FF61" s="300">
        <v>45490</v>
      </c>
      <c r="FG61" s="300" t="s">
        <v>260</v>
      </c>
      <c r="FH61" s="300" t="s">
        <v>260</v>
      </c>
      <c r="FI61" s="300">
        <v>45512</v>
      </c>
      <c r="FJ61" s="300" t="s">
        <v>260</v>
      </c>
      <c r="FK61" s="300">
        <v>45699</v>
      </c>
      <c r="FL61" s="306" t="s">
        <v>259</v>
      </c>
      <c r="FM61" s="306">
        <v>45342</v>
      </c>
      <c r="FN61" s="284">
        <f>IF(Table1[[#This Row],[Tanggal Pengajuan Dokumen]]="","",Table1[[#This Row],[PLAN PERMIT
start]]-Table1[[#This Row],[Tanggal Pengajuan Dokumen]])</f>
        <v>125</v>
      </c>
      <c r="FO61" s="306">
        <v>45699</v>
      </c>
      <c r="FP61" s="286"/>
      <c r="FQ61" s="308"/>
      <c r="FR61" s="322"/>
      <c r="FS61" s="308" t="str">
        <f t="shared" si="5"/>
        <v>Sudah Terbit</v>
      </c>
      <c r="FT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1" s="314">
        <f ca="1">IF(Table1[[#This Row],[Status Izin]]="Selesai",Table1[[#This Row],[PLAN PERMIT
finish]]-Table1[[#This Row],[Tanggal Terbit/ Target Izin Terbit]],ROUNDUP(Table1[[#This Row],[PLAN PERMIT
finish]]-NOW(),0))</f>
        <v>-135</v>
      </c>
      <c r="FV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1" s="314"/>
      <c r="FX61" s="42"/>
      <c r="FY61" s="310"/>
      <c r="FZ61" s="311"/>
      <c r="GA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1" s="300">
        <v>45538</v>
      </c>
      <c r="GC61" s="301">
        <v>45488</v>
      </c>
      <c r="GD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1" s="300">
        <v>45545</v>
      </c>
      <c r="GF61" s="301">
        <v>45488</v>
      </c>
      <c r="GG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1" s="300">
        <v>45551</v>
      </c>
      <c r="GI61" s="300">
        <v>45557</v>
      </c>
      <c r="GJ61" s="323">
        <v>45498</v>
      </c>
      <c r="GK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1" s="300">
        <v>45565</v>
      </c>
      <c r="GM61" s="300" t="e">
        <v>#N/A</v>
      </c>
      <c r="GN61" s="300">
        <v>45690</v>
      </c>
      <c r="GO61" s="300" t="e">
        <v>#N/A</v>
      </c>
      <c r="GP61" s="286"/>
      <c r="GQ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1" s="300" t="s">
        <v>261</v>
      </c>
      <c r="GS61" s="300" t="s">
        <v>261</v>
      </c>
      <c r="GT61" s="324">
        <v>45643</v>
      </c>
      <c r="GU61" s="314" t="str">
        <f>IF(Table1[[#This Row],[Hydro Tes Actual
(tanggal)]]&lt;&gt;"","Sudah","Belum")</f>
        <v>Sudah</v>
      </c>
      <c r="GV61" s="300" t="s">
        <v>261</v>
      </c>
      <c r="GW61" s="300" t="s">
        <v>261</v>
      </c>
      <c r="GX61" s="301">
        <v>45680</v>
      </c>
      <c r="GY61" s="314" t="str">
        <f>IF(Table1[[#This Row],[Interkoneksi Actual
(tanggal)]]&lt;&gt;"","Sudah","Belum")</f>
        <v>Sudah</v>
      </c>
      <c r="GZ61" s="300" t="s">
        <v>261</v>
      </c>
      <c r="HA61" s="300" t="s">
        <v>261</v>
      </c>
      <c r="HB61" s="301">
        <v>45691</v>
      </c>
      <c r="HC61" s="314" t="str">
        <f>IF(Table1[[#This Row],[Flushing Actual
(tanggal)]]&lt;&gt;"","Sudah","Belum")</f>
        <v>Sudah</v>
      </c>
      <c r="HD61" s="300">
        <v>45677</v>
      </c>
      <c r="HE61" s="300" t="e">
        <v>#N/A</v>
      </c>
      <c r="HF61" s="300">
        <v>45683</v>
      </c>
      <c r="HG61" s="316">
        <v>45728</v>
      </c>
      <c r="HH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1" s="300" t="s">
        <v>261</v>
      </c>
      <c r="HJ61" s="300" t="s">
        <v>261</v>
      </c>
      <c r="HK61" s="301"/>
      <c r="HL61" s="286"/>
      <c r="HM61" s="300">
        <v>45702</v>
      </c>
      <c r="HN61" s="300">
        <v>45702</v>
      </c>
      <c r="HO61" s="300" t="e">
        <v>#N/A</v>
      </c>
      <c r="HP61" s="300"/>
      <c r="HQ61" s="316">
        <v>45742</v>
      </c>
      <c r="HR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1" s="300">
        <v>45709</v>
      </c>
      <c r="HT61" s="300"/>
      <c r="HU61" s="300">
        <v>45709</v>
      </c>
      <c r="HV61" s="497"/>
      <c r="HW61" s="300">
        <v>45751</v>
      </c>
      <c r="HX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1" s="42"/>
      <c r="HZ61" s="322"/>
      <c r="IA61" s="306"/>
      <c r="IC61" s="585">
        <f>IFERROR(ROUND((Table1[[#This Row],[PLAN TC
finish]]-Table1[[#This Row],[PLAN MC-0
start]])/30,2),"")</f>
        <v>4.4000000000000004</v>
      </c>
      <c r="ID61">
        <f>DATEDIF(Table1[[#This Row],[PLAN MC-0
start]],Table1[[#This Row],[PLAN TC
finish]],"m")</f>
        <v>4</v>
      </c>
    </row>
    <row r="62" spans="1:238" s="4" customFormat="1" ht="15" customHeight="1" x14ac:dyDescent="0.25">
      <c r="B62" s="281">
        <f>SUBTOTAL(3,$D$5:D62)</f>
        <v>58</v>
      </c>
      <c r="C62" s="318">
        <v>58</v>
      </c>
      <c r="D62" s="285" t="s">
        <v>244</v>
      </c>
      <c r="E62" s="285" t="s">
        <v>551</v>
      </c>
      <c r="F62" s="285" t="s">
        <v>552</v>
      </c>
      <c r="G62" s="319">
        <v>45752</v>
      </c>
      <c r="H62" s="284" t="s">
        <v>247</v>
      </c>
      <c r="I62" s="285" t="s">
        <v>278</v>
      </c>
      <c r="J62" s="285"/>
      <c r="K62" s="308" t="s">
        <v>249</v>
      </c>
      <c r="L62" s="286" t="s">
        <v>250</v>
      </c>
      <c r="M62" s="286" t="s">
        <v>269</v>
      </c>
      <c r="N62" s="94">
        <v>3316</v>
      </c>
      <c r="O62" s="31" t="s">
        <v>252</v>
      </c>
      <c r="P6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2" s="82" t="e">
        <v>#N/A</v>
      </c>
      <c r="S62" s="82">
        <v>1</v>
      </c>
      <c r="T62" s="35">
        <f>Table1[[#This Row],[Progres Total Aktual
(%)]]</f>
        <v>1</v>
      </c>
      <c r="U62" s="106">
        <f>Table1[[#This Row],[Progres Aktual
(%)]]-Table1[[#This Row],[Target Progres
(%)]]</f>
        <v>0</v>
      </c>
      <c r="V62" s="320">
        <f>Table1[[#This Row],["Volume
BA MC-0"]]</f>
        <v>2919</v>
      </c>
      <c r="W62" s="321">
        <f>Table1[[#This Row],[Total Panjang Pipa Aktual
(Sum-&gt;)3]]</f>
        <v>1261.9000000000001</v>
      </c>
      <c r="X62" s="42"/>
      <c r="Y62" s="62" t="s">
        <v>553</v>
      </c>
      <c r="Z62" s="62">
        <v>5283274896</v>
      </c>
      <c r="AA62" s="62">
        <f>ROUND((Table1[[#This Row],[Nilai RAB Jaringan
(Exclude Ppn)]]-Table1[[#This Row],[RAB Perizinan]])*1.11+Table1[[#This Row],[RAB Perizinan]],0)</f>
        <v>0</v>
      </c>
      <c r="AB62" s="290">
        <f>SUM(Table1[[#This Row],[RAB Kegiatan Umum]:[RAB Perizinan]])</f>
        <v>0</v>
      </c>
      <c r="AC62" s="290"/>
      <c r="AD62" s="290"/>
      <c r="AE62" s="290"/>
      <c r="AF62" s="290"/>
      <c r="AG62" s="290">
        <v>2533365299</v>
      </c>
      <c r="AH62" s="35" t="e">
        <f>SUM(Table1[[#This Row],[Bobot Keg Umum]:[Bobot Perizinan]])</f>
        <v>#DIV/0!</v>
      </c>
      <c r="AI62" s="35" t="e">
        <f>Table1[[#This Row],[RAB Kegiatan Umum]]/Table1[[#This Row],[Nilai RAB Jaringan
(Exclude Ppn)]]</f>
        <v>#DIV/0!</v>
      </c>
      <c r="AJ62" s="35" t="e">
        <f>Table1[[#This Row],[RAB Pemasangan]]/Table1[[#This Row],[Nilai RAB Jaringan
(Exclude Ppn)]]</f>
        <v>#DIV/0!</v>
      </c>
      <c r="AK62" s="35" t="e">
        <f>Table1[[#This Row],[RAB Pengadaan]]/Table1[[#This Row],[Nilai RAB Jaringan
(Exclude Ppn)]]</f>
        <v>#DIV/0!</v>
      </c>
      <c r="AL62" s="35" t="e">
        <f>Table1[[#This Row],[RAB Perizinan]]/Table1[[#This Row],[Nilai RAB Jaringan
(Exclude Ppn)]]</f>
        <v>#DIV/0!</v>
      </c>
      <c r="AM62" s="42"/>
      <c r="AN62" s="256">
        <v>2919</v>
      </c>
      <c r="AO62" s="256">
        <f>SUM(Table1[[#This Row],[Pipa 63 mm]:[Pipa 1,800 mm]])</f>
        <v>0</v>
      </c>
      <c r="AP62" s="256"/>
      <c r="AQ62" s="256"/>
      <c r="AR62" s="256"/>
      <c r="AS62" s="256"/>
      <c r="AT62" s="256"/>
      <c r="AU62" s="256"/>
      <c r="AV62" s="256"/>
      <c r="AW62" s="256"/>
      <c r="AX62" s="256"/>
      <c r="AY62" s="256"/>
      <c r="AZ62" s="256"/>
      <c r="BA62" s="256"/>
      <c r="BB62" s="256"/>
      <c r="BC62" s="256"/>
      <c r="BD62" s="256"/>
      <c r="BE62" s="256"/>
      <c r="BF62" s="256"/>
      <c r="BG62" s="256"/>
      <c r="BH62" s="256"/>
      <c r="BI62" s="256"/>
      <c r="BJ62" s="36">
        <f>SUM(Table1[[#This Row],[Pipa 63 mm2]:[Pipa 1,800 mm21]])</f>
        <v>1261.9000000000001</v>
      </c>
      <c r="BK62" s="326">
        <v>238</v>
      </c>
      <c r="BL62" s="326">
        <v>222</v>
      </c>
      <c r="BM62" s="326"/>
      <c r="BN62" s="326">
        <v>339</v>
      </c>
      <c r="BO62" s="326">
        <v>462.9</v>
      </c>
      <c r="BP62" s="326"/>
      <c r="BQ62" s="326"/>
      <c r="BR62" s="326"/>
      <c r="BS62" s="326"/>
      <c r="BT62" s="326"/>
      <c r="BU62" s="326"/>
      <c r="BV62" s="326"/>
      <c r="BW62" s="326"/>
      <c r="BX62" s="326"/>
      <c r="BY62" s="326"/>
      <c r="BZ62" s="326"/>
      <c r="CA62" s="326"/>
      <c r="CB62" s="326"/>
      <c r="CC62" s="326"/>
      <c r="CD62" s="326"/>
      <c r="CE62" s="32">
        <v>2015</v>
      </c>
      <c r="CF62" s="32"/>
      <c r="CG62" s="32"/>
      <c r="CH62" s="32"/>
      <c r="CI62" s="32">
        <f t="shared" si="3"/>
        <v>2015</v>
      </c>
      <c r="CJ62" s="60">
        <f>IF((Table1[[#This Row],["Volume
BA MC-0"]]-Table1[[#This Row],[Total Panjang Pipa Aktual
(Sum-&gt;)3]]-Table1[[#This Row],[Total Volume
tidak dapat dipasang]])&gt;=0,Table1[[#This Row],["Volume
BA MC-0"]]-Table1[[#This Row],[Total Panjang Pipa Aktual
(Sum-&gt;)3]]-Table1[[#This Row],[Total Volume
tidak dapat dipasang]],0)</f>
        <v>0</v>
      </c>
      <c r="CK62" s="42"/>
      <c r="CL62" s="113"/>
      <c r="CM62" s="35"/>
      <c r="CN62" s="113"/>
      <c r="CO62" s="113"/>
      <c r="CP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2" s="61">
        <f>IFERROR(Table1[[#This Row],[Progres Keg. Umum
(%)]]*Table1[[#This Row],[Nilai RAB Jaringan
(file pa aji)]],0)</f>
        <v>0</v>
      </c>
      <c r="CR62" s="61">
        <f>IFERROR(Table1[[#This Row],[Progres MOS
(%)]]*Table1[[#This Row],[Nilai RAB Jaringan
(file pa aji)]],0)</f>
        <v>0</v>
      </c>
      <c r="CS62" s="61">
        <f>IFERROR(Table1[[#This Row],[Progres Pemasangan
(%)]]*Table1[[#This Row],[Nilai RAB Jaringan
(file pa aji)]],0)</f>
        <v>0</v>
      </c>
      <c r="CT62" s="61">
        <f>IFERROR(Table1[[#This Row],[Progres Perizinan
(%)]]*Table1[[#This Row],[Nilai RAB Jaringan
(file pa aji)]],0)</f>
        <v>0</v>
      </c>
      <c r="CU62" s="789">
        <v>2770383901</v>
      </c>
      <c r="CV62" s="299">
        <v>2770383901</v>
      </c>
      <c r="CW62" s="552">
        <v>2770383901</v>
      </c>
      <c r="CX62" s="789">
        <f>_xlfn.XLOOKUP(Table1[[#This Row],[Kode Program]],'[1]Breakdown VOWD Greenfield'!$E:$E,'[1]Breakdown VOWD Greenfield'!$AT:$AT)</f>
        <v>2770383901</v>
      </c>
      <c r="CY62" s="42"/>
      <c r="CZ62" s="300">
        <v>45439</v>
      </c>
      <c r="DA62" s="300">
        <v>45466</v>
      </c>
      <c r="DB62" s="301"/>
      <c r="DC62" s="286"/>
      <c r="DD62" s="62"/>
      <c r="DE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2" s="301"/>
      <c r="DG62" s="286"/>
      <c r="DH62" s="62"/>
      <c r="DI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2" s="300">
        <v>45467</v>
      </c>
      <c r="DK62" s="300">
        <v>45536</v>
      </c>
      <c r="DL62" s="301">
        <v>45479</v>
      </c>
      <c r="DM62" s="365" t="s">
        <v>554</v>
      </c>
      <c r="DN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2" s="301">
        <v>45485</v>
      </c>
      <c r="DP62" s="286" t="s">
        <v>546</v>
      </c>
      <c r="DQ62" s="308" t="s">
        <v>365</v>
      </c>
      <c r="DR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2" s="300">
        <v>45467</v>
      </c>
      <c r="DT62" s="300" t="e">
        <v>#N/A</v>
      </c>
      <c r="DU62" s="300">
        <v>45508</v>
      </c>
      <c r="DV62" s="300" t="e">
        <v>#N/A</v>
      </c>
      <c r="DW62" s="301"/>
      <c r="DX62" s="286"/>
      <c r="DY62" s="304"/>
      <c r="DZ62" s="304"/>
      <c r="EA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2" s="301"/>
      <c r="EC62" s="302"/>
      <c r="ED62" s="302"/>
      <c r="EE62" s="300"/>
      <c r="EF62" s="35">
        <v>1</v>
      </c>
      <c r="EG62" s="307">
        <v>1</v>
      </c>
      <c r="EH62" s="286" t="str">
        <f>IF(Table1[[#This Row],[PO Material Aktual 
(%)]]&gt;=100%,"Selesai PO = 100%",IF(Table1[[#This Row],[PO Material Aktual 
(%)]]&gt;=50%,"Proses PO &gt; 100%",IF(Table1[[#This Row],[PO Material Aktual 
(%)]]&gt;0%,"Proses PO &gt; 50%",IF(Table1[[#This Row],[PO Material Aktual 
(%)]]=0,"Belum PO = 0%"))))</f>
        <v>Selesai PO = 100%</v>
      </c>
      <c r="EI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2" s="300">
        <v>45509</v>
      </c>
      <c r="EK62" s="300" t="e">
        <v>#N/A</v>
      </c>
      <c r="EL62" s="300">
        <v>45620</v>
      </c>
      <c r="EM62" s="300" t="e">
        <v>#N/A</v>
      </c>
      <c r="EN62" s="301"/>
      <c r="EO62" s="302"/>
      <c r="EP62" s="302"/>
      <c r="EQ62" s="82">
        <v>1</v>
      </c>
      <c r="ER62" s="82">
        <v>1</v>
      </c>
      <c r="ES62" s="286" t="str">
        <f>IF(Table1[[#This Row],[Progres MOS]]&gt;=100%,"Selesai MOS = 100%",IF(Table1[[#This Row],[Progres MOS]]&gt;=50%,"Proses MOS &gt; 100%",IF(Table1[[#This Row],[Progres MOS]]&gt;0%,"Proses MOS &gt; 50%",IF(Table1[[#This Row],[Progres MOS]]=0,"Belum MOS = 0%"))))</f>
        <v>Selesai MOS = 100%</v>
      </c>
      <c r="ET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2" s="42"/>
      <c r="EV62" s="300">
        <v>45467</v>
      </c>
      <c r="EW62" s="300" t="e">
        <v>#N/A</v>
      </c>
      <c r="EX62" s="300">
        <v>45564</v>
      </c>
      <c r="EY62" s="300" t="e">
        <v>#N/A</v>
      </c>
      <c r="EZ62" s="322" t="s">
        <v>259</v>
      </c>
      <c r="FA62" s="306" t="s">
        <v>259</v>
      </c>
      <c r="FB62" s="300" t="s">
        <v>260</v>
      </c>
      <c r="FC62" s="300">
        <v>45342</v>
      </c>
      <c r="FD62" s="300" t="s">
        <v>260</v>
      </c>
      <c r="FE62" s="300"/>
      <c r="FF62" s="300">
        <v>45492</v>
      </c>
      <c r="FG62" s="300" t="s">
        <v>260</v>
      </c>
      <c r="FH62" s="300" t="s">
        <v>260</v>
      </c>
      <c r="FI62" s="300">
        <v>45513</v>
      </c>
      <c r="FJ62" s="300" t="s">
        <v>260</v>
      </c>
      <c r="FK62" s="300">
        <v>45679</v>
      </c>
      <c r="FL62" s="306" t="s">
        <v>259</v>
      </c>
      <c r="FM62" s="306">
        <v>45342</v>
      </c>
      <c r="FN62" s="284">
        <f>IF(Table1[[#This Row],[Tanggal Pengajuan Dokumen]]="","",Table1[[#This Row],[PLAN PERMIT
start]]-Table1[[#This Row],[Tanggal Pengajuan Dokumen]])</f>
        <v>125</v>
      </c>
      <c r="FO62" s="306">
        <v>45679</v>
      </c>
      <c r="FP62" s="286"/>
      <c r="FQ62" s="308"/>
      <c r="FR62" s="322"/>
      <c r="FS62" s="308" t="str">
        <f t="shared" si="5"/>
        <v>Sudah Terbit</v>
      </c>
      <c r="FT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2" s="314">
        <f ca="1">IF(Table1[[#This Row],[Status Izin]]="Selesai",Table1[[#This Row],[PLAN PERMIT
finish]]-Table1[[#This Row],[Tanggal Terbit/ Target Izin Terbit]],ROUNDUP(Table1[[#This Row],[PLAN PERMIT
finish]]-NOW(),0))</f>
        <v>-115</v>
      </c>
      <c r="FV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2" s="314"/>
      <c r="FX62" s="42"/>
      <c r="FY62" s="310"/>
      <c r="FZ62" s="311"/>
      <c r="GA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2" s="300">
        <v>45538</v>
      </c>
      <c r="GC62" s="301">
        <v>45488</v>
      </c>
      <c r="GD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2" s="300">
        <v>45545</v>
      </c>
      <c r="GF62" s="301">
        <v>45488</v>
      </c>
      <c r="GG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2" s="300">
        <v>45551</v>
      </c>
      <c r="GI62" s="300">
        <v>45557</v>
      </c>
      <c r="GJ62" s="323">
        <v>45502</v>
      </c>
      <c r="GK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2" s="300">
        <v>45565</v>
      </c>
      <c r="GM62" s="300" t="e">
        <v>#N/A</v>
      </c>
      <c r="GN62" s="300">
        <v>45690</v>
      </c>
      <c r="GO62" s="300" t="e">
        <v>#N/A</v>
      </c>
      <c r="GP62" s="286"/>
      <c r="GQ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2" s="300" t="s">
        <v>261</v>
      </c>
      <c r="GS62" s="300" t="s">
        <v>261</v>
      </c>
      <c r="GT62" s="324">
        <v>45640</v>
      </c>
      <c r="GU62" s="314" t="str">
        <f>IF(Table1[[#This Row],[Hydro Tes Actual
(tanggal)]]&lt;&gt;"","Sudah","Belum")</f>
        <v>Sudah</v>
      </c>
      <c r="GV62" s="300" t="s">
        <v>261</v>
      </c>
      <c r="GW62" s="300" t="s">
        <v>261</v>
      </c>
      <c r="GX62" s="301">
        <v>45678</v>
      </c>
      <c r="GY62" s="314" t="str">
        <f>IF(Table1[[#This Row],[Interkoneksi Actual
(tanggal)]]&lt;&gt;"","Sudah","Belum")</f>
        <v>Sudah</v>
      </c>
      <c r="GZ62" s="300" t="s">
        <v>261</v>
      </c>
      <c r="HA62" s="300" t="s">
        <v>261</v>
      </c>
      <c r="HB62" s="301">
        <v>45691</v>
      </c>
      <c r="HC62" s="314" t="str">
        <f>IF(Table1[[#This Row],[Flushing Actual
(tanggal)]]&lt;&gt;"","Sudah","Belum")</f>
        <v>Sudah</v>
      </c>
      <c r="HD62" s="300">
        <v>45677</v>
      </c>
      <c r="HE62" s="300" t="e">
        <v>#N/A</v>
      </c>
      <c r="HF62" s="300">
        <v>45683</v>
      </c>
      <c r="HG62" s="316">
        <v>45708</v>
      </c>
      <c r="HH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2" s="300" t="s">
        <v>261</v>
      </c>
      <c r="HJ62" s="300" t="s">
        <v>261</v>
      </c>
      <c r="HK62" s="301"/>
      <c r="HL62" s="286"/>
      <c r="HM62" s="300">
        <v>45702</v>
      </c>
      <c r="HN62" s="300">
        <v>45702</v>
      </c>
      <c r="HO62" s="300" t="e">
        <v>#N/A</v>
      </c>
      <c r="HP62" s="300"/>
      <c r="HQ62" s="316">
        <v>45742</v>
      </c>
      <c r="HR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2" s="300">
        <v>45709</v>
      </c>
      <c r="HT62" s="300"/>
      <c r="HU62" s="300">
        <v>45709</v>
      </c>
      <c r="HV62" s="497"/>
      <c r="HW62" s="300">
        <v>45751</v>
      </c>
      <c r="HX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2" s="42"/>
      <c r="HZ62" s="322"/>
      <c r="IA62" s="306"/>
      <c r="IC62" s="585">
        <f>IFERROR(ROUND((Table1[[#This Row],[PLAN TC
finish]]-Table1[[#This Row],[PLAN MC-0
start]])/30,2),"")</f>
        <v>4.4000000000000004</v>
      </c>
      <c r="ID62">
        <f>DATEDIF(Table1[[#This Row],[PLAN MC-0
start]],Table1[[#This Row],[PLAN TC
finish]],"m")</f>
        <v>4</v>
      </c>
    </row>
    <row r="63" spans="1:238" s="4" customFormat="1" ht="15" customHeight="1" x14ac:dyDescent="0.25">
      <c r="B63" s="281">
        <f>SUBTOTAL(3,$D$5:D63)</f>
        <v>59</v>
      </c>
      <c r="C63" s="318">
        <v>59</v>
      </c>
      <c r="D63" s="285" t="s">
        <v>244</v>
      </c>
      <c r="E63" s="285" t="s">
        <v>555</v>
      </c>
      <c r="F63" s="285" t="s">
        <v>556</v>
      </c>
      <c r="G63" s="319">
        <v>45752</v>
      </c>
      <c r="H63" s="284" t="s">
        <v>247</v>
      </c>
      <c r="I63" s="285" t="s">
        <v>278</v>
      </c>
      <c r="J63" s="285"/>
      <c r="K63" s="308" t="s">
        <v>249</v>
      </c>
      <c r="L63" s="286" t="s">
        <v>250</v>
      </c>
      <c r="M63" s="286" t="s">
        <v>269</v>
      </c>
      <c r="N63" s="94">
        <v>1209</v>
      </c>
      <c r="O63" s="31" t="s">
        <v>252</v>
      </c>
      <c r="P6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3" s="82" t="e">
        <v>#N/A</v>
      </c>
      <c r="S63" s="82">
        <v>1</v>
      </c>
      <c r="T63" s="35">
        <f>Table1[[#This Row],[Progres Total Aktual
(%)]]</f>
        <v>1</v>
      </c>
      <c r="U63" s="106">
        <f>Table1[[#This Row],[Progres Aktual
(%)]]-Table1[[#This Row],[Target Progres
(%)]]</f>
        <v>0</v>
      </c>
      <c r="V63" s="320">
        <f>Table1[[#This Row],["Volume
BA MC-0"]]</f>
        <v>1266</v>
      </c>
      <c r="W63" s="321">
        <f>Table1[[#This Row],[Total Panjang Pipa Aktual
(Sum-&gt;)3]]</f>
        <v>1136.0999999999999</v>
      </c>
      <c r="X63" s="42"/>
      <c r="Y63" s="62" t="s">
        <v>557</v>
      </c>
      <c r="Z63" s="62">
        <v>1691704559</v>
      </c>
      <c r="AA63" s="62">
        <f>ROUND((Table1[[#This Row],[Nilai RAB Jaringan
(Exclude Ppn)]]-Table1[[#This Row],[RAB Perizinan]])*1.11+Table1[[#This Row],[RAB Perizinan]],0)</f>
        <v>0</v>
      </c>
      <c r="AB63" s="290">
        <f>SUM(Table1[[#This Row],[RAB Kegiatan Umum]:[RAB Perizinan]])</f>
        <v>0</v>
      </c>
      <c r="AC63" s="290"/>
      <c r="AD63" s="290"/>
      <c r="AE63" s="290"/>
      <c r="AF63" s="290"/>
      <c r="AG63" s="290">
        <v>1545434819</v>
      </c>
      <c r="AH63" s="35" t="e">
        <f>SUM(Table1[[#This Row],[Bobot Keg Umum]:[Bobot Perizinan]])</f>
        <v>#DIV/0!</v>
      </c>
      <c r="AI63" s="35" t="e">
        <f>Table1[[#This Row],[RAB Kegiatan Umum]]/Table1[[#This Row],[Nilai RAB Jaringan
(Exclude Ppn)]]</f>
        <v>#DIV/0!</v>
      </c>
      <c r="AJ63" s="35" t="e">
        <f>Table1[[#This Row],[RAB Pemasangan]]/Table1[[#This Row],[Nilai RAB Jaringan
(Exclude Ppn)]]</f>
        <v>#DIV/0!</v>
      </c>
      <c r="AK63" s="35" t="e">
        <f>Table1[[#This Row],[RAB Pengadaan]]/Table1[[#This Row],[Nilai RAB Jaringan
(Exclude Ppn)]]</f>
        <v>#DIV/0!</v>
      </c>
      <c r="AL63" s="35" t="e">
        <f>Table1[[#This Row],[RAB Perizinan]]/Table1[[#This Row],[Nilai RAB Jaringan
(Exclude Ppn)]]</f>
        <v>#DIV/0!</v>
      </c>
      <c r="AM63" s="42"/>
      <c r="AN63" s="256">
        <v>1266</v>
      </c>
      <c r="AO63" s="256">
        <f>SUM(Table1[[#This Row],[Pipa 63 mm]:[Pipa 1,800 mm]])</f>
        <v>0</v>
      </c>
      <c r="AP63" s="256"/>
      <c r="AQ63" s="256"/>
      <c r="AR63" s="256"/>
      <c r="AS63" s="256"/>
      <c r="AT63" s="256"/>
      <c r="AU63" s="256"/>
      <c r="AV63" s="256"/>
      <c r="AW63" s="256"/>
      <c r="AX63" s="256"/>
      <c r="AY63" s="256"/>
      <c r="AZ63" s="256"/>
      <c r="BA63" s="256"/>
      <c r="BB63" s="256"/>
      <c r="BC63" s="256"/>
      <c r="BD63" s="256"/>
      <c r="BE63" s="256"/>
      <c r="BF63" s="256"/>
      <c r="BG63" s="256"/>
      <c r="BH63" s="256"/>
      <c r="BI63" s="256"/>
      <c r="BJ63" s="36">
        <f>SUM(Table1[[#This Row],[Pipa 63 mm2]:[Pipa 1,800 mm21]])</f>
        <v>1136.0999999999999</v>
      </c>
      <c r="BK63" s="326">
        <v>944</v>
      </c>
      <c r="BL63" s="326">
        <v>192.1</v>
      </c>
      <c r="BM63" s="326"/>
      <c r="BN63" s="326"/>
      <c r="BO63" s="326"/>
      <c r="BP63" s="326"/>
      <c r="BQ63" s="326"/>
      <c r="BR63" s="326"/>
      <c r="BS63" s="326"/>
      <c r="BT63" s="326"/>
      <c r="BU63" s="326"/>
      <c r="BV63" s="326"/>
      <c r="BW63" s="326"/>
      <c r="BX63" s="326"/>
      <c r="BY63" s="326"/>
      <c r="BZ63" s="326"/>
      <c r="CA63" s="326"/>
      <c r="CB63" s="326"/>
      <c r="CC63" s="326"/>
      <c r="CD63" s="326"/>
      <c r="CE63" s="32">
        <v>116</v>
      </c>
      <c r="CF63" s="32"/>
      <c r="CG63" s="32"/>
      <c r="CH63" s="32"/>
      <c r="CI63" s="32">
        <f t="shared" si="3"/>
        <v>116</v>
      </c>
      <c r="CJ63" s="60">
        <f>IF((Table1[[#This Row],["Volume
BA MC-0"]]-Table1[[#This Row],[Total Panjang Pipa Aktual
(Sum-&gt;)3]]-Table1[[#This Row],[Total Volume
tidak dapat dipasang]])&gt;=0,Table1[[#This Row],["Volume
BA MC-0"]]-Table1[[#This Row],[Total Panjang Pipa Aktual
(Sum-&gt;)3]]-Table1[[#This Row],[Total Volume
tidak dapat dipasang]],0)</f>
        <v>13.900000000000091</v>
      </c>
      <c r="CK63" s="42"/>
      <c r="CL63" s="113"/>
      <c r="CM63" s="35"/>
      <c r="CN63" s="113"/>
      <c r="CO63" s="113"/>
      <c r="CP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3" s="61">
        <f>IFERROR(Table1[[#This Row],[Progres Keg. Umum
(%)]]*Table1[[#This Row],[Nilai RAB Jaringan
(file pa aji)]],0)</f>
        <v>0</v>
      </c>
      <c r="CR63" s="61">
        <f>IFERROR(Table1[[#This Row],[Progres MOS
(%)]]*Table1[[#This Row],[Nilai RAB Jaringan
(file pa aji)]],0)</f>
        <v>0</v>
      </c>
      <c r="CS63" s="61">
        <f>IFERROR(Table1[[#This Row],[Progres Pemasangan
(%)]]*Table1[[#This Row],[Nilai RAB Jaringan
(file pa aji)]],0)</f>
        <v>0</v>
      </c>
      <c r="CT63" s="61">
        <f>IFERROR(Table1[[#This Row],[Progres Perizinan
(%)]]*Table1[[#This Row],[Nilai RAB Jaringan
(file pa aji)]],0)</f>
        <v>0</v>
      </c>
      <c r="CU63" s="789">
        <v>1581938269</v>
      </c>
      <c r="CV63" s="299">
        <v>1581938269</v>
      </c>
      <c r="CW63" s="552">
        <v>1581938269</v>
      </c>
      <c r="CX63" s="789">
        <f>_xlfn.XLOOKUP(Table1[[#This Row],[Kode Program]],'[1]Breakdown VOWD Greenfield'!$E:$E,'[1]Breakdown VOWD Greenfield'!$AT:$AT)</f>
        <v>1581938269</v>
      </c>
      <c r="CY63" s="42"/>
      <c r="CZ63" s="300">
        <v>45439</v>
      </c>
      <c r="DA63" s="300">
        <v>45466</v>
      </c>
      <c r="DB63" s="301"/>
      <c r="DC63" s="286"/>
      <c r="DD63" s="62"/>
      <c r="DE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3" s="301"/>
      <c r="DG63" s="286"/>
      <c r="DH63" s="62"/>
      <c r="DI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3" s="300">
        <v>45467</v>
      </c>
      <c r="DK63" s="300">
        <v>45536</v>
      </c>
      <c r="DL63" s="301">
        <v>45482</v>
      </c>
      <c r="DM63" s="327" t="s">
        <v>558</v>
      </c>
      <c r="DN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3" s="301">
        <v>45489</v>
      </c>
      <c r="DP63" s="286" t="s">
        <v>559</v>
      </c>
      <c r="DQ63" s="308" t="s">
        <v>560</v>
      </c>
      <c r="DR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3" s="300">
        <v>45467</v>
      </c>
      <c r="DT63" s="300" t="e">
        <v>#N/A</v>
      </c>
      <c r="DU63" s="300">
        <v>45508</v>
      </c>
      <c r="DV63" s="300" t="e">
        <v>#N/A</v>
      </c>
      <c r="DW63" s="301"/>
      <c r="DX63" s="286"/>
      <c r="DY63" s="304"/>
      <c r="DZ63" s="304"/>
      <c r="EA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3" s="301"/>
      <c r="EC63" s="302"/>
      <c r="ED63" s="302"/>
      <c r="EE63" s="300"/>
      <c r="EF63" s="35">
        <v>1</v>
      </c>
      <c r="EG63" s="307">
        <v>1</v>
      </c>
      <c r="EH63" s="286" t="str">
        <f>IF(Table1[[#This Row],[PO Material Aktual 
(%)]]&gt;=100%,"Selesai PO = 100%",IF(Table1[[#This Row],[PO Material Aktual 
(%)]]&gt;=50%,"Proses PO &gt; 100%",IF(Table1[[#This Row],[PO Material Aktual 
(%)]]&gt;0%,"Proses PO &gt; 50%",IF(Table1[[#This Row],[PO Material Aktual 
(%)]]=0,"Belum PO = 0%"))))</f>
        <v>Selesai PO = 100%</v>
      </c>
      <c r="EI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3" s="300">
        <v>45509</v>
      </c>
      <c r="EK63" s="300" t="e">
        <v>#N/A</v>
      </c>
      <c r="EL63" s="300">
        <v>45620</v>
      </c>
      <c r="EM63" s="300" t="e">
        <v>#N/A</v>
      </c>
      <c r="EN63" s="301"/>
      <c r="EO63" s="302"/>
      <c r="EP63" s="302"/>
      <c r="EQ63" s="82">
        <v>1</v>
      </c>
      <c r="ER63" s="82">
        <v>1</v>
      </c>
      <c r="ES63" s="286" t="str">
        <f>IF(Table1[[#This Row],[Progres MOS]]&gt;=100%,"Selesai MOS = 100%",IF(Table1[[#This Row],[Progres MOS]]&gt;=50%,"Proses MOS &gt; 100%",IF(Table1[[#This Row],[Progres MOS]]&gt;0%,"Proses MOS &gt; 50%",IF(Table1[[#This Row],[Progres MOS]]=0,"Belum MOS = 0%"))))</f>
        <v>Selesai MOS = 100%</v>
      </c>
      <c r="ET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3" s="42"/>
      <c r="EV63" s="300">
        <v>45467</v>
      </c>
      <c r="EW63" s="300" t="e">
        <v>#N/A</v>
      </c>
      <c r="EX63" s="300">
        <v>45564</v>
      </c>
      <c r="EY63" s="300" t="e">
        <v>#N/A</v>
      </c>
      <c r="EZ63" s="322" t="s">
        <v>259</v>
      </c>
      <c r="FA63" s="306" t="s">
        <v>259</v>
      </c>
      <c r="FB63" s="300" t="s">
        <v>260</v>
      </c>
      <c r="FC63" s="300">
        <v>45342</v>
      </c>
      <c r="FD63" s="300" t="s">
        <v>260</v>
      </c>
      <c r="FE63" s="300"/>
      <c r="FF63" s="300">
        <v>45492</v>
      </c>
      <c r="FG63" s="300" t="s">
        <v>260</v>
      </c>
      <c r="FH63" s="300" t="s">
        <v>260</v>
      </c>
      <c r="FI63" s="300">
        <v>45512</v>
      </c>
      <c r="FJ63" s="300" t="s">
        <v>260</v>
      </c>
      <c r="FK63" s="300">
        <v>45679</v>
      </c>
      <c r="FL63" s="306" t="s">
        <v>259</v>
      </c>
      <c r="FM63" s="306">
        <v>45342</v>
      </c>
      <c r="FN63" s="284">
        <f>IF(Table1[[#This Row],[Tanggal Pengajuan Dokumen]]="","",Table1[[#This Row],[PLAN PERMIT
start]]-Table1[[#This Row],[Tanggal Pengajuan Dokumen]])</f>
        <v>125</v>
      </c>
      <c r="FO63" s="306">
        <v>45679</v>
      </c>
      <c r="FP63" s="286"/>
      <c r="FQ63" s="308"/>
      <c r="FR63" s="322"/>
      <c r="FS63" s="308" t="str">
        <f t="shared" si="5"/>
        <v>Sudah Terbit</v>
      </c>
      <c r="FT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3" s="314">
        <f ca="1">IF(Table1[[#This Row],[Status Izin]]="Selesai",Table1[[#This Row],[PLAN PERMIT
finish]]-Table1[[#This Row],[Tanggal Terbit/ Target Izin Terbit]],ROUNDUP(Table1[[#This Row],[PLAN PERMIT
finish]]-NOW(),0))</f>
        <v>-115</v>
      </c>
      <c r="FV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3" s="314"/>
      <c r="FX63" s="42"/>
      <c r="FY63" s="310"/>
      <c r="FZ63" s="311"/>
      <c r="GA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3" s="300">
        <v>45538</v>
      </c>
      <c r="GC63" s="301">
        <v>45488</v>
      </c>
      <c r="GD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3" s="300">
        <v>45545</v>
      </c>
      <c r="GF63" s="301">
        <v>45488</v>
      </c>
      <c r="GG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3" s="300">
        <v>45551</v>
      </c>
      <c r="GI63" s="300">
        <v>45557</v>
      </c>
      <c r="GJ63" s="323">
        <v>45506</v>
      </c>
      <c r="GK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3" s="300">
        <v>45565</v>
      </c>
      <c r="GM63" s="300" t="e">
        <v>#N/A</v>
      </c>
      <c r="GN63" s="300">
        <v>45690</v>
      </c>
      <c r="GO63" s="300" t="e">
        <v>#N/A</v>
      </c>
      <c r="GP63" s="286"/>
      <c r="GQ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3" s="300" t="s">
        <v>261</v>
      </c>
      <c r="GS63" s="300" t="s">
        <v>261</v>
      </c>
      <c r="GT63" s="324">
        <v>45608</v>
      </c>
      <c r="GU63" s="314" t="str">
        <f>IF(Table1[[#This Row],[Hydro Tes Actual
(tanggal)]]&lt;&gt;"","Sudah","Belum")</f>
        <v>Sudah</v>
      </c>
      <c r="GV63" s="300" t="s">
        <v>261</v>
      </c>
      <c r="GW63" s="300" t="s">
        <v>261</v>
      </c>
      <c r="GX63" s="301">
        <v>45637</v>
      </c>
      <c r="GY63" s="314" t="str">
        <f>IF(Table1[[#This Row],[Interkoneksi Actual
(tanggal)]]&lt;&gt;"","Sudah","Belum")</f>
        <v>Sudah</v>
      </c>
      <c r="GZ63" s="300" t="s">
        <v>261</v>
      </c>
      <c r="HA63" s="300" t="s">
        <v>261</v>
      </c>
      <c r="HB63" s="301">
        <v>45693</v>
      </c>
      <c r="HC63" s="314" t="str">
        <f>IF(Table1[[#This Row],[Flushing Actual
(tanggal)]]&lt;&gt;"","Sudah","Belum")</f>
        <v>Sudah</v>
      </c>
      <c r="HD63" s="300">
        <v>45677</v>
      </c>
      <c r="HE63" s="300" t="e">
        <v>#N/A</v>
      </c>
      <c r="HF63" s="300">
        <v>45683</v>
      </c>
      <c r="HG63" s="316">
        <v>45708</v>
      </c>
      <c r="HH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3" s="300" t="s">
        <v>261</v>
      </c>
      <c r="HJ63" s="300" t="s">
        <v>261</v>
      </c>
      <c r="HK63" s="301"/>
      <c r="HL63" s="286"/>
      <c r="HM63" s="300">
        <v>45702</v>
      </c>
      <c r="HN63" s="300">
        <v>45702</v>
      </c>
      <c r="HO63" s="300" t="e">
        <v>#N/A</v>
      </c>
      <c r="HP63" s="300"/>
      <c r="HQ63" s="316">
        <v>45742</v>
      </c>
      <c r="HR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3" s="300">
        <v>45709</v>
      </c>
      <c r="HT63" s="300"/>
      <c r="HU63" s="300">
        <v>45709</v>
      </c>
      <c r="HV63" s="497"/>
      <c r="HW63" s="300">
        <v>45751</v>
      </c>
      <c r="HX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3" s="42"/>
      <c r="HZ63" s="322"/>
      <c r="IA63" s="306"/>
      <c r="IC63" s="585">
        <f>IFERROR(ROUND((Table1[[#This Row],[PLAN TC
finish]]-Table1[[#This Row],[PLAN MC-0
start]])/30,2),"")</f>
        <v>4.4000000000000004</v>
      </c>
      <c r="ID63">
        <f>DATEDIF(Table1[[#This Row],[PLAN MC-0
start]],Table1[[#This Row],[PLAN TC
finish]],"m")</f>
        <v>4</v>
      </c>
    </row>
    <row r="64" spans="1:238" s="4" customFormat="1" ht="15" customHeight="1" x14ac:dyDescent="0.25">
      <c r="B64" s="281">
        <f>SUBTOTAL(3,$D$5:D64)</f>
        <v>60</v>
      </c>
      <c r="C64" s="318">
        <v>60</v>
      </c>
      <c r="D64" s="285" t="s">
        <v>244</v>
      </c>
      <c r="E64" s="285" t="s">
        <v>561</v>
      </c>
      <c r="F64" s="285" t="s">
        <v>562</v>
      </c>
      <c r="G64" s="319">
        <v>45752</v>
      </c>
      <c r="H64" s="284" t="s">
        <v>247</v>
      </c>
      <c r="I64" s="285" t="s">
        <v>278</v>
      </c>
      <c r="J64" s="285"/>
      <c r="K64" s="308" t="s">
        <v>249</v>
      </c>
      <c r="L64" s="286" t="s">
        <v>250</v>
      </c>
      <c r="M64" s="286" t="s">
        <v>269</v>
      </c>
      <c r="N64" s="94">
        <v>1937</v>
      </c>
      <c r="O64" s="31" t="s">
        <v>252</v>
      </c>
      <c r="P6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4" s="82" t="e">
        <v>#N/A</v>
      </c>
      <c r="S64" s="82">
        <v>1</v>
      </c>
      <c r="T64" s="35">
        <f>Table1[[#This Row],[Progres Total Aktual
(%)]]</f>
        <v>1</v>
      </c>
      <c r="U64" s="106">
        <f>Table1[[#This Row],[Progres Aktual
(%)]]-Table1[[#This Row],[Target Progres
(%)]]</f>
        <v>0</v>
      </c>
      <c r="V64" s="320">
        <f>Table1[[#This Row],["Volume
BA MC-0"]]</f>
        <v>1975</v>
      </c>
      <c r="W64" s="321">
        <f>Table1[[#This Row],[Total Panjang Pipa Aktual
(Sum-&gt;)3]]</f>
        <v>2010</v>
      </c>
      <c r="X64" s="42"/>
      <c r="Y64" s="62" t="s">
        <v>563</v>
      </c>
      <c r="Z64" s="62">
        <v>2741562804</v>
      </c>
      <c r="AA64" s="62">
        <f>ROUND((Table1[[#This Row],[Nilai RAB Jaringan
(Exclude Ppn)]]-Table1[[#This Row],[RAB Perizinan]])*1.11+Table1[[#This Row],[RAB Perizinan]],0)</f>
        <v>0</v>
      </c>
      <c r="AB64" s="290">
        <f>SUM(Table1[[#This Row],[RAB Kegiatan Umum]:[RAB Perizinan]])</f>
        <v>0</v>
      </c>
      <c r="AC64" s="290"/>
      <c r="AD64" s="290"/>
      <c r="AE64" s="290"/>
      <c r="AF64" s="290"/>
      <c r="AG64" s="290">
        <v>2260762075</v>
      </c>
      <c r="AH64" s="35" t="e">
        <f>SUM(Table1[[#This Row],[Bobot Keg Umum]:[Bobot Perizinan]])</f>
        <v>#DIV/0!</v>
      </c>
      <c r="AI64" s="35" t="e">
        <f>Table1[[#This Row],[RAB Kegiatan Umum]]/Table1[[#This Row],[Nilai RAB Jaringan
(Exclude Ppn)]]</f>
        <v>#DIV/0!</v>
      </c>
      <c r="AJ64" s="35" t="e">
        <f>Table1[[#This Row],[RAB Pemasangan]]/Table1[[#This Row],[Nilai RAB Jaringan
(Exclude Ppn)]]</f>
        <v>#DIV/0!</v>
      </c>
      <c r="AK64" s="35" t="e">
        <f>Table1[[#This Row],[RAB Pengadaan]]/Table1[[#This Row],[Nilai RAB Jaringan
(Exclude Ppn)]]</f>
        <v>#DIV/0!</v>
      </c>
      <c r="AL64" s="35" t="e">
        <f>Table1[[#This Row],[RAB Perizinan]]/Table1[[#This Row],[Nilai RAB Jaringan
(Exclude Ppn)]]</f>
        <v>#DIV/0!</v>
      </c>
      <c r="AM64" s="42"/>
      <c r="AN64" s="256">
        <v>1975</v>
      </c>
      <c r="AO64" s="256">
        <f>SUM(Table1[[#This Row],[Pipa 63 mm]:[Pipa 1,800 mm]])</f>
        <v>0</v>
      </c>
      <c r="AP64" s="256"/>
      <c r="AQ64" s="256"/>
      <c r="AR64" s="256"/>
      <c r="AS64" s="256"/>
      <c r="AT64" s="256"/>
      <c r="AU64" s="256"/>
      <c r="AV64" s="256"/>
      <c r="AW64" s="256"/>
      <c r="AX64" s="256"/>
      <c r="AY64" s="256"/>
      <c r="AZ64" s="256"/>
      <c r="BA64" s="256"/>
      <c r="BB64" s="256"/>
      <c r="BC64" s="256"/>
      <c r="BD64" s="256"/>
      <c r="BE64" s="256"/>
      <c r="BF64" s="256"/>
      <c r="BG64" s="256"/>
      <c r="BH64" s="256"/>
      <c r="BI64" s="256"/>
      <c r="BJ64" s="36">
        <f>SUM(Table1[[#This Row],[Pipa 63 mm2]:[Pipa 1,800 mm21]])</f>
        <v>2010</v>
      </c>
      <c r="BK64" s="32">
        <v>1073.5999999999999</v>
      </c>
      <c r="BL64" s="32">
        <v>29.7</v>
      </c>
      <c r="BM64" s="32">
        <v>906.7</v>
      </c>
      <c r="BN64" s="32"/>
      <c r="BO64" s="32"/>
      <c r="BP64" s="32"/>
      <c r="BQ64" s="32"/>
      <c r="BR64" s="32"/>
      <c r="BS64" s="32"/>
      <c r="BT64" s="32"/>
      <c r="BU64" s="32"/>
      <c r="BV64" s="32"/>
      <c r="BW64" s="32"/>
      <c r="BX64" s="32"/>
      <c r="BY64" s="32"/>
      <c r="BZ64" s="32"/>
      <c r="CA64" s="32"/>
      <c r="CB64" s="32"/>
      <c r="CC64" s="32"/>
      <c r="CD64" s="32"/>
      <c r="CE64" s="32">
        <v>0</v>
      </c>
      <c r="CF64" s="32"/>
      <c r="CG64" s="32"/>
      <c r="CH64" s="32"/>
      <c r="CI64" s="32">
        <f t="shared" si="3"/>
        <v>0</v>
      </c>
      <c r="CJ64" s="60">
        <f>IF((Table1[[#This Row],["Volume
BA MC-0"]]-Table1[[#This Row],[Total Panjang Pipa Aktual
(Sum-&gt;)3]]-Table1[[#This Row],[Total Volume
tidak dapat dipasang]])&gt;=0,Table1[[#This Row],["Volume
BA MC-0"]]-Table1[[#This Row],[Total Panjang Pipa Aktual
(Sum-&gt;)3]]-Table1[[#This Row],[Total Volume
tidak dapat dipasang]],0)</f>
        <v>0</v>
      </c>
      <c r="CK64" s="42"/>
      <c r="CL64" s="113"/>
      <c r="CM64" s="35"/>
      <c r="CN64" s="113"/>
      <c r="CO64" s="113"/>
      <c r="CP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4" s="61">
        <f>IFERROR(Table1[[#This Row],[Progres Keg. Umum
(%)]]*Table1[[#This Row],[Nilai RAB Jaringan
(file pa aji)]],0)</f>
        <v>0</v>
      </c>
      <c r="CR64" s="61">
        <f>IFERROR(Table1[[#This Row],[Progres MOS
(%)]]*Table1[[#This Row],[Nilai RAB Jaringan
(file pa aji)]],0)</f>
        <v>0</v>
      </c>
      <c r="CS64" s="61">
        <f>IFERROR(Table1[[#This Row],[Progres Pemasangan
(%)]]*Table1[[#This Row],[Nilai RAB Jaringan
(file pa aji)]],0)</f>
        <v>0</v>
      </c>
      <c r="CT64" s="61">
        <f>IFERROR(Table1[[#This Row],[Progres Perizinan
(%)]]*Table1[[#This Row],[Nilai RAB Jaringan
(file pa aji)]],0)</f>
        <v>0</v>
      </c>
      <c r="CU64" s="789">
        <v>2553726301</v>
      </c>
      <c r="CV64" s="299">
        <v>2553726301</v>
      </c>
      <c r="CW64" s="552">
        <v>2553726301</v>
      </c>
      <c r="CX64" s="789">
        <f>_xlfn.XLOOKUP(Table1[[#This Row],[Kode Program]],'[1]Breakdown VOWD Greenfield'!$E:$E,'[1]Breakdown VOWD Greenfield'!$AT:$AT)</f>
        <v>2553726301</v>
      </c>
      <c r="CY64" s="42"/>
      <c r="CZ64" s="300">
        <v>45439</v>
      </c>
      <c r="DA64" s="300">
        <v>45466</v>
      </c>
      <c r="DB64" s="301"/>
      <c r="DC64" s="286"/>
      <c r="DD64" s="62"/>
      <c r="DE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4" s="301"/>
      <c r="DG64" s="286"/>
      <c r="DH64" s="62"/>
      <c r="DI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4" s="300">
        <v>45467</v>
      </c>
      <c r="DK64" s="300">
        <v>45536</v>
      </c>
      <c r="DL64" s="301">
        <v>45480</v>
      </c>
      <c r="DM64" s="327" t="s">
        <v>564</v>
      </c>
      <c r="DN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4" s="301">
        <v>45485</v>
      </c>
      <c r="DP64" s="286" t="s">
        <v>565</v>
      </c>
      <c r="DQ64" s="308" t="s">
        <v>560</v>
      </c>
      <c r="DR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4" s="300">
        <v>45467</v>
      </c>
      <c r="DT64" s="300" t="e">
        <v>#N/A</v>
      </c>
      <c r="DU64" s="300">
        <v>45508</v>
      </c>
      <c r="DV64" s="300" t="e">
        <v>#N/A</v>
      </c>
      <c r="DW64" s="301"/>
      <c r="DX64" s="286"/>
      <c r="DY64" s="304"/>
      <c r="DZ64" s="304"/>
      <c r="EA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4" s="301"/>
      <c r="EC64" s="302"/>
      <c r="ED64" s="302"/>
      <c r="EE64" s="300"/>
      <c r="EF64" s="35">
        <v>1</v>
      </c>
      <c r="EG64" s="307">
        <v>1</v>
      </c>
      <c r="EH64" s="286" t="str">
        <f>IF(Table1[[#This Row],[PO Material Aktual 
(%)]]&gt;=100%,"Selesai PO = 100%",IF(Table1[[#This Row],[PO Material Aktual 
(%)]]&gt;=50%,"Proses PO &gt; 100%",IF(Table1[[#This Row],[PO Material Aktual 
(%)]]&gt;0%,"Proses PO &gt; 50%",IF(Table1[[#This Row],[PO Material Aktual 
(%)]]=0,"Belum PO = 0%"))))</f>
        <v>Selesai PO = 100%</v>
      </c>
      <c r="EI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4" s="300">
        <v>45509</v>
      </c>
      <c r="EK64" s="300" t="e">
        <v>#N/A</v>
      </c>
      <c r="EL64" s="300">
        <v>45620</v>
      </c>
      <c r="EM64" s="300" t="e">
        <v>#N/A</v>
      </c>
      <c r="EN64" s="301"/>
      <c r="EO64" s="302"/>
      <c r="EP64" s="302"/>
      <c r="EQ64" s="82">
        <v>1</v>
      </c>
      <c r="ER64" s="82">
        <v>1</v>
      </c>
      <c r="ES64" s="286" t="str">
        <f>IF(Table1[[#This Row],[Progres MOS]]&gt;=100%,"Selesai MOS = 100%",IF(Table1[[#This Row],[Progres MOS]]&gt;=50%,"Proses MOS &gt; 100%",IF(Table1[[#This Row],[Progres MOS]]&gt;0%,"Proses MOS &gt; 50%",IF(Table1[[#This Row],[Progres MOS]]=0,"Belum MOS = 0%"))))</f>
        <v>Selesai MOS = 100%</v>
      </c>
      <c r="ET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4" s="42"/>
      <c r="EV64" s="300">
        <v>45467</v>
      </c>
      <c r="EW64" s="300" t="e">
        <v>#N/A</v>
      </c>
      <c r="EX64" s="300">
        <v>45564</v>
      </c>
      <c r="EY64" s="300" t="e">
        <v>#N/A</v>
      </c>
      <c r="EZ64" s="322" t="s">
        <v>298</v>
      </c>
      <c r="FA64" s="306" t="s">
        <v>259</v>
      </c>
      <c r="FB64" s="300" t="s">
        <v>260</v>
      </c>
      <c r="FC64" s="300">
        <v>45735</v>
      </c>
      <c r="FD64" s="300" t="s">
        <v>260</v>
      </c>
      <c r="FE64" s="300">
        <v>45874</v>
      </c>
      <c r="FF64" s="300">
        <v>45894</v>
      </c>
      <c r="FG64" s="300" t="s">
        <v>260</v>
      </c>
      <c r="FH64" s="300" t="s">
        <v>260</v>
      </c>
      <c r="FI64" s="300">
        <v>46020</v>
      </c>
      <c r="FJ64" s="300" t="s">
        <v>260</v>
      </c>
      <c r="FK64" s="300">
        <v>46087</v>
      </c>
      <c r="FL64" s="306" t="s">
        <v>298</v>
      </c>
      <c r="FM64" s="306">
        <v>45735</v>
      </c>
      <c r="FN64" s="284">
        <f>IF(Table1[[#This Row],[Tanggal Pengajuan Dokumen]]="","",Table1[[#This Row],[PLAN PERMIT
start]]-Table1[[#This Row],[Tanggal Pengajuan Dokumen]])</f>
        <v>-268</v>
      </c>
      <c r="FO64" s="306"/>
      <c r="FP64" s="286"/>
      <c r="FQ64" s="308"/>
      <c r="FR64" s="322"/>
      <c r="FS64" s="308" t="str">
        <f t="shared" si="5"/>
        <v>Sudah Terbit</v>
      </c>
      <c r="FT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4" s="314">
        <f ca="1">IF(Table1[[#This Row],[Status Izin]]="Selesai",Table1[[#This Row],[PLAN PERMIT
finish]]-Table1[[#This Row],[Tanggal Terbit/ Target Izin Terbit]],ROUNDUP(Table1[[#This Row],[PLAN PERMIT
finish]]-NOW(),0))</f>
        <v>45564</v>
      </c>
      <c r="FV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4" s="314"/>
      <c r="FX64" s="42"/>
      <c r="FY64" s="310"/>
      <c r="FZ64" s="311"/>
      <c r="GA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4" s="300">
        <v>45538</v>
      </c>
      <c r="GC64" s="301">
        <v>45488</v>
      </c>
      <c r="GD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4" s="300">
        <v>45545</v>
      </c>
      <c r="GF64" s="301">
        <v>45488</v>
      </c>
      <c r="GG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4" s="300">
        <v>45551</v>
      </c>
      <c r="GI64" s="300">
        <v>45557</v>
      </c>
      <c r="GJ64" s="323">
        <v>45507</v>
      </c>
      <c r="GK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4" s="300">
        <v>45565</v>
      </c>
      <c r="GM64" s="300" t="e">
        <v>#N/A</v>
      </c>
      <c r="GN64" s="300">
        <v>45690</v>
      </c>
      <c r="GO64" s="300" t="e">
        <v>#N/A</v>
      </c>
      <c r="GP64" s="286"/>
      <c r="GQ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4" s="300" t="s">
        <v>261</v>
      </c>
      <c r="GS64" s="300" t="s">
        <v>261</v>
      </c>
      <c r="GT64" s="324">
        <v>45943</v>
      </c>
      <c r="GU64" s="314" t="str">
        <f>IF(Table1[[#This Row],[Hydro Tes Actual
(tanggal)]]&lt;&gt;"","Sudah","Belum")</f>
        <v>Sudah</v>
      </c>
      <c r="GV64" s="300" t="s">
        <v>261</v>
      </c>
      <c r="GW64" s="300" t="s">
        <v>261</v>
      </c>
      <c r="GX64" s="301">
        <v>45669</v>
      </c>
      <c r="GY64" s="314" t="str">
        <f>IF(Table1[[#This Row],[Interkoneksi Actual
(tanggal)]]&lt;&gt;"","Sudah","Belum")</f>
        <v>Sudah</v>
      </c>
      <c r="GZ64" s="300" t="s">
        <v>261</v>
      </c>
      <c r="HA64" s="300" t="s">
        <v>261</v>
      </c>
      <c r="HB64" s="301">
        <v>45713</v>
      </c>
      <c r="HC64" s="314" t="str">
        <f>IF(Table1[[#This Row],[Flushing Actual
(tanggal)]]&lt;&gt;"","Sudah","Belum")</f>
        <v>Sudah</v>
      </c>
      <c r="HD64" s="300">
        <v>45677</v>
      </c>
      <c r="HE64" s="300" t="e">
        <v>#N/A</v>
      </c>
      <c r="HF64" s="300">
        <v>45683</v>
      </c>
      <c r="HG64" s="316">
        <v>45728</v>
      </c>
      <c r="HH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4" s="300" t="s">
        <v>261</v>
      </c>
      <c r="HJ64" s="300" t="s">
        <v>261</v>
      </c>
      <c r="HK64" s="301"/>
      <c r="HL64" s="286"/>
      <c r="HM64" s="300">
        <v>45702</v>
      </c>
      <c r="HN64" s="300">
        <v>45702</v>
      </c>
      <c r="HO64" s="300" t="e">
        <v>#N/A</v>
      </c>
      <c r="HP64" s="300"/>
      <c r="HQ64" s="316">
        <v>45743</v>
      </c>
      <c r="HR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4" s="300">
        <v>45709</v>
      </c>
      <c r="HT64" s="300"/>
      <c r="HU64" s="300">
        <v>45709</v>
      </c>
      <c r="HV64" s="497"/>
      <c r="HW64" s="300">
        <v>45751</v>
      </c>
      <c r="HX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4" s="42"/>
      <c r="HZ64" s="322"/>
      <c r="IA64" s="306"/>
      <c r="IC64" s="585">
        <f>IFERROR(ROUND((Table1[[#This Row],[PLAN TC
finish]]-Table1[[#This Row],[PLAN MC-0
start]])/30,2),"")</f>
        <v>4.4000000000000004</v>
      </c>
      <c r="ID64">
        <f>DATEDIF(Table1[[#This Row],[PLAN MC-0
start]],Table1[[#This Row],[PLAN TC
finish]],"m")</f>
        <v>4</v>
      </c>
    </row>
    <row r="65" spans="1:238" s="4" customFormat="1" ht="15" customHeight="1" x14ac:dyDescent="0.25">
      <c r="B65" s="281">
        <f>SUBTOTAL(3,$D$5:D65)</f>
        <v>61</v>
      </c>
      <c r="C65" s="318">
        <v>61</v>
      </c>
      <c r="D65" s="285" t="s">
        <v>244</v>
      </c>
      <c r="E65" s="285" t="s">
        <v>566</v>
      </c>
      <c r="F65" s="285" t="s">
        <v>567</v>
      </c>
      <c r="G65" s="319">
        <v>45752</v>
      </c>
      <c r="H65" s="284" t="s">
        <v>247</v>
      </c>
      <c r="I65" s="285" t="s">
        <v>278</v>
      </c>
      <c r="J65" s="285"/>
      <c r="K65" s="308" t="s">
        <v>249</v>
      </c>
      <c r="L65" s="286" t="s">
        <v>250</v>
      </c>
      <c r="M65" s="286" t="s">
        <v>269</v>
      </c>
      <c r="N65" s="94">
        <v>1562</v>
      </c>
      <c r="O65" s="31" t="s">
        <v>252</v>
      </c>
      <c r="P6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5" s="82" t="e">
        <v>#N/A</v>
      </c>
      <c r="S65" s="82">
        <v>1</v>
      </c>
      <c r="T65" s="35">
        <f>Table1[[#This Row],[Progres Total Aktual
(%)]]</f>
        <v>1</v>
      </c>
      <c r="U65" s="106">
        <f>Table1[[#This Row],[Progres Aktual
(%)]]-Table1[[#This Row],[Target Progres
(%)]]</f>
        <v>0</v>
      </c>
      <c r="V65" s="320">
        <f>Table1[[#This Row],["Volume
BA MC-0"]]</f>
        <v>1511</v>
      </c>
      <c r="W65" s="321">
        <f>Table1[[#This Row],[Total Panjang Pipa Aktual
(Sum-&gt;)3]]</f>
        <v>603.4</v>
      </c>
      <c r="X65" s="42"/>
      <c r="Y65" s="62" t="s">
        <v>568</v>
      </c>
      <c r="Z65" s="62">
        <v>2436073612</v>
      </c>
      <c r="AA65" s="62">
        <f>ROUND((Table1[[#This Row],[Nilai RAB Jaringan
(Exclude Ppn)]]-Table1[[#This Row],[RAB Perizinan]])*1.11+Table1[[#This Row],[RAB Perizinan]],0)</f>
        <v>0</v>
      </c>
      <c r="AB65" s="290">
        <f>SUM(Table1[[#This Row],[RAB Kegiatan Umum]:[RAB Perizinan]])</f>
        <v>0</v>
      </c>
      <c r="AC65" s="290"/>
      <c r="AD65" s="290"/>
      <c r="AE65" s="290"/>
      <c r="AF65" s="290"/>
      <c r="AG65" s="290">
        <v>2197222978</v>
      </c>
      <c r="AH65" s="35" t="e">
        <f>SUM(Table1[[#This Row],[Bobot Keg Umum]:[Bobot Perizinan]])</f>
        <v>#DIV/0!</v>
      </c>
      <c r="AI65" s="35" t="e">
        <f>Table1[[#This Row],[RAB Kegiatan Umum]]/Table1[[#This Row],[Nilai RAB Jaringan
(Exclude Ppn)]]</f>
        <v>#DIV/0!</v>
      </c>
      <c r="AJ65" s="35" t="e">
        <f>Table1[[#This Row],[RAB Pemasangan]]/Table1[[#This Row],[Nilai RAB Jaringan
(Exclude Ppn)]]</f>
        <v>#DIV/0!</v>
      </c>
      <c r="AK65" s="35" t="e">
        <f>Table1[[#This Row],[RAB Pengadaan]]/Table1[[#This Row],[Nilai RAB Jaringan
(Exclude Ppn)]]</f>
        <v>#DIV/0!</v>
      </c>
      <c r="AL65" s="35" t="e">
        <f>Table1[[#This Row],[RAB Perizinan]]/Table1[[#This Row],[Nilai RAB Jaringan
(Exclude Ppn)]]</f>
        <v>#DIV/0!</v>
      </c>
      <c r="AM65" s="42"/>
      <c r="AN65" s="256">
        <v>1511</v>
      </c>
      <c r="AO65" s="256">
        <f>SUM(Table1[[#This Row],[Pipa 63 mm]:[Pipa 1,800 mm]])</f>
        <v>0</v>
      </c>
      <c r="AP65" s="256"/>
      <c r="AQ65" s="256"/>
      <c r="AR65" s="256"/>
      <c r="AS65" s="256"/>
      <c r="AT65" s="256"/>
      <c r="AU65" s="256"/>
      <c r="AV65" s="256"/>
      <c r="AW65" s="256"/>
      <c r="AX65" s="256"/>
      <c r="AY65" s="256"/>
      <c r="AZ65" s="256"/>
      <c r="BA65" s="256"/>
      <c r="BB65" s="256"/>
      <c r="BC65" s="256"/>
      <c r="BD65" s="256"/>
      <c r="BE65" s="256"/>
      <c r="BF65" s="256"/>
      <c r="BG65" s="256"/>
      <c r="BH65" s="256"/>
      <c r="BI65" s="256"/>
      <c r="BJ65" s="36">
        <f>SUM(Table1[[#This Row],[Pipa 63 mm2]:[Pipa 1,800 mm21]])</f>
        <v>603.4</v>
      </c>
      <c r="BK65" s="326">
        <v>424.4</v>
      </c>
      <c r="BL65" s="326">
        <v>179</v>
      </c>
      <c r="BM65" s="326"/>
      <c r="BN65" s="326"/>
      <c r="BO65" s="326"/>
      <c r="BP65" s="326"/>
      <c r="BQ65" s="326"/>
      <c r="BR65" s="326"/>
      <c r="BS65" s="326"/>
      <c r="BT65" s="326"/>
      <c r="BU65" s="326"/>
      <c r="BV65" s="326"/>
      <c r="BW65" s="326"/>
      <c r="BX65" s="326"/>
      <c r="BY65" s="326"/>
      <c r="BZ65" s="326"/>
      <c r="CA65" s="326"/>
      <c r="CB65" s="326"/>
      <c r="CC65" s="326"/>
      <c r="CD65" s="326"/>
      <c r="CE65" s="32">
        <v>795</v>
      </c>
      <c r="CF65" s="32"/>
      <c r="CG65" s="32"/>
      <c r="CH65" s="32"/>
      <c r="CI65" s="32">
        <f t="shared" si="3"/>
        <v>795</v>
      </c>
      <c r="CJ65" s="60">
        <f>IF((Table1[[#This Row],["Volume
BA MC-0"]]-Table1[[#This Row],[Total Panjang Pipa Aktual
(Sum-&gt;)3]]-Table1[[#This Row],[Total Volume
tidak dapat dipasang]])&gt;=0,Table1[[#This Row],["Volume
BA MC-0"]]-Table1[[#This Row],[Total Panjang Pipa Aktual
(Sum-&gt;)3]]-Table1[[#This Row],[Total Volume
tidak dapat dipasang]],0)</f>
        <v>112.60000000000002</v>
      </c>
      <c r="CK65" s="42"/>
      <c r="CL65" s="113"/>
      <c r="CM65" s="35"/>
      <c r="CN65" s="113"/>
      <c r="CO65" s="113"/>
      <c r="CP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5" s="61">
        <f>IFERROR(Table1[[#This Row],[Progres Keg. Umum
(%)]]*Table1[[#This Row],[Nilai RAB Jaringan
(file pa aji)]],0)</f>
        <v>0</v>
      </c>
      <c r="CR65" s="61">
        <f>IFERROR(Table1[[#This Row],[Progres MOS
(%)]]*Table1[[#This Row],[Nilai RAB Jaringan
(file pa aji)]],0)</f>
        <v>0</v>
      </c>
      <c r="CS65" s="61">
        <f>IFERROR(Table1[[#This Row],[Progres Pemasangan
(%)]]*Table1[[#This Row],[Nilai RAB Jaringan
(file pa aji)]],0)</f>
        <v>0</v>
      </c>
      <c r="CT65" s="61">
        <f>IFERROR(Table1[[#This Row],[Progres Perizinan
(%)]]*Table1[[#This Row],[Nilai RAB Jaringan
(file pa aji)]],0)</f>
        <v>0</v>
      </c>
      <c r="CU65" s="789">
        <v>1023812332</v>
      </c>
      <c r="CV65" s="299">
        <v>1023812332</v>
      </c>
      <c r="CW65" s="552">
        <v>1023812332</v>
      </c>
      <c r="CX65" s="789">
        <f>_xlfn.XLOOKUP(Table1[[#This Row],[Kode Program]],'[1]Breakdown VOWD Greenfield'!$E:$E,'[1]Breakdown VOWD Greenfield'!$AT:$AT)</f>
        <v>1023812332</v>
      </c>
      <c r="CY65" s="42"/>
      <c r="CZ65" s="300">
        <v>45439</v>
      </c>
      <c r="DA65" s="300">
        <v>45466</v>
      </c>
      <c r="DB65" s="301"/>
      <c r="DC65" s="286"/>
      <c r="DD65" s="62"/>
      <c r="DE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5" s="301"/>
      <c r="DG65" s="286"/>
      <c r="DH65" s="62"/>
      <c r="DI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5" s="300">
        <v>45467</v>
      </c>
      <c r="DK65" s="300">
        <v>45536</v>
      </c>
      <c r="DL65" s="301">
        <v>45480</v>
      </c>
      <c r="DM65" s="327" t="s">
        <v>569</v>
      </c>
      <c r="DN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5" s="301">
        <v>45485</v>
      </c>
      <c r="DP65" s="286" t="s">
        <v>565</v>
      </c>
      <c r="DQ65" s="308" t="s">
        <v>560</v>
      </c>
      <c r="DR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5" s="300">
        <v>45467</v>
      </c>
      <c r="DT65" s="300" t="e">
        <v>#N/A</v>
      </c>
      <c r="DU65" s="300">
        <v>45508</v>
      </c>
      <c r="DV65" s="300" t="e">
        <v>#N/A</v>
      </c>
      <c r="DW65" s="301"/>
      <c r="DX65" s="286"/>
      <c r="DY65" s="304"/>
      <c r="DZ65" s="304"/>
      <c r="EA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5" s="301"/>
      <c r="EC65" s="302"/>
      <c r="ED65" s="302"/>
      <c r="EE65" s="300"/>
      <c r="EF65" s="35">
        <v>1</v>
      </c>
      <c r="EG65" s="307">
        <v>1</v>
      </c>
      <c r="EH65" s="286" t="str">
        <f>IF(Table1[[#This Row],[PO Material Aktual 
(%)]]&gt;=100%,"Selesai PO = 100%",IF(Table1[[#This Row],[PO Material Aktual 
(%)]]&gt;=50%,"Proses PO &gt; 100%",IF(Table1[[#This Row],[PO Material Aktual 
(%)]]&gt;0%,"Proses PO &gt; 50%",IF(Table1[[#This Row],[PO Material Aktual 
(%)]]=0,"Belum PO = 0%"))))</f>
        <v>Selesai PO = 100%</v>
      </c>
      <c r="EI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5" s="300">
        <v>45509</v>
      </c>
      <c r="EK65" s="300" t="e">
        <v>#N/A</v>
      </c>
      <c r="EL65" s="300">
        <v>45620</v>
      </c>
      <c r="EM65" s="300" t="e">
        <v>#N/A</v>
      </c>
      <c r="EN65" s="301"/>
      <c r="EO65" s="302"/>
      <c r="EP65" s="302"/>
      <c r="EQ65" s="82">
        <v>1</v>
      </c>
      <c r="ER65" s="82">
        <v>1</v>
      </c>
      <c r="ES65" s="286" t="str">
        <f>IF(Table1[[#This Row],[Progres MOS]]&gt;=100%,"Selesai MOS = 100%",IF(Table1[[#This Row],[Progres MOS]]&gt;=50%,"Proses MOS &gt; 100%",IF(Table1[[#This Row],[Progres MOS]]&gt;0%,"Proses MOS &gt; 50%",IF(Table1[[#This Row],[Progres MOS]]=0,"Belum MOS = 0%"))))</f>
        <v>Selesai MOS = 100%</v>
      </c>
      <c r="ET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5" s="42"/>
      <c r="EV65" s="300">
        <v>45467</v>
      </c>
      <c r="EW65" s="300" t="e">
        <v>#N/A</v>
      </c>
      <c r="EX65" s="300">
        <v>45564</v>
      </c>
      <c r="EY65" s="300" t="e">
        <v>#N/A</v>
      </c>
      <c r="EZ65" s="322" t="s">
        <v>298</v>
      </c>
      <c r="FA65" s="306" t="s">
        <v>259</v>
      </c>
      <c r="FB65" s="300" t="s">
        <v>260</v>
      </c>
      <c r="FC65" s="300">
        <v>45735</v>
      </c>
      <c r="FD65" s="300" t="s">
        <v>260</v>
      </c>
      <c r="FE65" s="300">
        <v>45874</v>
      </c>
      <c r="FF65" s="300">
        <v>45894</v>
      </c>
      <c r="FG65" s="300" t="s">
        <v>260</v>
      </c>
      <c r="FH65" s="300" t="s">
        <v>260</v>
      </c>
      <c r="FI65" s="300">
        <v>46020</v>
      </c>
      <c r="FJ65" s="300" t="s">
        <v>260</v>
      </c>
      <c r="FK65" s="300">
        <v>46087</v>
      </c>
      <c r="FL65" s="306" t="s">
        <v>298</v>
      </c>
      <c r="FM65" s="306">
        <v>45735</v>
      </c>
      <c r="FN65" s="284">
        <f>IF(Table1[[#This Row],[Tanggal Pengajuan Dokumen]]="","",Table1[[#This Row],[PLAN PERMIT
start]]-Table1[[#This Row],[Tanggal Pengajuan Dokumen]])</f>
        <v>-268</v>
      </c>
      <c r="FO65" s="306"/>
      <c r="FP65" s="286"/>
      <c r="FQ65" s="308"/>
      <c r="FR65" s="322"/>
      <c r="FS65" s="308" t="str">
        <f t="shared" si="5"/>
        <v>Sudah Terbit</v>
      </c>
      <c r="FT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5" s="314">
        <f ca="1">IF(Table1[[#This Row],[Status Izin]]="Selesai",Table1[[#This Row],[PLAN PERMIT
finish]]-Table1[[#This Row],[Tanggal Terbit/ Target Izin Terbit]],ROUNDUP(Table1[[#This Row],[PLAN PERMIT
finish]]-NOW(),0))</f>
        <v>45564</v>
      </c>
      <c r="FV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5" s="314"/>
      <c r="FX65" s="42"/>
      <c r="FY65" s="310"/>
      <c r="FZ65" s="311"/>
      <c r="GA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5" s="300">
        <v>45538</v>
      </c>
      <c r="GC65" s="301">
        <v>45488</v>
      </c>
      <c r="GD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65" s="300">
        <v>45545</v>
      </c>
      <c r="GF65" s="301">
        <v>45488</v>
      </c>
      <c r="GG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65" s="300">
        <v>45551</v>
      </c>
      <c r="GI65" s="300">
        <v>45557</v>
      </c>
      <c r="GJ65" s="323">
        <v>45508</v>
      </c>
      <c r="GK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5" s="300">
        <v>45565</v>
      </c>
      <c r="GM65" s="300" t="e">
        <v>#N/A</v>
      </c>
      <c r="GN65" s="300">
        <v>45690</v>
      </c>
      <c r="GO65" s="300" t="e">
        <v>#N/A</v>
      </c>
      <c r="GP65" s="286"/>
      <c r="GQ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5" s="300" t="s">
        <v>261</v>
      </c>
      <c r="GS65" s="300" t="s">
        <v>261</v>
      </c>
      <c r="GT65" s="324">
        <v>45675</v>
      </c>
      <c r="GU65" s="314" t="str">
        <f>IF(Table1[[#This Row],[Hydro Tes Actual
(tanggal)]]&lt;&gt;"","Sudah","Belum")</f>
        <v>Sudah</v>
      </c>
      <c r="GV65" s="300" t="s">
        <v>261</v>
      </c>
      <c r="GW65" s="300" t="s">
        <v>261</v>
      </c>
      <c r="GX65" s="301">
        <v>45699</v>
      </c>
      <c r="GY65" s="314" t="str">
        <f>IF(Table1[[#This Row],[Interkoneksi Actual
(tanggal)]]&lt;&gt;"","Sudah","Belum")</f>
        <v>Sudah</v>
      </c>
      <c r="GZ65" s="300" t="s">
        <v>261</v>
      </c>
      <c r="HA65" s="300" t="s">
        <v>261</v>
      </c>
      <c r="HB65" s="301">
        <v>45713</v>
      </c>
      <c r="HC65" s="314" t="str">
        <f>IF(Table1[[#This Row],[Flushing Actual
(tanggal)]]&lt;&gt;"","Sudah","Belum")</f>
        <v>Sudah</v>
      </c>
      <c r="HD65" s="300">
        <v>45677</v>
      </c>
      <c r="HE65" s="300" t="e">
        <v>#N/A</v>
      </c>
      <c r="HF65" s="300">
        <v>45683</v>
      </c>
      <c r="HG65" s="316">
        <v>45728</v>
      </c>
      <c r="HH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5" s="300" t="s">
        <v>261</v>
      </c>
      <c r="HJ65" s="300" t="s">
        <v>261</v>
      </c>
      <c r="HK65" s="301"/>
      <c r="HL65" s="286"/>
      <c r="HM65" s="300">
        <v>45702</v>
      </c>
      <c r="HN65" s="300">
        <v>45702</v>
      </c>
      <c r="HO65" s="300" t="e">
        <v>#N/A</v>
      </c>
      <c r="HP65" s="300"/>
      <c r="HQ65" s="316">
        <v>45743</v>
      </c>
      <c r="HR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5" s="300">
        <v>45709</v>
      </c>
      <c r="HT65" s="300"/>
      <c r="HU65" s="300">
        <v>45709</v>
      </c>
      <c r="HV65" s="497"/>
      <c r="HW65" s="300">
        <v>45751</v>
      </c>
      <c r="HX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5" s="42"/>
      <c r="HZ65" s="322"/>
      <c r="IA65" s="306"/>
      <c r="IC65" s="585">
        <f>IFERROR(ROUND((Table1[[#This Row],[PLAN TC
finish]]-Table1[[#This Row],[PLAN MC-0
start]])/30,2),"")</f>
        <v>4.4000000000000004</v>
      </c>
      <c r="ID65">
        <f>DATEDIF(Table1[[#This Row],[PLAN MC-0
start]],Table1[[#This Row],[PLAN TC
finish]],"m")</f>
        <v>4</v>
      </c>
    </row>
    <row r="66" spans="1:238" s="4" customFormat="1" ht="15" customHeight="1" x14ac:dyDescent="0.25">
      <c r="B66" s="281">
        <f>SUBTOTAL(3,$D$5:D66)</f>
        <v>62</v>
      </c>
      <c r="C66" s="318">
        <v>62</v>
      </c>
      <c r="D66" s="285" t="s">
        <v>244</v>
      </c>
      <c r="E66" s="285" t="s">
        <v>570</v>
      </c>
      <c r="F66" s="285" t="s">
        <v>571</v>
      </c>
      <c r="G66" s="319">
        <v>45752</v>
      </c>
      <c r="H66" s="284" t="s">
        <v>247</v>
      </c>
      <c r="I66" s="285" t="s">
        <v>278</v>
      </c>
      <c r="J66" s="285"/>
      <c r="K66" s="308" t="s">
        <v>249</v>
      </c>
      <c r="L66" s="286" t="s">
        <v>250</v>
      </c>
      <c r="M66" s="286" t="s">
        <v>269</v>
      </c>
      <c r="N66" s="94">
        <v>37</v>
      </c>
      <c r="O66" s="31" t="s">
        <v>252</v>
      </c>
      <c r="P6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6" s="82" t="e">
        <v>#N/A</v>
      </c>
      <c r="S66" s="82">
        <v>1</v>
      </c>
      <c r="T66" s="35">
        <f>Table1[[#This Row],[Progres Total Aktual
(%)]]</f>
        <v>1</v>
      </c>
      <c r="U66" s="106">
        <f>Table1[[#This Row],[Progres Aktual
(%)]]-Table1[[#This Row],[Target Progres
(%)]]</f>
        <v>0</v>
      </c>
      <c r="V66" s="320">
        <f>Table1[[#This Row],["Volume
BA MC-0"]]</f>
        <v>73</v>
      </c>
      <c r="W66" s="321">
        <f>Table1[[#This Row],[Total Panjang Pipa Aktual
(Sum-&gt;)3]]</f>
        <v>48</v>
      </c>
      <c r="X66" s="42"/>
      <c r="Y66" s="62" t="s">
        <v>572</v>
      </c>
      <c r="Z66" s="62">
        <v>93537062</v>
      </c>
      <c r="AA66" s="62">
        <f>ROUND((Table1[[#This Row],[Nilai RAB Jaringan
(Exclude Ppn)]]-Table1[[#This Row],[RAB Perizinan]])*1.11+Table1[[#This Row],[RAB Perizinan]],0)</f>
        <v>0</v>
      </c>
      <c r="AB66" s="290">
        <f>SUM(Table1[[#This Row],[RAB Kegiatan Umum]:[RAB Perizinan]])</f>
        <v>0</v>
      </c>
      <c r="AC66" s="290"/>
      <c r="AD66" s="290"/>
      <c r="AE66" s="290"/>
      <c r="AF66" s="290"/>
      <c r="AG66" s="290">
        <v>20496483</v>
      </c>
      <c r="AH66" s="35" t="e">
        <f>SUM(Table1[[#This Row],[Bobot Keg Umum]:[Bobot Perizinan]])</f>
        <v>#DIV/0!</v>
      </c>
      <c r="AI66" s="35" t="e">
        <f>Table1[[#This Row],[RAB Kegiatan Umum]]/Table1[[#This Row],[Nilai RAB Jaringan
(Exclude Ppn)]]</f>
        <v>#DIV/0!</v>
      </c>
      <c r="AJ66" s="35" t="e">
        <f>Table1[[#This Row],[RAB Pemasangan]]/Table1[[#This Row],[Nilai RAB Jaringan
(Exclude Ppn)]]</f>
        <v>#DIV/0!</v>
      </c>
      <c r="AK66" s="35" t="e">
        <f>Table1[[#This Row],[RAB Pengadaan]]/Table1[[#This Row],[Nilai RAB Jaringan
(Exclude Ppn)]]</f>
        <v>#DIV/0!</v>
      </c>
      <c r="AL66" s="35" t="e">
        <f>Table1[[#This Row],[RAB Perizinan]]/Table1[[#This Row],[Nilai RAB Jaringan
(Exclude Ppn)]]</f>
        <v>#DIV/0!</v>
      </c>
      <c r="AM66" s="42"/>
      <c r="AN66" s="256">
        <v>73</v>
      </c>
      <c r="AO66" s="256">
        <f>SUM(Table1[[#This Row],[Pipa 63 mm]:[Pipa 1,800 mm]])</f>
        <v>0</v>
      </c>
      <c r="AP66" s="256"/>
      <c r="AQ66" s="256"/>
      <c r="AR66" s="256"/>
      <c r="AS66" s="256"/>
      <c r="AT66" s="256"/>
      <c r="AU66" s="256"/>
      <c r="AV66" s="256"/>
      <c r="AW66" s="256"/>
      <c r="AX66" s="256"/>
      <c r="AY66" s="256"/>
      <c r="AZ66" s="256"/>
      <c r="BA66" s="256"/>
      <c r="BB66" s="256"/>
      <c r="BC66" s="256"/>
      <c r="BD66" s="256"/>
      <c r="BE66" s="256"/>
      <c r="BF66" s="256"/>
      <c r="BG66" s="256"/>
      <c r="BH66" s="256"/>
      <c r="BI66" s="256"/>
      <c r="BJ66" s="36">
        <f>SUM(Table1[[#This Row],[Pipa 63 mm2]:[Pipa 1,800 mm21]])</f>
        <v>48</v>
      </c>
      <c r="BK66" s="32">
        <v>48</v>
      </c>
      <c r="BL66" s="32"/>
      <c r="BM66" s="32"/>
      <c r="BN66" s="32"/>
      <c r="BO66" s="32"/>
      <c r="BP66" s="32"/>
      <c r="BQ66" s="32"/>
      <c r="BR66" s="32"/>
      <c r="BS66" s="32"/>
      <c r="BT66" s="32"/>
      <c r="BU66" s="32"/>
      <c r="BV66" s="32"/>
      <c r="BW66" s="32"/>
      <c r="BX66" s="32"/>
      <c r="BY66" s="32"/>
      <c r="BZ66" s="32"/>
      <c r="CA66" s="32"/>
      <c r="CB66" s="32"/>
      <c r="CC66" s="32"/>
      <c r="CD66" s="32"/>
      <c r="CE66" s="32">
        <v>0</v>
      </c>
      <c r="CF66" s="32"/>
      <c r="CG66" s="32"/>
      <c r="CH66" s="32"/>
      <c r="CI66" s="32">
        <f t="shared" si="3"/>
        <v>0</v>
      </c>
      <c r="CJ66" s="60">
        <f>IF((Table1[[#This Row],["Volume
BA MC-0"]]-Table1[[#This Row],[Total Panjang Pipa Aktual
(Sum-&gt;)3]]-Table1[[#This Row],[Total Volume
tidak dapat dipasang]])&gt;=0,Table1[[#This Row],["Volume
BA MC-0"]]-Table1[[#This Row],[Total Panjang Pipa Aktual
(Sum-&gt;)3]]-Table1[[#This Row],[Total Volume
tidak dapat dipasang]],0)</f>
        <v>25</v>
      </c>
      <c r="CK66" s="42"/>
      <c r="CL66" s="113"/>
      <c r="CM66" s="35"/>
      <c r="CN66" s="113"/>
      <c r="CO66" s="113"/>
      <c r="CP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6" s="61">
        <f>IFERROR(Table1[[#This Row],[Progres Keg. Umum
(%)]]*Table1[[#This Row],[Nilai RAB Jaringan
(file pa aji)]],0)</f>
        <v>0</v>
      </c>
      <c r="CR66" s="61">
        <f>IFERROR(Table1[[#This Row],[Progres MOS
(%)]]*Table1[[#This Row],[Nilai RAB Jaringan
(file pa aji)]],0)</f>
        <v>0</v>
      </c>
      <c r="CS66" s="61">
        <f>IFERROR(Table1[[#This Row],[Progres Pemasangan
(%)]]*Table1[[#This Row],[Nilai RAB Jaringan
(file pa aji)]],0)</f>
        <v>0</v>
      </c>
      <c r="CT66" s="61">
        <f>IFERROR(Table1[[#This Row],[Progres Perizinan
(%)]]*Table1[[#This Row],[Nilai RAB Jaringan
(file pa aji)]],0)</f>
        <v>0</v>
      </c>
      <c r="CU66" s="789">
        <v>78408536</v>
      </c>
      <c r="CV66" s="299">
        <v>78408536</v>
      </c>
      <c r="CW66" s="552">
        <v>78408536</v>
      </c>
      <c r="CX66" s="789">
        <f>_xlfn.XLOOKUP(Table1[[#This Row],[Kode Program]],'[1]Breakdown VOWD Greenfield'!$E:$E,'[1]Breakdown VOWD Greenfield'!$AT:$AT)</f>
        <v>78408536</v>
      </c>
      <c r="CY66" s="42"/>
      <c r="CZ66" s="300">
        <v>45530</v>
      </c>
      <c r="DA66" s="300">
        <v>45543</v>
      </c>
      <c r="DB66" s="301"/>
      <c r="DC66" s="286"/>
      <c r="DD66" s="62"/>
      <c r="DE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6" s="301"/>
      <c r="DG66" s="286"/>
      <c r="DH66" s="62"/>
      <c r="DI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6" s="300">
        <v>45544</v>
      </c>
      <c r="DK66" s="300">
        <v>45592</v>
      </c>
      <c r="DL66" s="301">
        <v>45561</v>
      </c>
      <c r="DM66" s="327" t="s">
        <v>573</v>
      </c>
      <c r="DN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6" s="301">
        <v>45586</v>
      </c>
      <c r="DP66" s="286" t="s">
        <v>574</v>
      </c>
      <c r="DQ66" s="308" t="s">
        <v>344</v>
      </c>
      <c r="DR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6" s="300">
        <v>45544</v>
      </c>
      <c r="DT66" s="300" t="e">
        <v>#N/A</v>
      </c>
      <c r="DU66" s="300">
        <v>45571</v>
      </c>
      <c r="DV66" s="300" t="e">
        <v>#N/A</v>
      </c>
      <c r="DW66" s="301"/>
      <c r="DX66" s="286"/>
      <c r="DY66" s="304"/>
      <c r="DZ66" s="304"/>
      <c r="EA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6" s="301"/>
      <c r="EC66" s="302"/>
      <c r="ED66" s="302"/>
      <c r="EE66" s="300"/>
      <c r="EF66" s="35">
        <v>1</v>
      </c>
      <c r="EG66" s="307">
        <v>1</v>
      </c>
      <c r="EH66" s="286" t="str">
        <f>IF(Table1[[#This Row],[PO Material Aktual 
(%)]]&gt;=100%,"Selesai PO = 100%",IF(Table1[[#This Row],[PO Material Aktual 
(%)]]&gt;=50%,"Proses PO &gt; 100%",IF(Table1[[#This Row],[PO Material Aktual 
(%)]]&gt;0%,"Proses PO &gt; 50%",IF(Table1[[#This Row],[PO Material Aktual 
(%)]]=0,"Belum PO = 0%"))))</f>
        <v>Selesai PO = 100%</v>
      </c>
      <c r="EI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6" s="300">
        <v>45572</v>
      </c>
      <c r="EK66" s="300" t="e">
        <v>#N/A</v>
      </c>
      <c r="EL66" s="300">
        <v>45620</v>
      </c>
      <c r="EM66" s="300" t="e">
        <v>#N/A</v>
      </c>
      <c r="EN66" s="301"/>
      <c r="EO66" s="302"/>
      <c r="EP66" s="302"/>
      <c r="EQ66" s="82">
        <v>1</v>
      </c>
      <c r="ER66" s="82">
        <v>1</v>
      </c>
      <c r="ES66" s="286" t="str">
        <f>IF(Table1[[#This Row],[Progres MOS]]&gt;=100%,"Selesai MOS = 100%",IF(Table1[[#This Row],[Progres MOS]]&gt;=50%,"Proses MOS &gt; 100%",IF(Table1[[#This Row],[Progres MOS]]&gt;0%,"Proses MOS &gt; 50%",IF(Table1[[#This Row],[Progres MOS]]=0,"Belum MOS = 0%"))))</f>
        <v>Selesai MOS = 100%</v>
      </c>
      <c r="ET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6" s="42"/>
      <c r="EV66" s="300">
        <v>45544</v>
      </c>
      <c r="EW66" s="300" t="e">
        <v>#N/A</v>
      </c>
      <c r="EX66" s="300">
        <v>45620</v>
      </c>
      <c r="EY66" s="300" t="e">
        <v>#N/A</v>
      </c>
      <c r="EZ66" s="322" t="s">
        <v>298</v>
      </c>
      <c r="FA66" s="306" t="s">
        <v>259</v>
      </c>
      <c r="FB66" s="300" t="s">
        <v>260</v>
      </c>
      <c r="FC66" s="300">
        <v>45797</v>
      </c>
      <c r="FD66" s="300" t="s">
        <v>260</v>
      </c>
      <c r="FE66" s="300">
        <v>45884</v>
      </c>
      <c r="FF66" s="300">
        <v>45919</v>
      </c>
      <c r="FG66" s="300" t="s">
        <v>260</v>
      </c>
      <c r="FH66" s="300" t="s">
        <v>260</v>
      </c>
      <c r="FI66" s="300">
        <v>46003</v>
      </c>
      <c r="FJ66" s="300" t="s">
        <v>260</v>
      </c>
      <c r="FK66" s="300">
        <v>46087</v>
      </c>
      <c r="FL66" s="306" t="s">
        <v>298</v>
      </c>
      <c r="FM66" s="306">
        <v>45797</v>
      </c>
      <c r="FN66" s="284">
        <f>IF(Table1[[#This Row],[Tanggal Pengajuan Dokumen]]="","",Table1[[#This Row],[PLAN PERMIT
start]]-Table1[[#This Row],[Tanggal Pengajuan Dokumen]])</f>
        <v>-253</v>
      </c>
      <c r="FO66" s="306"/>
      <c r="FP66" s="286"/>
      <c r="FQ66" s="308"/>
      <c r="FR66" s="322"/>
      <c r="FS66" s="308" t="str">
        <f t="shared" si="5"/>
        <v>Sudah Terbit</v>
      </c>
      <c r="FT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6" s="314">
        <f ca="1">IF(Table1[[#This Row],[Status Izin]]="Selesai",Table1[[#This Row],[PLAN PERMIT
finish]]-Table1[[#This Row],[Tanggal Terbit/ Target Izin Terbit]],ROUNDUP(Table1[[#This Row],[PLAN PERMIT
finish]]-NOW(),0))</f>
        <v>45620</v>
      </c>
      <c r="FV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6" s="314"/>
      <c r="FX66" s="42"/>
      <c r="FY66" s="310"/>
      <c r="FZ66" s="311"/>
      <c r="GA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6" s="300">
        <v>45594</v>
      </c>
      <c r="GC66" s="301">
        <v>45656</v>
      </c>
      <c r="GD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6" s="300">
        <v>45601</v>
      </c>
      <c r="GF66" s="301">
        <v>45656</v>
      </c>
      <c r="GG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6" s="300">
        <v>45607</v>
      </c>
      <c r="GI66" s="300">
        <v>45613</v>
      </c>
      <c r="GJ66" s="323">
        <v>45600</v>
      </c>
      <c r="GK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6" s="300">
        <v>45621</v>
      </c>
      <c r="GM66" s="300" t="e">
        <v>#N/A</v>
      </c>
      <c r="GN66" s="300">
        <v>45641</v>
      </c>
      <c r="GO66" s="300" t="e">
        <v>#N/A</v>
      </c>
      <c r="GP66" s="286"/>
      <c r="GQ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6" s="300" t="s">
        <v>261</v>
      </c>
      <c r="GS66" s="300" t="s">
        <v>261</v>
      </c>
      <c r="GT66" s="324">
        <v>45632</v>
      </c>
      <c r="GU66" s="314" t="str">
        <f>IF(Table1[[#This Row],[Hydro Tes Actual
(tanggal)]]&lt;&gt;"","Sudah","Belum")</f>
        <v>Sudah</v>
      </c>
      <c r="GV66" s="300" t="s">
        <v>261</v>
      </c>
      <c r="GW66" s="300" t="s">
        <v>261</v>
      </c>
      <c r="GX66" s="301">
        <v>45634</v>
      </c>
      <c r="GY66" s="314" t="str">
        <f>IF(Table1[[#This Row],[Interkoneksi Actual
(tanggal)]]&lt;&gt;"","Sudah","Belum")</f>
        <v>Sudah</v>
      </c>
      <c r="GZ66" s="300" t="s">
        <v>261</v>
      </c>
      <c r="HA66" s="300" t="s">
        <v>261</v>
      </c>
      <c r="HB66" s="301">
        <v>45634</v>
      </c>
      <c r="HC66" s="314" t="str">
        <f>IF(Table1[[#This Row],[Flushing Actual
(tanggal)]]&lt;&gt;"","Sudah","Belum")</f>
        <v>Sudah</v>
      </c>
      <c r="HD66" s="300">
        <v>45628</v>
      </c>
      <c r="HE66" s="300" t="e">
        <v>#N/A</v>
      </c>
      <c r="HF66" s="300">
        <v>45634</v>
      </c>
      <c r="HG66" s="316">
        <v>45700</v>
      </c>
      <c r="HH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6" s="300" t="s">
        <v>261</v>
      </c>
      <c r="HJ66" s="300" t="s">
        <v>261</v>
      </c>
      <c r="HK66" s="301"/>
      <c r="HL66" s="286"/>
      <c r="HM66" s="300">
        <v>45646</v>
      </c>
      <c r="HN66" s="300">
        <v>45646</v>
      </c>
      <c r="HO66" s="300" t="e">
        <v>#N/A</v>
      </c>
      <c r="HP66" s="300"/>
      <c r="HQ66" s="316">
        <v>45750</v>
      </c>
      <c r="HR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6" s="300">
        <v>45653</v>
      </c>
      <c r="HT66" s="300"/>
      <c r="HU66" s="300">
        <v>45653</v>
      </c>
      <c r="HV66" s="497"/>
      <c r="HW66" s="300">
        <v>45751</v>
      </c>
      <c r="HX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6" s="42"/>
      <c r="HZ66" s="322"/>
      <c r="IA66" s="306"/>
      <c r="IC66" s="585">
        <f>IFERROR(ROUND((Table1[[#This Row],[PLAN TC
finish]]-Table1[[#This Row],[PLAN MC-0
start]])/30,2),"")</f>
        <v>0.9</v>
      </c>
      <c r="ID66">
        <f>DATEDIF(Table1[[#This Row],[PLAN MC-0
start]],Table1[[#This Row],[PLAN TC
finish]],"m")</f>
        <v>0</v>
      </c>
    </row>
    <row r="67" spans="1:238" s="4" customFormat="1" ht="15" customHeight="1" x14ac:dyDescent="0.25">
      <c r="B67" s="281">
        <f>SUBTOTAL(3,$D$5:D67)</f>
        <v>63</v>
      </c>
      <c r="C67" s="318">
        <v>63</v>
      </c>
      <c r="D67" s="285" t="s">
        <v>244</v>
      </c>
      <c r="E67" s="285" t="s">
        <v>575</v>
      </c>
      <c r="F67" s="285" t="s">
        <v>576</v>
      </c>
      <c r="G67" s="319">
        <v>45752</v>
      </c>
      <c r="H67" s="284" t="s">
        <v>247</v>
      </c>
      <c r="I67" s="285" t="s">
        <v>278</v>
      </c>
      <c r="J67" s="285"/>
      <c r="K67" s="308" t="s">
        <v>249</v>
      </c>
      <c r="L67" s="286" t="s">
        <v>250</v>
      </c>
      <c r="M67" s="286" t="s">
        <v>269</v>
      </c>
      <c r="N67" s="94">
        <v>57</v>
      </c>
      <c r="O67" s="31" t="s">
        <v>252</v>
      </c>
      <c r="P6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7" s="82" t="e">
        <v>#N/A</v>
      </c>
      <c r="S67" s="82">
        <v>1</v>
      </c>
      <c r="T67" s="35">
        <f>Table1[[#This Row],[Progres Total Aktual
(%)]]</f>
        <v>1</v>
      </c>
      <c r="U67" s="106">
        <f>Table1[[#This Row],[Progres Aktual
(%)]]-Table1[[#This Row],[Target Progres
(%)]]</f>
        <v>0</v>
      </c>
      <c r="V67" s="320">
        <f>Table1[[#This Row],["Volume
BA MC-0"]]</f>
        <v>57</v>
      </c>
      <c r="W67" s="321">
        <f>Table1[[#This Row],[Total Panjang Pipa Aktual
(Sum-&gt;)3]]</f>
        <v>61</v>
      </c>
      <c r="X67" s="42"/>
      <c r="Y67" s="62" t="s">
        <v>577</v>
      </c>
      <c r="Z67" s="62">
        <v>101439674</v>
      </c>
      <c r="AA67" s="62">
        <f>ROUND((Table1[[#This Row],[Nilai RAB Jaringan
(Exclude Ppn)]]-Table1[[#This Row],[RAB Perizinan]])*1.11+Table1[[#This Row],[RAB Perizinan]],0)</f>
        <v>0</v>
      </c>
      <c r="AB67" s="290">
        <f>SUM(Table1[[#This Row],[RAB Kegiatan Umum]:[RAB Perizinan]])</f>
        <v>0</v>
      </c>
      <c r="AC67" s="290"/>
      <c r="AD67" s="290"/>
      <c r="AE67" s="290"/>
      <c r="AF67" s="290"/>
      <c r="AG67" s="290">
        <v>10248242</v>
      </c>
      <c r="AH67" s="35" t="e">
        <f>SUM(Table1[[#This Row],[Bobot Keg Umum]:[Bobot Perizinan]])</f>
        <v>#DIV/0!</v>
      </c>
      <c r="AI67" s="35" t="e">
        <f>Table1[[#This Row],[RAB Kegiatan Umum]]/Table1[[#This Row],[Nilai RAB Jaringan
(Exclude Ppn)]]</f>
        <v>#DIV/0!</v>
      </c>
      <c r="AJ67" s="35" t="e">
        <f>Table1[[#This Row],[RAB Pemasangan]]/Table1[[#This Row],[Nilai RAB Jaringan
(Exclude Ppn)]]</f>
        <v>#DIV/0!</v>
      </c>
      <c r="AK67" s="35" t="e">
        <f>Table1[[#This Row],[RAB Pengadaan]]/Table1[[#This Row],[Nilai RAB Jaringan
(Exclude Ppn)]]</f>
        <v>#DIV/0!</v>
      </c>
      <c r="AL67" s="35" t="e">
        <f>Table1[[#This Row],[RAB Perizinan]]/Table1[[#This Row],[Nilai RAB Jaringan
(Exclude Ppn)]]</f>
        <v>#DIV/0!</v>
      </c>
      <c r="AM67" s="42"/>
      <c r="AN67" s="256">
        <v>57</v>
      </c>
      <c r="AO67" s="256">
        <f>SUM(Table1[[#This Row],[Pipa 63 mm]:[Pipa 1,800 mm]])</f>
        <v>0</v>
      </c>
      <c r="AP67" s="256"/>
      <c r="AQ67" s="256"/>
      <c r="AR67" s="256"/>
      <c r="AS67" s="256"/>
      <c r="AT67" s="256"/>
      <c r="AU67" s="256"/>
      <c r="AV67" s="256"/>
      <c r="AW67" s="256"/>
      <c r="AX67" s="256"/>
      <c r="AY67" s="256"/>
      <c r="AZ67" s="256"/>
      <c r="BA67" s="256"/>
      <c r="BB67" s="256"/>
      <c r="BC67" s="256"/>
      <c r="BD67" s="256"/>
      <c r="BE67" s="256"/>
      <c r="BF67" s="256"/>
      <c r="BG67" s="256"/>
      <c r="BH67" s="256"/>
      <c r="BI67" s="256"/>
      <c r="BJ67" s="36">
        <f>SUM(Table1[[#This Row],[Pipa 63 mm2]:[Pipa 1,800 mm21]])</f>
        <v>61</v>
      </c>
      <c r="BK67" s="32">
        <v>61</v>
      </c>
      <c r="BL67" s="32"/>
      <c r="BM67" s="32"/>
      <c r="BN67" s="32"/>
      <c r="BO67" s="32"/>
      <c r="BP67" s="32"/>
      <c r="BQ67" s="32"/>
      <c r="BR67" s="32"/>
      <c r="BS67" s="32"/>
      <c r="BT67" s="32"/>
      <c r="BU67" s="32"/>
      <c r="BV67" s="32"/>
      <c r="BW67" s="32"/>
      <c r="BX67" s="32"/>
      <c r="BY67" s="32"/>
      <c r="BZ67" s="32"/>
      <c r="CA67" s="32"/>
      <c r="CB67" s="32"/>
      <c r="CC67" s="32"/>
      <c r="CD67" s="32"/>
      <c r="CE67" s="32">
        <v>0</v>
      </c>
      <c r="CF67" s="32"/>
      <c r="CG67" s="32"/>
      <c r="CH67" s="32"/>
      <c r="CI67" s="32">
        <f t="shared" si="3"/>
        <v>0</v>
      </c>
      <c r="CJ67" s="60">
        <f>IF((Table1[[#This Row],["Volume
BA MC-0"]]-Table1[[#This Row],[Total Panjang Pipa Aktual
(Sum-&gt;)3]]-Table1[[#This Row],[Total Volume
tidak dapat dipasang]])&gt;=0,Table1[[#This Row],["Volume
BA MC-0"]]-Table1[[#This Row],[Total Panjang Pipa Aktual
(Sum-&gt;)3]]-Table1[[#This Row],[Total Volume
tidak dapat dipasang]],0)</f>
        <v>0</v>
      </c>
      <c r="CK67" s="42"/>
      <c r="CL67" s="113"/>
      <c r="CM67" s="35"/>
      <c r="CN67" s="113"/>
      <c r="CO67" s="113"/>
      <c r="CP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7" s="61">
        <f>IFERROR(Table1[[#This Row],[Progres Keg. Umum
(%)]]*Table1[[#This Row],[Nilai RAB Jaringan
(file pa aji)]],0)</f>
        <v>0</v>
      </c>
      <c r="CR67" s="61">
        <f>IFERROR(Table1[[#This Row],[Progres MOS
(%)]]*Table1[[#This Row],[Nilai RAB Jaringan
(file pa aji)]],0)</f>
        <v>0</v>
      </c>
      <c r="CS67" s="61">
        <f>IFERROR(Table1[[#This Row],[Progres Pemasangan
(%)]]*Table1[[#This Row],[Nilai RAB Jaringan
(file pa aji)]],0)</f>
        <v>0</v>
      </c>
      <c r="CT67" s="61">
        <f>IFERROR(Table1[[#This Row],[Progres Perizinan
(%)]]*Table1[[#This Row],[Nilai RAB Jaringan
(file pa aji)]],0)</f>
        <v>0</v>
      </c>
      <c r="CU67" s="789">
        <v>81048293</v>
      </c>
      <c r="CV67" s="299">
        <v>81048293</v>
      </c>
      <c r="CW67" s="552">
        <v>81048293</v>
      </c>
      <c r="CX67" s="789">
        <f>_xlfn.XLOOKUP(Table1[[#This Row],[Kode Program]],'[1]Breakdown VOWD Greenfield'!$E:$E,'[1]Breakdown VOWD Greenfield'!$AT:$AT)</f>
        <v>81048293</v>
      </c>
      <c r="CY67" s="42"/>
      <c r="CZ67" s="300">
        <v>45530</v>
      </c>
      <c r="DA67" s="300">
        <v>45543</v>
      </c>
      <c r="DB67" s="301"/>
      <c r="DC67" s="286"/>
      <c r="DD67" s="62"/>
      <c r="DE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7" s="301"/>
      <c r="DG67" s="286"/>
      <c r="DH67" s="62"/>
      <c r="DI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7" s="300">
        <v>45544</v>
      </c>
      <c r="DK67" s="300">
        <v>45592</v>
      </c>
      <c r="DL67" s="301">
        <v>45561</v>
      </c>
      <c r="DM67" s="327" t="s">
        <v>578</v>
      </c>
      <c r="DN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7" s="301">
        <v>45586</v>
      </c>
      <c r="DP67" s="286" t="s">
        <v>579</v>
      </c>
      <c r="DQ67" s="308" t="s">
        <v>344</v>
      </c>
      <c r="DR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7" s="300">
        <v>45544</v>
      </c>
      <c r="DT67" s="300" t="e">
        <v>#N/A</v>
      </c>
      <c r="DU67" s="300">
        <v>45571</v>
      </c>
      <c r="DV67" s="300" t="e">
        <v>#N/A</v>
      </c>
      <c r="DW67" s="301"/>
      <c r="DX67" s="286"/>
      <c r="DY67" s="304"/>
      <c r="DZ67" s="304"/>
      <c r="EA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7" s="301"/>
      <c r="EC67" s="302"/>
      <c r="ED67" s="302"/>
      <c r="EE67" s="300"/>
      <c r="EF67" s="35">
        <v>1</v>
      </c>
      <c r="EG67" s="307">
        <v>1</v>
      </c>
      <c r="EH67" s="286" t="str">
        <f>IF(Table1[[#This Row],[PO Material Aktual 
(%)]]&gt;=100%,"Selesai PO = 100%",IF(Table1[[#This Row],[PO Material Aktual 
(%)]]&gt;=50%,"Proses PO &gt; 100%",IF(Table1[[#This Row],[PO Material Aktual 
(%)]]&gt;0%,"Proses PO &gt; 50%",IF(Table1[[#This Row],[PO Material Aktual 
(%)]]=0,"Belum PO = 0%"))))</f>
        <v>Selesai PO = 100%</v>
      </c>
      <c r="EI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7" s="300">
        <v>45572</v>
      </c>
      <c r="EK67" s="300" t="e">
        <v>#N/A</v>
      </c>
      <c r="EL67" s="300">
        <v>45620</v>
      </c>
      <c r="EM67" s="300" t="e">
        <v>#N/A</v>
      </c>
      <c r="EN67" s="301"/>
      <c r="EO67" s="302"/>
      <c r="EP67" s="302"/>
      <c r="EQ67" s="82">
        <v>1</v>
      </c>
      <c r="ER67" s="82">
        <v>1</v>
      </c>
      <c r="ES67" s="286" t="str">
        <f>IF(Table1[[#This Row],[Progres MOS]]&gt;=100%,"Selesai MOS = 100%",IF(Table1[[#This Row],[Progres MOS]]&gt;=50%,"Proses MOS &gt; 100%",IF(Table1[[#This Row],[Progres MOS]]&gt;0%,"Proses MOS &gt; 50%",IF(Table1[[#This Row],[Progres MOS]]=0,"Belum MOS = 0%"))))</f>
        <v>Selesai MOS = 100%</v>
      </c>
      <c r="ET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7" s="42"/>
      <c r="EV67" s="300">
        <v>45544</v>
      </c>
      <c r="EW67" s="300" t="e">
        <v>#N/A</v>
      </c>
      <c r="EX67" s="300">
        <v>45620</v>
      </c>
      <c r="EY67" s="300" t="e">
        <v>#N/A</v>
      </c>
      <c r="EZ67" s="322" t="s">
        <v>298</v>
      </c>
      <c r="FA67" s="306" t="s">
        <v>259</v>
      </c>
      <c r="FB67" s="300" t="s">
        <v>260</v>
      </c>
      <c r="FC67" s="300">
        <v>45797</v>
      </c>
      <c r="FD67" s="300" t="s">
        <v>260</v>
      </c>
      <c r="FE67" s="300">
        <v>45884</v>
      </c>
      <c r="FF67" s="300">
        <v>45919</v>
      </c>
      <c r="FG67" s="300" t="s">
        <v>260</v>
      </c>
      <c r="FH67" s="300" t="s">
        <v>260</v>
      </c>
      <c r="FI67" s="300">
        <v>46003</v>
      </c>
      <c r="FJ67" s="300" t="s">
        <v>260</v>
      </c>
      <c r="FK67" s="300">
        <v>46087</v>
      </c>
      <c r="FL67" s="306" t="s">
        <v>298</v>
      </c>
      <c r="FM67" s="306">
        <v>45797</v>
      </c>
      <c r="FN67" s="284">
        <f>IF(Table1[[#This Row],[Tanggal Pengajuan Dokumen]]="","",Table1[[#This Row],[PLAN PERMIT
start]]-Table1[[#This Row],[Tanggal Pengajuan Dokumen]])</f>
        <v>-253</v>
      </c>
      <c r="FO67" s="306"/>
      <c r="FP67" s="286"/>
      <c r="FQ67" s="308"/>
      <c r="FR67" s="322"/>
      <c r="FS67" s="308" t="str">
        <f t="shared" si="5"/>
        <v>Sudah Terbit</v>
      </c>
      <c r="FT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7" s="314">
        <f ca="1">IF(Table1[[#This Row],[Status Izin]]="Selesai",Table1[[#This Row],[PLAN PERMIT
finish]]-Table1[[#This Row],[Tanggal Terbit/ Target Izin Terbit]],ROUNDUP(Table1[[#This Row],[PLAN PERMIT
finish]]-NOW(),0))</f>
        <v>45620</v>
      </c>
      <c r="FV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7" s="314"/>
      <c r="FX67" s="42"/>
      <c r="FY67" s="310"/>
      <c r="FZ67" s="311"/>
      <c r="GA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7" s="300">
        <v>45594</v>
      </c>
      <c r="GC67" s="301">
        <v>45656</v>
      </c>
      <c r="GD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7" s="300">
        <v>45601</v>
      </c>
      <c r="GF67" s="301">
        <v>45656</v>
      </c>
      <c r="GG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7" s="300">
        <v>45607</v>
      </c>
      <c r="GI67" s="300">
        <v>45613</v>
      </c>
      <c r="GJ67" s="323">
        <v>45600</v>
      </c>
      <c r="GK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7" s="300">
        <v>45621</v>
      </c>
      <c r="GM67" s="300" t="e">
        <v>#N/A</v>
      </c>
      <c r="GN67" s="300">
        <v>45641</v>
      </c>
      <c r="GO67" s="300" t="e">
        <v>#N/A</v>
      </c>
      <c r="GP67" s="286"/>
      <c r="GQ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7" s="300" t="s">
        <v>261</v>
      </c>
      <c r="GS67" s="300" t="s">
        <v>261</v>
      </c>
      <c r="GT67" s="324">
        <v>45632</v>
      </c>
      <c r="GU67" s="314" t="str">
        <f>IF(Table1[[#This Row],[Hydro Tes Actual
(tanggal)]]&lt;&gt;"","Sudah","Belum")</f>
        <v>Sudah</v>
      </c>
      <c r="GV67" s="300" t="s">
        <v>261</v>
      </c>
      <c r="GW67" s="300" t="s">
        <v>261</v>
      </c>
      <c r="GX67" s="301">
        <v>45635</v>
      </c>
      <c r="GY67" s="314" t="str">
        <f>IF(Table1[[#This Row],[Interkoneksi Actual
(tanggal)]]&lt;&gt;"","Sudah","Belum")</f>
        <v>Sudah</v>
      </c>
      <c r="GZ67" s="300" t="s">
        <v>261</v>
      </c>
      <c r="HA67" s="300" t="s">
        <v>261</v>
      </c>
      <c r="HB67" s="301">
        <v>45635</v>
      </c>
      <c r="HC67" s="314" t="str">
        <f>IF(Table1[[#This Row],[Flushing Actual
(tanggal)]]&lt;&gt;"","Sudah","Belum")</f>
        <v>Sudah</v>
      </c>
      <c r="HD67" s="300">
        <v>45628</v>
      </c>
      <c r="HE67" s="300" t="e">
        <v>#N/A</v>
      </c>
      <c r="HF67" s="300">
        <v>45634</v>
      </c>
      <c r="HG67" s="316">
        <v>45691</v>
      </c>
      <c r="HH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7" s="300" t="s">
        <v>261</v>
      </c>
      <c r="HJ67" s="300" t="s">
        <v>261</v>
      </c>
      <c r="HK67" s="301"/>
      <c r="HL67" s="286"/>
      <c r="HM67" s="300">
        <v>45646</v>
      </c>
      <c r="HN67" s="300">
        <v>45646</v>
      </c>
      <c r="HO67" s="300" t="e">
        <v>#N/A</v>
      </c>
      <c r="HP67" s="300"/>
      <c r="HQ67" s="316">
        <v>45728</v>
      </c>
      <c r="HR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7" s="300">
        <v>45653</v>
      </c>
      <c r="HT67" s="300"/>
      <c r="HU67" s="300">
        <v>45653</v>
      </c>
      <c r="HV67" s="497"/>
      <c r="HW67" s="300">
        <v>45745</v>
      </c>
      <c r="HX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7" s="42"/>
      <c r="HZ67" s="322"/>
      <c r="IA67" s="306"/>
      <c r="IC67" s="585">
        <f>IFERROR(ROUND((Table1[[#This Row],[PLAN TC
finish]]-Table1[[#This Row],[PLAN MC-0
start]])/30,2),"")</f>
        <v>0.9</v>
      </c>
      <c r="ID67">
        <f>DATEDIF(Table1[[#This Row],[PLAN MC-0
start]],Table1[[#This Row],[PLAN TC
finish]],"m")</f>
        <v>0</v>
      </c>
    </row>
    <row r="68" spans="1:238" s="223" customFormat="1" ht="15" customHeight="1" x14ac:dyDescent="0.25">
      <c r="B68" s="281">
        <f>SUBTOTAL(3,$D$5:D68)</f>
        <v>64</v>
      </c>
      <c r="C68" s="366">
        <v>64</v>
      </c>
      <c r="D68" s="367" t="s">
        <v>244</v>
      </c>
      <c r="E68" s="367" t="s">
        <v>580</v>
      </c>
      <c r="F68" s="367" t="s">
        <v>581</v>
      </c>
      <c r="G68" s="368">
        <v>45752</v>
      </c>
      <c r="H68" s="369" t="s">
        <v>247</v>
      </c>
      <c r="I68" s="367" t="s">
        <v>278</v>
      </c>
      <c r="J68" s="367"/>
      <c r="K68" s="370" t="s">
        <v>249</v>
      </c>
      <c r="L68" s="775" t="s">
        <v>250</v>
      </c>
      <c r="M68" s="775" t="s">
        <v>269</v>
      </c>
      <c r="N68" s="224">
        <v>80</v>
      </c>
      <c r="O68" s="225" t="s">
        <v>252</v>
      </c>
      <c r="P68" s="37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8" s="226" t="e">
        <v>#N/A</v>
      </c>
      <c r="S68" s="226">
        <v>1</v>
      </c>
      <c r="T68" s="227">
        <f>Table1[[#This Row],[Progres Total Aktual
(%)]]</f>
        <v>1</v>
      </c>
      <c r="U68" s="228">
        <f>Table1[[#This Row],[Progres Aktual
(%)]]-Table1[[#This Row],[Target Progres
(%)]]</f>
        <v>0</v>
      </c>
      <c r="V68" s="229">
        <f>Table1[[#This Row],["Volume
BA MC-0"]]</f>
        <v>83</v>
      </c>
      <c r="W68" s="230">
        <f>Table1[[#This Row],[Total Panjang Pipa Aktual
(Sum-&gt;)3]]</f>
        <v>316</v>
      </c>
      <c r="X68" s="238"/>
      <c r="Y68" s="231" t="s">
        <v>582</v>
      </c>
      <c r="Z68" s="231">
        <v>124542485</v>
      </c>
      <c r="AA68" s="231">
        <f>ROUND((Table1[[#This Row],[Nilai RAB Jaringan
(Exclude Ppn)]]-Table1[[#This Row],[RAB Perizinan]])*1.11+Table1[[#This Row],[RAB Perizinan]],0)</f>
        <v>0</v>
      </c>
      <c r="AB68" s="371">
        <f>SUM(Table1[[#This Row],[RAB Kegiatan Umum]:[RAB Perizinan]])</f>
        <v>0</v>
      </c>
      <c r="AC68" s="371"/>
      <c r="AD68" s="371"/>
      <c r="AE68" s="371"/>
      <c r="AF68" s="371"/>
      <c r="AG68" s="371">
        <v>20496483</v>
      </c>
      <c r="AH68" s="227" t="e">
        <f>SUM(Table1[[#This Row],[Bobot Keg Umum]:[Bobot Perizinan]])</f>
        <v>#DIV/0!</v>
      </c>
      <c r="AI68" s="227" t="e">
        <f>Table1[[#This Row],[RAB Kegiatan Umum]]/Table1[[#This Row],[Nilai RAB Jaringan
(Exclude Ppn)]]</f>
        <v>#DIV/0!</v>
      </c>
      <c r="AJ68" s="227" t="e">
        <f>Table1[[#This Row],[RAB Pemasangan]]/Table1[[#This Row],[Nilai RAB Jaringan
(Exclude Ppn)]]</f>
        <v>#DIV/0!</v>
      </c>
      <c r="AK68" s="227" t="e">
        <f>Table1[[#This Row],[RAB Pengadaan]]/Table1[[#This Row],[Nilai RAB Jaringan
(Exclude Ppn)]]</f>
        <v>#DIV/0!</v>
      </c>
      <c r="AL68" s="227" t="e">
        <f>Table1[[#This Row],[RAB Perizinan]]/Table1[[#This Row],[Nilai RAB Jaringan
(Exclude Ppn)]]</f>
        <v>#DIV/0!</v>
      </c>
      <c r="AM68" s="42"/>
      <c r="AN68" s="255">
        <v>83</v>
      </c>
      <c r="AO68" s="255">
        <f>SUM(Table1[[#This Row],[Pipa 63 mm]:[Pipa 1,800 mm]])</f>
        <v>0</v>
      </c>
      <c r="AP68" s="255"/>
      <c r="AQ68" s="255"/>
      <c r="AR68" s="255"/>
      <c r="AS68" s="255"/>
      <c r="AT68" s="255"/>
      <c r="AU68" s="255"/>
      <c r="AV68" s="255"/>
      <c r="AW68" s="255"/>
      <c r="AX68" s="255"/>
      <c r="AY68" s="255"/>
      <c r="AZ68" s="255"/>
      <c r="BA68" s="255"/>
      <c r="BB68" s="255"/>
      <c r="BC68" s="255"/>
      <c r="BD68" s="255"/>
      <c r="BE68" s="255"/>
      <c r="BF68" s="255"/>
      <c r="BG68" s="255"/>
      <c r="BH68" s="255"/>
      <c r="BI68" s="255"/>
      <c r="BJ68" s="233">
        <f>SUM(Table1[[#This Row],[Pipa 63 mm2]:[Pipa 1,800 mm21]])</f>
        <v>316</v>
      </c>
      <c r="BK68" s="234">
        <v>49</v>
      </c>
      <c r="BL68" s="234">
        <v>267</v>
      </c>
      <c r="BM68" s="234"/>
      <c r="BN68" s="234"/>
      <c r="BO68" s="234"/>
      <c r="BP68" s="234"/>
      <c r="BQ68" s="234"/>
      <c r="BR68" s="234"/>
      <c r="BS68" s="234"/>
      <c r="BT68" s="234"/>
      <c r="BU68" s="234"/>
      <c r="BV68" s="234"/>
      <c r="BW68" s="234"/>
      <c r="BX68" s="234"/>
      <c r="BY68" s="234"/>
      <c r="BZ68" s="234"/>
      <c r="CA68" s="234"/>
      <c r="CB68" s="234"/>
      <c r="CC68" s="234"/>
      <c r="CD68" s="234"/>
      <c r="CE68" s="232">
        <v>0</v>
      </c>
      <c r="CF68" s="232"/>
      <c r="CG68" s="232"/>
      <c r="CH68" s="232"/>
      <c r="CI68" s="232">
        <f t="shared" si="3"/>
        <v>0</v>
      </c>
      <c r="CJ68" s="235">
        <f>IF((Table1[[#This Row],["Volume
BA MC-0"]]-Table1[[#This Row],[Total Panjang Pipa Aktual
(Sum-&gt;)3]]-Table1[[#This Row],[Total Volume
tidak dapat dipasang]])&gt;=0,Table1[[#This Row],["Volume
BA MC-0"]]-Table1[[#This Row],[Total Panjang Pipa Aktual
(Sum-&gt;)3]]-Table1[[#This Row],[Total Volume
tidak dapat dipasang]],0)</f>
        <v>0</v>
      </c>
      <c r="CK68" s="42"/>
      <c r="CL68" s="236"/>
      <c r="CM68" s="227"/>
      <c r="CN68" s="236"/>
      <c r="CO68" s="236"/>
      <c r="CP68" s="372">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8" s="237">
        <f>IFERROR(Table1[[#This Row],[Progres Keg. Umum
(%)]]*Table1[[#This Row],[Nilai RAB Jaringan
(file pa aji)]],0)</f>
        <v>0</v>
      </c>
      <c r="CR68" s="237">
        <f>IFERROR(Table1[[#This Row],[Progres MOS
(%)]]*Table1[[#This Row],[Nilai RAB Jaringan
(file pa aji)]],0)</f>
        <v>0</v>
      </c>
      <c r="CS68" s="237">
        <f>IFERROR(Table1[[#This Row],[Progres Pemasangan
(%)]]*Table1[[#This Row],[Nilai RAB Jaringan
(file pa aji)]],0)</f>
        <v>0</v>
      </c>
      <c r="CT68" s="237">
        <f>IFERROR(Table1[[#This Row],[Progres Perizinan
(%)]]*Table1[[#This Row],[Nilai RAB Jaringan
(file pa aji)]],0)</f>
        <v>0</v>
      </c>
      <c r="CU68" s="789">
        <v>224446569</v>
      </c>
      <c r="CV68" s="299">
        <v>224446569</v>
      </c>
      <c r="CW68" s="550">
        <v>224446569</v>
      </c>
      <c r="CX68" s="789">
        <f>_xlfn.XLOOKUP(Table1[[#This Row],[Kode Program]],'[1]Breakdown VOWD Greenfield'!$E:$E,'[1]Breakdown VOWD Greenfield'!$AT:$AT)</f>
        <v>224446569</v>
      </c>
      <c r="CY68" s="42"/>
      <c r="CZ68" s="373">
        <v>45530</v>
      </c>
      <c r="DA68" s="373">
        <v>45543</v>
      </c>
      <c r="DB68" s="374"/>
      <c r="DC68" s="775"/>
      <c r="DD68" s="231"/>
      <c r="DE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8" s="374"/>
      <c r="DG68" s="775"/>
      <c r="DH68" s="231"/>
      <c r="DI68" s="775"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8" s="373">
        <v>45544</v>
      </c>
      <c r="DK68" s="373">
        <v>45592</v>
      </c>
      <c r="DL68" s="374">
        <v>45640</v>
      </c>
      <c r="DM68" s="375" t="s">
        <v>583</v>
      </c>
      <c r="DN68" s="37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68" s="374">
        <v>45650</v>
      </c>
      <c r="DP68" s="775" t="s">
        <v>584</v>
      </c>
      <c r="DQ68" s="370" t="s">
        <v>433</v>
      </c>
      <c r="DR68" s="37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68" s="373">
        <v>45544</v>
      </c>
      <c r="DT68" s="373" t="e">
        <v>#N/A</v>
      </c>
      <c r="DU68" s="373">
        <v>45571</v>
      </c>
      <c r="DV68" s="373" t="e">
        <v>#N/A</v>
      </c>
      <c r="DW68" s="374"/>
      <c r="DX68" s="775"/>
      <c r="DY68" s="376"/>
      <c r="DZ68" s="376"/>
      <c r="EA68" s="37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8" s="374"/>
      <c r="EC68" s="119"/>
      <c r="ED68" s="119"/>
      <c r="EE68" s="373"/>
      <c r="EF68" s="227">
        <v>1</v>
      </c>
      <c r="EG68" s="378">
        <v>1</v>
      </c>
      <c r="EH68" s="775" t="str">
        <f>IF(Table1[[#This Row],[PO Material Aktual 
(%)]]&gt;=100%,"Selesai PO = 100%",IF(Table1[[#This Row],[PO Material Aktual 
(%)]]&gt;=50%,"Proses PO &gt; 100%",IF(Table1[[#This Row],[PO Material Aktual 
(%)]]&gt;0%,"Proses PO &gt; 50%",IF(Table1[[#This Row],[PO Material Aktual 
(%)]]=0,"Belum PO = 0%"))))</f>
        <v>Selesai PO = 100%</v>
      </c>
      <c r="EI68" s="119"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8" s="373">
        <v>45572</v>
      </c>
      <c r="EK68" s="373" t="e">
        <v>#N/A</v>
      </c>
      <c r="EL68" s="373">
        <v>45620</v>
      </c>
      <c r="EM68" s="373" t="e">
        <v>#N/A</v>
      </c>
      <c r="EN68" s="374"/>
      <c r="EO68" s="119"/>
      <c r="EP68" s="119"/>
      <c r="EQ68" s="226">
        <v>1</v>
      </c>
      <c r="ER68" s="226">
        <v>1</v>
      </c>
      <c r="ES68" s="775" t="str">
        <f>IF(Table1[[#This Row],[Progres MOS]]&gt;=100%,"Selesai MOS = 100%",IF(Table1[[#This Row],[Progres MOS]]&gt;=50%,"Proses MOS &gt; 100%",IF(Table1[[#This Row],[Progres MOS]]&gt;0%,"Proses MOS &gt; 50%",IF(Table1[[#This Row],[Progres MOS]]=0,"Belum MOS = 0%"))))</f>
        <v>Selesai MOS = 100%</v>
      </c>
      <c r="ET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8" s="42"/>
      <c r="EV68" s="373">
        <v>45544</v>
      </c>
      <c r="EW68" s="373" t="e">
        <v>#N/A</v>
      </c>
      <c r="EX68" s="373">
        <v>45620</v>
      </c>
      <c r="EY68" s="373" t="e">
        <v>#N/A</v>
      </c>
      <c r="EZ68" s="379" t="s">
        <v>298</v>
      </c>
      <c r="FA68" s="377" t="s">
        <v>259</v>
      </c>
      <c r="FB68" s="373" t="s">
        <v>260</v>
      </c>
      <c r="FC68" s="300">
        <v>45797</v>
      </c>
      <c r="FD68" s="373" t="s">
        <v>260</v>
      </c>
      <c r="FE68" s="373">
        <v>45884</v>
      </c>
      <c r="FF68" s="373">
        <v>45919</v>
      </c>
      <c r="FG68" s="373" t="s">
        <v>260</v>
      </c>
      <c r="FH68" s="373" t="s">
        <v>260</v>
      </c>
      <c r="FI68" s="373">
        <v>46003</v>
      </c>
      <c r="FJ68" s="373" t="s">
        <v>260</v>
      </c>
      <c r="FK68" s="373">
        <v>46087</v>
      </c>
      <c r="FL68" s="377" t="s">
        <v>298</v>
      </c>
      <c r="FM68" s="377">
        <v>45797</v>
      </c>
      <c r="FN68" s="369">
        <f>IF(Table1[[#This Row],[Tanggal Pengajuan Dokumen]]="","",Table1[[#This Row],[PLAN PERMIT
start]]-Table1[[#This Row],[Tanggal Pengajuan Dokumen]])</f>
        <v>-253</v>
      </c>
      <c r="FO68" s="377"/>
      <c r="FP68" s="775"/>
      <c r="FQ68" s="370"/>
      <c r="FR68" s="379"/>
      <c r="FS68" s="370" t="str">
        <f t="shared" si="5"/>
        <v>Sudah Terbit</v>
      </c>
      <c r="FT68" s="775"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8" s="380">
        <f ca="1">IF(Table1[[#This Row],[Status Izin]]="Selesai",Table1[[#This Row],[PLAN PERMIT
finish]]-Table1[[#This Row],[Tanggal Terbit/ Target Izin Terbit]],ROUNDUP(Table1[[#This Row],[PLAN PERMIT
finish]]-NOW(),0))</f>
        <v>45620</v>
      </c>
      <c r="FV68" s="380"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8" s="380"/>
      <c r="FX68" s="42"/>
      <c r="FY68" s="310"/>
      <c r="FZ68" s="311"/>
      <c r="GA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8" s="373">
        <v>45594</v>
      </c>
      <c r="GC68" s="374">
        <v>45656</v>
      </c>
      <c r="GD6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8" s="373">
        <v>45601</v>
      </c>
      <c r="GF68" s="374">
        <v>45656</v>
      </c>
      <c r="GG6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8" s="373">
        <v>45607</v>
      </c>
      <c r="GI68" s="373">
        <v>45613</v>
      </c>
      <c r="GJ68" s="381">
        <v>45650</v>
      </c>
      <c r="GK68"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68" s="373">
        <v>45621</v>
      </c>
      <c r="GM68" s="373" t="e">
        <v>#N/A</v>
      </c>
      <c r="GN68" s="373">
        <v>45641</v>
      </c>
      <c r="GO68" s="373" t="e">
        <v>#N/A</v>
      </c>
      <c r="GP68" s="775"/>
      <c r="GQ6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8" s="373" t="s">
        <v>261</v>
      </c>
      <c r="GS68" s="373" t="s">
        <v>261</v>
      </c>
      <c r="GT68" s="382">
        <v>45650</v>
      </c>
      <c r="GU68" s="380" t="str">
        <f>IF(Table1[[#This Row],[Hydro Tes Actual
(tanggal)]]&lt;&gt;"","Sudah","Belum")</f>
        <v>Sudah</v>
      </c>
      <c r="GV68" s="373" t="s">
        <v>261</v>
      </c>
      <c r="GW68" s="373" t="s">
        <v>261</v>
      </c>
      <c r="GX68" s="374">
        <v>45655</v>
      </c>
      <c r="GY68" s="380" t="str">
        <f>IF(Table1[[#This Row],[Interkoneksi Actual
(tanggal)]]&lt;&gt;"","Sudah","Belum")</f>
        <v>Sudah</v>
      </c>
      <c r="GZ68" s="373" t="s">
        <v>261</v>
      </c>
      <c r="HA68" s="373" t="s">
        <v>261</v>
      </c>
      <c r="HB68" s="374">
        <v>45712</v>
      </c>
      <c r="HC68" s="380" t="str">
        <f>IF(Table1[[#This Row],[Flushing Actual
(tanggal)]]&lt;&gt;"","Sudah","Belum")</f>
        <v>Sudah</v>
      </c>
      <c r="HD68" s="373">
        <v>45628</v>
      </c>
      <c r="HE68" s="373" t="e">
        <v>#N/A</v>
      </c>
      <c r="HF68" s="373">
        <v>45634</v>
      </c>
      <c r="HG68" s="383">
        <v>45730</v>
      </c>
      <c r="HH6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8" s="373" t="s">
        <v>261</v>
      </c>
      <c r="HJ68" s="373" t="s">
        <v>261</v>
      </c>
      <c r="HK68" s="374"/>
      <c r="HL68" s="775"/>
      <c r="HM68" s="373">
        <v>45646</v>
      </c>
      <c r="HN68" s="373">
        <v>45646</v>
      </c>
      <c r="HO68" s="373" t="e">
        <v>#N/A</v>
      </c>
      <c r="HP68" s="373"/>
      <c r="HQ68" s="383">
        <v>45750</v>
      </c>
      <c r="HR6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8" s="373">
        <v>45653</v>
      </c>
      <c r="HT68" s="373"/>
      <c r="HU68" s="373">
        <v>45653</v>
      </c>
      <c r="HV68" s="497"/>
      <c r="HW68" s="373">
        <v>45751</v>
      </c>
      <c r="HX6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8" s="42"/>
      <c r="HZ68" s="379"/>
      <c r="IA68" s="306"/>
      <c r="IC68" s="585">
        <f>IFERROR(ROUND((Table1[[#This Row],[PLAN TC
finish]]-Table1[[#This Row],[PLAN MC-0
start]])/30,2),"")</f>
        <v>0.9</v>
      </c>
      <c r="ID68">
        <f>DATEDIF(Table1[[#This Row],[PLAN MC-0
start]],Table1[[#This Row],[PLAN TC
finish]],"m")</f>
        <v>0</v>
      </c>
    </row>
    <row r="69" spans="1:238" s="4" customFormat="1" ht="15" customHeight="1" x14ac:dyDescent="0.25">
      <c r="B69" s="281">
        <f>SUBTOTAL(3,$D$5:D69)</f>
        <v>65</v>
      </c>
      <c r="C69" s="318">
        <v>65</v>
      </c>
      <c r="D69" s="285" t="s">
        <v>244</v>
      </c>
      <c r="E69" s="285" t="s">
        <v>585</v>
      </c>
      <c r="F69" s="285" t="s">
        <v>586</v>
      </c>
      <c r="G69" s="319">
        <v>45752</v>
      </c>
      <c r="H69" s="284" t="s">
        <v>247</v>
      </c>
      <c r="I69" s="285" t="s">
        <v>278</v>
      </c>
      <c r="J69" s="285"/>
      <c r="K69" s="308" t="s">
        <v>249</v>
      </c>
      <c r="L69" s="286" t="s">
        <v>250</v>
      </c>
      <c r="M69" s="286" t="s">
        <v>269</v>
      </c>
      <c r="N69" s="94">
        <v>26</v>
      </c>
      <c r="O69" s="31" t="s">
        <v>252</v>
      </c>
      <c r="P6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69" s="82" t="e">
        <v>#N/A</v>
      </c>
      <c r="S69" s="82">
        <v>1</v>
      </c>
      <c r="T69" s="35">
        <f>Table1[[#This Row],[Progres Total Aktual
(%)]]</f>
        <v>1</v>
      </c>
      <c r="U69" s="106">
        <f>Table1[[#This Row],[Progres Aktual
(%)]]-Table1[[#This Row],[Target Progres
(%)]]</f>
        <v>0</v>
      </c>
      <c r="V69" s="320">
        <f>Table1[[#This Row],["Volume
BA MC-0"]]</f>
        <v>24</v>
      </c>
      <c r="W69" s="321">
        <f>Table1[[#This Row],[Total Panjang Pipa Aktual
(Sum-&gt;)3]]</f>
        <v>26</v>
      </c>
      <c r="X69" s="42"/>
      <c r="Y69" s="62" t="s">
        <v>587</v>
      </c>
      <c r="Z69" s="62">
        <v>94138305</v>
      </c>
      <c r="AA69" s="62">
        <f>ROUND((Table1[[#This Row],[Nilai RAB Jaringan
(Exclude Ppn)]]-Table1[[#This Row],[RAB Perizinan]])*1.11+Table1[[#This Row],[RAB Perizinan]],0)</f>
        <v>0</v>
      </c>
      <c r="AB69" s="290">
        <f>SUM(Table1[[#This Row],[RAB Kegiatan Umum]:[RAB Perizinan]])</f>
        <v>0</v>
      </c>
      <c r="AC69" s="290"/>
      <c r="AD69" s="290"/>
      <c r="AE69" s="290"/>
      <c r="AF69" s="290"/>
      <c r="AG69" s="290">
        <v>12297890</v>
      </c>
      <c r="AH69" s="35" t="e">
        <f>SUM(Table1[[#This Row],[Bobot Keg Umum]:[Bobot Perizinan]])</f>
        <v>#DIV/0!</v>
      </c>
      <c r="AI69" s="35" t="e">
        <f>Table1[[#This Row],[RAB Kegiatan Umum]]/Table1[[#This Row],[Nilai RAB Jaringan
(Exclude Ppn)]]</f>
        <v>#DIV/0!</v>
      </c>
      <c r="AJ69" s="35" t="e">
        <f>Table1[[#This Row],[RAB Pemasangan]]/Table1[[#This Row],[Nilai RAB Jaringan
(Exclude Ppn)]]</f>
        <v>#DIV/0!</v>
      </c>
      <c r="AK69" s="35" t="e">
        <f>Table1[[#This Row],[RAB Pengadaan]]/Table1[[#This Row],[Nilai RAB Jaringan
(Exclude Ppn)]]</f>
        <v>#DIV/0!</v>
      </c>
      <c r="AL69" s="35" t="e">
        <f>Table1[[#This Row],[RAB Perizinan]]/Table1[[#This Row],[Nilai RAB Jaringan
(Exclude Ppn)]]</f>
        <v>#DIV/0!</v>
      </c>
      <c r="AM69" s="42"/>
      <c r="AN69" s="256">
        <v>24</v>
      </c>
      <c r="AO69" s="256">
        <f>SUM(Table1[[#This Row],[Pipa 63 mm]:[Pipa 1,800 mm]])</f>
        <v>0</v>
      </c>
      <c r="AP69" s="256"/>
      <c r="AQ69" s="256"/>
      <c r="AR69" s="256"/>
      <c r="AS69" s="256"/>
      <c r="AT69" s="256"/>
      <c r="AU69" s="256"/>
      <c r="AV69" s="256"/>
      <c r="AW69" s="256"/>
      <c r="AX69" s="256"/>
      <c r="AY69" s="256"/>
      <c r="AZ69" s="256"/>
      <c r="BA69" s="256"/>
      <c r="BB69" s="256"/>
      <c r="BC69" s="256"/>
      <c r="BD69" s="256"/>
      <c r="BE69" s="256"/>
      <c r="BF69" s="256"/>
      <c r="BG69" s="256"/>
      <c r="BH69" s="256"/>
      <c r="BI69" s="256"/>
      <c r="BJ69" s="36">
        <f>SUM(Table1[[#This Row],[Pipa 63 mm2]:[Pipa 1,800 mm21]])</f>
        <v>26</v>
      </c>
      <c r="BK69" s="32">
        <v>26</v>
      </c>
      <c r="BL69" s="32"/>
      <c r="BM69" s="32"/>
      <c r="BN69" s="32"/>
      <c r="BO69" s="32"/>
      <c r="BP69" s="32"/>
      <c r="BQ69" s="32"/>
      <c r="BR69" s="32"/>
      <c r="BS69" s="32"/>
      <c r="BT69" s="32"/>
      <c r="BU69" s="32"/>
      <c r="BV69" s="32"/>
      <c r="BW69" s="32"/>
      <c r="BX69" s="32"/>
      <c r="BY69" s="32"/>
      <c r="BZ69" s="32"/>
      <c r="CA69" s="32"/>
      <c r="CB69" s="32"/>
      <c r="CC69" s="32"/>
      <c r="CD69" s="32"/>
      <c r="CE69" s="32">
        <v>0</v>
      </c>
      <c r="CF69" s="32"/>
      <c r="CG69" s="32"/>
      <c r="CH69" s="32"/>
      <c r="CI69" s="32">
        <f t="shared" ref="CI69:CI132" si="6">SUM(CE69:CH69)</f>
        <v>0</v>
      </c>
      <c r="CJ69" s="60">
        <f>IF((Table1[[#This Row],["Volume
BA MC-0"]]-Table1[[#This Row],[Total Panjang Pipa Aktual
(Sum-&gt;)3]]-Table1[[#This Row],[Total Volume
tidak dapat dipasang]])&gt;=0,Table1[[#This Row],["Volume
BA MC-0"]]-Table1[[#This Row],[Total Panjang Pipa Aktual
(Sum-&gt;)3]]-Table1[[#This Row],[Total Volume
tidak dapat dipasang]],0)</f>
        <v>0</v>
      </c>
      <c r="CK69" s="42"/>
      <c r="CL69" s="113"/>
      <c r="CM69" s="35"/>
      <c r="CN69" s="113"/>
      <c r="CO69" s="113"/>
      <c r="CP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69" s="61">
        <f>IFERROR(Table1[[#This Row],[Progres Keg. Umum
(%)]]*Table1[[#This Row],[Nilai RAB Jaringan
(file pa aji)]],0)</f>
        <v>0</v>
      </c>
      <c r="CR69" s="61">
        <f>IFERROR(Table1[[#This Row],[Progres MOS
(%)]]*Table1[[#This Row],[Nilai RAB Jaringan
(file pa aji)]],0)</f>
        <v>0</v>
      </c>
      <c r="CS69" s="61">
        <f>IFERROR(Table1[[#This Row],[Progres Pemasangan
(%)]]*Table1[[#This Row],[Nilai RAB Jaringan
(file pa aji)]],0)</f>
        <v>0</v>
      </c>
      <c r="CT69" s="61">
        <f>IFERROR(Table1[[#This Row],[Progres Perizinan
(%)]]*Table1[[#This Row],[Nilai RAB Jaringan
(file pa aji)]],0)</f>
        <v>0</v>
      </c>
      <c r="CU69" s="789">
        <v>71816694</v>
      </c>
      <c r="CV69" s="299">
        <v>71816694</v>
      </c>
      <c r="CW69" s="552">
        <v>71816694</v>
      </c>
      <c r="CX69" s="789">
        <f>_xlfn.XLOOKUP(Table1[[#This Row],[Kode Program]],'[1]Breakdown VOWD Greenfield'!$E:$E,'[1]Breakdown VOWD Greenfield'!$AT:$AT)</f>
        <v>71816694</v>
      </c>
      <c r="CY69" s="42"/>
      <c r="CZ69" s="300">
        <v>45530</v>
      </c>
      <c r="DA69" s="300">
        <v>45543</v>
      </c>
      <c r="DB69" s="301"/>
      <c r="DC69" s="286"/>
      <c r="DD69" s="62"/>
      <c r="DE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69" s="301"/>
      <c r="DG69" s="286"/>
      <c r="DH69" s="62"/>
      <c r="DI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69" s="300">
        <v>45544</v>
      </c>
      <c r="DK69" s="300">
        <v>45592</v>
      </c>
      <c r="DL69" s="301">
        <v>45560</v>
      </c>
      <c r="DM69" s="327" t="s">
        <v>588</v>
      </c>
      <c r="DN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69" s="301">
        <v>45586</v>
      </c>
      <c r="DP69" s="286" t="s">
        <v>589</v>
      </c>
      <c r="DQ69" s="308" t="s">
        <v>344</v>
      </c>
      <c r="DR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69" s="300">
        <v>45544</v>
      </c>
      <c r="DT69" s="300" t="e">
        <v>#N/A</v>
      </c>
      <c r="DU69" s="300">
        <v>45571</v>
      </c>
      <c r="DV69" s="300" t="e">
        <v>#N/A</v>
      </c>
      <c r="DW69" s="301"/>
      <c r="DX69" s="286"/>
      <c r="DY69" s="304"/>
      <c r="DZ69" s="304"/>
      <c r="EA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69" s="301"/>
      <c r="EC69" s="302"/>
      <c r="ED69" s="302"/>
      <c r="EE69" s="300"/>
      <c r="EF69" s="35">
        <v>1</v>
      </c>
      <c r="EG69" s="307">
        <v>1</v>
      </c>
      <c r="EH69" s="286" t="str">
        <f>IF(Table1[[#This Row],[PO Material Aktual 
(%)]]&gt;=100%,"Selesai PO = 100%",IF(Table1[[#This Row],[PO Material Aktual 
(%)]]&gt;=50%,"Proses PO &gt; 100%",IF(Table1[[#This Row],[PO Material Aktual 
(%)]]&gt;0%,"Proses PO &gt; 50%",IF(Table1[[#This Row],[PO Material Aktual 
(%)]]=0,"Belum PO = 0%"))))</f>
        <v>Selesai PO = 100%</v>
      </c>
      <c r="EI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69" s="300">
        <v>45572</v>
      </c>
      <c r="EK69" s="300" t="e">
        <v>#N/A</v>
      </c>
      <c r="EL69" s="300">
        <v>45620</v>
      </c>
      <c r="EM69" s="300" t="e">
        <v>#N/A</v>
      </c>
      <c r="EN69" s="301"/>
      <c r="EO69" s="302"/>
      <c r="EP69" s="302"/>
      <c r="EQ69" s="82">
        <v>1</v>
      </c>
      <c r="ER69" s="82">
        <v>1</v>
      </c>
      <c r="ES69" s="286" t="str">
        <f>IF(Table1[[#This Row],[Progres MOS]]&gt;=100%,"Selesai MOS = 100%",IF(Table1[[#This Row],[Progres MOS]]&gt;=50%,"Proses MOS &gt; 100%",IF(Table1[[#This Row],[Progres MOS]]&gt;0%,"Proses MOS &gt; 50%",IF(Table1[[#This Row],[Progres MOS]]=0,"Belum MOS = 0%"))))</f>
        <v>Selesai MOS = 100%</v>
      </c>
      <c r="ET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69" s="42"/>
      <c r="EV69" s="300">
        <v>45544</v>
      </c>
      <c r="EW69" s="300" t="e">
        <v>#N/A</v>
      </c>
      <c r="EX69" s="300">
        <v>45620</v>
      </c>
      <c r="EY69" s="300" t="e">
        <v>#N/A</v>
      </c>
      <c r="EZ69" s="322" t="s">
        <v>298</v>
      </c>
      <c r="FA69" s="306" t="s">
        <v>259</v>
      </c>
      <c r="FB69" s="300" t="s">
        <v>260</v>
      </c>
      <c r="FC69" s="300">
        <v>45796</v>
      </c>
      <c r="FD69" s="300" t="s">
        <v>260</v>
      </c>
      <c r="FE69" s="300">
        <v>45895</v>
      </c>
      <c r="FF69" s="300">
        <v>45944</v>
      </c>
      <c r="FG69" s="300" t="s">
        <v>260</v>
      </c>
      <c r="FH69" s="300" t="s">
        <v>260</v>
      </c>
      <c r="FI69" s="300">
        <v>46021</v>
      </c>
      <c r="FJ69" s="300" t="s">
        <v>260</v>
      </c>
      <c r="FK69" s="300">
        <v>46087</v>
      </c>
      <c r="FL69" s="306" t="s">
        <v>298</v>
      </c>
      <c r="FM69" s="306">
        <v>45796</v>
      </c>
      <c r="FN69" s="284">
        <f>IF(Table1[[#This Row],[Tanggal Pengajuan Dokumen]]="","",Table1[[#This Row],[PLAN PERMIT
start]]-Table1[[#This Row],[Tanggal Pengajuan Dokumen]])</f>
        <v>-252</v>
      </c>
      <c r="FO69" s="306"/>
      <c r="FP69" s="286"/>
      <c r="FQ69" s="308"/>
      <c r="FR69" s="322"/>
      <c r="FS69" s="308" t="str">
        <f t="shared" ref="FS69:FS100" si="7">IF(COUNTIF(EZ69:FR69,"*terbit*")&gt;=1,"Sudah Terbit","On Going")</f>
        <v>Sudah Terbit</v>
      </c>
      <c r="FT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69" s="314">
        <f ca="1">IF(Table1[[#This Row],[Status Izin]]="Selesai",Table1[[#This Row],[PLAN PERMIT
finish]]-Table1[[#This Row],[Tanggal Terbit/ Target Izin Terbit]],ROUNDUP(Table1[[#This Row],[PLAN PERMIT
finish]]-NOW(),0))</f>
        <v>45620</v>
      </c>
      <c r="FV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69" s="314"/>
      <c r="FX69" s="42"/>
      <c r="FY69" s="310"/>
      <c r="FZ69" s="311"/>
      <c r="GA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69" s="300">
        <v>45594</v>
      </c>
      <c r="GC69" s="301">
        <v>45656</v>
      </c>
      <c r="GD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69" s="300">
        <v>45601</v>
      </c>
      <c r="GF69" s="301">
        <v>45656</v>
      </c>
      <c r="GG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69" s="300">
        <v>45607</v>
      </c>
      <c r="GI69" s="300">
        <v>45613</v>
      </c>
      <c r="GJ69" s="323">
        <v>45602</v>
      </c>
      <c r="GK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69" s="300">
        <v>45621</v>
      </c>
      <c r="GM69" s="300" t="e">
        <v>#N/A</v>
      </c>
      <c r="GN69" s="300">
        <v>45641</v>
      </c>
      <c r="GO69" s="300" t="e">
        <v>#N/A</v>
      </c>
      <c r="GP69" s="286"/>
      <c r="GQ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69" s="300" t="s">
        <v>261</v>
      </c>
      <c r="GS69" s="300" t="s">
        <v>261</v>
      </c>
      <c r="GT69" s="324">
        <v>45637</v>
      </c>
      <c r="GU69" s="314" t="str">
        <f>IF(Table1[[#This Row],[Hydro Tes Actual
(tanggal)]]&lt;&gt;"","Sudah","Belum")</f>
        <v>Sudah</v>
      </c>
      <c r="GV69" s="300" t="s">
        <v>261</v>
      </c>
      <c r="GW69" s="300" t="s">
        <v>261</v>
      </c>
      <c r="GX69" s="301">
        <v>45638</v>
      </c>
      <c r="GY69" s="314" t="str">
        <f>IF(Table1[[#This Row],[Interkoneksi Actual
(tanggal)]]&lt;&gt;"","Sudah","Belum")</f>
        <v>Sudah</v>
      </c>
      <c r="GZ69" s="300" t="s">
        <v>261</v>
      </c>
      <c r="HA69" s="300" t="s">
        <v>261</v>
      </c>
      <c r="HB69" s="301">
        <v>45638</v>
      </c>
      <c r="HC69" s="314" t="str">
        <f>IF(Table1[[#This Row],[Flushing Actual
(tanggal)]]&lt;&gt;"","Sudah","Belum")</f>
        <v>Sudah</v>
      </c>
      <c r="HD69" s="300">
        <v>45628</v>
      </c>
      <c r="HE69" s="300" t="e">
        <v>#N/A</v>
      </c>
      <c r="HF69" s="300">
        <v>45634</v>
      </c>
      <c r="HG69" s="316">
        <v>45691</v>
      </c>
      <c r="HH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69" s="300" t="s">
        <v>261</v>
      </c>
      <c r="HJ69" s="300" t="s">
        <v>261</v>
      </c>
      <c r="HK69" s="301"/>
      <c r="HL69" s="286"/>
      <c r="HM69" s="300">
        <v>45646</v>
      </c>
      <c r="HN69" s="300">
        <v>45646</v>
      </c>
      <c r="HO69" s="300" t="e">
        <v>#N/A</v>
      </c>
      <c r="HP69" s="300"/>
      <c r="HQ69" s="316">
        <v>45728</v>
      </c>
      <c r="HR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69" s="300">
        <v>45653</v>
      </c>
      <c r="HT69" s="300"/>
      <c r="HU69" s="300">
        <v>45653</v>
      </c>
      <c r="HV69" s="497"/>
      <c r="HW69" s="300">
        <v>45745</v>
      </c>
      <c r="HX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69" s="42"/>
      <c r="HZ69" s="322"/>
      <c r="IA69" s="306"/>
      <c r="IC69" s="585">
        <f>IFERROR(ROUND((Table1[[#This Row],[PLAN TC
finish]]-Table1[[#This Row],[PLAN MC-0
start]])/30,2),"")</f>
        <v>0.9</v>
      </c>
      <c r="ID69">
        <f>DATEDIF(Table1[[#This Row],[PLAN MC-0
start]],Table1[[#This Row],[PLAN TC
finish]],"m")</f>
        <v>0</v>
      </c>
    </row>
    <row r="70" spans="1:238" s="4" customFormat="1" ht="15" customHeight="1" x14ac:dyDescent="0.25">
      <c r="B70" s="281">
        <f>SUBTOTAL(3,$D$5:D70)</f>
        <v>66</v>
      </c>
      <c r="C70" s="318">
        <v>66</v>
      </c>
      <c r="D70" s="285" t="s">
        <v>244</v>
      </c>
      <c r="E70" s="285" t="s">
        <v>590</v>
      </c>
      <c r="F70" s="285" t="s">
        <v>591</v>
      </c>
      <c r="G70" s="319">
        <v>45752</v>
      </c>
      <c r="H70" s="284" t="s">
        <v>247</v>
      </c>
      <c r="I70" s="285" t="s">
        <v>278</v>
      </c>
      <c r="J70" s="285"/>
      <c r="K70" s="308" t="s">
        <v>249</v>
      </c>
      <c r="L70" s="286" t="s">
        <v>250</v>
      </c>
      <c r="M70" s="286" t="s">
        <v>269</v>
      </c>
      <c r="N70" s="94">
        <v>65</v>
      </c>
      <c r="O70" s="31" t="s">
        <v>252</v>
      </c>
      <c r="P7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0" s="82" t="e">
        <v>#N/A</v>
      </c>
      <c r="S70" s="82">
        <v>1</v>
      </c>
      <c r="T70" s="35">
        <f>Table1[[#This Row],[Progres Total Aktual
(%)]]</f>
        <v>1</v>
      </c>
      <c r="U70" s="106">
        <f>Table1[[#This Row],[Progres Aktual
(%)]]-Table1[[#This Row],[Target Progres
(%)]]</f>
        <v>0</v>
      </c>
      <c r="V70" s="320">
        <f>Table1[[#This Row],["Volume
BA MC-0"]]</f>
        <v>66</v>
      </c>
      <c r="W70" s="321">
        <f>Table1[[#This Row],[Total Panjang Pipa Aktual
(Sum-&gt;)3]]</f>
        <v>68.8</v>
      </c>
      <c r="X70" s="42"/>
      <c r="Y70" s="62" t="s">
        <v>592</v>
      </c>
      <c r="Z70" s="62">
        <v>113537206</v>
      </c>
      <c r="AA70" s="62">
        <f>ROUND((Table1[[#This Row],[Nilai RAB Jaringan
(Exclude Ppn)]]-Table1[[#This Row],[RAB Perizinan]])*1.11+Table1[[#This Row],[RAB Perizinan]],0)</f>
        <v>0</v>
      </c>
      <c r="AB70" s="290">
        <f>SUM(Table1[[#This Row],[RAB Kegiatan Umum]:[RAB Perizinan]])</f>
        <v>0</v>
      </c>
      <c r="AC70" s="290"/>
      <c r="AD70" s="290"/>
      <c r="AE70" s="290"/>
      <c r="AF70" s="290"/>
      <c r="AG70" s="290">
        <v>20496483</v>
      </c>
      <c r="AH70" s="35" t="e">
        <f>SUM(Table1[[#This Row],[Bobot Keg Umum]:[Bobot Perizinan]])</f>
        <v>#DIV/0!</v>
      </c>
      <c r="AI70" s="35" t="e">
        <f>Table1[[#This Row],[RAB Kegiatan Umum]]/Table1[[#This Row],[Nilai RAB Jaringan
(Exclude Ppn)]]</f>
        <v>#DIV/0!</v>
      </c>
      <c r="AJ70" s="35" t="e">
        <f>Table1[[#This Row],[RAB Pemasangan]]/Table1[[#This Row],[Nilai RAB Jaringan
(Exclude Ppn)]]</f>
        <v>#DIV/0!</v>
      </c>
      <c r="AK70" s="35" t="e">
        <f>Table1[[#This Row],[RAB Pengadaan]]/Table1[[#This Row],[Nilai RAB Jaringan
(Exclude Ppn)]]</f>
        <v>#DIV/0!</v>
      </c>
      <c r="AL70" s="35" t="e">
        <f>Table1[[#This Row],[RAB Perizinan]]/Table1[[#This Row],[Nilai RAB Jaringan
(Exclude Ppn)]]</f>
        <v>#DIV/0!</v>
      </c>
      <c r="AM70" s="42"/>
      <c r="AN70" s="256">
        <v>66</v>
      </c>
      <c r="AO70" s="256">
        <f>SUM(Table1[[#This Row],[Pipa 63 mm]:[Pipa 1,800 mm]])</f>
        <v>0</v>
      </c>
      <c r="AP70" s="256"/>
      <c r="AQ70" s="256"/>
      <c r="AR70" s="256"/>
      <c r="AS70" s="256"/>
      <c r="AT70" s="256"/>
      <c r="AU70" s="256"/>
      <c r="AV70" s="256"/>
      <c r="AW70" s="256"/>
      <c r="AX70" s="256"/>
      <c r="AY70" s="256"/>
      <c r="AZ70" s="256"/>
      <c r="BA70" s="256"/>
      <c r="BB70" s="256"/>
      <c r="BC70" s="256"/>
      <c r="BD70" s="256"/>
      <c r="BE70" s="256"/>
      <c r="BF70" s="256"/>
      <c r="BG70" s="256"/>
      <c r="BH70" s="256"/>
      <c r="BI70" s="256"/>
      <c r="BJ70" s="36">
        <f>SUM(Table1[[#This Row],[Pipa 63 mm2]:[Pipa 1,800 mm21]])</f>
        <v>68.8</v>
      </c>
      <c r="BK70" s="326">
        <v>68.8</v>
      </c>
      <c r="BL70" s="326"/>
      <c r="BM70" s="326"/>
      <c r="BN70" s="326"/>
      <c r="BO70" s="326"/>
      <c r="BP70" s="326"/>
      <c r="BQ70" s="326"/>
      <c r="BR70" s="326"/>
      <c r="BS70" s="326"/>
      <c r="BT70" s="326"/>
      <c r="BU70" s="326"/>
      <c r="BV70" s="326"/>
      <c r="BW70" s="326"/>
      <c r="BX70" s="326"/>
      <c r="BY70" s="326"/>
      <c r="BZ70" s="326"/>
      <c r="CA70" s="326"/>
      <c r="CB70" s="326"/>
      <c r="CC70" s="326"/>
      <c r="CD70" s="326"/>
      <c r="CE70" s="32">
        <v>0</v>
      </c>
      <c r="CF70" s="32"/>
      <c r="CG70" s="32"/>
      <c r="CH70" s="32"/>
      <c r="CI70" s="32">
        <f t="shared" si="6"/>
        <v>0</v>
      </c>
      <c r="CJ70" s="60">
        <f>IF((Table1[[#This Row],["Volume
BA MC-0"]]-Table1[[#This Row],[Total Panjang Pipa Aktual
(Sum-&gt;)3]]-Table1[[#This Row],[Total Volume
tidak dapat dipasang]])&gt;=0,Table1[[#This Row],["Volume
BA MC-0"]]-Table1[[#This Row],[Total Panjang Pipa Aktual
(Sum-&gt;)3]]-Table1[[#This Row],[Total Volume
tidak dapat dipasang]],0)</f>
        <v>0</v>
      </c>
      <c r="CK70" s="42"/>
      <c r="CL70" s="113"/>
      <c r="CM70" s="35"/>
      <c r="CN70" s="113"/>
      <c r="CO70" s="113"/>
      <c r="CP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0" s="61">
        <f>IFERROR(Table1[[#This Row],[Progres Keg. Umum
(%)]]*Table1[[#This Row],[Nilai RAB Jaringan
(file pa aji)]],0)</f>
        <v>0</v>
      </c>
      <c r="CR70" s="61">
        <f>IFERROR(Table1[[#This Row],[Progres MOS
(%)]]*Table1[[#This Row],[Nilai RAB Jaringan
(file pa aji)]],0)</f>
        <v>0</v>
      </c>
      <c r="CS70" s="61">
        <f>IFERROR(Table1[[#This Row],[Progres Pemasangan
(%)]]*Table1[[#This Row],[Nilai RAB Jaringan
(file pa aji)]],0)</f>
        <v>0</v>
      </c>
      <c r="CT70" s="61">
        <f>IFERROR(Table1[[#This Row],[Progres Perizinan
(%)]]*Table1[[#This Row],[Nilai RAB Jaringan
(file pa aji)]],0)</f>
        <v>0</v>
      </c>
      <c r="CU70" s="789">
        <v>100019434</v>
      </c>
      <c r="CV70" s="299">
        <v>100019434</v>
      </c>
      <c r="CW70" s="552">
        <v>100019434</v>
      </c>
      <c r="CX70" s="789">
        <f>_xlfn.XLOOKUP(Table1[[#This Row],[Kode Program]],'[1]Breakdown VOWD Greenfield'!$E:$E,'[1]Breakdown VOWD Greenfield'!$AT:$AT)</f>
        <v>100019434</v>
      </c>
      <c r="CY70" s="42"/>
      <c r="CZ70" s="300">
        <v>45530</v>
      </c>
      <c r="DA70" s="300">
        <v>45543</v>
      </c>
      <c r="DB70" s="301"/>
      <c r="DC70" s="286"/>
      <c r="DD70" s="62"/>
      <c r="DE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0" s="301"/>
      <c r="DG70" s="286"/>
      <c r="DH70" s="62"/>
      <c r="DI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0" s="300">
        <v>45544</v>
      </c>
      <c r="DK70" s="300">
        <v>45592</v>
      </c>
      <c r="DL70" s="301">
        <v>45640</v>
      </c>
      <c r="DM70" s="327" t="s">
        <v>593</v>
      </c>
      <c r="DN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0" s="301">
        <v>45652</v>
      </c>
      <c r="DP70" s="286" t="s">
        <v>594</v>
      </c>
      <c r="DQ70" s="308" t="s">
        <v>433</v>
      </c>
      <c r="DR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0" s="300">
        <v>45544</v>
      </c>
      <c r="DT70" s="300" t="e">
        <v>#N/A</v>
      </c>
      <c r="DU70" s="300">
        <v>45571</v>
      </c>
      <c r="DV70" s="300" t="e">
        <v>#N/A</v>
      </c>
      <c r="DW70" s="301"/>
      <c r="DX70" s="286"/>
      <c r="DY70" s="304"/>
      <c r="DZ70" s="304"/>
      <c r="EA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0" s="301"/>
      <c r="EC70" s="302"/>
      <c r="ED70" s="302"/>
      <c r="EE70" s="300"/>
      <c r="EF70" s="35">
        <v>1</v>
      </c>
      <c r="EG70" s="307">
        <v>1</v>
      </c>
      <c r="EH70" s="286" t="str">
        <f>IF(Table1[[#This Row],[PO Material Aktual 
(%)]]&gt;=100%,"Selesai PO = 100%",IF(Table1[[#This Row],[PO Material Aktual 
(%)]]&gt;=50%,"Proses PO &gt; 100%",IF(Table1[[#This Row],[PO Material Aktual 
(%)]]&gt;0%,"Proses PO &gt; 50%",IF(Table1[[#This Row],[PO Material Aktual 
(%)]]=0,"Belum PO = 0%"))))</f>
        <v>Selesai PO = 100%</v>
      </c>
      <c r="EI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0" s="300">
        <v>45572</v>
      </c>
      <c r="EK70" s="300" t="e">
        <v>#N/A</v>
      </c>
      <c r="EL70" s="300">
        <v>45620</v>
      </c>
      <c r="EM70" s="300" t="e">
        <v>#N/A</v>
      </c>
      <c r="EN70" s="301"/>
      <c r="EO70" s="302"/>
      <c r="EP70" s="302"/>
      <c r="EQ70" s="82">
        <v>1</v>
      </c>
      <c r="ER70" s="82">
        <v>1</v>
      </c>
      <c r="ES70" s="286" t="str">
        <f>IF(Table1[[#This Row],[Progres MOS]]&gt;=100%,"Selesai MOS = 100%",IF(Table1[[#This Row],[Progres MOS]]&gt;=50%,"Proses MOS &gt; 100%",IF(Table1[[#This Row],[Progres MOS]]&gt;0%,"Proses MOS &gt; 50%",IF(Table1[[#This Row],[Progres MOS]]=0,"Belum MOS = 0%"))))</f>
        <v>Selesai MOS = 100%</v>
      </c>
      <c r="ET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0" s="42"/>
      <c r="EV70" s="300">
        <v>45544</v>
      </c>
      <c r="EW70" s="300" t="e">
        <v>#N/A</v>
      </c>
      <c r="EX70" s="300">
        <v>45620</v>
      </c>
      <c r="EY70" s="300" t="e">
        <v>#N/A</v>
      </c>
      <c r="EZ70" s="322" t="s">
        <v>298</v>
      </c>
      <c r="FA70" s="306" t="s">
        <v>259</v>
      </c>
      <c r="FB70" s="300" t="s">
        <v>260</v>
      </c>
      <c r="FC70" s="300">
        <v>45797</v>
      </c>
      <c r="FD70" s="300" t="s">
        <v>260</v>
      </c>
      <c r="FE70" s="300">
        <v>45884</v>
      </c>
      <c r="FF70" s="300">
        <v>45919</v>
      </c>
      <c r="FG70" s="300" t="s">
        <v>260</v>
      </c>
      <c r="FH70" s="300" t="s">
        <v>260</v>
      </c>
      <c r="FI70" s="300">
        <v>46003</v>
      </c>
      <c r="FJ70" s="300" t="s">
        <v>260</v>
      </c>
      <c r="FK70" s="300">
        <v>46087</v>
      </c>
      <c r="FL70" s="306" t="s">
        <v>298</v>
      </c>
      <c r="FM70" s="306">
        <v>45797</v>
      </c>
      <c r="FN70" s="284">
        <f>IF(Table1[[#This Row],[Tanggal Pengajuan Dokumen]]="","",Table1[[#This Row],[PLAN PERMIT
start]]-Table1[[#This Row],[Tanggal Pengajuan Dokumen]])</f>
        <v>-253</v>
      </c>
      <c r="FO70" s="306"/>
      <c r="FP70" s="286"/>
      <c r="FQ70" s="308"/>
      <c r="FR70" s="322"/>
      <c r="FS70" s="308" t="str">
        <f t="shared" si="7"/>
        <v>Sudah Terbit</v>
      </c>
      <c r="FT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0" s="314">
        <f ca="1">IF(Table1[[#This Row],[Status Izin]]="Selesai",Table1[[#This Row],[PLAN PERMIT
finish]]-Table1[[#This Row],[Tanggal Terbit/ Target Izin Terbit]],ROUNDUP(Table1[[#This Row],[PLAN PERMIT
finish]]-NOW(),0))</f>
        <v>45620</v>
      </c>
      <c r="FV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0" s="314"/>
      <c r="FX70" s="42"/>
      <c r="FY70" s="310"/>
      <c r="FZ70" s="311"/>
      <c r="GA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0" s="300">
        <v>45594</v>
      </c>
      <c r="GC70" s="301">
        <v>45656</v>
      </c>
      <c r="GD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0" s="300">
        <v>45601</v>
      </c>
      <c r="GF70" s="301">
        <v>45656</v>
      </c>
      <c r="GG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0" s="300">
        <v>45607</v>
      </c>
      <c r="GI70" s="300">
        <v>45613</v>
      </c>
      <c r="GJ70" s="323">
        <v>45658</v>
      </c>
      <c r="GK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0" s="300">
        <v>45621</v>
      </c>
      <c r="GM70" s="300" t="e">
        <v>#N/A</v>
      </c>
      <c r="GN70" s="300">
        <v>45641</v>
      </c>
      <c r="GO70" s="300" t="e">
        <v>#N/A</v>
      </c>
      <c r="GP70" s="286"/>
      <c r="GQ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0" s="300" t="s">
        <v>261</v>
      </c>
      <c r="GS70" s="300" t="s">
        <v>261</v>
      </c>
      <c r="GT70" s="324">
        <v>45655</v>
      </c>
      <c r="GU70" s="314" t="str">
        <f>IF(Table1[[#This Row],[Hydro Tes Actual
(tanggal)]]&lt;&gt;"","Sudah","Belum")</f>
        <v>Sudah</v>
      </c>
      <c r="GV70" s="300" t="s">
        <v>261</v>
      </c>
      <c r="GW70" s="300" t="s">
        <v>261</v>
      </c>
      <c r="GX70" s="301">
        <v>45664</v>
      </c>
      <c r="GY70" s="314" t="str">
        <f>IF(Table1[[#This Row],[Interkoneksi Actual
(tanggal)]]&lt;&gt;"","Sudah","Belum")</f>
        <v>Sudah</v>
      </c>
      <c r="GZ70" s="300" t="s">
        <v>261</v>
      </c>
      <c r="HA70" s="300" t="s">
        <v>261</v>
      </c>
      <c r="HB70" s="301">
        <v>45712</v>
      </c>
      <c r="HC70" s="314" t="str">
        <f>IF(Table1[[#This Row],[Flushing Actual
(tanggal)]]&lt;&gt;"","Sudah","Belum")</f>
        <v>Sudah</v>
      </c>
      <c r="HD70" s="300">
        <v>45628</v>
      </c>
      <c r="HE70" s="300" t="e">
        <v>#N/A</v>
      </c>
      <c r="HF70" s="300">
        <v>45634</v>
      </c>
      <c r="HG70" s="316">
        <v>45733</v>
      </c>
      <c r="HH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0" s="300" t="s">
        <v>261</v>
      </c>
      <c r="HJ70" s="300" t="s">
        <v>261</v>
      </c>
      <c r="HK70" s="301"/>
      <c r="HL70" s="286"/>
      <c r="HM70" s="300">
        <v>45646</v>
      </c>
      <c r="HN70" s="300">
        <v>45646</v>
      </c>
      <c r="HO70" s="300" t="e">
        <v>#N/A</v>
      </c>
      <c r="HP70" s="300"/>
      <c r="HQ70" s="316">
        <v>45750</v>
      </c>
      <c r="HR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0" s="300">
        <v>45653</v>
      </c>
      <c r="HT70" s="300"/>
      <c r="HU70" s="300">
        <v>45653</v>
      </c>
      <c r="HV70" s="497"/>
      <c r="HW70" s="300">
        <v>45751</v>
      </c>
      <c r="HX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0" s="42"/>
      <c r="HZ70" s="322"/>
      <c r="IA70" s="306"/>
      <c r="IC70" s="585">
        <f>IFERROR(ROUND((Table1[[#This Row],[PLAN TC
finish]]-Table1[[#This Row],[PLAN MC-0
start]])/30,2),"")</f>
        <v>0.9</v>
      </c>
      <c r="ID70">
        <f>DATEDIF(Table1[[#This Row],[PLAN MC-0
start]],Table1[[#This Row],[PLAN TC
finish]],"m")</f>
        <v>0</v>
      </c>
    </row>
    <row r="71" spans="1:238" s="4" customFormat="1" ht="15" customHeight="1" x14ac:dyDescent="0.25">
      <c r="B71" s="281">
        <f>SUBTOTAL(3,$D$5:D71)</f>
        <v>67</v>
      </c>
      <c r="C71" s="318">
        <v>67</v>
      </c>
      <c r="D71" s="285" t="s">
        <v>244</v>
      </c>
      <c r="E71" s="285" t="s">
        <v>595</v>
      </c>
      <c r="F71" s="285" t="s">
        <v>596</v>
      </c>
      <c r="G71" s="319">
        <v>45752</v>
      </c>
      <c r="H71" s="284" t="s">
        <v>247</v>
      </c>
      <c r="I71" s="285" t="s">
        <v>278</v>
      </c>
      <c r="J71" s="285"/>
      <c r="K71" s="308" t="s">
        <v>249</v>
      </c>
      <c r="L71" s="286" t="s">
        <v>250</v>
      </c>
      <c r="M71" s="286" t="s">
        <v>269</v>
      </c>
      <c r="N71" s="94">
        <v>156</v>
      </c>
      <c r="O71" s="31" t="s">
        <v>252</v>
      </c>
      <c r="P7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1" s="82" t="e">
        <v>#N/A</v>
      </c>
      <c r="S71" s="82">
        <v>1</v>
      </c>
      <c r="T71" s="35">
        <f>Table1[[#This Row],[Progres Total Aktual
(%)]]</f>
        <v>1</v>
      </c>
      <c r="U71" s="106">
        <f>Table1[[#This Row],[Progres Aktual
(%)]]-Table1[[#This Row],[Target Progres
(%)]]</f>
        <v>0</v>
      </c>
      <c r="V71" s="320">
        <f>Table1[[#This Row],["Volume
BA MC-0"]]</f>
        <v>147</v>
      </c>
      <c r="W71" s="321">
        <f>Table1[[#This Row],[Total Panjang Pipa Aktual
(Sum-&gt;)3]]</f>
        <v>145</v>
      </c>
      <c r="X71" s="42"/>
      <c r="Y71" s="62" t="s">
        <v>597</v>
      </c>
      <c r="Z71" s="62">
        <v>253233300</v>
      </c>
      <c r="AA71" s="62">
        <f>ROUND((Table1[[#This Row],[Nilai RAB Jaringan
(Exclude Ppn)]]-Table1[[#This Row],[RAB Perizinan]])*1.11+Table1[[#This Row],[RAB Perizinan]],0)</f>
        <v>0</v>
      </c>
      <c r="AB71" s="290">
        <f>SUM(Table1[[#This Row],[RAB Kegiatan Umum]:[RAB Perizinan]])</f>
        <v>0</v>
      </c>
      <c r="AC71" s="290"/>
      <c r="AD71" s="290"/>
      <c r="AE71" s="290"/>
      <c r="AF71" s="290"/>
      <c r="AG71" s="290">
        <v>2049649</v>
      </c>
      <c r="AH71" s="35" t="e">
        <f>SUM(Table1[[#This Row],[Bobot Keg Umum]:[Bobot Perizinan]])</f>
        <v>#DIV/0!</v>
      </c>
      <c r="AI71" s="35" t="e">
        <f>Table1[[#This Row],[RAB Kegiatan Umum]]/Table1[[#This Row],[Nilai RAB Jaringan
(Exclude Ppn)]]</f>
        <v>#DIV/0!</v>
      </c>
      <c r="AJ71" s="35" t="e">
        <f>Table1[[#This Row],[RAB Pemasangan]]/Table1[[#This Row],[Nilai RAB Jaringan
(Exclude Ppn)]]</f>
        <v>#DIV/0!</v>
      </c>
      <c r="AK71" s="35" t="e">
        <f>Table1[[#This Row],[RAB Pengadaan]]/Table1[[#This Row],[Nilai RAB Jaringan
(Exclude Ppn)]]</f>
        <v>#DIV/0!</v>
      </c>
      <c r="AL71" s="35" t="e">
        <f>Table1[[#This Row],[RAB Perizinan]]/Table1[[#This Row],[Nilai RAB Jaringan
(Exclude Ppn)]]</f>
        <v>#DIV/0!</v>
      </c>
      <c r="AM71" s="42"/>
      <c r="AN71" s="256">
        <v>147</v>
      </c>
      <c r="AO71" s="256">
        <f>SUM(Table1[[#This Row],[Pipa 63 mm]:[Pipa 1,800 mm]])</f>
        <v>0</v>
      </c>
      <c r="AP71" s="256"/>
      <c r="AQ71" s="256"/>
      <c r="AR71" s="256"/>
      <c r="AS71" s="256"/>
      <c r="AT71" s="256"/>
      <c r="AU71" s="256"/>
      <c r="AV71" s="256"/>
      <c r="AW71" s="256"/>
      <c r="AX71" s="256"/>
      <c r="AY71" s="256"/>
      <c r="AZ71" s="256"/>
      <c r="BA71" s="256"/>
      <c r="BB71" s="256"/>
      <c r="BC71" s="256"/>
      <c r="BD71" s="256"/>
      <c r="BE71" s="256"/>
      <c r="BF71" s="256"/>
      <c r="BG71" s="256"/>
      <c r="BH71" s="256"/>
      <c r="BI71" s="256"/>
      <c r="BJ71" s="36">
        <f>SUM(Table1[[#This Row],[Pipa 63 mm2]:[Pipa 1,800 mm21]])</f>
        <v>145</v>
      </c>
      <c r="BK71" s="32">
        <v>145</v>
      </c>
      <c r="BL71" s="32"/>
      <c r="BM71" s="32"/>
      <c r="BN71" s="32"/>
      <c r="BO71" s="32"/>
      <c r="BP71" s="32"/>
      <c r="BQ71" s="32"/>
      <c r="BR71" s="32"/>
      <c r="BS71" s="32"/>
      <c r="BT71" s="32"/>
      <c r="BU71" s="32"/>
      <c r="BV71" s="32"/>
      <c r="BW71" s="32"/>
      <c r="BX71" s="32"/>
      <c r="BY71" s="32"/>
      <c r="BZ71" s="32"/>
      <c r="CA71" s="32"/>
      <c r="CB71" s="32"/>
      <c r="CC71" s="32"/>
      <c r="CD71" s="32"/>
      <c r="CE71" s="32">
        <v>0</v>
      </c>
      <c r="CF71" s="32"/>
      <c r="CG71" s="32"/>
      <c r="CH71" s="32"/>
      <c r="CI71" s="32">
        <f t="shared" si="6"/>
        <v>0</v>
      </c>
      <c r="CJ71" s="60">
        <f>IF((Table1[[#This Row],["Volume
BA MC-0"]]-Table1[[#This Row],[Total Panjang Pipa Aktual
(Sum-&gt;)3]]-Table1[[#This Row],[Total Volume
tidak dapat dipasang]])&gt;=0,Table1[[#This Row],["Volume
BA MC-0"]]-Table1[[#This Row],[Total Panjang Pipa Aktual
(Sum-&gt;)3]]-Table1[[#This Row],[Total Volume
tidak dapat dipasang]],0)</f>
        <v>2</v>
      </c>
      <c r="CK71" s="42"/>
      <c r="CL71" s="113"/>
      <c r="CM71" s="35"/>
      <c r="CN71" s="113"/>
      <c r="CO71" s="113"/>
      <c r="CP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1" s="61">
        <f>IFERROR(Table1[[#This Row],[Progres Keg. Umum
(%)]]*Table1[[#This Row],[Nilai RAB Jaringan
(file pa aji)]],0)</f>
        <v>0</v>
      </c>
      <c r="CR71" s="61">
        <f>IFERROR(Table1[[#This Row],[Progres MOS
(%)]]*Table1[[#This Row],[Nilai RAB Jaringan
(file pa aji)]],0)</f>
        <v>0</v>
      </c>
      <c r="CS71" s="61">
        <f>IFERROR(Table1[[#This Row],[Progres Pemasangan
(%)]]*Table1[[#This Row],[Nilai RAB Jaringan
(file pa aji)]],0)</f>
        <v>0</v>
      </c>
      <c r="CT71" s="61">
        <f>IFERROR(Table1[[#This Row],[Progres Perizinan
(%)]]*Table1[[#This Row],[Nilai RAB Jaringan
(file pa aji)]],0)</f>
        <v>0</v>
      </c>
      <c r="CU71" s="789">
        <v>188520089</v>
      </c>
      <c r="CV71" s="299">
        <v>188520089</v>
      </c>
      <c r="CW71" s="552">
        <v>188520089</v>
      </c>
      <c r="CX71" s="789">
        <f>_xlfn.XLOOKUP(Table1[[#This Row],[Kode Program]],'[1]Breakdown VOWD Greenfield'!$E:$E,'[1]Breakdown VOWD Greenfield'!$AT:$AT)</f>
        <v>188520089</v>
      </c>
      <c r="CY71" s="42"/>
      <c r="CZ71" s="300">
        <v>45530</v>
      </c>
      <c r="DA71" s="300">
        <v>45543</v>
      </c>
      <c r="DB71" s="301"/>
      <c r="DC71" s="286"/>
      <c r="DD71" s="62"/>
      <c r="DE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1" s="301"/>
      <c r="DG71" s="286"/>
      <c r="DH71" s="62"/>
      <c r="DI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1" s="300">
        <v>45544</v>
      </c>
      <c r="DK71" s="300">
        <v>45592</v>
      </c>
      <c r="DL71" s="301">
        <v>45555</v>
      </c>
      <c r="DM71" s="327" t="s">
        <v>598</v>
      </c>
      <c r="DN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1" s="301">
        <v>45586</v>
      </c>
      <c r="DP71" s="286" t="s">
        <v>599</v>
      </c>
      <c r="DQ71" s="308" t="s">
        <v>344</v>
      </c>
      <c r="DR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1" s="300">
        <v>45544</v>
      </c>
      <c r="DT71" s="300" t="e">
        <v>#N/A</v>
      </c>
      <c r="DU71" s="300">
        <v>45571</v>
      </c>
      <c r="DV71" s="300" t="e">
        <v>#N/A</v>
      </c>
      <c r="DW71" s="301"/>
      <c r="DX71" s="286"/>
      <c r="DY71" s="304"/>
      <c r="DZ71" s="304"/>
      <c r="EA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1" s="301"/>
      <c r="EC71" s="302"/>
      <c r="ED71" s="302"/>
      <c r="EE71" s="300"/>
      <c r="EF71" s="35">
        <v>1</v>
      </c>
      <c r="EG71" s="307">
        <v>1</v>
      </c>
      <c r="EH71" s="286" t="str">
        <f>IF(Table1[[#This Row],[PO Material Aktual 
(%)]]&gt;=100%,"Selesai PO = 100%",IF(Table1[[#This Row],[PO Material Aktual 
(%)]]&gt;=50%,"Proses PO &gt; 100%",IF(Table1[[#This Row],[PO Material Aktual 
(%)]]&gt;0%,"Proses PO &gt; 50%",IF(Table1[[#This Row],[PO Material Aktual 
(%)]]=0,"Belum PO = 0%"))))</f>
        <v>Selesai PO = 100%</v>
      </c>
      <c r="EI7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1" s="300">
        <v>45572</v>
      </c>
      <c r="EK71" s="300" t="e">
        <v>#N/A</v>
      </c>
      <c r="EL71" s="300">
        <v>45620</v>
      </c>
      <c r="EM71" s="300" t="e">
        <v>#N/A</v>
      </c>
      <c r="EN71" s="301"/>
      <c r="EO71" s="302"/>
      <c r="EP71" s="302"/>
      <c r="EQ71" s="82">
        <v>1</v>
      </c>
      <c r="ER71" s="82">
        <v>1</v>
      </c>
      <c r="ES71" s="286" t="str">
        <f>IF(Table1[[#This Row],[Progres MOS]]&gt;=100%,"Selesai MOS = 100%",IF(Table1[[#This Row],[Progres MOS]]&gt;=50%,"Proses MOS &gt; 100%",IF(Table1[[#This Row],[Progres MOS]]&gt;0%,"Proses MOS &gt; 50%",IF(Table1[[#This Row],[Progres MOS]]=0,"Belum MOS = 0%"))))</f>
        <v>Selesai MOS = 100%</v>
      </c>
      <c r="ET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1" s="42"/>
      <c r="EV71" s="300">
        <v>45544</v>
      </c>
      <c r="EW71" s="300" t="e">
        <v>#N/A</v>
      </c>
      <c r="EX71" s="300">
        <v>45620</v>
      </c>
      <c r="EY71" s="300" t="e">
        <v>#N/A</v>
      </c>
      <c r="EZ71" s="322" t="s">
        <v>298</v>
      </c>
      <c r="FA71" s="306" t="s">
        <v>259</v>
      </c>
      <c r="FB71" s="300" t="s">
        <v>260</v>
      </c>
      <c r="FC71" s="300">
        <v>45813</v>
      </c>
      <c r="FD71" s="300" t="s">
        <v>260</v>
      </c>
      <c r="FE71" s="300">
        <v>45884</v>
      </c>
      <c r="FF71" s="300">
        <v>45958</v>
      </c>
      <c r="FG71" s="300" t="s">
        <v>260</v>
      </c>
      <c r="FH71" s="300" t="s">
        <v>260</v>
      </c>
      <c r="FI71" s="300">
        <v>46003</v>
      </c>
      <c r="FJ71" s="300" t="s">
        <v>260</v>
      </c>
      <c r="FK71" s="300">
        <v>46087</v>
      </c>
      <c r="FL71" s="306" t="s">
        <v>298</v>
      </c>
      <c r="FM71" s="306">
        <v>45813</v>
      </c>
      <c r="FN71" s="284">
        <f>IF(Table1[[#This Row],[Tanggal Pengajuan Dokumen]]="","",Table1[[#This Row],[PLAN PERMIT
start]]-Table1[[#This Row],[Tanggal Pengajuan Dokumen]])</f>
        <v>-269</v>
      </c>
      <c r="FO71" s="306"/>
      <c r="FP71" s="286"/>
      <c r="FQ71" s="308"/>
      <c r="FR71" s="322"/>
      <c r="FS71" s="308" t="str">
        <f t="shared" si="7"/>
        <v>Sudah Terbit</v>
      </c>
      <c r="FT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1" s="314">
        <f ca="1">IF(Table1[[#This Row],[Status Izin]]="Selesai",Table1[[#This Row],[PLAN PERMIT
finish]]-Table1[[#This Row],[Tanggal Terbit/ Target Izin Terbit]],ROUNDUP(Table1[[#This Row],[PLAN PERMIT
finish]]-NOW(),0))</f>
        <v>45620</v>
      </c>
      <c r="FV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1" s="314"/>
      <c r="FX71" s="42"/>
      <c r="FY71" s="310"/>
      <c r="FZ71" s="311"/>
      <c r="GA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1" s="300">
        <v>45594</v>
      </c>
      <c r="GC71" s="301">
        <v>45569</v>
      </c>
      <c r="GD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1" s="300">
        <v>45601</v>
      </c>
      <c r="GF71" s="301">
        <v>45569</v>
      </c>
      <c r="GG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1" s="300">
        <v>45607</v>
      </c>
      <c r="GI71" s="300">
        <v>45613</v>
      </c>
      <c r="GJ71" s="323">
        <v>45572</v>
      </c>
      <c r="GK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1" s="300">
        <v>45621</v>
      </c>
      <c r="GM71" s="300" t="e">
        <v>#N/A</v>
      </c>
      <c r="GN71" s="300">
        <v>45641</v>
      </c>
      <c r="GO71" s="300" t="e">
        <v>#N/A</v>
      </c>
      <c r="GP71" s="286"/>
      <c r="GQ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1" s="300" t="s">
        <v>261</v>
      </c>
      <c r="GS71" s="300" t="s">
        <v>261</v>
      </c>
      <c r="GT71" s="324">
        <v>45628</v>
      </c>
      <c r="GU71" s="314" t="str">
        <f>IF(Table1[[#This Row],[Hydro Tes Actual
(tanggal)]]&lt;&gt;"","Sudah","Belum")</f>
        <v>Sudah</v>
      </c>
      <c r="GV71" s="300" t="s">
        <v>261</v>
      </c>
      <c r="GW71" s="300" t="s">
        <v>261</v>
      </c>
      <c r="GX71" s="301">
        <v>45628</v>
      </c>
      <c r="GY71" s="314" t="str">
        <f>IF(Table1[[#This Row],[Interkoneksi Actual
(tanggal)]]&lt;&gt;"","Sudah","Belum")</f>
        <v>Sudah</v>
      </c>
      <c r="GZ71" s="300" t="s">
        <v>261</v>
      </c>
      <c r="HA71" s="300" t="s">
        <v>261</v>
      </c>
      <c r="HB71" s="301">
        <v>45538</v>
      </c>
      <c r="HC71" s="314" t="str">
        <f>IF(Table1[[#This Row],[Flushing Actual
(tanggal)]]&lt;&gt;"","Sudah","Belum")</f>
        <v>Sudah</v>
      </c>
      <c r="HD71" s="300">
        <v>45628</v>
      </c>
      <c r="HE71" s="300" t="e">
        <v>#N/A</v>
      </c>
      <c r="HF71" s="300">
        <v>45634</v>
      </c>
      <c r="HG71" s="316">
        <v>45688</v>
      </c>
      <c r="HH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1" s="300" t="s">
        <v>261</v>
      </c>
      <c r="HJ71" s="300" t="s">
        <v>261</v>
      </c>
      <c r="HK71" s="301"/>
      <c r="HL71" s="286"/>
      <c r="HM71" s="300">
        <v>45646</v>
      </c>
      <c r="HN71" s="300">
        <v>45646</v>
      </c>
      <c r="HO71" s="300" t="e">
        <v>#N/A</v>
      </c>
      <c r="HP71" s="300"/>
      <c r="HQ71" s="316">
        <v>45728</v>
      </c>
      <c r="HR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1" s="300">
        <v>45653</v>
      </c>
      <c r="HT71" s="300"/>
      <c r="HU71" s="300">
        <v>45653</v>
      </c>
      <c r="HV71" s="497"/>
      <c r="HW71" s="300">
        <v>45745</v>
      </c>
      <c r="HX7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1" s="42"/>
      <c r="HZ71" s="322"/>
      <c r="IA71" s="306"/>
      <c r="IC71" s="585">
        <f>IFERROR(ROUND((Table1[[#This Row],[PLAN TC
finish]]-Table1[[#This Row],[PLAN MC-0
start]])/30,2),"")</f>
        <v>0.9</v>
      </c>
      <c r="ID71">
        <f>DATEDIF(Table1[[#This Row],[PLAN MC-0
start]],Table1[[#This Row],[PLAN TC
finish]],"m")</f>
        <v>0</v>
      </c>
    </row>
    <row r="72" spans="1:238" s="4" customFormat="1" ht="15" customHeight="1" x14ac:dyDescent="0.25">
      <c r="B72" s="281">
        <f>SUBTOTAL(3,$D$5:D72)</f>
        <v>68</v>
      </c>
      <c r="C72" s="318">
        <v>68</v>
      </c>
      <c r="D72" s="285" t="s">
        <v>244</v>
      </c>
      <c r="E72" s="285" t="s">
        <v>600</v>
      </c>
      <c r="F72" s="285" t="s">
        <v>601</v>
      </c>
      <c r="G72" s="319">
        <v>45752</v>
      </c>
      <c r="H72" s="284" t="s">
        <v>247</v>
      </c>
      <c r="I72" s="285" t="s">
        <v>278</v>
      </c>
      <c r="J72" s="285"/>
      <c r="K72" s="308" t="s">
        <v>249</v>
      </c>
      <c r="L72" s="286" t="s">
        <v>250</v>
      </c>
      <c r="M72" s="286" t="s">
        <v>269</v>
      </c>
      <c r="N72" s="94">
        <v>1504</v>
      </c>
      <c r="O72" s="31" t="s">
        <v>252</v>
      </c>
      <c r="P7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2" s="82" t="e">
        <v>#N/A</v>
      </c>
      <c r="S72" s="82">
        <v>1</v>
      </c>
      <c r="T72" s="35">
        <f>Table1[[#This Row],[Progres Total Aktual
(%)]]</f>
        <v>1</v>
      </c>
      <c r="U72" s="106">
        <f>Table1[[#This Row],[Progres Aktual
(%)]]-Table1[[#This Row],[Target Progres
(%)]]</f>
        <v>0</v>
      </c>
      <c r="V72" s="320">
        <f>Table1[[#This Row],["Volume
BA MC-0"]]</f>
        <v>1373</v>
      </c>
      <c r="W72" s="321">
        <f>Table1[[#This Row],[Total Panjang Pipa Aktual
(Sum-&gt;)3]]</f>
        <v>1369</v>
      </c>
      <c r="X72" s="42"/>
      <c r="Y72" s="62" t="s">
        <v>602</v>
      </c>
      <c r="Z72" s="62">
        <v>2776157433</v>
      </c>
      <c r="AA72" s="62">
        <f>ROUND((Table1[[#This Row],[Nilai RAB Jaringan
(Exclude Ppn)]]-Table1[[#This Row],[RAB Perizinan]])*1.11+Table1[[#This Row],[RAB Perizinan]],0)</f>
        <v>0</v>
      </c>
      <c r="AB72" s="290">
        <f>SUM(Table1[[#This Row],[RAB Kegiatan Umum]:[RAB Perizinan]])</f>
        <v>0</v>
      </c>
      <c r="AC72" s="290"/>
      <c r="AD72" s="290"/>
      <c r="AE72" s="290"/>
      <c r="AF72" s="290"/>
      <c r="AG72" s="290">
        <v>1393760844</v>
      </c>
      <c r="AH72" s="35" t="e">
        <f>SUM(Table1[[#This Row],[Bobot Keg Umum]:[Bobot Perizinan]])</f>
        <v>#DIV/0!</v>
      </c>
      <c r="AI72" s="35" t="e">
        <f>Table1[[#This Row],[RAB Kegiatan Umum]]/Table1[[#This Row],[Nilai RAB Jaringan
(Exclude Ppn)]]</f>
        <v>#DIV/0!</v>
      </c>
      <c r="AJ72" s="35" t="e">
        <f>Table1[[#This Row],[RAB Pemasangan]]/Table1[[#This Row],[Nilai RAB Jaringan
(Exclude Ppn)]]</f>
        <v>#DIV/0!</v>
      </c>
      <c r="AK72" s="35" t="e">
        <f>Table1[[#This Row],[RAB Pengadaan]]/Table1[[#This Row],[Nilai RAB Jaringan
(Exclude Ppn)]]</f>
        <v>#DIV/0!</v>
      </c>
      <c r="AL72" s="35" t="e">
        <f>Table1[[#This Row],[RAB Perizinan]]/Table1[[#This Row],[Nilai RAB Jaringan
(Exclude Ppn)]]</f>
        <v>#DIV/0!</v>
      </c>
      <c r="AM72" s="42"/>
      <c r="AN72" s="256">
        <v>1373</v>
      </c>
      <c r="AO72" s="256">
        <f>SUM(Table1[[#This Row],[Pipa 63 mm]:[Pipa 1,800 mm]])</f>
        <v>0</v>
      </c>
      <c r="AP72" s="256"/>
      <c r="AQ72" s="256"/>
      <c r="AR72" s="256"/>
      <c r="AS72" s="256"/>
      <c r="AT72" s="256"/>
      <c r="AU72" s="256"/>
      <c r="AV72" s="256"/>
      <c r="AW72" s="256"/>
      <c r="AX72" s="256"/>
      <c r="AY72" s="256"/>
      <c r="AZ72" s="256"/>
      <c r="BA72" s="256"/>
      <c r="BB72" s="256"/>
      <c r="BC72" s="256"/>
      <c r="BD72" s="256"/>
      <c r="BE72" s="256"/>
      <c r="BF72" s="256"/>
      <c r="BG72" s="256"/>
      <c r="BH72" s="256"/>
      <c r="BI72" s="256"/>
      <c r="BJ72" s="36">
        <f>SUM(Table1[[#This Row],[Pipa 63 mm2]:[Pipa 1,800 mm21]])</f>
        <v>1369</v>
      </c>
      <c r="BK72" s="32"/>
      <c r="BL72" s="32">
        <v>856.5</v>
      </c>
      <c r="BM72" s="32">
        <v>393.5</v>
      </c>
      <c r="BN72" s="32">
        <v>119</v>
      </c>
      <c r="BO72" s="32"/>
      <c r="BP72" s="32"/>
      <c r="BQ72" s="32"/>
      <c r="BR72" s="32"/>
      <c r="BS72" s="32"/>
      <c r="BT72" s="32"/>
      <c r="BU72" s="32"/>
      <c r="BV72" s="32"/>
      <c r="BW72" s="32"/>
      <c r="BX72" s="32"/>
      <c r="BY72" s="32"/>
      <c r="BZ72" s="32"/>
      <c r="CA72" s="32"/>
      <c r="CB72" s="32"/>
      <c r="CC72" s="32"/>
      <c r="CD72" s="32"/>
      <c r="CE72" s="32">
        <v>0</v>
      </c>
      <c r="CF72" s="32"/>
      <c r="CG72" s="32"/>
      <c r="CH72" s="32"/>
      <c r="CI72" s="32">
        <f t="shared" si="6"/>
        <v>0</v>
      </c>
      <c r="CJ72" s="60">
        <f>IF((Table1[[#This Row],["Volume
BA MC-0"]]-Table1[[#This Row],[Total Panjang Pipa Aktual
(Sum-&gt;)3]]-Table1[[#This Row],[Total Volume
tidak dapat dipasang]])&gt;=0,Table1[[#This Row],["Volume
BA MC-0"]]-Table1[[#This Row],[Total Panjang Pipa Aktual
(Sum-&gt;)3]]-Table1[[#This Row],[Total Volume
tidak dapat dipasang]],0)</f>
        <v>4</v>
      </c>
      <c r="CK72" s="42"/>
      <c r="CL72" s="113"/>
      <c r="CM72" s="35"/>
      <c r="CN72" s="113"/>
      <c r="CO72" s="113"/>
      <c r="CP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2" s="61">
        <f>IFERROR(Table1[[#This Row],[Progres Keg. Umum
(%)]]*Table1[[#This Row],[Nilai RAB Jaringan
(file pa aji)]],0)</f>
        <v>0</v>
      </c>
      <c r="CR72" s="61">
        <f>IFERROR(Table1[[#This Row],[Progres MOS
(%)]]*Table1[[#This Row],[Nilai RAB Jaringan
(file pa aji)]],0)</f>
        <v>0</v>
      </c>
      <c r="CS72" s="61">
        <f>IFERROR(Table1[[#This Row],[Progres Pemasangan
(%)]]*Table1[[#This Row],[Nilai RAB Jaringan
(file pa aji)]],0)</f>
        <v>0</v>
      </c>
      <c r="CT72" s="61">
        <f>IFERROR(Table1[[#This Row],[Progres Perizinan
(%)]]*Table1[[#This Row],[Nilai RAB Jaringan
(file pa aji)]],0)</f>
        <v>0</v>
      </c>
      <c r="CU72" s="789">
        <v>1925474114</v>
      </c>
      <c r="CV72" s="299">
        <v>1925474114</v>
      </c>
      <c r="CW72" s="552">
        <v>1925474114</v>
      </c>
      <c r="CX72" s="789">
        <f>_xlfn.XLOOKUP(Table1[[#This Row],[Kode Program]],'[1]Breakdown VOWD Greenfield'!$E:$E,'[1]Breakdown VOWD Greenfield'!$AT:$AT)</f>
        <v>1925474114</v>
      </c>
      <c r="CY72" s="42"/>
      <c r="CZ72" s="300">
        <v>45530</v>
      </c>
      <c r="DA72" s="300">
        <v>45557</v>
      </c>
      <c r="DB72" s="301"/>
      <c r="DC72" s="286"/>
      <c r="DD72" s="62"/>
      <c r="DE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2" s="301"/>
      <c r="DG72" s="286"/>
      <c r="DH72" s="62"/>
      <c r="DI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2" s="300">
        <v>45558</v>
      </c>
      <c r="DK72" s="300">
        <v>45592</v>
      </c>
      <c r="DL72" s="301"/>
      <c r="DM72" s="286"/>
      <c r="DN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2" s="301"/>
      <c r="DP72" s="286"/>
      <c r="DQ72" s="308"/>
      <c r="DR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2" s="300">
        <v>45558</v>
      </c>
      <c r="DT72" s="300" t="e">
        <v>#N/A</v>
      </c>
      <c r="DU72" s="300">
        <v>45599</v>
      </c>
      <c r="DV72" s="300" t="e">
        <v>#N/A</v>
      </c>
      <c r="DW72" s="301"/>
      <c r="DX72" s="286"/>
      <c r="DY72" s="304"/>
      <c r="DZ72" s="304"/>
      <c r="EA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2" s="301"/>
      <c r="EC72" s="302"/>
      <c r="ED72" s="302"/>
      <c r="EE72" s="300"/>
      <c r="EF72" s="35">
        <v>1</v>
      </c>
      <c r="EG72" s="307">
        <v>1</v>
      </c>
      <c r="EH72" s="286" t="str">
        <f>IF(Table1[[#This Row],[PO Material Aktual 
(%)]]&gt;=100%,"Selesai PO = 100%",IF(Table1[[#This Row],[PO Material Aktual 
(%)]]&gt;=50%,"Proses PO &gt; 100%",IF(Table1[[#This Row],[PO Material Aktual 
(%)]]&gt;0%,"Proses PO &gt; 50%",IF(Table1[[#This Row],[PO Material Aktual 
(%)]]=0,"Belum PO = 0%"))))</f>
        <v>Selesai PO = 100%</v>
      </c>
      <c r="EI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2" s="300">
        <v>45600</v>
      </c>
      <c r="EK72" s="300" t="e">
        <v>#N/A</v>
      </c>
      <c r="EL72" s="300">
        <v>45655</v>
      </c>
      <c r="EM72" s="300" t="e">
        <v>#N/A</v>
      </c>
      <c r="EN72" s="301"/>
      <c r="EO72" s="302"/>
      <c r="EP72" s="302"/>
      <c r="EQ72" s="82">
        <v>1</v>
      </c>
      <c r="ER72" s="82">
        <v>1</v>
      </c>
      <c r="ES72" s="286" t="str">
        <f>IF(Table1[[#This Row],[Progres MOS]]&gt;=100%,"Selesai MOS = 100%",IF(Table1[[#This Row],[Progres MOS]]&gt;=50%,"Proses MOS &gt; 100%",IF(Table1[[#This Row],[Progres MOS]]&gt;0%,"Proses MOS &gt; 50%",IF(Table1[[#This Row],[Progres MOS]]=0,"Belum MOS = 0%"))))</f>
        <v>Selesai MOS = 100%</v>
      </c>
      <c r="ET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2" s="42"/>
      <c r="EV72" s="300">
        <v>45558</v>
      </c>
      <c r="EW72" s="300" t="e">
        <v>#N/A</v>
      </c>
      <c r="EX72" s="300">
        <v>45620</v>
      </c>
      <c r="EY72" s="300" t="e">
        <v>#N/A</v>
      </c>
      <c r="EZ72" s="322" t="s">
        <v>298</v>
      </c>
      <c r="FA72" s="306" t="s">
        <v>259</v>
      </c>
      <c r="FB72" s="300" t="s">
        <v>260</v>
      </c>
      <c r="FC72" s="300">
        <v>45797</v>
      </c>
      <c r="FD72" s="300" t="s">
        <v>260</v>
      </c>
      <c r="FE72" s="300">
        <v>45895</v>
      </c>
      <c r="FF72" s="300">
        <v>45919</v>
      </c>
      <c r="FG72" s="300" t="s">
        <v>260</v>
      </c>
      <c r="FH72" s="300" t="s">
        <v>260</v>
      </c>
      <c r="FI72" s="300">
        <v>46020</v>
      </c>
      <c r="FJ72" s="300" t="s">
        <v>260</v>
      </c>
      <c r="FK72" s="300">
        <v>46087</v>
      </c>
      <c r="FL72" s="306" t="s">
        <v>298</v>
      </c>
      <c r="FM72" s="306">
        <v>45797</v>
      </c>
      <c r="FN72" s="284">
        <f>IF(Table1[[#This Row],[Tanggal Pengajuan Dokumen]]="","",Table1[[#This Row],[PLAN PERMIT
start]]-Table1[[#This Row],[Tanggal Pengajuan Dokumen]])</f>
        <v>-239</v>
      </c>
      <c r="FO72" s="306"/>
      <c r="FP72" s="286"/>
      <c r="FQ72" s="308"/>
      <c r="FR72" s="322"/>
      <c r="FS72" s="308" t="str">
        <f t="shared" si="7"/>
        <v>Sudah Terbit</v>
      </c>
      <c r="FT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2" s="314">
        <f ca="1">IF(Table1[[#This Row],[Status Izin]]="Selesai",Table1[[#This Row],[PLAN PERMIT
finish]]-Table1[[#This Row],[Tanggal Terbit/ Target Izin Terbit]],ROUNDUP(Table1[[#This Row],[PLAN PERMIT
finish]]-NOW(),0))</f>
        <v>45620</v>
      </c>
      <c r="FV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2" s="314"/>
      <c r="FX72" s="42"/>
      <c r="FY72" s="310"/>
      <c r="FZ72" s="311"/>
      <c r="GA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2" s="300">
        <v>45594</v>
      </c>
      <c r="GC72" s="301">
        <v>45656</v>
      </c>
      <c r="GD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2" s="300">
        <v>45601</v>
      </c>
      <c r="GF72" s="301">
        <v>45656</v>
      </c>
      <c r="GG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2" s="300">
        <v>45607</v>
      </c>
      <c r="GI72" s="300">
        <v>45613</v>
      </c>
      <c r="GJ72" s="323">
        <v>45665</v>
      </c>
      <c r="GK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2" s="300">
        <v>45621</v>
      </c>
      <c r="GM72" s="300" t="e">
        <v>#N/A</v>
      </c>
      <c r="GN72" s="300">
        <v>45690</v>
      </c>
      <c r="GO72" s="300" t="e">
        <v>#N/A</v>
      </c>
      <c r="GP72" s="286"/>
      <c r="GQ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2" s="300" t="s">
        <v>261</v>
      </c>
      <c r="GS72" s="300" t="s">
        <v>261</v>
      </c>
      <c r="GT72" s="324">
        <v>45713</v>
      </c>
      <c r="GU72" s="314" t="str">
        <f>IF(Table1[[#This Row],[Hydro Tes Actual
(tanggal)]]&lt;&gt;"","Sudah","Belum")</f>
        <v>Sudah</v>
      </c>
      <c r="GV72" s="300" t="s">
        <v>261</v>
      </c>
      <c r="GW72" s="300" t="s">
        <v>261</v>
      </c>
      <c r="GX72" s="301">
        <v>45705</v>
      </c>
      <c r="GY72" s="314" t="str">
        <f>IF(Table1[[#This Row],[Interkoneksi Actual
(tanggal)]]&lt;&gt;"","Sudah","Belum")</f>
        <v>Sudah</v>
      </c>
      <c r="GZ72" s="300" t="s">
        <v>261</v>
      </c>
      <c r="HA72" s="300" t="s">
        <v>261</v>
      </c>
      <c r="HB72" s="301">
        <v>45716</v>
      </c>
      <c r="HC72" s="314" t="str">
        <f>IF(Table1[[#This Row],[Flushing Actual
(tanggal)]]&lt;&gt;"","Sudah","Belum")</f>
        <v>Sudah</v>
      </c>
      <c r="HD72" s="300">
        <v>45677</v>
      </c>
      <c r="HE72" s="300" t="e">
        <v>#N/A</v>
      </c>
      <c r="HF72" s="300">
        <v>45683</v>
      </c>
      <c r="HG72" s="316">
        <v>45730</v>
      </c>
      <c r="HH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2" s="300" t="s">
        <v>261</v>
      </c>
      <c r="HJ72" s="300" t="s">
        <v>261</v>
      </c>
      <c r="HK72" s="301"/>
      <c r="HL72" s="286"/>
      <c r="HM72" s="300">
        <v>45702</v>
      </c>
      <c r="HN72" s="300">
        <v>45702</v>
      </c>
      <c r="HO72" s="300" t="e">
        <v>#N/A</v>
      </c>
      <c r="HP72" s="300"/>
      <c r="HQ72" s="316">
        <v>45743</v>
      </c>
      <c r="HR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2" s="300">
        <v>45709</v>
      </c>
      <c r="HT72" s="300"/>
      <c r="HU72" s="300">
        <v>45709</v>
      </c>
      <c r="HV72" s="497"/>
      <c r="HW72" s="300">
        <v>45751</v>
      </c>
      <c r="HX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2" s="42"/>
      <c r="HZ72" s="322"/>
      <c r="IA72" s="306"/>
      <c r="IC72" s="585">
        <f>IFERROR(ROUND((Table1[[#This Row],[PLAN TC
finish]]-Table1[[#This Row],[PLAN MC-0
start]])/30,2),"")</f>
        <v>2.5299999999999998</v>
      </c>
      <c r="ID72">
        <f>DATEDIF(Table1[[#This Row],[PLAN MC-0
start]],Table1[[#This Row],[PLAN TC
finish]],"m")</f>
        <v>2</v>
      </c>
    </row>
    <row r="73" spans="1:238" s="4" customFormat="1" ht="15" customHeight="1" x14ac:dyDescent="0.25">
      <c r="B73" s="281">
        <f>SUBTOTAL(3,$D$5:D73)</f>
        <v>69</v>
      </c>
      <c r="C73" s="318">
        <v>69</v>
      </c>
      <c r="D73" s="285" t="s">
        <v>244</v>
      </c>
      <c r="E73" s="285" t="s">
        <v>603</v>
      </c>
      <c r="F73" s="285" t="s">
        <v>604</v>
      </c>
      <c r="G73" s="319">
        <v>45752</v>
      </c>
      <c r="H73" s="284" t="s">
        <v>247</v>
      </c>
      <c r="I73" s="285" t="s">
        <v>278</v>
      </c>
      <c r="J73" s="285"/>
      <c r="K73" s="308" t="s">
        <v>249</v>
      </c>
      <c r="L73" s="286" t="s">
        <v>250</v>
      </c>
      <c r="M73" s="286" t="s">
        <v>269</v>
      </c>
      <c r="N73" s="94">
        <v>571</v>
      </c>
      <c r="O73" s="31" t="s">
        <v>252</v>
      </c>
      <c r="P7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3" s="82" t="e">
        <v>#N/A</v>
      </c>
      <c r="S73" s="82">
        <v>1</v>
      </c>
      <c r="T73" s="35">
        <f>Table1[[#This Row],[Progres Total Aktual
(%)]]</f>
        <v>1</v>
      </c>
      <c r="U73" s="106">
        <f>Table1[[#This Row],[Progres Aktual
(%)]]-Table1[[#This Row],[Target Progres
(%)]]</f>
        <v>0</v>
      </c>
      <c r="V73" s="320">
        <f>Table1[[#This Row],["Volume
BA MC-0"]]</f>
        <v>578</v>
      </c>
      <c r="W73" s="321">
        <f>Table1[[#This Row],[Total Panjang Pipa Aktual
(Sum-&gt;)3]]</f>
        <v>621.9</v>
      </c>
      <c r="X73" s="42"/>
      <c r="Y73" s="62" t="s">
        <v>605</v>
      </c>
      <c r="Z73" s="62">
        <v>1159212213</v>
      </c>
      <c r="AA73" s="62">
        <f>ROUND((Table1[[#This Row],[Nilai RAB Jaringan
(Exclude Ppn)]]-Table1[[#This Row],[RAB Perizinan]])*1.11+Table1[[#This Row],[RAB Perizinan]],0)</f>
        <v>0</v>
      </c>
      <c r="AB73" s="290">
        <f>SUM(Table1[[#This Row],[RAB Kegiatan Umum]:[RAB Perizinan]])</f>
        <v>0</v>
      </c>
      <c r="AC73" s="290"/>
      <c r="AD73" s="290"/>
      <c r="AE73" s="290"/>
      <c r="AF73" s="290"/>
      <c r="AG73" s="290">
        <v>102482415</v>
      </c>
      <c r="AH73" s="35" t="e">
        <f>SUM(Table1[[#This Row],[Bobot Keg Umum]:[Bobot Perizinan]])</f>
        <v>#DIV/0!</v>
      </c>
      <c r="AI73" s="35" t="e">
        <f>Table1[[#This Row],[RAB Kegiatan Umum]]/Table1[[#This Row],[Nilai RAB Jaringan
(Exclude Ppn)]]</f>
        <v>#DIV/0!</v>
      </c>
      <c r="AJ73" s="35" t="e">
        <f>Table1[[#This Row],[RAB Pemasangan]]/Table1[[#This Row],[Nilai RAB Jaringan
(Exclude Ppn)]]</f>
        <v>#DIV/0!</v>
      </c>
      <c r="AK73" s="35" t="e">
        <f>Table1[[#This Row],[RAB Pengadaan]]/Table1[[#This Row],[Nilai RAB Jaringan
(Exclude Ppn)]]</f>
        <v>#DIV/0!</v>
      </c>
      <c r="AL73" s="35" t="e">
        <f>Table1[[#This Row],[RAB Perizinan]]/Table1[[#This Row],[Nilai RAB Jaringan
(Exclude Ppn)]]</f>
        <v>#DIV/0!</v>
      </c>
      <c r="AM73" s="42"/>
      <c r="AN73" s="256">
        <v>578</v>
      </c>
      <c r="AO73" s="256">
        <f>SUM(Table1[[#This Row],[Pipa 63 mm]:[Pipa 1,800 mm]])</f>
        <v>0</v>
      </c>
      <c r="AP73" s="256"/>
      <c r="AQ73" s="256"/>
      <c r="AR73" s="256"/>
      <c r="AS73" s="256"/>
      <c r="AT73" s="256"/>
      <c r="AU73" s="256"/>
      <c r="AV73" s="256"/>
      <c r="AW73" s="256"/>
      <c r="AX73" s="256"/>
      <c r="AY73" s="256"/>
      <c r="AZ73" s="256"/>
      <c r="BA73" s="256"/>
      <c r="BB73" s="256"/>
      <c r="BC73" s="256"/>
      <c r="BD73" s="256"/>
      <c r="BE73" s="256"/>
      <c r="BF73" s="256"/>
      <c r="BG73" s="256"/>
      <c r="BH73" s="256"/>
      <c r="BI73" s="256"/>
      <c r="BJ73" s="36">
        <f>SUM(Table1[[#This Row],[Pipa 63 mm2]:[Pipa 1,800 mm21]])</f>
        <v>621.9</v>
      </c>
      <c r="BK73" s="326"/>
      <c r="BL73" s="326">
        <v>9</v>
      </c>
      <c r="BM73" s="326">
        <v>612.9</v>
      </c>
      <c r="BN73" s="326"/>
      <c r="BO73" s="326"/>
      <c r="BP73" s="326"/>
      <c r="BQ73" s="326"/>
      <c r="BR73" s="326"/>
      <c r="BS73" s="326"/>
      <c r="BT73" s="326"/>
      <c r="BU73" s="326"/>
      <c r="BV73" s="326"/>
      <c r="BW73" s="326"/>
      <c r="BX73" s="326"/>
      <c r="BY73" s="326"/>
      <c r="BZ73" s="326"/>
      <c r="CA73" s="326"/>
      <c r="CB73" s="326"/>
      <c r="CC73" s="326"/>
      <c r="CD73" s="326"/>
      <c r="CE73" s="32">
        <v>0</v>
      </c>
      <c r="CF73" s="32"/>
      <c r="CG73" s="32"/>
      <c r="CH73" s="32"/>
      <c r="CI73" s="32">
        <f t="shared" si="6"/>
        <v>0</v>
      </c>
      <c r="CJ73" s="60">
        <f>IF((Table1[[#This Row],["Volume
BA MC-0"]]-Table1[[#This Row],[Total Panjang Pipa Aktual
(Sum-&gt;)3]]-Table1[[#This Row],[Total Volume
tidak dapat dipasang]])&gt;=0,Table1[[#This Row],["Volume
BA MC-0"]]-Table1[[#This Row],[Total Panjang Pipa Aktual
(Sum-&gt;)3]]-Table1[[#This Row],[Total Volume
tidak dapat dipasang]],0)</f>
        <v>0</v>
      </c>
      <c r="CK73" s="42"/>
      <c r="CL73" s="113"/>
      <c r="CM73" s="35"/>
      <c r="CN73" s="113"/>
      <c r="CO73" s="113"/>
      <c r="CP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3" s="61">
        <f>IFERROR(Table1[[#This Row],[Progres Keg. Umum
(%)]]*Table1[[#This Row],[Nilai RAB Jaringan
(file pa aji)]],0)</f>
        <v>0</v>
      </c>
      <c r="CR73" s="61">
        <f>IFERROR(Table1[[#This Row],[Progres MOS
(%)]]*Table1[[#This Row],[Nilai RAB Jaringan
(file pa aji)]],0)</f>
        <v>0</v>
      </c>
      <c r="CS73" s="61">
        <f>IFERROR(Table1[[#This Row],[Progres Pemasangan
(%)]]*Table1[[#This Row],[Nilai RAB Jaringan
(file pa aji)]],0)</f>
        <v>0</v>
      </c>
      <c r="CT73" s="61">
        <f>IFERROR(Table1[[#This Row],[Progres Perizinan
(%)]]*Table1[[#This Row],[Nilai RAB Jaringan
(file pa aji)]],0)</f>
        <v>0</v>
      </c>
      <c r="CU73" s="789">
        <v>853401247</v>
      </c>
      <c r="CV73" s="299">
        <v>853401247</v>
      </c>
      <c r="CW73" s="552">
        <v>853401247</v>
      </c>
      <c r="CX73" s="789">
        <f>_xlfn.XLOOKUP(Table1[[#This Row],[Kode Program]],'[1]Breakdown VOWD Greenfield'!$E:$E,'[1]Breakdown VOWD Greenfield'!$AT:$AT)</f>
        <v>853401247</v>
      </c>
      <c r="CY73" s="42"/>
      <c r="CZ73" s="300">
        <v>45530</v>
      </c>
      <c r="DA73" s="300">
        <v>45557</v>
      </c>
      <c r="DB73" s="301"/>
      <c r="DC73" s="286"/>
      <c r="DD73" s="62"/>
      <c r="DE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3" s="301"/>
      <c r="DG73" s="286"/>
      <c r="DH73" s="62"/>
      <c r="DI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3" s="300">
        <v>45558</v>
      </c>
      <c r="DK73" s="300">
        <v>45592</v>
      </c>
      <c r="DL73" s="301"/>
      <c r="DM73" s="286"/>
      <c r="DN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3" s="301"/>
      <c r="DP73" s="286"/>
      <c r="DQ73" s="308"/>
      <c r="DR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3" s="300">
        <v>45558</v>
      </c>
      <c r="DT73" s="300" t="e">
        <v>#N/A</v>
      </c>
      <c r="DU73" s="300">
        <v>45599</v>
      </c>
      <c r="DV73" s="300" t="e">
        <v>#N/A</v>
      </c>
      <c r="DW73" s="301"/>
      <c r="DX73" s="286"/>
      <c r="DY73" s="304"/>
      <c r="DZ73" s="304"/>
      <c r="EA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3" s="301"/>
      <c r="EC73" s="302"/>
      <c r="ED73" s="302"/>
      <c r="EE73" s="300"/>
      <c r="EF73" s="35">
        <v>1</v>
      </c>
      <c r="EG73" s="307">
        <v>1</v>
      </c>
      <c r="EH73" s="286" t="str">
        <f>IF(Table1[[#This Row],[PO Material Aktual 
(%)]]&gt;=100%,"Selesai PO = 100%",IF(Table1[[#This Row],[PO Material Aktual 
(%)]]&gt;=50%,"Proses PO &gt; 100%",IF(Table1[[#This Row],[PO Material Aktual 
(%)]]&gt;0%,"Proses PO &gt; 50%",IF(Table1[[#This Row],[PO Material Aktual 
(%)]]=0,"Belum PO = 0%"))))</f>
        <v>Selesai PO = 100%</v>
      </c>
      <c r="EI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3" s="300">
        <v>45600</v>
      </c>
      <c r="EK73" s="300" t="e">
        <v>#N/A</v>
      </c>
      <c r="EL73" s="300">
        <v>45655</v>
      </c>
      <c r="EM73" s="300" t="e">
        <v>#N/A</v>
      </c>
      <c r="EN73" s="301"/>
      <c r="EO73" s="302"/>
      <c r="EP73" s="302"/>
      <c r="EQ73" s="82">
        <v>1</v>
      </c>
      <c r="ER73" s="82">
        <v>1</v>
      </c>
      <c r="ES73" s="286" t="str">
        <f>IF(Table1[[#This Row],[Progres MOS]]&gt;=100%,"Selesai MOS = 100%",IF(Table1[[#This Row],[Progres MOS]]&gt;=50%,"Proses MOS &gt; 100%",IF(Table1[[#This Row],[Progres MOS]]&gt;0%,"Proses MOS &gt; 50%",IF(Table1[[#This Row],[Progres MOS]]=0,"Belum MOS = 0%"))))</f>
        <v>Selesai MOS = 100%</v>
      </c>
      <c r="ET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3" s="42"/>
      <c r="EV73" s="300">
        <v>45558</v>
      </c>
      <c r="EW73" s="300" t="e">
        <v>#N/A</v>
      </c>
      <c r="EX73" s="300">
        <v>45620</v>
      </c>
      <c r="EY73" s="300" t="e">
        <v>#N/A</v>
      </c>
      <c r="EZ73" s="322" t="s">
        <v>298</v>
      </c>
      <c r="FA73" s="306" t="s">
        <v>259</v>
      </c>
      <c r="FB73" s="300" t="s">
        <v>260</v>
      </c>
      <c r="FC73" s="300">
        <v>45797</v>
      </c>
      <c r="FD73" s="300" t="s">
        <v>260</v>
      </c>
      <c r="FE73" s="300">
        <v>45895</v>
      </c>
      <c r="FF73" s="300">
        <v>45919</v>
      </c>
      <c r="FG73" s="300" t="s">
        <v>260</v>
      </c>
      <c r="FH73" s="300" t="s">
        <v>260</v>
      </c>
      <c r="FI73" s="300">
        <v>46020</v>
      </c>
      <c r="FJ73" s="300" t="s">
        <v>260</v>
      </c>
      <c r="FK73" s="300">
        <v>46087</v>
      </c>
      <c r="FL73" s="306" t="s">
        <v>298</v>
      </c>
      <c r="FM73" s="306">
        <v>45797</v>
      </c>
      <c r="FN73" s="284">
        <f>IF(Table1[[#This Row],[Tanggal Pengajuan Dokumen]]="","",Table1[[#This Row],[PLAN PERMIT
start]]-Table1[[#This Row],[Tanggal Pengajuan Dokumen]])</f>
        <v>-239</v>
      </c>
      <c r="FO73" s="306"/>
      <c r="FP73" s="286"/>
      <c r="FQ73" s="308"/>
      <c r="FR73" s="322"/>
      <c r="FS73" s="308" t="str">
        <f t="shared" si="7"/>
        <v>Sudah Terbit</v>
      </c>
      <c r="FT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3" s="314">
        <f ca="1">IF(Table1[[#This Row],[Status Izin]]="Selesai",Table1[[#This Row],[PLAN PERMIT
finish]]-Table1[[#This Row],[Tanggal Terbit/ Target Izin Terbit]],ROUNDUP(Table1[[#This Row],[PLAN PERMIT
finish]]-NOW(),0))</f>
        <v>45620</v>
      </c>
      <c r="FV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3" s="314"/>
      <c r="FX73" s="42"/>
      <c r="FY73" s="310"/>
      <c r="FZ73" s="311"/>
      <c r="GA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3" s="300">
        <v>45594</v>
      </c>
      <c r="GC73" s="301">
        <v>45656</v>
      </c>
      <c r="GD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73" s="300">
        <v>45601</v>
      </c>
      <c r="GF73" s="301">
        <v>45656</v>
      </c>
      <c r="GG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73" s="300">
        <v>45607</v>
      </c>
      <c r="GI73" s="300">
        <v>45613</v>
      </c>
      <c r="GJ73" s="323">
        <v>45665</v>
      </c>
      <c r="GK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73" s="300">
        <v>45621</v>
      </c>
      <c r="GM73" s="300" t="e">
        <v>#N/A</v>
      </c>
      <c r="GN73" s="300">
        <v>45690</v>
      </c>
      <c r="GO73" s="300" t="e">
        <v>#N/A</v>
      </c>
      <c r="GP73" s="286"/>
      <c r="GQ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3" s="300" t="s">
        <v>261</v>
      </c>
      <c r="GS73" s="300" t="s">
        <v>261</v>
      </c>
      <c r="GT73" s="324">
        <v>45679</v>
      </c>
      <c r="GU73" s="314" t="str">
        <f>IF(Table1[[#This Row],[Hydro Tes Actual
(tanggal)]]&lt;&gt;"","Sudah","Belum")</f>
        <v>Sudah</v>
      </c>
      <c r="GV73" s="300" t="s">
        <v>261</v>
      </c>
      <c r="GW73" s="300" t="s">
        <v>261</v>
      </c>
      <c r="GX73" s="301">
        <v>45708</v>
      </c>
      <c r="GY73" s="314" t="str">
        <f>IF(Table1[[#This Row],[Interkoneksi Actual
(tanggal)]]&lt;&gt;"","Sudah","Belum")</f>
        <v>Sudah</v>
      </c>
      <c r="GZ73" s="300" t="s">
        <v>261</v>
      </c>
      <c r="HA73" s="300" t="s">
        <v>261</v>
      </c>
      <c r="HB73" s="301">
        <v>45712</v>
      </c>
      <c r="HC73" s="314" t="str">
        <f>IF(Table1[[#This Row],[Flushing Actual
(tanggal)]]&lt;&gt;"","Sudah","Belum")</f>
        <v>Sudah</v>
      </c>
      <c r="HD73" s="300">
        <v>45677</v>
      </c>
      <c r="HE73" s="300" t="e">
        <v>#N/A</v>
      </c>
      <c r="HF73" s="300">
        <v>45683</v>
      </c>
      <c r="HG73" s="316">
        <v>45730</v>
      </c>
      <c r="HH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73" s="300" t="s">
        <v>261</v>
      </c>
      <c r="HJ73" s="300" t="s">
        <v>261</v>
      </c>
      <c r="HK73" s="301"/>
      <c r="HL73" s="286"/>
      <c r="HM73" s="300">
        <v>45702</v>
      </c>
      <c r="HN73" s="300">
        <v>45702</v>
      </c>
      <c r="HO73" s="300" t="e">
        <v>#N/A</v>
      </c>
      <c r="HP73" s="300"/>
      <c r="HQ73" s="316">
        <v>45743</v>
      </c>
      <c r="HR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73" s="300">
        <v>45709</v>
      </c>
      <c r="HT73" s="300"/>
      <c r="HU73" s="300">
        <v>45709</v>
      </c>
      <c r="HV73" s="497"/>
      <c r="HW73" s="300">
        <v>45751</v>
      </c>
      <c r="HX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3" s="42"/>
      <c r="HZ73" s="322"/>
      <c r="IA73" s="306"/>
      <c r="IC73" s="585">
        <f>IFERROR(ROUND((Table1[[#This Row],[PLAN TC
finish]]-Table1[[#This Row],[PLAN MC-0
start]])/30,2),"")</f>
        <v>2.5299999999999998</v>
      </c>
      <c r="ID73">
        <f>DATEDIF(Table1[[#This Row],[PLAN MC-0
start]],Table1[[#This Row],[PLAN TC
finish]],"m")</f>
        <v>2</v>
      </c>
    </row>
    <row r="74" spans="1:238" s="30" customFormat="1" ht="15" customHeight="1" x14ac:dyDescent="0.25">
      <c r="A74" s="72"/>
      <c r="B74" s="281">
        <f>SUBTOTAL(3,$D$5:D74)</f>
        <v>70</v>
      </c>
      <c r="C74" s="332">
        <v>70</v>
      </c>
      <c r="D74" s="333" t="s">
        <v>244</v>
      </c>
      <c r="E74" s="333" t="s">
        <v>606</v>
      </c>
      <c r="F74" s="333" t="s">
        <v>607</v>
      </c>
      <c r="G74" s="334">
        <v>45752</v>
      </c>
      <c r="H74" s="335" t="s">
        <v>247</v>
      </c>
      <c r="I74" s="333" t="s">
        <v>278</v>
      </c>
      <c r="J74" s="333"/>
      <c r="K74" s="336" t="s">
        <v>249</v>
      </c>
      <c r="L74" s="337" t="s">
        <v>250</v>
      </c>
      <c r="M74" s="337" t="s">
        <v>269</v>
      </c>
      <c r="N74" s="338">
        <v>70</v>
      </c>
      <c r="O74" s="339" t="s">
        <v>252</v>
      </c>
      <c r="P74"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4" s="340" t="s">
        <v>389</v>
      </c>
      <c r="R74" s="83" t="e">
        <v>#N/A</v>
      </c>
      <c r="S74" s="83">
        <v>1</v>
      </c>
      <c r="T74" s="341">
        <f>Table1[[#This Row],[Progres Total Aktual
(%)]]</f>
        <v>0</v>
      </c>
      <c r="U74" s="342">
        <f>Table1[[#This Row],[Progres Aktual
(%)]]-Table1[[#This Row],[Target Progres
(%)]]</f>
        <v>-1</v>
      </c>
      <c r="V74" s="343">
        <f>Table1[[#This Row],["Volume
BA MC-0"]]</f>
        <v>0</v>
      </c>
      <c r="W74" s="344">
        <f>Table1[[#This Row],[Total Panjang Pipa Aktual
(Sum-&gt;)3]]</f>
        <v>0</v>
      </c>
      <c r="X74" s="42"/>
      <c r="Y74" s="345" t="s">
        <v>608</v>
      </c>
      <c r="Z74" s="345">
        <v>116796952</v>
      </c>
      <c r="AA74" s="345">
        <f>ROUND((Table1[[#This Row],[Nilai RAB Jaringan
(Exclude Ppn)]]-Table1[[#This Row],[RAB Perizinan]])*1.11+Table1[[#This Row],[RAB Perizinan]],0)</f>
        <v>0</v>
      </c>
      <c r="AB74" s="340">
        <f>SUM(Table1[[#This Row],[RAB Kegiatan Umum]:[RAB Perizinan]])</f>
        <v>0</v>
      </c>
      <c r="AC74" s="340"/>
      <c r="AD74" s="340"/>
      <c r="AE74" s="340"/>
      <c r="AF74" s="340"/>
      <c r="AG74" s="340">
        <v>40992966</v>
      </c>
      <c r="AH74" s="341" t="e">
        <f>SUM(Table1[[#This Row],[Bobot Keg Umum]:[Bobot Perizinan]])</f>
        <v>#DIV/0!</v>
      </c>
      <c r="AI74" s="341" t="e">
        <f>Table1[[#This Row],[RAB Kegiatan Umum]]/Table1[[#This Row],[Nilai RAB Jaringan
(Exclude Ppn)]]</f>
        <v>#DIV/0!</v>
      </c>
      <c r="AJ74" s="341" t="e">
        <f>Table1[[#This Row],[RAB Pemasangan]]/Table1[[#This Row],[Nilai RAB Jaringan
(Exclude Ppn)]]</f>
        <v>#DIV/0!</v>
      </c>
      <c r="AK74" s="341" t="e">
        <f>Table1[[#This Row],[RAB Pengadaan]]/Table1[[#This Row],[Nilai RAB Jaringan
(Exclude Ppn)]]</f>
        <v>#DIV/0!</v>
      </c>
      <c r="AL74" s="341" t="e">
        <f>Table1[[#This Row],[RAB Perizinan]]/Table1[[#This Row],[Nilai RAB Jaringan
(Exclude Ppn)]]</f>
        <v>#DIV/0!</v>
      </c>
      <c r="AM74" s="42"/>
      <c r="AN74" s="346">
        <v>0</v>
      </c>
      <c r="AO74" s="346">
        <f>SUM(Table1[[#This Row],[Pipa 63 mm]:[Pipa 1,800 mm]])</f>
        <v>0</v>
      </c>
      <c r="AP74" s="346"/>
      <c r="AQ74" s="346"/>
      <c r="AR74" s="346"/>
      <c r="AS74" s="346"/>
      <c r="AT74" s="346"/>
      <c r="AU74" s="346"/>
      <c r="AV74" s="346"/>
      <c r="AW74" s="346"/>
      <c r="AX74" s="346"/>
      <c r="AY74" s="346"/>
      <c r="AZ74" s="346"/>
      <c r="BA74" s="346"/>
      <c r="BB74" s="346"/>
      <c r="BC74" s="346"/>
      <c r="BD74" s="346"/>
      <c r="BE74" s="346"/>
      <c r="BF74" s="346"/>
      <c r="BG74" s="346"/>
      <c r="BH74" s="346"/>
      <c r="BI74" s="346"/>
      <c r="BJ74" s="347">
        <f>SUM(Table1[[#This Row],[Pipa 63 mm2]:[Pipa 1,800 mm21]])</f>
        <v>0</v>
      </c>
      <c r="BK74" s="348"/>
      <c r="BL74" s="348"/>
      <c r="BM74" s="348"/>
      <c r="BN74" s="348"/>
      <c r="BO74" s="348"/>
      <c r="BP74" s="348"/>
      <c r="BQ74" s="348"/>
      <c r="BR74" s="348"/>
      <c r="BS74" s="348"/>
      <c r="BT74" s="348"/>
      <c r="BU74" s="348"/>
      <c r="BV74" s="348"/>
      <c r="BW74" s="348"/>
      <c r="BX74" s="348"/>
      <c r="BY74" s="348"/>
      <c r="BZ74" s="348"/>
      <c r="CA74" s="348"/>
      <c r="CB74" s="348"/>
      <c r="CC74" s="348"/>
      <c r="CD74" s="348"/>
      <c r="CE74" s="348">
        <v>0</v>
      </c>
      <c r="CF74" s="348"/>
      <c r="CG74" s="348"/>
      <c r="CH74" s="348"/>
      <c r="CI74" s="348">
        <f t="shared" si="6"/>
        <v>0</v>
      </c>
      <c r="CJ74" s="348">
        <f>IF((Table1[[#This Row],["Volume
BA MC-0"]]-Table1[[#This Row],[Total Panjang Pipa Aktual
(Sum-&gt;)3]]-Table1[[#This Row],[Total Volume
tidak dapat dipasang]])&gt;=0,Table1[[#This Row],["Volume
BA MC-0"]]-Table1[[#This Row],[Total Panjang Pipa Aktual
(Sum-&gt;)3]]-Table1[[#This Row],[Total Volume
tidak dapat dipasang]],0)</f>
        <v>0</v>
      </c>
      <c r="CK74" s="42"/>
      <c r="CL74" s="349"/>
      <c r="CM74" s="341"/>
      <c r="CN74" s="349"/>
      <c r="CO74" s="349"/>
      <c r="CP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4" s="350">
        <f>IFERROR(Table1[[#This Row],[Progres Keg. Umum
(%)]]*Table1[[#This Row],[Nilai RAB Jaringan
(file pa aji)]],0)</f>
        <v>0</v>
      </c>
      <c r="CR74" s="350">
        <f>IFERROR(Table1[[#This Row],[Progres MOS
(%)]]*Table1[[#This Row],[Nilai RAB Jaringan
(file pa aji)]],0)</f>
        <v>0</v>
      </c>
      <c r="CS74" s="350">
        <f>IFERROR(Table1[[#This Row],[Progres Pemasangan
(%)]]*Table1[[#This Row],[Nilai RAB Jaringan
(file pa aji)]],0)</f>
        <v>0</v>
      </c>
      <c r="CT74" s="350">
        <f>IFERROR(Table1[[#This Row],[Progres Perizinan
(%)]]*Table1[[#This Row],[Nilai RAB Jaringan
(file pa aji)]],0)</f>
        <v>0</v>
      </c>
      <c r="CU74" s="789">
        <v>0</v>
      </c>
      <c r="CV74" s="299">
        <v>0</v>
      </c>
      <c r="CW74" s="551">
        <v>0</v>
      </c>
      <c r="CX74" s="789">
        <f>_xlfn.XLOOKUP(Table1[[#This Row],[Kode Program]],'[1]Breakdown VOWD Greenfield'!$E:$E,'[1]Breakdown VOWD Greenfield'!$AT:$AT)</f>
        <v>0</v>
      </c>
      <c r="CY74" s="42"/>
      <c r="CZ74" s="300">
        <v>45530</v>
      </c>
      <c r="DA74" s="300">
        <v>45543</v>
      </c>
      <c r="DB74" s="301"/>
      <c r="DC74" s="337"/>
      <c r="DD74" s="345"/>
      <c r="DE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4" s="301"/>
      <c r="DG74" s="337"/>
      <c r="DH74" s="345"/>
      <c r="DI74"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4" s="300">
        <v>45544</v>
      </c>
      <c r="DK74" s="300">
        <v>45592</v>
      </c>
      <c r="DL74" s="301"/>
      <c r="DM74" s="337"/>
      <c r="DN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74" s="301"/>
      <c r="DP74" s="337"/>
      <c r="DQ74" s="336"/>
      <c r="DR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74" s="300">
        <v>45544</v>
      </c>
      <c r="DT74" s="300" t="e">
        <v>#N/A</v>
      </c>
      <c r="DU74" s="300">
        <v>45571</v>
      </c>
      <c r="DV74" s="300" t="e">
        <v>#N/A</v>
      </c>
      <c r="DW74" s="301"/>
      <c r="DX74" s="337"/>
      <c r="DY74" s="352"/>
      <c r="DZ74" s="352"/>
      <c r="EA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4" s="301"/>
      <c r="EC74" s="302"/>
      <c r="ED74" s="302"/>
      <c r="EE74" s="300"/>
      <c r="EF74" s="341" t="b">
        <v>0</v>
      </c>
      <c r="EG74" s="353" t="b">
        <v>0</v>
      </c>
      <c r="EH74" s="286" t="str">
        <f>IF(Table1[[#This Row],[PO Material Aktual 
(%)]]&gt;=100%,"Selesai PO = 100%",IF(Table1[[#This Row],[PO Material Aktual 
(%)]]&gt;=50%,"Proses PO &gt; 100%",IF(Table1[[#This Row],[PO Material Aktual 
(%)]]&gt;0%,"Proses PO &gt; 50%",IF(Table1[[#This Row],[PO Material Aktual 
(%)]]=0,"Belum PO = 0%"))))</f>
        <v>Selesai PO = 100%</v>
      </c>
      <c r="EI7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4" s="300">
        <v>45572</v>
      </c>
      <c r="EK74" s="300" t="e">
        <v>#N/A</v>
      </c>
      <c r="EL74" s="300">
        <v>45620</v>
      </c>
      <c r="EM74" s="300" t="e">
        <v>#N/A</v>
      </c>
      <c r="EN74" s="301"/>
      <c r="EO74" s="302"/>
      <c r="EP74" s="302"/>
      <c r="EQ74" s="83" t="b">
        <v>0</v>
      </c>
      <c r="ER74" s="83" t="b">
        <v>0</v>
      </c>
      <c r="ES74" s="286" t="str">
        <f>IF(Table1[[#This Row],[Progres MOS]]&gt;=100%,"Selesai MOS = 100%",IF(Table1[[#This Row],[Progres MOS]]&gt;=50%,"Proses MOS &gt; 100%",IF(Table1[[#This Row],[Progres MOS]]&gt;0%,"Proses MOS &gt; 50%",IF(Table1[[#This Row],[Progres MOS]]=0,"Belum MOS = 0%"))))</f>
        <v>Selesai MOS = 100%</v>
      </c>
      <c r="ET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4" s="42"/>
      <c r="EV74" s="300">
        <v>45544</v>
      </c>
      <c r="EW74" s="300" t="e">
        <v>#N/A</v>
      </c>
      <c r="EX74" s="300">
        <v>45620</v>
      </c>
      <c r="EY74" s="300" t="e">
        <v>#N/A</v>
      </c>
      <c r="EZ74" s="354" t="s">
        <v>298</v>
      </c>
      <c r="FA74" s="355" t="s">
        <v>389</v>
      </c>
      <c r="FB74" s="356" t="s">
        <v>260</v>
      </c>
      <c r="FC74" s="300">
        <v>45797</v>
      </c>
      <c r="FD74" s="356" t="s">
        <v>260</v>
      </c>
      <c r="FE74" s="356">
        <v>45884</v>
      </c>
      <c r="FF74" s="356">
        <v>45919</v>
      </c>
      <c r="FG74" s="356" t="s">
        <v>260</v>
      </c>
      <c r="FH74" s="356" t="s">
        <v>260</v>
      </c>
      <c r="FI74" s="356">
        <v>46003</v>
      </c>
      <c r="FJ74" s="356" t="s">
        <v>260</v>
      </c>
      <c r="FK74" s="356"/>
      <c r="FL74" s="306" t="s">
        <v>298</v>
      </c>
      <c r="FM74" s="306">
        <v>45797</v>
      </c>
      <c r="FN74" s="284">
        <f>IF(Table1[[#This Row],[Tanggal Pengajuan Dokumen]]="","",Table1[[#This Row],[PLAN PERMIT
start]]-Table1[[#This Row],[Tanggal Pengajuan Dokumen]])</f>
        <v>-253</v>
      </c>
      <c r="FO74" s="306"/>
      <c r="FP74" s="337"/>
      <c r="FQ74" s="336"/>
      <c r="FR74" s="354"/>
      <c r="FS74" s="308" t="str">
        <f t="shared" si="7"/>
        <v>On Going</v>
      </c>
      <c r="FT7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4" s="357">
        <f ca="1">IF(Table1[[#This Row],[Status Izin]]="Selesai",Table1[[#This Row],[PLAN PERMIT
finish]]-Table1[[#This Row],[Tanggal Terbit/ Target Izin Terbit]],ROUNDUP(Table1[[#This Row],[PLAN PERMIT
finish]]-NOW(),0))</f>
        <v>-584</v>
      </c>
      <c r="FV7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4" s="357"/>
      <c r="FX74" s="42"/>
      <c r="FY74" s="310"/>
      <c r="FZ74" s="311"/>
      <c r="GA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4" s="300">
        <v>45594</v>
      </c>
      <c r="GC74" s="354"/>
      <c r="GD7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4" s="300">
        <v>45601</v>
      </c>
      <c r="GF74" s="354"/>
      <c r="GG7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4" s="300">
        <v>45607</v>
      </c>
      <c r="GI74" s="300">
        <v>45613</v>
      </c>
      <c r="GJ74" s="385"/>
      <c r="GK7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4" s="300">
        <v>45621</v>
      </c>
      <c r="GM74" s="300" t="e">
        <v>#N/A</v>
      </c>
      <c r="GN74" s="300">
        <v>45641</v>
      </c>
      <c r="GO74" s="300" t="e">
        <v>#N/A</v>
      </c>
      <c r="GP74" s="337"/>
      <c r="GQ7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4" s="356" t="s">
        <v>261</v>
      </c>
      <c r="GS74" s="356" t="s">
        <v>261</v>
      </c>
      <c r="GT74" s="360"/>
      <c r="GU74" s="357" t="str">
        <f>IF(Table1[[#This Row],[Hydro Tes Actual
(tanggal)]]&lt;&gt;"","Sudah","Belum")</f>
        <v>Belum</v>
      </c>
      <c r="GV74" s="356" t="s">
        <v>261</v>
      </c>
      <c r="GW74" s="356" t="s">
        <v>261</v>
      </c>
      <c r="GX74" s="358"/>
      <c r="GY74" s="314" t="str">
        <f>IF(Table1[[#This Row],[Interkoneksi Actual
(tanggal)]]&lt;&gt;"","Sudah","Belum")</f>
        <v>Belum</v>
      </c>
      <c r="GZ74" s="356" t="s">
        <v>261</v>
      </c>
      <c r="HA74" s="356" t="s">
        <v>261</v>
      </c>
      <c r="HB74" s="358"/>
      <c r="HC74" s="314" t="str">
        <f>IF(Table1[[#This Row],[Flushing Actual
(tanggal)]]&lt;&gt;"","Sudah","Belum")</f>
        <v>Belum</v>
      </c>
      <c r="HD74" s="300">
        <v>45628</v>
      </c>
      <c r="HE74" s="300" t="e">
        <v>#N/A</v>
      </c>
      <c r="HF74" s="300">
        <v>45634</v>
      </c>
      <c r="HG74" s="386"/>
      <c r="HH7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4" s="356" t="s">
        <v>261</v>
      </c>
      <c r="HJ74" s="356" t="s">
        <v>261</v>
      </c>
      <c r="HK74" s="358"/>
      <c r="HL74" s="337"/>
      <c r="HM74" s="300">
        <v>45646</v>
      </c>
      <c r="HN74" s="300">
        <v>45646</v>
      </c>
      <c r="HO74" s="300" t="e">
        <v>#N/A</v>
      </c>
      <c r="HP74" s="300"/>
      <c r="HQ74" s="387"/>
      <c r="HR74"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4" s="300">
        <v>45653</v>
      </c>
      <c r="HT74" s="300"/>
      <c r="HU74" s="300">
        <v>45653</v>
      </c>
      <c r="HV74" s="497"/>
      <c r="HW74" s="356"/>
      <c r="HX7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4" s="42"/>
      <c r="HZ74" s="354"/>
      <c r="IA74" s="306"/>
      <c r="IC74" s="585">
        <f>IFERROR(ROUND((Table1[[#This Row],[PLAN TC
finish]]-Table1[[#This Row],[PLAN MC-0
start]])/30,2),"")</f>
        <v>0.9</v>
      </c>
      <c r="ID74">
        <f>DATEDIF(Table1[[#This Row],[PLAN MC-0
start]],Table1[[#This Row],[PLAN TC
finish]],"m")</f>
        <v>0</v>
      </c>
    </row>
    <row r="75" spans="1:238" s="30" customFormat="1" ht="15" customHeight="1" x14ac:dyDescent="0.25">
      <c r="A75" s="72"/>
      <c r="B75" s="281">
        <f>SUBTOTAL(3,$D$5:D75)</f>
        <v>71</v>
      </c>
      <c r="C75" s="332">
        <v>71</v>
      </c>
      <c r="D75" s="333" t="s">
        <v>244</v>
      </c>
      <c r="E75" s="333" t="s">
        <v>609</v>
      </c>
      <c r="F75" s="333" t="s">
        <v>610</v>
      </c>
      <c r="G75" s="334">
        <v>45752</v>
      </c>
      <c r="H75" s="335" t="s">
        <v>247</v>
      </c>
      <c r="I75" s="333" t="s">
        <v>278</v>
      </c>
      <c r="J75" s="333"/>
      <c r="K75" s="336" t="s">
        <v>249</v>
      </c>
      <c r="L75" s="337" t="s">
        <v>250</v>
      </c>
      <c r="M75" s="337" t="s">
        <v>269</v>
      </c>
      <c r="N75" s="338">
        <v>150</v>
      </c>
      <c r="O75" s="339" t="s">
        <v>252</v>
      </c>
      <c r="P75"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5" s="340" t="s">
        <v>389</v>
      </c>
      <c r="R75" s="83" t="e">
        <v>#N/A</v>
      </c>
      <c r="S75" s="83">
        <v>1</v>
      </c>
      <c r="T75" s="341">
        <f>Table1[[#This Row],[Progres Total Aktual
(%)]]</f>
        <v>0</v>
      </c>
      <c r="U75" s="342">
        <f>Table1[[#This Row],[Progres Aktual
(%)]]-Table1[[#This Row],[Target Progres
(%)]]</f>
        <v>-1</v>
      </c>
      <c r="V75" s="343">
        <f>Table1[[#This Row],["Volume
BA MC-0"]]</f>
        <v>0</v>
      </c>
      <c r="W75" s="344">
        <f>Table1[[#This Row],[Total Panjang Pipa Aktual
(Sum-&gt;)3]]</f>
        <v>0</v>
      </c>
      <c r="X75" s="42"/>
      <c r="Y75" s="345" t="s">
        <v>611</v>
      </c>
      <c r="Z75" s="345">
        <v>256263690</v>
      </c>
      <c r="AA75" s="345">
        <f>ROUND((Table1[[#This Row],[Nilai RAB Jaringan
(Exclude Ppn)]]-Table1[[#This Row],[RAB Perizinan]])*1.11+Table1[[#This Row],[RAB Perizinan]],0)</f>
        <v>0</v>
      </c>
      <c r="AB75" s="340">
        <f>SUM(Table1[[#This Row],[RAB Kegiatan Umum]:[RAB Perizinan]])</f>
        <v>0</v>
      </c>
      <c r="AC75" s="340"/>
      <c r="AD75" s="340"/>
      <c r="AE75" s="340"/>
      <c r="AF75" s="340"/>
      <c r="AG75" s="340">
        <v>145525030</v>
      </c>
      <c r="AH75" s="341" t="e">
        <f>SUM(Table1[[#This Row],[Bobot Keg Umum]:[Bobot Perizinan]])</f>
        <v>#DIV/0!</v>
      </c>
      <c r="AI75" s="341" t="e">
        <f>Table1[[#This Row],[RAB Kegiatan Umum]]/Table1[[#This Row],[Nilai RAB Jaringan
(Exclude Ppn)]]</f>
        <v>#DIV/0!</v>
      </c>
      <c r="AJ75" s="341" t="e">
        <f>Table1[[#This Row],[RAB Pemasangan]]/Table1[[#This Row],[Nilai RAB Jaringan
(Exclude Ppn)]]</f>
        <v>#DIV/0!</v>
      </c>
      <c r="AK75" s="341" t="e">
        <f>Table1[[#This Row],[RAB Pengadaan]]/Table1[[#This Row],[Nilai RAB Jaringan
(Exclude Ppn)]]</f>
        <v>#DIV/0!</v>
      </c>
      <c r="AL75" s="341" t="e">
        <f>Table1[[#This Row],[RAB Perizinan]]/Table1[[#This Row],[Nilai RAB Jaringan
(Exclude Ppn)]]</f>
        <v>#DIV/0!</v>
      </c>
      <c r="AM75" s="42"/>
      <c r="AN75" s="346">
        <v>0</v>
      </c>
      <c r="AO75" s="346">
        <f>SUM(Table1[[#This Row],[Pipa 63 mm]:[Pipa 1,800 mm]])</f>
        <v>0</v>
      </c>
      <c r="AP75" s="346"/>
      <c r="AQ75" s="346"/>
      <c r="AR75" s="346"/>
      <c r="AS75" s="346"/>
      <c r="AT75" s="346"/>
      <c r="AU75" s="346"/>
      <c r="AV75" s="346"/>
      <c r="AW75" s="346"/>
      <c r="AX75" s="346"/>
      <c r="AY75" s="346"/>
      <c r="AZ75" s="346"/>
      <c r="BA75" s="346"/>
      <c r="BB75" s="346"/>
      <c r="BC75" s="346"/>
      <c r="BD75" s="346"/>
      <c r="BE75" s="346"/>
      <c r="BF75" s="346"/>
      <c r="BG75" s="346"/>
      <c r="BH75" s="346"/>
      <c r="BI75" s="346"/>
      <c r="BJ75" s="347">
        <f>SUM(Table1[[#This Row],[Pipa 63 mm2]:[Pipa 1,800 mm21]])</f>
        <v>0</v>
      </c>
      <c r="BK75" s="348"/>
      <c r="BL75" s="348"/>
      <c r="BM75" s="348"/>
      <c r="BN75" s="348"/>
      <c r="BO75" s="348"/>
      <c r="BP75" s="348"/>
      <c r="BQ75" s="348"/>
      <c r="BR75" s="348"/>
      <c r="BS75" s="348"/>
      <c r="BT75" s="348"/>
      <c r="BU75" s="348"/>
      <c r="BV75" s="348"/>
      <c r="BW75" s="348"/>
      <c r="BX75" s="348"/>
      <c r="BY75" s="348"/>
      <c r="BZ75" s="348"/>
      <c r="CA75" s="348"/>
      <c r="CB75" s="348"/>
      <c r="CC75" s="348"/>
      <c r="CD75" s="348"/>
      <c r="CE75" s="348">
        <v>0</v>
      </c>
      <c r="CF75" s="348"/>
      <c r="CG75" s="348"/>
      <c r="CH75" s="348"/>
      <c r="CI75" s="348">
        <f t="shared" si="6"/>
        <v>0</v>
      </c>
      <c r="CJ75" s="348">
        <f>IF((Table1[[#This Row],["Volume
BA MC-0"]]-Table1[[#This Row],[Total Panjang Pipa Aktual
(Sum-&gt;)3]]-Table1[[#This Row],[Total Volume
tidak dapat dipasang]])&gt;=0,Table1[[#This Row],["Volume
BA MC-0"]]-Table1[[#This Row],[Total Panjang Pipa Aktual
(Sum-&gt;)3]]-Table1[[#This Row],[Total Volume
tidak dapat dipasang]],0)</f>
        <v>0</v>
      </c>
      <c r="CK75" s="42"/>
      <c r="CL75" s="349"/>
      <c r="CM75" s="341"/>
      <c r="CN75" s="349"/>
      <c r="CO75" s="349"/>
      <c r="CP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5" s="350">
        <f>IFERROR(Table1[[#This Row],[Progres Keg. Umum
(%)]]*Table1[[#This Row],[Nilai RAB Jaringan
(file pa aji)]],0)</f>
        <v>0</v>
      </c>
      <c r="CR75" s="350">
        <f>IFERROR(Table1[[#This Row],[Progres MOS
(%)]]*Table1[[#This Row],[Nilai RAB Jaringan
(file pa aji)]],0)</f>
        <v>0</v>
      </c>
      <c r="CS75" s="350">
        <f>IFERROR(Table1[[#This Row],[Progres Pemasangan
(%)]]*Table1[[#This Row],[Nilai RAB Jaringan
(file pa aji)]],0)</f>
        <v>0</v>
      </c>
      <c r="CT75" s="350">
        <f>IFERROR(Table1[[#This Row],[Progres Perizinan
(%)]]*Table1[[#This Row],[Nilai RAB Jaringan
(file pa aji)]],0)</f>
        <v>0</v>
      </c>
      <c r="CU75" s="789">
        <v>0</v>
      </c>
      <c r="CV75" s="299">
        <v>0</v>
      </c>
      <c r="CW75" s="551">
        <v>0</v>
      </c>
      <c r="CX75" s="789">
        <f>_xlfn.XLOOKUP(Table1[[#This Row],[Kode Program]],'[1]Breakdown VOWD Greenfield'!$E:$E,'[1]Breakdown VOWD Greenfield'!$AT:$AT)</f>
        <v>0</v>
      </c>
      <c r="CY75" s="42"/>
      <c r="CZ75" s="300">
        <v>45530</v>
      </c>
      <c r="DA75" s="300">
        <v>45543</v>
      </c>
      <c r="DB75" s="301"/>
      <c r="DC75" s="337"/>
      <c r="DD75" s="345"/>
      <c r="DE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5" s="301"/>
      <c r="DG75" s="337"/>
      <c r="DH75" s="345"/>
      <c r="DI75"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5" s="300">
        <v>45544</v>
      </c>
      <c r="DK75" s="300">
        <v>45592</v>
      </c>
      <c r="DL75" s="301">
        <v>45639</v>
      </c>
      <c r="DM75" s="351" t="s">
        <v>612</v>
      </c>
      <c r="DN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5" s="301">
        <v>45650</v>
      </c>
      <c r="DP75" s="337" t="s">
        <v>613</v>
      </c>
      <c r="DQ75" s="336" t="s">
        <v>433</v>
      </c>
      <c r="DR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5" s="300">
        <v>45544</v>
      </c>
      <c r="DT75" s="300" t="e">
        <v>#N/A</v>
      </c>
      <c r="DU75" s="300">
        <v>45571</v>
      </c>
      <c r="DV75" s="300" t="e">
        <v>#N/A</v>
      </c>
      <c r="DW75" s="301"/>
      <c r="DX75" s="337"/>
      <c r="DY75" s="352"/>
      <c r="DZ75" s="352"/>
      <c r="EA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5" s="301"/>
      <c r="EC75" s="302"/>
      <c r="ED75" s="302"/>
      <c r="EE75" s="300"/>
      <c r="EF75" s="341" t="b">
        <v>0</v>
      </c>
      <c r="EG75" s="353" t="b">
        <v>0</v>
      </c>
      <c r="EH75" s="286" t="str">
        <f>IF(Table1[[#This Row],[PO Material Aktual 
(%)]]&gt;=100%,"Selesai PO = 100%",IF(Table1[[#This Row],[PO Material Aktual 
(%)]]&gt;=50%,"Proses PO &gt; 100%",IF(Table1[[#This Row],[PO Material Aktual 
(%)]]&gt;0%,"Proses PO &gt; 50%",IF(Table1[[#This Row],[PO Material Aktual 
(%)]]=0,"Belum PO = 0%"))))</f>
        <v>Selesai PO = 100%</v>
      </c>
      <c r="EI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5" s="300">
        <v>45572</v>
      </c>
      <c r="EK75" s="300" t="e">
        <v>#N/A</v>
      </c>
      <c r="EL75" s="300">
        <v>45620</v>
      </c>
      <c r="EM75" s="300" t="e">
        <v>#N/A</v>
      </c>
      <c r="EN75" s="301"/>
      <c r="EO75" s="302"/>
      <c r="EP75" s="302"/>
      <c r="EQ75" s="83" t="b">
        <v>0</v>
      </c>
      <c r="ER75" s="83" t="b">
        <v>0</v>
      </c>
      <c r="ES75" s="286" t="str">
        <f>IF(Table1[[#This Row],[Progres MOS]]&gt;=100%,"Selesai MOS = 100%",IF(Table1[[#This Row],[Progres MOS]]&gt;=50%,"Proses MOS &gt; 100%",IF(Table1[[#This Row],[Progres MOS]]&gt;0%,"Proses MOS &gt; 50%",IF(Table1[[#This Row],[Progres MOS]]=0,"Belum MOS = 0%"))))</f>
        <v>Selesai MOS = 100%</v>
      </c>
      <c r="ET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5" s="42"/>
      <c r="EV75" s="300">
        <v>45544</v>
      </c>
      <c r="EW75" s="300" t="e">
        <v>#N/A</v>
      </c>
      <c r="EX75" s="300">
        <v>45620</v>
      </c>
      <c r="EY75" s="300" t="e">
        <v>#N/A</v>
      </c>
      <c r="EZ75" s="354" t="s">
        <v>298</v>
      </c>
      <c r="FA75" s="355" t="s">
        <v>389</v>
      </c>
      <c r="FB75" s="356" t="s">
        <v>260</v>
      </c>
      <c r="FC75" s="300">
        <v>45797</v>
      </c>
      <c r="FD75" s="356" t="s">
        <v>260</v>
      </c>
      <c r="FE75" s="356">
        <v>45884</v>
      </c>
      <c r="FF75" s="356">
        <v>45919</v>
      </c>
      <c r="FG75" s="356" t="s">
        <v>260</v>
      </c>
      <c r="FH75" s="356" t="s">
        <v>260</v>
      </c>
      <c r="FI75" s="356">
        <v>46003</v>
      </c>
      <c r="FJ75" s="356" t="s">
        <v>260</v>
      </c>
      <c r="FK75" s="356"/>
      <c r="FL75" s="306" t="s">
        <v>298</v>
      </c>
      <c r="FM75" s="306">
        <v>45797</v>
      </c>
      <c r="FN75" s="284">
        <f>IF(Table1[[#This Row],[Tanggal Pengajuan Dokumen]]="","",Table1[[#This Row],[PLAN PERMIT
start]]-Table1[[#This Row],[Tanggal Pengajuan Dokumen]])</f>
        <v>-253</v>
      </c>
      <c r="FO75" s="306"/>
      <c r="FP75" s="337"/>
      <c r="FQ75" s="336"/>
      <c r="FR75" s="354"/>
      <c r="FS75" s="308" t="str">
        <f t="shared" si="7"/>
        <v>On Going</v>
      </c>
      <c r="FT7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5" s="357">
        <f ca="1">IF(Table1[[#This Row],[Status Izin]]="Selesai",Table1[[#This Row],[PLAN PERMIT
finish]]-Table1[[#This Row],[Tanggal Terbit/ Target Izin Terbit]],ROUNDUP(Table1[[#This Row],[PLAN PERMIT
finish]]-NOW(),0))</f>
        <v>-584</v>
      </c>
      <c r="FV7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5" s="357"/>
      <c r="FX75" s="42"/>
      <c r="FY75" s="310"/>
      <c r="FZ75" s="311"/>
      <c r="GA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5" s="300">
        <v>45594</v>
      </c>
      <c r="GC75" s="354"/>
      <c r="GD7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5" s="300">
        <v>45601</v>
      </c>
      <c r="GF75" s="354"/>
      <c r="GG7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5" s="300">
        <v>45607</v>
      </c>
      <c r="GI75" s="300">
        <v>45613</v>
      </c>
      <c r="GJ75" s="385"/>
      <c r="GK7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5" s="300">
        <v>45621</v>
      </c>
      <c r="GM75" s="300" t="e">
        <v>#N/A</v>
      </c>
      <c r="GN75" s="300">
        <v>45641</v>
      </c>
      <c r="GO75" s="300" t="e">
        <v>#N/A</v>
      </c>
      <c r="GP75" s="337"/>
      <c r="GQ7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5" s="356" t="s">
        <v>261</v>
      </c>
      <c r="GS75" s="356" t="s">
        <v>261</v>
      </c>
      <c r="GT75" s="360"/>
      <c r="GU75" s="357" t="str">
        <f>IF(Table1[[#This Row],[Hydro Tes Actual
(tanggal)]]&lt;&gt;"","Sudah","Belum")</f>
        <v>Belum</v>
      </c>
      <c r="GV75" s="356" t="s">
        <v>261</v>
      </c>
      <c r="GW75" s="356" t="s">
        <v>261</v>
      </c>
      <c r="GX75" s="358"/>
      <c r="GY75" s="314" t="str">
        <f>IF(Table1[[#This Row],[Interkoneksi Actual
(tanggal)]]&lt;&gt;"","Sudah","Belum")</f>
        <v>Belum</v>
      </c>
      <c r="GZ75" s="356" t="s">
        <v>261</v>
      </c>
      <c r="HA75" s="356" t="s">
        <v>261</v>
      </c>
      <c r="HB75" s="358"/>
      <c r="HC75" s="314" t="str">
        <f>IF(Table1[[#This Row],[Flushing Actual
(tanggal)]]&lt;&gt;"","Sudah","Belum")</f>
        <v>Belum</v>
      </c>
      <c r="HD75" s="300">
        <v>45628</v>
      </c>
      <c r="HE75" s="300" t="e">
        <v>#N/A</v>
      </c>
      <c r="HF75" s="300">
        <v>45634</v>
      </c>
      <c r="HG75" s="386"/>
      <c r="HH7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5" s="356" t="s">
        <v>261</v>
      </c>
      <c r="HJ75" s="356" t="s">
        <v>261</v>
      </c>
      <c r="HK75" s="358"/>
      <c r="HL75" s="337"/>
      <c r="HM75" s="300">
        <v>45646</v>
      </c>
      <c r="HN75" s="300">
        <v>45646</v>
      </c>
      <c r="HO75" s="300" t="e">
        <v>#N/A</v>
      </c>
      <c r="HP75" s="300"/>
      <c r="HQ75" s="387"/>
      <c r="HR75"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5" s="300">
        <v>45653</v>
      </c>
      <c r="HT75" s="300"/>
      <c r="HU75" s="300">
        <v>45653</v>
      </c>
      <c r="HV75" s="497"/>
      <c r="HW75" s="356"/>
      <c r="HX7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5" s="42"/>
      <c r="HZ75" s="354"/>
      <c r="IA75" s="306"/>
      <c r="IC75" s="585">
        <f>IFERROR(ROUND((Table1[[#This Row],[PLAN TC
finish]]-Table1[[#This Row],[PLAN MC-0
start]])/30,2),"")</f>
        <v>0.9</v>
      </c>
      <c r="ID75">
        <f>DATEDIF(Table1[[#This Row],[PLAN MC-0
start]],Table1[[#This Row],[PLAN TC
finish]],"m")</f>
        <v>0</v>
      </c>
    </row>
    <row r="76" spans="1:238" s="30" customFormat="1" ht="15" customHeight="1" x14ac:dyDescent="0.25">
      <c r="A76" s="72"/>
      <c r="B76" s="281">
        <f>SUBTOTAL(3,$D$5:D76)</f>
        <v>72</v>
      </c>
      <c r="C76" s="332">
        <v>72</v>
      </c>
      <c r="D76" s="333" t="s">
        <v>244</v>
      </c>
      <c r="E76" s="333" t="s">
        <v>614</v>
      </c>
      <c r="F76" s="333" t="s">
        <v>615</v>
      </c>
      <c r="G76" s="334">
        <v>45752</v>
      </c>
      <c r="H76" s="335" t="s">
        <v>247</v>
      </c>
      <c r="I76" s="333" t="s">
        <v>278</v>
      </c>
      <c r="J76" s="333"/>
      <c r="K76" s="336" t="s">
        <v>249</v>
      </c>
      <c r="L76" s="337" t="s">
        <v>250</v>
      </c>
      <c r="M76" s="337" t="s">
        <v>269</v>
      </c>
      <c r="N76" s="338">
        <v>45</v>
      </c>
      <c r="O76" s="339" t="s">
        <v>252</v>
      </c>
      <c r="P76"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6" s="340" t="s">
        <v>389</v>
      </c>
      <c r="R76" s="83" t="e">
        <v>#N/A</v>
      </c>
      <c r="S76" s="83">
        <v>1</v>
      </c>
      <c r="T76" s="341">
        <f>Table1[[#This Row],[Progres Total Aktual
(%)]]</f>
        <v>0</v>
      </c>
      <c r="U76" s="342">
        <f>Table1[[#This Row],[Progres Aktual
(%)]]-Table1[[#This Row],[Target Progres
(%)]]</f>
        <v>-1</v>
      </c>
      <c r="V76" s="343">
        <f>Table1[[#This Row],["Volume
BA MC-0"]]</f>
        <v>0</v>
      </c>
      <c r="W76" s="344">
        <f>Table1[[#This Row],[Total Panjang Pipa Aktual
(Sum-&gt;)3]]</f>
        <v>0</v>
      </c>
      <c r="X76" s="42"/>
      <c r="Y76" s="345" t="s">
        <v>616</v>
      </c>
      <c r="Z76" s="345">
        <v>109024664</v>
      </c>
      <c r="AA76" s="345">
        <f>ROUND((Table1[[#This Row],[Nilai RAB Jaringan
(Exclude Ppn)]]-Table1[[#This Row],[RAB Perizinan]])*1.11+Table1[[#This Row],[RAB Perizinan]],0)</f>
        <v>0</v>
      </c>
      <c r="AB76" s="340">
        <f>SUM(Table1[[#This Row],[RAB Kegiatan Umum]:[RAB Perizinan]])</f>
        <v>0</v>
      </c>
      <c r="AC76" s="340"/>
      <c r="AD76" s="340"/>
      <c r="AE76" s="340"/>
      <c r="AF76" s="340"/>
      <c r="AG76" s="340">
        <v>24595780</v>
      </c>
      <c r="AH76" s="341" t="e">
        <f>SUM(Table1[[#This Row],[Bobot Keg Umum]:[Bobot Perizinan]])</f>
        <v>#DIV/0!</v>
      </c>
      <c r="AI76" s="341" t="e">
        <f>Table1[[#This Row],[RAB Kegiatan Umum]]/Table1[[#This Row],[Nilai RAB Jaringan
(Exclude Ppn)]]</f>
        <v>#DIV/0!</v>
      </c>
      <c r="AJ76" s="341" t="e">
        <f>Table1[[#This Row],[RAB Pemasangan]]/Table1[[#This Row],[Nilai RAB Jaringan
(Exclude Ppn)]]</f>
        <v>#DIV/0!</v>
      </c>
      <c r="AK76" s="341" t="e">
        <f>Table1[[#This Row],[RAB Pengadaan]]/Table1[[#This Row],[Nilai RAB Jaringan
(Exclude Ppn)]]</f>
        <v>#DIV/0!</v>
      </c>
      <c r="AL76" s="341" t="e">
        <f>Table1[[#This Row],[RAB Perizinan]]/Table1[[#This Row],[Nilai RAB Jaringan
(Exclude Ppn)]]</f>
        <v>#DIV/0!</v>
      </c>
      <c r="AM76" s="42"/>
      <c r="AN76" s="346">
        <v>0</v>
      </c>
      <c r="AO76" s="346">
        <f>SUM(Table1[[#This Row],[Pipa 63 mm]:[Pipa 1,800 mm]])</f>
        <v>0</v>
      </c>
      <c r="AP76" s="346"/>
      <c r="AQ76" s="346"/>
      <c r="AR76" s="346"/>
      <c r="AS76" s="346"/>
      <c r="AT76" s="346"/>
      <c r="AU76" s="346"/>
      <c r="AV76" s="346"/>
      <c r="AW76" s="346"/>
      <c r="AX76" s="346"/>
      <c r="AY76" s="346"/>
      <c r="AZ76" s="346"/>
      <c r="BA76" s="346"/>
      <c r="BB76" s="346"/>
      <c r="BC76" s="346"/>
      <c r="BD76" s="346"/>
      <c r="BE76" s="346"/>
      <c r="BF76" s="346"/>
      <c r="BG76" s="346"/>
      <c r="BH76" s="346"/>
      <c r="BI76" s="346"/>
      <c r="BJ76" s="347">
        <f>SUM(Table1[[#This Row],[Pipa 63 mm2]:[Pipa 1,800 mm21]])</f>
        <v>0</v>
      </c>
      <c r="BK76" s="348"/>
      <c r="BL76" s="348"/>
      <c r="BM76" s="348"/>
      <c r="BN76" s="348"/>
      <c r="BO76" s="348"/>
      <c r="BP76" s="348"/>
      <c r="BQ76" s="348"/>
      <c r="BR76" s="348"/>
      <c r="BS76" s="348"/>
      <c r="BT76" s="348"/>
      <c r="BU76" s="348"/>
      <c r="BV76" s="348"/>
      <c r="BW76" s="348"/>
      <c r="BX76" s="348"/>
      <c r="BY76" s="348"/>
      <c r="BZ76" s="348"/>
      <c r="CA76" s="348"/>
      <c r="CB76" s="348"/>
      <c r="CC76" s="348"/>
      <c r="CD76" s="348"/>
      <c r="CE76" s="348">
        <v>0</v>
      </c>
      <c r="CF76" s="348"/>
      <c r="CG76" s="348"/>
      <c r="CH76" s="348"/>
      <c r="CI76" s="348">
        <f t="shared" si="6"/>
        <v>0</v>
      </c>
      <c r="CJ76" s="348">
        <f>IF((Table1[[#This Row],["Volume
BA MC-0"]]-Table1[[#This Row],[Total Panjang Pipa Aktual
(Sum-&gt;)3]]-Table1[[#This Row],[Total Volume
tidak dapat dipasang]])&gt;=0,Table1[[#This Row],["Volume
BA MC-0"]]-Table1[[#This Row],[Total Panjang Pipa Aktual
(Sum-&gt;)3]]-Table1[[#This Row],[Total Volume
tidak dapat dipasang]],0)</f>
        <v>0</v>
      </c>
      <c r="CK76" s="42"/>
      <c r="CL76" s="349"/>
      <c r="CM76" s="341"/>
      <c r="CN76" s="349"/>
      <c r="CO76" s="349"/>
      <c r="CP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6" s="350">
        <f>IFERROR(Table1[[#This Row],[Progres Keg. Umum
(%)]]*Table1[[#This Row],[Nilai RAB Jaringan
(file pa aji)]],0)</f>
        <v>0</v>
      </c>
      <c r="CR76" s="350">
        <f>IFERROR(Table1[[#This Row],[Progres MOS
(%)]]*Table1[[#This Row],[Nilai RAB Jaringan
(file pa aji)]],0)</f>
        <v>0</v>
      </c>
      <c r="CS76" s="350">
        <f>IFERROR(Table1[[#This Row],[Progres Pemasangan
(%)]]*Table1[[#This Row],[Nilai RAB Jaringan
(file pa aji)]],0)</f>
        <v>0</v>
      </c>
      <c r="CT76" s="350">
        <f>IFERROR(Table1[[#This Row],[Progres Perizinan
(%)]]*Table1[[#This Row],[Nilai RAB Jaringan
(file pa aji)]],0)</f>
        <v>0</v>
      </c>
      <c r="CU76" s="789">
        <v>0</v>
      </c>
      <c r="CV76" s="299">
        <v>0</v>
      </c>
      <c r="CW76" s="551">
        <v>0</v>
      </c>
      <c r="CX76" s="789">
        <f>_xlfn.XLOOKUP(Table1[[#This Row],[Kode Program]],'[1]Breakdown VOWD Greenfield'!$E:$E,'[1]Breakdown VOWD Greenfield'!$AT:$AT)</f>
        <v>0</v>
      </c>
      <c r="CY76" s="42"/>
      <c r="CZ76" s="300">
        <v>45530</v>
      </c>
      <c r="DA76" s="300">
        <v>45543</v>
      </c>
      <c r="DB76" s="301"/>
      <c r="DC76" s="337"/>
      <c r="DD76" s="345"/>
      <c r="DE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6" s="301"/>
      <c r="DG76" s="337"/>
      <c r="DH76" s="345"/>
      <c r="DI76"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6" s="300">
        <v>45544</v>
      </c>
      <c r="DK76" s="300">
        <v>45592</v>
      </c>
      <c r="DL76" s="301">
        <v>45640</v>
      </c>
      <c r="DM76" s="351" t="s">
        <v>617</v>
      </c>
      <c r="DN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6" s="301">
        <v>45652</v>
      </c>
      <c r="DP76" s="337" t="s">
        <v>618</v>
      </c>
      <c r="DQ76" s="336" t="s">
        <v>433</v>
      </c>
      <c r="DR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6" s="300">
        <v>45544</v>
      </c>
      <c r="DT76" s="300" t="e">
        <v>#N/A</v>
      </c>
      <c r="DU76" s="300">
        <v>45571</v>
      </c>
      <c r="DV76" s="300" t="e">
        <v>#N/A</v>
      </c>
      <c r="DW76" s="301"/>
      <c r="DX76" s="337"/>
      <c r="DY76" s="352"/>
      <c r="DZ76" s="352"/>
      <c r="EA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6" s="301"/>
      <c r="EC76" s="302"/>
      <c r="ED76" s="302"/>
      <c r="EE76" s="300"/>
      <c r="EF76" s="341" t="b">
        <v>0</v>
      </c>
      <c r="EG76" s="353" t="b">
        <v>0</v>
      </c>
      <c r="EH76" s="286" t="str">
        <f>IF(Table1[[#This Row],[PO Material Aktual 
(%)]]&gt;=100%,"Selesai PO = 100%",IF(Table1[[#This Row],[PO Material Aktual 
(%)]]&gt;=50%,"Proses PO &gt; 100%",IF(Table1[[#This Row],[PO Material Aktual 
(%)]]&gt;0%,"Proses PO &gt; 50%",IF(Table1[[#This Row],[PO Material Aktual 
(%)]]=0,"Belum PO = 0%"))))</f>
        <v>Selesai PO = 100%</v>
      </c>
      <c r="EI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6" s="300">
        <v>45572</v>
      </c>
      <c r="EK76" s="300" t="e">
        <v>#N/A</v>
      </c>
      <c r="EL76" s="300">
        <v>45620</v>
      </c>
      <c r="EM76" s="300" t="e">
        <v>#N/A</v>
      </c>
      <c r="EN76" s="301"/>
      <c r="EO76" s="302"/>
      <c r="EP76" s="302"/>
      <c r="EQ76" s="83" t="b">
        <v>0</v>
      </c>
      <c r="ER76" s="83" t="b">
        <v>0</v>
      </c>
      <c r="ES76" s="286" t="str">
        <f>IF(Table1[[#This Row],[Progres MOS]]&gt;=100%,"Selesai MOS = 100%",IF(Table1[[#This Row],[Progres MOS]]&gt;=50%,"Proses MOS &gt; 100%",IF(Table1[[#This Row],[Progres MOS]]&gt;0%,"Proses MOS &gt; 50%",IF(Table1[[#This Row],[Progres MOS]]=0,"Belum MOS = 0%"))))</f>
        <v>Selesai MOS = 100%</v>
      </c>
      <c r="ET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6" s="42"/>
      <c r="EV76" s="300">
        <v>45544</v>
      </c>
      <c r="EW76" s="300" t="e">
        <v>#N/A</v>
      </c>
      <c r="EX76" s="300">
        <v>45620</v>
      </c>
      <c r="EY76" s="300" t="e">
        <v>#N/A</v>
      </c>
      <c r="EZ76" s="354" t="s">
        <v>298</v>
      </c>
      <c r="FA76" s="355" t="s">
        <v>389</v>
      </c>
      <c r="FB76" s="356" t="s">
        <v>260</v>
      </c>
      <c r="FC76" s="300">
        <v>45796</v>
      </c>
      <c r="FD76" s="356" t="s">
        <v>260</v>
      </c>
      <c r="FE76" s="356">
        <v>45895</v>
      </c>
      <c r="FF76" s="356">
        <v>45944</v>
      </c>
      <c r="FG76" s="356" t="s">
        <v>260</v>
      </c>
      <c r="FH76" s="356" t="s">
        <v>260</v>
      </c>
      <c r="FI76" s="356">
        <v>46021</v>
      </c>
      <c r="FJ76" s="356" t="s">
        <v>260</v>
      </c>
      <c r="FK76" s="356"/>
      <c r="FL76" s="306" t="s">
        <v>298</v>
      </c>
      <c r="FM76" s="306">
        <v>45796</v>
      </c>
      <c r="FN76" s="284">
        <f>IF(Table1[[#This Row],[Tanggal Pengajuan Dokumen]]="","",Table1[[#This Row],[PLAN PERMIT
start]]-Table1[[#This Row],[Tanggal Pengajuan Dokumen]])</f>
        <v>-252</v>
      </c>
      <c r="FO76" s="306"/>
      <c r="FP76" s="337"/>
      <c r="FQ76" s="336"/>
      <c r="FR76" s="354"/>
      <c r="FS76" s="308" t="str">
        <f t="shared" si="7"/>
        <v>On Going</v>
      </c>
      <c r="FT7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6" s="357">
        <f ca="1">IF(Table1[[#This Row],[Status Izin]]="Selesai",Table1[[#This Row],[PLAN PERMIT
finish]]-Table1[[#This Row],[Tanggal Terbit/ Target Izin Terbit]],ROUNDUP(Table1[[#This Row],[PLAN PERMIT
finish]]-NOW(),0))</f>
        <v>-584</v>
      </c>
      <c r="FV7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6" s="357"/>
      <c r="FX76" s="42"/>
      <c r="FY76" s="310"/>
      <c r="FZ76" s="311"/>
      <c r="GA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6" s="300">
        <v>45594</v>
      </c>
      <c r="GC76" s="354"/>
      <c r="GD7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6" s="300">
        <v>45601</v>
      </c>
      <c r="GF76" s="354"/>
      <c r="GG7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6" s="300">
        <v>45607</v>
      </c>
      <c r="GI76" s="300">
        <v>45613</v>
      </c>
      <c r="GJ76" s="385"/>
      <c r="GK7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6" s="300">
        <v>45621</v>
      </c>
      <c r="GM76" s="300" t="e">
        <v>#N/A</v>
      </c>
      <c r="GN76" s="300">
        <v>45641</v>
      </c>
      <c r="GO76" s="300" t="e">
        <v>#N/A</v>
      </c>
      <c r="GP76" s="337"/>
      <c r="GQ7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6" s="356" t="s">
        <v>261</v>
      </c>
      <c r="GS76" s="356" t="s">
        <v>261</v>
      </c>
      <c r="GT76" s="360"/>
      <c r="GU76" s="357" t="str">
        <f>IF(Table1[[#This Row],[Hydro Tes Actual
(tanggal)]]&lt;&gt;"","Sudah","Belum")</f>
        <v>Belum</v>
      </c>
      <c r="GV76" s="356" t="s">
        <v>261</v>
      </c>
      <c r="GW76" s="356" t="s">
        <v>261</v>
      </c>
      <c r="GX76" s="358"/>
      <c r="GY76" s="314" t="str">
        <f>IF(Table1[[#This Row],[Interkoneksi Actual
(tanggal)]]&lt;&gt;"","Sudah","Belum")</f>
        <v>Belum</v>
      </c>
      <c r="GZ76" s="356" t="s">
        <v>261</v>
      </c>
      <c r="HA76" s="356" t="s">
        <v>261</v>
      </c>
      <c r="HB76" s="358"/>
      <c r="HC76" s="314" t="str">
        <f>IF(Table1[[#This Row],[Flushing Actual
(tanggal)]]&lt;&gt;"","Sudah","Belum")</f>
        <v>Belum</v>
      </c>
      <c r="HD76" s="300">
        <v>45628</v>
      </c>
      <c r="HE76" s="300" t="e">
        <v>#N/A</v>
      </c>
      <c r="HF76" s="300">
        <v>45634</v>
      </c>
      <c r="HG76" s="386"/>
      <c r="HH7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6" s="356" t="s">
        <v>261</v>
      </c>
      <c r="HJ76" s="356" t="s">
        <v>261</v>
      </c>
      <c r="HK76" s="358"/>
      <c r="HL76" s="337"/>
      <c r="HM76" s="300">
        <v>45646</v>
      </c>
      <c r="HN76" s="300">
        <v>45646</v>
      </c>
      <c r="HO76" s="300" t="e">
        <v>#N/A</v>
      </c>
      <c r="HP76" s="300"/>
      <c r="HQ76" s="387"/>
      <c r="HR76"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6" s="300">
        <v>45653</v>
      </c>
      <c r="HT76" s="300"/>
      <c r="HU76" s="300">
        <v>45653</v>
      </c>
      <c r="HV76" s="497"/>
      <c r="HW76" s="356"/>
      <c r="HX7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6" s="42"/>
      <c r="HZ76" s="354"/>
      <c r="IA76" s="306"/>
      <c r="IC76" s="585">
        <f>IFERROR(ROUND((Table1[[#This Row],[PLAN TC
finish]]-Table1[[#This Row],[PLAN MC-0
start]])/30,2),"")</f>
        <v>0.9</v>
      </c>
      <c r="ID76">
        <f>DATEDIF(Table1[[#This Row],[PLAN MC-0
start]],Table1[[#This Row],[PLAN TC
finish]],"m")</f>
        <v>0</v>
      </c>
    </row>
    <row r="77" spans="1:238" s="30" customFormat="1" ht="15" customHeight="1" x14ac:dyDescent="0.25">
      <c r="A77" s="72"/>
      <c r="B77" s="281">
        <f>SUBTOTAL(3,$D$5:D77)</f>
        <v>73</v>
      </c>
      <c r="C77" s="332">
        <v>73</v>
      </c>
      <c r="D77" s="333" t="s">
        <v>244</v>
      </c>
      <c r="E77" s="333" t="s">
        <v>619</v>
      </c>
      <c r="F77" s="333" t="s">
        <v>620</v>
      </c>
      <c r="G77" s="334">
        <v>45752</v>
      </c>
      <c r="H77" s="335" t="s">
        <v>247</v>
      </c>
      <c r="I77" s="333" t="s">
        <v>278</v>
      </c>
      <c r="J77" s="333"/>
      <c r="K77" s="336" t="s">
        <v>249</v>
      </c>
      <c r="L77" s="337" t="s">
        <v>250</v>
      </c>
      <c r="M77" s="337" t="s">
        <v>269</v>
      </c>
      <c r="N77" s="338">
        <v>149</v>
      </c>
      <c r="O77" s="339" t="s">
        <v>252</v>
      </c>
      <c r="P7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7" s="340" t="s">
        <v>389</v>
      </c>
      <c r="R77" s="83" t="e">
        <v>#N/A</v>
      </c>
      <c r="S77" s="83">
        <v>1</v>
      </c>
      <c r="T77" s="341">
        <f>Table1[[#This Row],[Progres Total Aktual
(%)]]</f>
        <v>0</v>
      </c>
      <c r="U77" s="342">
        <f>Table1[[#This Row],[Progres Aktual
(%)]]-Table1[[#This Row],[Target Progres
(%)]]</f>
        <v>-1</v>
      </c>
      <c r="V77" s="343">
        <f>Table1[[#This Row],["Volume
BA MC-0"]]</f>
        <v>0</v>
      </c>
      <c r="W77" s="344">
        <f>Table1[[#This Row],[Total Panjang Pipa Aktual
(Sum-&gt;)3]]</f>
        <v>0</v>
      </c>
      <c r="X77" s="42"/>
      <c r="Y77" s="345" t="s">
        <v>621</v>
      </c>
      <c r="Z77" s="345">
        <v>206908137</v>
      </c>
      <c r="AA77" s="345">
        <f>ROUND((Table1[[#This Row],[Nilai RAB Jaringan
(Exclude Ppn)]]-Table1[[#This Row],[RAB Perizinan]])*1.11+Table1[[#This Row],[RAB Perizinan]],0)</f>
        <v>0</v>
      </c>
      <c r="AB77" s="340">
        <f>SUM(Table1[[#This Row],[RAB Kegiatan Umum]:[RAB Perizinan]])</f>
        <v>0</v>
      </c>
      <c r="AC77" s="340"/>
      <c r="AD77" s="340"/>
      <c r="AE77" s="340"/>
      <c r="AF77" s="340"/>
      <c r="AG77" s="340">
        <v>40992966</v>
      </c>
      <c r="AH77" s="341" t="e">
        <f>SUM(Table1[[#This Row],[Bobot Keg Umum]:[Bobot Perizinan]])</f>
        <v>#DIV/0!</v>
      </c>
      <c r="AI77" s="341" t="e">
        <f>Table1[[#This Row],[RAB Kegiatan Umum]]/Table1[[#This Row],[Nilai RAB Jaringan
(Exclude Ppn)]]</f>
        <v>#DIV/0!</v>
      </c>
      <c r="AJ77" s="341" t="e">
        <f>Table1[[#This Row],[RAB Pemasangan]]/Table1[[#This Row],[Nilai RAB Jaringan
(Exclude Ppn)]]</f>
        <v>#DIV/0!</v>
      </c>
      <c r="AK77" s="341" t="e">
        <f>Table1[[#This Row],[RAB Pengadaan]]/Table1[[#This Row],[Nilai RAB Jaringan
(Exclude Ppn)]]</f>
        <v>#DIV/0!</v>
      </c>
      <c r="AL77" s="341" t="e">
        <f>Table1[[#This Row],[RAB Perizinan]]/Table1[[#This Row],[Nilai RAB Jaringan
(Exclude Ppn)]]</f>
        <v>#DIV/0!</v>
      </c>
      <c r="AM77" s="42"/>
      <c r="AN77" s="346">
        <v>0</v>
      </c>
      <c r="AO77" s="346">
        <f>SUM(Table1[[#This Row],[Pipa 63 mm]:[Pipa 1,800 mm]])</f>
        <v>0</v>
      </c>
      <c r="AP77" s="346"/>
      <c r="AQ77" s="346"/>
      <c r="AR77" s="346"/>
      <c r="AS77" s="346"/>
      <c r="AT77" s="346"/>
      <c r="AU77" s="346"/>
      <c r="AV77" s="346"/>
      <c r="AW77" s="346"/>
      <c r="AX77" s="346"/>
      <c r="AY77" s="346"/>
      <c r="AZ77" s="346"/>
      <c r="BA77" s="346"/>
      <c r="BB77" s="346"/>
      <c r="BC77" s="346"/>
      <c r="BD77" s="346"/>
      <c r="BE77" s="346"/>
      <c r="BF77" s="346"/>
      <c r="BG77" s="346"/>
      <c r="BH77" s="346"/>
      <c r="BI77" s="346"/>
      <c r="BJ77" s="347">
        <f>SUM(Table1[[#This Row],[Pipa 63 mm2]:[Pipa 1,800 mm21]])</f>
        <v>0</v>
      </c>
      <c r="BK77" s="348"/>
      <c r="BL77" s="348"/>
      <c r="BM77" s="348"/>
      <c r="BN77" s="348"/>
      <c r="BO77" s="348"/>
      <c r="BP77" s="348"/>
      <c r="BQ77" s="348"/>
      <c r="BR77" s="348"/>
      <c r="BS77" s="348"/>
      <c r="BT77" s="348"/>
      <c r="BU77" s="348"/>
      <c r="BV77" s="348"/>
      <c r="BW77" s="348"/>
      <c r="BX77" s="348"/>
      <c r="BY77" s="348"/>
      <c r="BZ77" s="348"/>
      <c r="CA77" s="348"/>
      <c r="CB77" s="348"/>
      <c r="CC77" s="348"/>
      <c r="CD77" s="348"/>
      <c r="CE77" s="348">
        <v>0</v>
      </c>
      <c r="CF77" s="348"/>
      <c r="CG77" s="348"/>
      <c r="CH77" s="348"/>
      <c r="CI77" s="348">
        <f t="shared" si="6"/>
        <v>0</v>
      </c>
      <c r="CJ77" s="348">
        <f>IF((Table1[[#This Row],["Volume
BA MC-0"]]-Table1[[#This Row],[Total Panjang Pipa Aktual
(Sum-&gt;)3]]-Table1[[#This Row],[Total Volume
tidak dapat dipasang]])&gt;=0,Table1[[#This Row],["Volume
BA MC-0"]]-Table1[[#This Row],[Total Panjang Pipa Aktual
(Sum-&gt;)3]]-Table1[[#This Row],[Total Volume
tidak dapat dipasang]],0)</f>
        <v>0</v>
      </c>
      <c r="CK77" s="42"/>
      <c r="CL77" s="349"/>
      <c r="CM77" s="341"/>
      <c r="CN77" s="349"/>
      <c r="CO77" s="349"/>
      <c r="CP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7" s="350">
        <f>IFERROR(Table1[[#This Row],[Progres Keg. Umum
(%)]]*Table1[[#This Row],[Nilai RAB Jaringan
(file pa aji)]],0)</f>
        <v>0</v>
      </c>
      <c r="CR77" s="350">
        <f>IFERROR(Table1[[#This Row],[Progres MOS
(%)]]*Table1[[#This Row],[Nilai RAB Jaringan
(file pa aji)]],0)</f>
        <v>0</v>
      </c>
      <c r="CS77" s="350">
        <f>IFERROR(Table1[[#This Row],[Progres Pemasangan
(%)]]*Table1[[#This Row],[Nilai RAB Jaringan
(file pa aji)]],0)</f>
        <v>0</v>
      </c>
      <c r="CT77" s="350">
        <f>IFERROR(Table1[[#This Row],[Progres Perizinan
(%)]]*Table1[[#This Row],[Nilai RAB Jaringan
(file pa aji)]],0)</f>
        <v>0</v>
      </c>
      <c r="CU77" s="789">
        <v>0</v>
      </c>
      <c r="CV77" s="299">
        <v>0</v>
      </c>
      <c r="CW77" s="551">
        <v>0</v>
      </c>
      <c r="CX77" s="789">
        <f>_xlfn.XLOOKUP(Table1[[#This Row],[Kode Program]],'[1]Breakdown VOWD Greenfield'!$E:$E,'[1]Breakdown VOWD Greenfield'!$AT:$AT)</f>
        <v>0</v>
      </c>
      <c r="CY77" s="42"/>
      <c r="CZ77" s="300">
        <v>45530</v>
      </c>
      <c r="DA77" s="300">
        <v>45543</v>
      </c>
      <c r="DB77" s="301"/>
      <c r="DC77" s="337"/>
      <c r="DD77" s="345"/>
      <c r="DE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7" s="301"/>
      <c r="DG77" s="337"/>
      <c r="DH77" s="345"/>
      <c r="DI7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7" s="300">
        <v>45544</v>
      </c>
      <c r="DK77" s="300">
        <v>45592</v>
      </c>
      <c r="DL77" s="301">
        <v>45640</v>
      </c>
      <c r="DM77" s="351" t="s">
        <v>622</v>
      </c>
      <c r="DN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7" s="301">
        <v>45650</v>
      </c>
      <c r="DP77" s="337" t="s">
        <v>623</v>
      </c>
      <c r="DQ77" s="336" t="s">
        <v>433</v>
      </c>
      <c r="DR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7" s="300">
        <v>45544</v>
      </c>
      <c r="DT77" s="300" t="e">
        <v>#N/A</v>
      </c>
      <c r="DU77" s="300">
        <v>45571</v>
      </c>
      <c r="DV77" s="300" t="e">
        <v>#N/A</v>
      </c>
      <c r="DW77" s="301"/>
      <c r="DX77" s="337"/>
      <c r="DY77" s="352"/>
      <c r="DZ77" s="352"/>
      <c r="EA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7" s="301"/>
      <c r="EC77" s="302"/>
      <c r="ED77" s="302"/>
      <c r="EE77" s="300"/>
      <c r="EF77" s="341" t="b">
        <v>0</v>
      </c>
      <c r="EG77" s="353" t="b">
        <v>0</v>
      </c>
      <c r="EH77" s="286" t="str">
        <f>IF(Table1[[#This Row],[PO Material Aktual 
(%)]]&gt;=100%,"Selesai PO = 100%",IF(Table1[[#This Row],[PO Material Aktual 
(%)]]&gt;=50%,"Proses PO &gt; 100%",IF(Table1[[#This Row],[PO Material Aktual 
(%)]]&gt;0%,"Proses PO &gt; 50%",IF(Table1[[#This Row],[PO Material Aktual 
(%)]]=0,"Belum PO = 0%"))))</f>
        <v>Selesai PO = 100%</v>
      </c>
      <c r="EI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7" s="300">
        <v>45572</v>
      </c>
      <c r="EK77" s="300" t="e">
        <v>#N/A</v>
      </c>
      <c r="EL77" s="300">
        <v>45620</v>
      </c>
      <c r="EM77" s="300" t="e">
        <v>#N/A</v>
      </c>
      <c r="EN77" s="301"/>
      <c r="EO77" s="302"/>
      <c r="EP77" s="302"/>
      <c r="EQ77" s="83" t="b">
        <v>0</v>
      </c>
      <c r="ER77" s="83" t="b">
        <v>0</v>
      </c>
      <c r="ES77" s="286" t="str">
        <f>IF(Table1[[#This Row],[Progres MOS]]&gt;=100%,"Selesai MOS = 100%",IF(Table1[[#This Row],[Progres MOS]]&gt;=50%,"Proses MOS &gt; 100%",IF(Table1[[#This Row],[Progres MOS]]&gt;0%,"Proses MOS &gt; 50%",IF(Table1[[#This Row],[Progres MOS]]=0,"Belum MOS = 0%"))))</f>
        <v>Selesai MOS = 100%</v>
      </c>
      <c r="ET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7" s="42"/>
      <c r="EV77" s="300">
        <v>45544</v>
      </c>
      <c r="EW77" s="300" t="e">
        <v>#N/A</v>
      </c>
      <c r="EX77" s="300">
        <v>45620</v>
      </c>
      <c r="EY77" s="300" t="e">
        <v>#N/A</v>
      </c>
      <c r="EZ77" s="354" t="s">
        <v>298</v>
      </c>
      <c r="FA77" s="355" t="s">
        <v>389</v>
      </c>
      <c r="FB77" s="356" t="s">
        <v>260</v>
      </c>
      <c r="FC77" s="300">
        <v>45797</v>
      </c>
      <c r="FD77" s="356" t="s">
        <v>260</v>
      </c>
      <c r="FE77" s="356">
        <v>45884</v>
      </c>
      <c r="FF77" s="356">
        <v>45919</v>
      </c>
      <c r="FG77" s="356" t="s">
        <v>260</v>
      </c>
      <c r="FH77" s="356" t="s">
        <v>260</v>
      </c>
      <c r="FI77" s="356">
        <v>46003</v>
      </c>
      <c r="FJ77" s="356" t="s">
        <v>260</v>
      </c>
      <c r="FK77" s="356"/>
      <c r="FL77" s="306" t="s">
        <v>298</v>
      </c>
      <c r="FM77" s="306">
        <v>45797</v>
      </c>
      <c r="FN77" s="284">
        <f>IF(Table1[[#This Row],[Tanggal Pengajuan Dokumen]]="","",Table1[[#This Row],[PLAN PERMIT
start]]-Table1[[#This Row],[Tanggal Pengajuan Dokumen]])</f>
        <v>-253</v>
      </c>
      <c r="FO77" s="306"/>
      <c r="FP77" s="337"/>
      <c r="FQ77" s="336"/>
      <c r="FR77" s="354"/>
      <c r="FS77" s="308" t="str">
        <f t="shared" si="7"/>
        <v>On Going</v>
      </c>
      <c r="FT7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7" s="357">
        <f ca="1">IF(Table1[[#This Row],[Status Izin]]="Selesai",Table1[[#This Row],[PLAN PERMIT
finish]]-Table1[[#This Row],[Tanggal Terbit/ Target Izin Terbit]],ROUNDUP(Table1[[#This Row],[PLAN PERMIT
finish]]-NOW(),0))</f>
        <v>-584</v>
      </c>
      <c r="FV7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7" s="357"/>
      <c r="FX77" s="42"/>
      <c r="FY77" s="310"/>
      <c r="FZ77" s="311"/>
      <c r="GA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7" s="300">
        <v>45594</v>
      </c>
      <c r="GC77" s="354"/>
      <c r="GD7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7" s="300">
        <v>45601</v>
      </c>
      <c r="GF77" s="354"/>
      <c r="GG7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7" s="300">
        <v>45607</v>
      </c>
      <c r="GI77" s="300">
        <v>45613</v>
      </c>
      <c r="GJ77" s="385"/>
      <c r="GK7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7" s="300">
        <v>45621</v>
      </c>
      <c r="GM77" s="300" t="e">
        <v>#N/A</v>
      </c>
      <c r="GN77" s="300">
        <v>45641</v>
      </c>
      <c r="GO77" s="300" t="e">
        <v>#N/A</v>
      </c>
      <c r="GP77" s="337"/>
      <c r="GQ7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7" s="356" t="s">
        <v>261</v>
      </c>
      <c r="GS77" s="356" t="s">
        <v>261</v>
      </c>
      <c r="GT77" s="360"/>
      <c r="GU77" s="357" t="str">
        <f>IF(Table1[[#This Row],[Hydro Tes Actual
(tanggal)]]&lt;&gt;"","Sudah","Belum")</f>
        <v>Belum</v>
      </c>
      <c r="GV77" s="356" t="s">
        <v>261</v>
      </c>
      <c r="GW77" s="356" t="s">
        <v>261</v>
      </c>
      <c r="GX77" s="358"/>
      <c r="GY77" s="314" t="str">
        <f>IF(Table1[[#This Row],[Interkoneksi Actual
(tanggal)]]&lt;&gt;"","Sudah","Belum")</f>
        <v>Belum</v>
      </c>
      <c r="GZ77" s="356" t="s">
        <v>261</v>
      </c>
      <c r="HA77" s="356" t="s">
        <v>261</v>
      </c>
      <c r="HB77" s="358"/>
      <c r="HC77" s="314" t="str">
        <f>IF(Table1[[#This Row],[Flushing Actual
(tanggal)]]&lt;&gt;"","Sudah","Belum")</f>
        <v>Belum</v>
      </c>
      <c r="HD77" s="300">
        <v>45628</v>
      </c>
      <c r="HE77" s="300" t="e">
        <v>#N/A</v>
      </c>
      <c r="HF77" s="300">
        <v>45634</v>
      </c>
      <c r="HG77" s="386"/>
      <c r="HH7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7" s="356" t="s">
        <v>261</v>
      </c>
      <c r="HJ77" s="356" t="s">
        <v>261</v>
      </c>
      <c r="HK77" s="358"/>
      <c r="HL77" s="337"/>
      <c r="HM77" s="300">
        <v>45646</v>
      </c>
      <c r="HN77" s="300">
        <v>45646</v>
      </c>
      <c r="HO77" s="300" t="e">
        <v>#N/A</v>
      </c>
      <c r="HP77" s="300"/>
      <c r="HQ77" s="387"/>
      <c r="HR7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7" s="300">
        <v>45653</v>
      </c>
      <c r="HT77" s="300"/>
      <c r="HU77" s="300">
        <v>45653</v>
      </c>
      <c r="HV77" s="497"/>
      <c r="HW77" s="356"/>
      <c r="HX7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7" s="42"/>
      <c r="HZ77" s="354"/>
      <c r="IA77" s="306"/>
      <c r="IC77" s="585">
        <f>IFERROR(ROUND((Table1[[#This Row],[PLAN TC
finish]]-Table1[[#This Row],[PLAN MC-0
start]])/30,2),"")</f>
        <v>0.9</v>
      </c>
      <c r="ID77">
        <f>DATEDIF(Table1[[#This Row],[PLAN MC-0
start]],Table1[[#This Row],[PLAN TC
finish]],"m")</f>
        <v>0</v>
      </c>
    </row>
    <row r="78" spans="1:238" s="30" customFormat="1" ht="15" customHeight="1" x14ac:dyDescent="0.25">
      <c r="A78" s="72"/>
      <c r="B78" s="281">
        <f>SUBTOTAL(3,$D$5:D78)</f>
        <v>74</v>
      </c>
      <c r="C78" s="332">
        <v>74</v>
      </c>
      <c r="D78" s="333" t="s">
        <v>244</v>
      </c>
      <c r="E78" s="333" t="s">
        <v>624</v>
      </c>
      <c r="F78" s="333" t="s">
        <v>625</v>
      </c>
      <c r="G78" s="334">
        <v>45752</v>
      </c>
      <c r="H78" s="335" t="s">
        <v>247</v>
      </c>
      <c r="I78" s="333" t="s">
        <v>278</v>
      </c>
      <c r="J78" s="333"/>
      <c r="K78" s="336" t="s">
        <v>249</v>
      </c>
      <c r="L78" s="337" t="s">
        <v>250</v>
      </c>
      <c r="M78" s="337" t="s">
        <v>269</v>
      </c>
      <c r="N78" s="338">
        <v>498</v>
      </c>
      <c r="O78" s="339" t="s">
        <v>252</v>
      </c>
      <c r="P78"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8" s="340" t="s">
        <v>389</v>
      </c>
      <c r="R78" s="83" t="e">
        <v>#N/A</v>
      </c>
      <c r="S78" s="83">
        <v>1</v>
      </c>
      <c r="T78" s="341">
        <f>Table1[[#This Row],[Progres Total Aktual
(%)]]</f>
        <v>0</v>
      </c>
      <c r="U78" s="342">
        <f>Table1[[#This Row],[Progres Aktual
(%)]]-Table1[[#This Row],[Target Progres
(%)]]</f>
        <v>-1</v>
      </c>
      <c r="V78" s="343">
        <f>Table1[[#This Row],["Volume
BA MC-0"]]</f>
        <v>0</v>
      </c>
      <c r="W78" s="344">
        <f>Table1[[#This Row],[Total Panjang Pipa Aktual
(Sum-&gt;)3]]</f>
        <v>0</v>
      </c>
      <c r="X78" s="42"/>
      <c r="Y78" s="345" t="s">
        <v>626</v>
      </c>
      <c r="Z78" s="345">
        <v>832074435</v>
      </c>
      <c r="AA78" s="345">
        <f>ROUND((Table1[[#This Row],[Nilai RAB Jaringan
(Exclude Ppn)]]-Table1[[#This Row],[RAB Perizinan]])*1.11+Table1[[#This Row],[RAB Perizinan]],0)</f>
        <v>0</v>
      </c>
      <c r="AB78" s="340">
        <f>SUM(Table1[[#This Row],[RAB Kegiatan Umum]:[RAB Perizinan]])</f>
        <v>0</v>
      </c>
      <c r="AC78" s="340"/>
      <c r="AD78" s="340"/>
      <c r="AE78" s="340"/>
      <c r="AF78" s="340"/>
      <c r="AG78" s="340">
        <v>102482415</v>
      </c>
      <c r="AH78" s="341" t="e">
        <f>SUM(Table1[[#This Row],[Bobot Keg Umum]:[Bobot Perizinan]])</f>
        <v>#DIV/0!</v>
      </c>
      <c r="AI78" s="341" t="e">
        <f>Table1[[#This Row],[RAB Kegiatan Umum]]/Table1[[#This Row],[Nilai RAB Jaringan
(Exclude Ppn)]]</f>
        <v>#DIV/0!</v>
      </c>
      <c r="AJ78" s="341" t="e">
        <f>Table1[[#This Row],[RAB Pemasangan]]/Table1[[#This Row],[Nilai RAB Jaringan
(Exclude Ppn)]]</f>
        <v>#DIV/0!</v>
      </c>
      <c r="AK78" s="341" t="e">
        <f>Table1[[#This Row],[RAB Pengadaan]]/Table1[[#This Row],[Nilai RAB Jaringan
(Exclude Ppn)]]</f>
        <v>#DIV/0!</v>
      </c>
      <c r="AL78" s="341" t="e">
        <f>Table1[[#This Row],[RAB Perizinan]]/Table1[[#This Row],[Nilai RAB Jaringan
(Exclude Ppn)]]</f>
        <v>#DIV/0!</v>
      </c>
      <c r="AM78" s="42"/>
      <c r="AN78" s="346">
        <v>0</v>
      </c>
      <c r="AO78" s="346">
        <f>SUM(Table1[[#This Row],[Pipa 63 mm]:[Pipa 1,800 mm]])</f>
        <v>0</v>
      </c>
      <c r="AP78" s="346"/>
      <c r="AQ78" s="346"/>
      <c r="AR78" s="346"/>
      <c r="AS78" s="346"/>
      <c r="AT78" s="346"/>
      <c r="AU78" s="346"/>
      <c r="AV78" s="346"/>
      <c r="AW78" s="346"/>
      <c r="AX78" s="346"/>
      <c r="AY78" s="346"/>
      <c r="AZ78" s="346"/>
      <c r="BA78" s="346"/>
      <c r="BB78" s="346"/>
      <c r="BC78" s="346"/>
      <c r="BD78" s="346"/>
      <c r="BE78" s="346"/>
      <c r="BF78" s="346"/>
      <c r="BG78" s="346"/>
      <c r="BH78" s="346"/>
      <c r="BI78" s="346"/>
      <c r="BJ78" s="347">
        <f>SUM(Table1[[#This Row],[Pipa 63 mm2]:[Pipa 1,800 mm21]])</f>
        <v>0</v>
      </c>
      <c r="BK78" s="348"/>
      <c r="BL78" s="348"/>
      <c r="BM78" s="348"/>
      <c r="BN78" s="348"/>
      <c r="BO78" s="348"/>
      <c r="BP78" s="348"/>
      <c r="BQ78" s="348"/>
      <c r="BR78" s="348"/>
      <c r="BS78" s="348"/>
      <c r="BT78" s="348"/>
      <c r="BU78" s="348"/>
      <c r="BV78" s="348"/>
      <c r="BW78" s="348"/>
      <c r="BX78" s="348"/>
      <c r="BY78" s="348"/>
      <c r="BZ78" s="348"/>
      <c r="CA78" s="348"/>
      <c r="CB78" s="348"/>
      <c r="CC78" s="348"/>
      <c r="CD78" s="348"/>
      <c r="CE78" s="348">
        <v>0</v>
      </c>
      <c r="CF78" s="348"/>
      <c r="CG78" s="348"/>
      <c r="CH78" s="348"/>
      <c r="CI78" s="348">
        <f t="shared" si="6"/>
        <v>0</v>
      </c>
      <c r="CJ78" s="348">
        <f>IF((Table1[[#This Row],["Volume
BA MC-0"]]-Table1[[#This Row],[Total Panjang Pipa Aktual
(Sum-&gt;)3]]-Table1[[#This Row],[Total Volume
tidak dapat dipasang]])&gt;=0,Table1[[#This Row],["Volume
BA MC-0"]]-Table1[[#This Row],[Total Panjang Pipa Aktual
(Sum-&gt;)3]]-Table1[[#This Row],[Total Volume
tidak dapat dipasang]],0)</f>
        <v>0</v>
      </c>
      <c r="CK78" s="42"/>
      <c r="CL78" s="349"/>
      <c r="CM78" s="341"/>
      <c r="CN78" s="349"/>
      <c r="CO78" s="349"/>
      <c r="CP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78" s="350">
        <f>IFERROR(Table1[[#This Row],[Progres Keg. Umum
(%)]]*Table1[[#This Row],[Nilai RAB Jaringan
(file pa aji)]],0)</f>
        <v>0</v>
      </c>
      <c r="CR78" s="350">
        <f>IFERROR(Table1[[#This Row],[Progres MOS
(%)]]*Table1[[#This Row],[Nilai RAB Jaringan
(file pa aji)]],0)</f>
        <v>0</v>
      </c>
      <c r="CS78" s="350">
        <f>IFERROR(Table1[[#This Row],[Progres Pemasangan
(%)]]*Table1[[#This Row],[Nilai RAB Jaringan
(file pa aji)]],0)</f>
        <v>0</v>
      </c>
      <c r="CT78" s="350">
        <f>IFERROR(Table1[[#This Row],[Progres Perizinan
(%)]]*Table1[[#This Row],[Nilai RAB Jaringan
(file pa aji)]],0)</f>
        <v>0</v>
      </c>
      <c r="CU78" s="789">
        <v>0</v>
      </c>
      <c r="CV78" s="299">
        <v>0</v>
      </c>
      <c r="CW78" s="551">
        <v>0</v>
      </c>
      <c r="CX78" s="789">
        <f>_xlfn.XLOOKUP(Table1[[#This Row],[Kode Program]],'[1]Breakdown VOWD Greenfield'!$E:$E,'[1]Breakdown VOWD Greenfield'!$AT:$AT)</f>
        <v>0</v>
      </c>
      <c r="CY78" s="42"/>
      <c r="CZ78" s="300">
        <v>45530</v>
      </c>
      <c r="DA78" s="300">
        <v>45557</v>
      </c>
      <c r="DB78" s="301"/>
      <c r="DC78" s="337"/>
      <c r="DD78" s="345"/>
      <c r="DE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8" s="301"/>
      <c r="DG78" s="337"/>
      <c r="DH78" s="345"/>
      <c r="DI7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8" s="300">
        <v>45558</v>
      </c>
      <c r="DK78" s="300">
        <v>45592</v>
      </c>
      <c r="DL78" s="301">
        <v>45640</v>
      </c>
      <c r="DM78" s="351" t="s">
        <v>627</v>
      </c>
      <c r="DN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78" s="301">
        <v>45650</v>
      </c>
      <c r="DP78" s="337" t="s">
        <v>628</v>
      </c>
      <c r="DQ78" s="336" t="s">
        <v>433</v>
      </c>
      <c r="DR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78" s="300">
        <v>45558</v>
      </c>
      <c r="DT78" s="300" t="e">
        <v>#N/A</v>
      </c>
      <c r="DU78" s="300">
        <v>45599</v>
      </c>
      <c r="DV78" s="300" t="e">
        <v>#N/A</v>
      </c>
      <c r="DW78" s="301"/>
      <c r="DX78" s="337"/>
      <c r="DY78" s="352"/>
      <c r="DZ78" s="352"/>
      <c r="EA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8" s="301"/>
      <c r="EC78" s="302"/>
      <c r="ED78" s="302"/>
      <c r="EE78" s="300"/>
      <c r="EF78" s="341" t="b">
        <v>0</v>
      </c>
      <c r="EG78" s="353" t="b">
        <v>0</v>
      </c>
      <c r="EH78" s="286" t="str">
        <f>IF(Table1[[#This Row],[PO Material Aktual 
(%)]]&gt;=100%,"Selesai PO = 100%",IF(Table1[[#This Row],[PO Material Aktual 
(%)]]&gt;=50%,"Proses PO &gt; 100%",IF(Table1[[#This Row],[PO Material Aktual 
(%)]]&gt;0%,"Proses PO &gt; 50%",IF(Table1[[#This Row],[PO Material Aktual 
(%)]]=0,"Belum PO = 0%"))))</f>
        <v>Selesai PO = 100%</v>
      </c>
      <c r="EI7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8" s="300">
        <v>45600</v>
      </c>
      <c r="EK78" s="300" t="e">
        <v>#N/A</v>
      </c>
      <c r="EL78" s="300">
        <v>45655</v>
      </c>
      <c r="EM78" s="300" t="e">
        <v>#N/A</v>
      </c>
      <c r="EN78" s="301"/>
      <c r="EO78" s="302"/>
      <c r="EP78" s="302"/>
      <c r="EQ78" s="83" t="b">
        <v>0</v>
      </c>
      <c r="ER78" s="83" t="b">
        <v>0</v>
      </c>
      <c r="ES78" s="286" t="str">
        <f>IF(Table1[[#This Row],[Progres MOS]]&gt;=100%,"Selesai MOS = 100%",IF(Table1[[#This Row],[Progres MOS]]&gt;=50%,"Proses MOS &gt; 100%",IF(Table1[[#This Row],[Progres MOS]]&gt;0%,"Proses MOS &gt; 50%",IF(Table1[[#This Row],[Progres MOS]]=0,"Belum MOS = 0%"))))</f>
        <v>Selesai MOS = 100%</v>
      </c>
      <c r="ET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8" s="42"/>
      <c r="EV78" s="300">
        <v>45558</v>
      </c>
      <c r="EW78" s="300" t="e">
        <v>#N/A</v>
      </c>
      <c r="EX78" s="300">
        <v>45620</v>
      </c>
      <c r="EY78" s="300" t="e">
        <v>#N/A</v>
      </c>
      <c r="EZ78" s="354" t="s">
        <v>298</v>
      </c>
      <c r="FA78" s="355" t="s">
        <v>389</v>
      </c>
      <c r="FB78" s="358"/>
      <c r="FC78" s="300"/>
      <c r="FD78" s="358"/>
      <c r="FE78" s="358"/>
      <c r="FF78" s="358"/>
      <c r="FG78" s="358"/>
      <c r="FH78" s="358"/>
      <c r="FI78" s="358"/>
      <c r="FJ78" s="358"/>
      <c r="FK78" s="358"/>
      <c r="FL78" s="354" t="s">
        <v>298</v>
      </c>
      <c r="FM78" s="306"/>
      <c r="FN78" s="284" t="str">
        <f>IF(Table1[[#This Row],[Tanggal Pengajuan Dokumen]]="","",Table1[[#This Row],[PLAN PERMIT
start]]-Table1[[#This Row],[Tanggal Pengajuan Dokumen]])</f>
        <v/>
      </c>
      <c r="FO78" s="306"/>
      <c r="FP78" s="337"/>
      <c r="FQ78" s="336"/>
      <c r="FR78" s="354"/>
      <c r="FS78" s="308" t="str">
        <f t="shared" si="7"/>
        <v>On Going</v>
      </c>
      <c r="FT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78" s="357">
        <f ca="1">IF(Table1[[#This Row],[Status Izin]]="Selesai",Table1[[#This Row],[PLAN PERMIT
finish]]-Table1[[#This Row],[Tanggal Terbit/ Target Izin Terbit]],ROUNDUP(Table1[[#This Row],[PLAN PERMIT
finish]]-NOW(),0))</f>
        <v>-584</v>
      </c>
      <c r="FV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8" s="357"/>
      <c r="FX78" s="42"/>
      <c r="FY78" s="310"/>
      <c r="FZ78" s="311"/>
      <c r="GA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78" s="300">
        <v>45594</v>
      </c>
      <c r="GC78" s="354"/>
      <c r="GD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78" s="300">
        <v>45601</v>
      </c>
      <c r="GF78" s="354"/>
      <c r="GG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78" s="300">
        <v>45607</v>
      </c>
      <c r="GI78" s="300">
        <v>45613</v>
      </c>
      <c r="GJ78" s="385"/>
      <c r="GK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78" s="300">
        <v>45621</v>
      </c>
      <c r="GM78" s="300" t="e">
        <v>#N/A</v>
      </c>
      <c r="GN78" s="300">
        <v>45690</v>
      </c>
      <c r="GO78" s="300" t="e">
        <v>#N/A</v>
      </c>
      <c r="GP78" s="337"/>
      <c r="GQ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8" s="356" t="s">
        <v>261</v>
      </c>
      <c r="GS78" s="356" t="s">
        <v>261</v>
      </c>
      <c r="GT78" s="360"/>
      <c r="GU78" s="357" t="str">
        <f>IF(Table1[[#This Row],[Hydro Tes Actual
(tanggal)]]&lt;&gt;"","Sudah","Belum")</f>
        <v>Belum</v>
      </c>
      <c r="GV78" s="356" t="s">
        <v>261</v>
      </c>
      <c r="GW78" s="356" t="s">
        <v>261</v>
      </c>
      <c r="GX78" s="358"/>
      <c r="GY78" s="314" t="str">
        <f>IF(Table1[[#This Row],[Interkoneksi Actual
(tanggal)]]&lt;&gt;"","Sudah","Belum")</f>
        <v>Belum</v>
      </c>
      <c r="GZ78" s="356" t="s">
        <v>261</v>
      </c>
      <c r="HA78" s="356" t="s">
        <v>261</v>
      </c>
      <c r="HB78" s="358"/>
      <c r="HC78" s="314" t="str">
        <f>IF(Table1[[#This Row],[Flushing Actual
(tanggal)]]&lt;&gt;"","Sudah","Belum")</f>
        <v>Belum</v>
      </c>
      <c r="HD78" s="300">
        <v>45677</v>
      </c>
      <c r="HE78" s="300" t="e">
        <v>#N/A</v>
      </c>
      <c r="HF78" s="300">
        <v>45683</v>
      </c>
      <c r="HG78" s="386"/>
      <c r="HH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78" s="356" t="s">
        <v>261</v>
      </c>
      <c r="HJ78" s="356" t="s">
        <v>261</v>
      </c>
      <c r="HK78" s="358"/>
      <c r="HL78" s="337"/>
      <c r="HM78" s="300">
        <v>45702</v>
      </c>
      <c r="HN78" s="300">
        <v>45702</v>
      </c>
      <c r="HO78" s="300" t="e">
        <v>#N/A</v>
      </c>
      <c r="HP78" s="300"/>
      <c r="HQ78" s="387"/>
      <c r="HR7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78" s="300">
        <v>45709</v>
      </c>
      <c r="HT78" s="300"/>
      <c r="HU78" s="300">
        <v>45709</v>
      </c>
      <c r="HV78" s="497"/>
      <c r="HW78" s="356"/>
      <c r="HX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78" s="42"/>
      <c r="HZ78" s="354"/>
      <c r="IA78" s="306"/>
      <c r="IC78" s="585">
        <f>IFERROR(ROUND((Table1[[#This Row],[PLAN TC
finish]]-Table1[[#This Row],[PLAN MC-0
start]])/30,2),"")</f>
        <v>2.5299999999999998</v>
      </c>
      <c r="ID78">
        <f>DATEDIF(Table1[[#This Row],[PLAN MC-0
start]],Table1[[#This Row],[PLAN TC
finish]],"m")</f>
        <v>2</v>
      </c>
    </row>
    <row r="79" spans="1:238" s="4" customFormat="1" ht="15" customHeight="1" x14ac:dyDescent="0.25">
      <c r="B79" s="281">
        <f>SUBTOTAL(3,$D$5:D79)</f>
        <v>75</v>
      </c>
      <c r="C79" s="318">
        <v>75</v>
      </c>
      <c r="D79" s="308" t="s">
        <v>629</v>
      </c>
      <c r="E79" s="285" t="s">
        <v>630</v>
      </c>
      <c r="F79" s="285" t="s">
        <v>631</v>
      </c>
      <c r="G79" s="319">
        <v>45752</v>
      </c>
      <c r="H79" s="284" t="s">
        <v>247</v>
      </c>
      <c r="I79" s="285" t="s">
        <v>278</v>
      </c>
      <c r="J79" s="285"/>
      <c r="K79" s="308" t="s">
        <v>632</v>
      </c>
      <c r="L79" s="286" t="s">
        <v>250</v>
      </c>
      <c r="M79" s="286" t="s">
        <v>269</v>
      </c>
      <c r="N79" s="94">
        <v>140</v>
      </c>
      <c r="O79" s="31" t="s">
        <v>252</v>
      </c>
      <c r="P7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79" s="82" t="e">
        <v>#N/A</v>
      </c>
      <c r="S79" s="82">
        <v>1</v>
      </c>
      <c r="T79" s="35">
        <f>Table1[[#This Row],[Progres Total Aktual
(%)]]</f>
        <v>1</v>
      </c>
      <c r="U79" s="106">
        <f>Table1[[#This Row],[Progres Aktual
(%)]]-Table1[[#This Row],[Target Progres
(%)]]</f>
        <v>0</v>
      </c>
      <c r="V79" s="320">
        <f>Table1[[#This Row],["Volume
BA MC-0"]]</f>
        <v>145</v>
      </c>
      <c r="W79" s="321">
        <f>Table1[[#This Row],[Total Panjang Pipa Aktual
(Sum-&gt;)3]]</f>
        <v>145</v>
      </c>
      <c r="X79" s="42"/>
      <c r="Y79" s="62" t="s">
        <v>633</v>
      </c>
      <c r="Z79" s="62">
        <v>233287930</v>
      </c>
      <c r="AA79" s="62">
        <f>ROUND((Table1[[#This Row],[Nilai RAB Jaringan
(Exclude Ppn)]]-Table1[[#This Row],[RAB Perizinan]])*1.11+Table1[[#This Row],[RAB Perizinan]],0)</f>
        <v>0</v>
      </c>
      <c r="AB79" s="290">
        <f>SUM(Table1[[#This Row],[RAB Kegiatan Umum]:[RAB Perizinan]])</f>
        <v>0</v>
      </c>
      <c r="AC79" s="290"/>
      <c r="AD79" s="290"/>
      <c r="AE79" s="290"/>
      <c r="AF79" s="290"/>
      <c r="AG79" s="290">
        <v>20496483</v>
      </c>
      <c r="AH79" s="35" t="e">
        <f>SUM(Table1[[#This Row],[Bobot Keg Umum]:[Bobot Perizinan]])</f>
        <v>#DIV/0!</v>
      </c>
      <c r="AI79" s="35" t="e">
        <f>Table1[[#This Row],[RAB Kegiatan Umum]]/Table1[[#This Row],[Nilai RAB Jaringan
(Exclude Ppn)]]</f>
        <v>#DIV/0!</v>
      </c>
      <c r="AJ79" s="35" t="e">
        <f>Table1[[#This Row],[RAB Pemasangan]]/Table1[[#This Row],[Nilai RAB Jaringan
(Exclude Ppn)]]</f>
        <v>#DIV/0!</v>
      </c>
      <c r="AK79" s="35" t="e">
        <f>Table1[[#This Row],[RAB Pengadaan]]/Table1[[#This Row],[Nilai RAB Jaringan
(Exclude Ppn)]]</f>
        <v>#DIV/0!</v>
      </c>
      <c r="AL79" s="35" t="e">
        <f>Table1[[#This Row],[RAB Perizinan]]/Table1[[#This Row],[Nilai RAB Jaringan
(Exclude Ppn)]]</f>
        <v>#DIV/0!</v>
      </c>
      <c r="AM79" s="42"/>
      <c r="AN79" s="256">
        <v>145</v>
      </c>
      <c r="AO79" s="256">
        <f>SUM(Table1[[#This Row],[Pipa 63 mm]:[Pipa 1,800 mm]])</f>
        <v>145</v>
      </c>
      <c r="AP79" s="256">
        <v>145</v>
      </c>
      <c r="AQ79" s="256"/>
      <c r="AR79" s="256"/>
      <c r="AS79" s="256"/>
      <c r="AT79" s="256"/>
      <c r="AU79" s="256"/>
      <c r="AV79" s="256"/>
      <c r="AW79" s="256"/>
      <c r="AX79" s="256"/>
      <c r="AY79" s="256"/>
      <c r="AZ79" s="256"/>
      <c r="BA79" s="256"/>
      <c r="BB79" s="256"/>
      <c r="BC79" s="256"/>
      <c r="BD79" s="256"/>
      <c r="BE79" s="256"/>
      <c r="BF79" s="256"/>
      <c r="BG79" s="256"/>
      <c r="BH79" s="256"/>
      <c r="BI79" s="256"/>
      <c r="BJ79" s="36">
        <f>SUM(Table1[[#This Row],[Pipa 63 mm2]:[Pipa 1,800 mm21]])</f>
        <v>145</v>
      </c>
      <c r="BK79" s="32">
        <v>145</v>
      </c>
      <c r="BL79" s="32"/>
      <c r="BM79" s="32"/>
      <c r="BN79" s="32"/>
      <c r="BO79" s="32"/>
      <c r="BP79" s="32"/>
      <c r="BQ79" s="32"/>
      <c r="BR79" s="32"/>
      <c r="BS79" s="32"/>
      <c r="BT79" s="32"/>
      <c r="BU79" s="32"/>
      <c r="BV79" s="32"/>
      <c r="BW79" s="32"/>
      <c r="BX79" s="32"/>
      <c r="BY79" s="32"/>
      <c r="BZ79" s="32"/>
      <c r="CA79" s="32"/>
      <c r="CB79" s="32"/>
      <c r="CC79" s="32"/>
      <c r="CD79" s="32"/>
      <c r="CE79" s="32">
        <v>0</v>
      </c>
      <c r="CF79" s="32"/>
      <c r="CG79" s="32"/>
      <c r="CH79" s="32"/>
      <c r="CI79" s="32">
        <f t="shared" si="6"/>
        <v>0</v>
      </c>
      <c r="CJ79" s="60">
        <f>IF((Table1[[#This Row],["Volume
BA MC-0"]]-Table1[[#This Row],[Total Panjang Pipa Aktual
(Sum-&gt;)3]]-Table1[[#This Row],[Total Volume
tidak dapat dipasang]])&gt;=0,Table1[[#This Row],["Volume
BA MC-0"]]-Table1[[#This Row],[Total Panjang Pipa Aktual
(Sum-&gt;)3]]-Table1[[#This Row],[Total Volume
tidak dapat dipasang]],0)</f>
        <v>0</v>
      </c>
      <c r="CK79" s="42"/>
      <c r="CL79" s="113"/>
      <c r="CM79" s="35"/>
      <c r="CN79" s="113"/>
      <c r="CO79" s="113"/>
      <c r="CP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79" s="61">
        <f>IFERROR(Table1[[#This Row],[Progres Keg. Umum
(%)]]*Table1[[#This Row],[Nilai RAB Jaringan
(file pa aji)]],0)</f>
        <v>0</v>
      </c>
      <c r="CR79" s="61">
        <f>IFERROR(Table1[[#This Row],[Progres MOS
(%)]]*Table1[[#This Row],[Nilai RAB Jaringan
(file pa aji)]],0)</f>
        <v>0</v>
      </c>
      <c r="CS79" s="61">
        <f>IFERROR(Table1[[#This Row],[Progres Pemasangan
(%)]]*Table1[[#This Row],[Nilai RAB Jaringan
(file pa aji)]],0)</f>
        <v>0</v>
      </c>
      <c r="CT79" s="61">
        <f>IFERROR(Table1[[#This Row],[Progres Perizinan
(%)]]*Table1[[#This Row],[Nilai RAB Jaringan
(file pa aji)]],0)</f>
        <v>0</v>
      </c>
      <c r="CU79" s="789">
        <v>236465135</v>
      </c>
      <c r="CV79" s="299">
        <v>236465135</v>
      </c>
      <c r="CW79" s="552">
        <v>236465135</v>
      </c>
      <c r="CX79" s="789">
        <f>_xlfn.XLOOKUP(Table1[[#This Row],[Kode Program]],'[1]Breakdown VOWD Greenfield'!$E:$E,'[1]Breakdown VOWD Greenfield'!$AT:$AT)</f>
        <v>236465135</v>
      </c>
      <c r="CY79" s="42"/>
      <c r="CZ79" s="300">
        <v>45411</v>
      </c>
      <c r="DA79" s="300">
        <v>45438</v>
      </c>
      <c r="DB79" s="301"/>
      <c r="DC79" s="286"/>
      <c r="DD79" s="62"/>
      <c r="DE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79" s="301"/>
      <c r="DG79" s="286"/>
      <c r="DH79" s="62"/>
      <c r="DI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79" s="300">
        <v>45439</v>
      </c>
      <c r="DK79" s="300">
        <v>45480</v>
      </c>
      <c r="DL79" s="301">
        <v>45447</v>
      </c>
      <c r="DM79" s="286" t="s">
        <v>634</v>
      </c>
      <c r="DN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79" s="301">
        <v>45448</v>
      </c>
      <c r="DP79" s="286" t="s">
        <v>635</v>
      </c>
      <c r="DQ79" s="308" t="s">
        <v>312</v>
      </c>
      <c r="DR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79" s="300">
        <v>45439</v>
      </c>
      <c r="DT79" s="300" t="e">
        <v>#N/A</v>
      </c>
      <c r="DU79" s="300">
        <v>45480</v>
      </c>
      <c r="DV79" s="300" t="e">
        <v>#N/A</v>
      </c>
      <c r="DW79" s="301"/>
      <c r="DX79" s="286"/>
      <c r="DY79" s="304"/>
      <c r="DZ79" s="304"/>
      <c r="EA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79" s="301"/>
      <c r="EC79" s="302"/>
      <c r="ED79" s="302"/>
      <c r="EE79" s="300"/>
      <c r="EF79" s="35">
        <v>1</v>
      </c>
      <c r="EG79" s="307">
        <v>1</v>
      </c>
      <c r="EH79" s="286" t="str">
        <f>IF(Table1[[#This Row],[PO Material Aktual 
(%)]]&gt;=100%,"Selesai PO = 100%",IF(Table1[[#This Row],[PO Material Aktual 
(%)]]&gt;=50%,"Proses PO &gt; 100%",IF(Table1[[#This Row],[PO Material Aktual 
(%)]]&gt;0%,"Proses PO &gt; 50%",IF(Table1[[#This Row],[PO Material Aktual 
(%)]]=0,"Belum PO = 0%"))))</f>
        <v>Selesai PO = 100%</v>
      </c>
      <c r="EI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79" s="300">
        <v>45481</v>
      </c>
      <c r="EK79" s="300" t="e">
        <v>#N/A</v>
      </c>
      <c r="EL79" s="300">
        <v>45529</v>
      </c>
      <c r="EM79" s="300" t="e">
        <v>#N/A</v>
      </c>
      <c r="EN79" s="301"/>
      <c r="EO79" s="302"/>
      <c r="EP79" s="302"/>
      <c r="EQ79" s="82">
        <v>1</v>
      </c>
      <c r="ER79" s="82">
        <v>1</v>
      </c>
      <c r="ES79" s="286" t="str">
        <f>IF(Table1[[#This Row],[Progres MOS]]&gt;=100%,"Selesai MOS = 100%",IF(Table1[[#This Row],[Progres MOS]]&gt;=50%,"Proses MOS &gt; 100%",IF(Table1[[#This Row],[Progres MOS]]&gt;0%,"Proses MOS &gt; 50%",IF(Table1[[#This Row],[Progres MOS]]=0,"Belum MOS = 0%"))))</f>
        <v>Selesai MOS = 100%</v>
      </c>
      <c r="ET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79" s="42"/>
      <c r="EV79" s="300">
        <v>45439</v>
      </c>
      <c r="EW79" s="300" t="e">
        <v>#N/A</v>
      </c>
      <c r="EX79" s="300">
        <v>45529</v>
      </c>
      <c r="EY79" s="300" t="e">
        <v>#N/A</v>
      </c>
      <c r="EZ79" s="322" t="s">
        <v>259</v>
      </c>
      <c r="FA79" s="306" t="s">
        <v>259</v>
      </c>
      <c r="FB79" s="300" t="s">
        <v>260</v>
      </c>
      <c r="FC79" s="300">
        <v>45420</v>
      </c>
      <c r="FD79" s="300" t="s">
        <v>260</v>
      </c>
      <c r="FE79" s="300">
        <v>45727</v>
      </c>
      <c r="FF79" s="300">
        <v>45897</v>
      </c>
      <c r="FG79" s="300" t="s">
        <v>260</v>
      </c>
      <c r="FH79" s="300" t="s">
        <v>260</v>
      </c>
      <c r="FI79" s="300">
        <v>45987</v>
      </c>
      <c r="FJ79" s="300" t="s">
        <v>260</v>
      </c>
      <c r="FK79" s="300">
        <v>46020</v>
      </c>
      <c r="FL79" s="306" t="s">
        <v>259</v>
      </c>
      <c r="FM79" s="306">
        <v>45420</v>
      </c>
      <c r="FN79" s="284">
        <f>IF(Table1[[#This Row],[Tanggal Pengajuan Dokumen]]="","",Table1[[#This Row],[PLAN PERMIT
start]]-Table1[[#This Row],[Tanggal Pengajuan Dokumen]])</f>
        <v>19</v>
      </c>
      <c r="FO79" s="306"/>
      <c r="FP79" s="286"/>
      <c r="FQ79" s="308"/>
      <c r="FR79" s="322"/>
      <c r="FS79" s="308" t="str">
        <f t="shared" si="7"/>
        <v>Sudah Terbit</v>
      </c>
      <c r="FT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79" s="314">
        <f ca="1">IF(Table1[[#This Row],[Status Izin]]="Selesai",Table1[[#This Row],[PLAN PERMIT
finish]]-Table1[[#This Row],[Tanggal Terbit/ Target Izin Terbit]],ROUNDUP(Table1[[#This Row],[PLAN PERMIT
finish]]-NOW(),0))</f>
        <v>45529</v>
      </c>
      <c r="FV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79" s="314"/>
      <c r="FX79" s="42"/>
      <c r="FY79" s="310"/>
      <c r="FZ79" s="311">
        <v>45582</v>
      </c>
      <c r="GA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79" s="300">
        <v>45503</v>
      </c>
      <c r="GC79" s="322">
        <v>45457</v>
      </c>
      <c r="GD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79" s="300">
        <v>45510</v>
      </c>
      <c r="GF79" s="322">
        <v>45457</v>
      </c>
      <c r="GG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79" s="300">
        <v>45516</v>
      </c>
      <c r="GI79" s="300">
        <v>45522</v>
      </c>
      <c r="GJ79" s="322">
        <v>45462</v>
      </c>
      <c r="GK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79" s="300">
        <v>45530</v>
      </c>
      <c r="GM79" s="300" t="e">
        <v>#N/A</v>
      </c>
      <c r="GN79" s="300">
        <v>45550</v>
      </c>
      <c r="GO79" s="300" t="e">
        <v>#N/A</v>
      </c>
      <c r="GP79" s="286"/>
      <c r="GQ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79" s="300" t="s">
        <v>261</v>
      </c>
      <c r="GS79" s="300" t="s">
        <v>261</v>
      </c>
      <c r="GT79" s="324">
        <v>45841</v>
      </c>
      <c r="GU79" s="314" t="str">
        <f>IF(Table1[[#This Row],[Hydro Tes Actual
(tanggal)]]&lt;&gt;"","Sudah","Belum")</f>
        <v>Sudah</v>
      </c>
      <c r="GV79" s="300" t="s">
        <v>261</v>
      </c>
      <c r="GW79" s="300" t="s">
        <v>261</v>
      </c>
      <c r="GX79" s="301">
        <v>45849</v>
      </c>
      <c r="GY79" s="314" t="str">
        <f>IF(Table1[[#This Row],[Interkoneksi Actual
(tanggal)]]&lt;&gt;"","Sudah","Belum")</f>
        <v>Sudah</v>
      </c>
      <c r="GZ79" s="300" t="s">
        <v>261</v>
      </c>
      <c r="HA79" s="300" t="s">
        <v>261</v>
      </c>
      <c r="HB79" s="301">
        <v>45856</v>
      </c>
      <c r="HC79" s="314" t="str">
        <f>IF(Table1[[#This Row],[Flushing Actual
(tanggal)]]&lt;&gt;"","Sudah","Belum")</f>
        <v>Sudah</v>
      </c>
      <c r="HD79" s="300">
        <v>45537</v>
      </c>
      <c r="HE79" s="300" t="e">
        <v>#N/A</v>
      </c>
      <c r="HF79" s="300">
        <v>45543</v>
      </c>
      <c r="HG79" s="322">
        <v>45524</v>
      </c>
      <c r="HH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79" s="300" t="s">
        <v>261</v>
      </c>
      <c r="HJ79" s="300" t="s">
        <v>261</v>
      </c>
      <c r="HK79" s="301"/>
      <c r="HL79" s="286"/>
      <c r="HM79" s="300">
        <v>45555</v>
      </c>
      <c r="HN79" s="300">
        <v>45555</v>
      </c>
      <c r="HO79" s="300" t="e">
        <v>#N/A</v>
      </c>
      <c r="HP79" s="300"/>
      <c r="HQ79" s="301">
        <v>45524</v>
      </c>
      <c r="HR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79" s="300">
        <v>45562</v>
      </c>
      <c r="HT79" s="300"/>
      <c r="HU79" s="300">
        <v>45562</v>
      </c>
      <c r="HV79" s="497"/>
      <c r="HW79" s="300">
        <v>45714</v>
      </c>
      <c r="HX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79" s="42"/>
      <c r="HZ79" s="322"/>
      <c r="IA79" s="306"/>
      <c r="IC79" s="585">
        <f>IFERROR(ROUND((Table1[[#This Row],[PLAN TC
finish]]-Table1[[#This Row],[PLAN MC-0
start]])/30,2),"")</f>
        <v>0.9</v>
      </c>
      <c r="ID79">
        <f>DATEDIF(Table1[[#This Row],[PLAN MC-0
start]],Table1[[#This Row],[PLAN TC
finish]],"m")</f>
        <v>0</v>
      </c>
    </row>
    <row r="80" spans="1:238" s="4" customFormat="1" ht="15" customHeight="1" x14ac:dyDescent="0.25">
      <c r="B80" s="281">
        <f>SUBTOTAL(3,$D$5:D80)</f>
        <v>76</v>
      </c>
      <c r="C80" s="318">
        <v>76</v>
      </c>
      <c r="D80" s="308" t="s">
        <v>629</v>
      </c>
      <c r="E80" s="285" t="s">
        <v>636</v>
      </c>
      <c r="F80" s="285" t="s">
        <v>637</v>
      </c>
      <c r="G80" s="319">
        <v>45752</v>
      </c>
      <c r="H80" s="284" t="s">
        <v>247</v>
      </c>
      <c r="I80" s="285" t="s">
        <v>278</v>
      </c>
      <c r="J80" s="285"/>
      <c r="K80" s="308" t="s">
        <v>632</v>
      </c>
      <c r="L80" s="286" t="s">
        <v>250</v>
      </c>
      <c r="M80" s="286" t="s">
        <v>269</v>
      </c>
      <c r="N80" s="94">
        <v>349</v>
      </c>
      <c r="O80" s="31" t="s">
        <v>252</v>
      </c>
      <c r="P8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0" s="82" t="e">
        <v>#N/A</v>
      </c>
      <c r="S80" s="82">
        <v>1</v>
      </c>
      <c r="T80" s="35">
        <f>Table1[[#This Row],[Progres Total Aktual
(%)]]</f>
        <v>1</v>
      </c>
      <c r="U80" s="106">
        <f>Table1[[#This Row],[Progres Aktual
(%)]]-Table1[[#This Row],[Target Progres
(%)]]</f>
        <v>0</v>
      </c>
      <c r="V80" s="320">
        <f>Table1[[#This Row],["Volume
BA MC-0"]]</f>
        <v>346</v>
      </c>
      <c r="W80" s="321">
        <f>Table1[[#This Row],[Total Panjang Pipa Aktual
(Sum-&gt;)3]]</f>
        <v>338</v>
      </c>
      <c r="X80" s="42"/>
      <c r="Y80" s="62" t="s">
        <v>638</v>
      </c>
      <c r="Z80" s="62">
        <v>533312925</v>
      </c>
      <c r="AA80" s="62">
        <f>ROUND((Table1[[#This Row],[Nilai RAB Jaringan
(Exclude Ppn)]]-Table1[[#This Row],[RAB Perizinan]])*1.11+Table1[[#This Row],[RAB Perizinan]],0)</f>
        <v>0</v>
      </c>
      <c r="AB80" s="290">
        <f>SUM(Table1[[#This Row],[RAB Kegiatan Umum]:[RAB Perizinan]])</f>
        <v>0</v>
      </c>
      <c r="AC80" s="290"/>
      <c r="AD80" s="290"/>
      <c r="AE80" s="290"/>
      <c r="AF80" s="290"/>
      <c r="AG80" s="290">
        <v>40992966</v>
      </c>
      <c r="AH80" s="35" t="e">
        <f>SUM(Table1[[#This Row],[Bobot Keg Umum]:[Bobot Perizinan]])</f>
        <v>#DIV/0!</v>
      </c>
      <c r="AI80" s="35" t="e">
        <f>Table1[[#This Row],[RAB Kegiatan Umum]]/Table1[[#This Row],[Nilai RAB Jaringan
(Exclude Ppn)]]</f>
        <v>#DIV/0!</v>
      </c>
      <c r="AJ80" s="35" t="e">
        <f>Table1[[#This Row],[RAB Pemasangan]]/Table1[[#This Row],[Nilai RAB Jaringan
(Exclude Ppn)]]</f>
        <v>#DIV/0!</v>
      </c>
      <c r="AK80" s="35" t="e">
        <f>Table1[[#This Row],[RAB Pengadaan]]/Table1[[#This Row],[Nilai RAB Jaringan
(Exclude Ppn)]]</f>
        <v>#DIV/0!</v>
      </c>
      <c r="AL80" s="35" t="e">
        <f>Table1[[#This Row],[RAB Perizinan]]/Table1[[#This Row],[Nilai RAB Jaringan
(Exclude Ppn)]]</f>
        <v>#DIV/0!</v>
      </c>
      <c r="AM80" s="42"/>
      <c r="AN80" s="256">
        <v>346</v>
      </c>
      <c r="AO80" s="256">
        <f>SUM(Table1[[#This Row],[Pipa 63 mm]:[Pipa 1,800 mm]])</f>
        <v>346</v>
      </c>
      <c r="AP80" s="256">
        <v>346</v>
      </c>
      <c r="AQ80" s="256"/>
      <c r="AR80" s="256"/>
      <c r="AS80" s="256"/>
      <c r="AT80" s="256"/>
      <c r="AU80" s="256"/>
      <c r="AV80" s="256"/>
      <c r="AW80" s="256"/>
      <c r="AX80" s="256"/>
      <c r="AY80" s="256"/>
      <c r="AZ80" s="256"/>
      <c r="BA80" s="256"/>
      <c r="BB80" s="256"/>
      <c r="BC80" s="256"/>
      <c r="BD80" s="256"/>
      <c r="BE80" s="256"/>
      <c r="BF80" s="256"/>
      <c r="BG80" s="256"/>
      <c r="BH80" s="256"/>
      <c r="BI80" s="256"/>
      <c r="BJ80" s="36">
        <f>SUM(Table1[[#This Row],[Pipa 63 mm2]:[Pipa 1,800 mm21]])</f>
        <v>338</v>
      </c>
      <c r="BK80" s="32">
        <v>338</v>
      </c>
      <c r="BL80" s="32"/>
      <c r="BM80" s="32"/>
      <c r="BN80" s="32"/>
      <c r="BO80" s="32"/>
      <c r="BP80" s="32"/>
      <c r="BQ80" s="32"/>
      <c r="BR80" s="32"/>
      <c r="BS80" s="32"/>
      <c r="BT80" s="32"/>
      <c r="BU80" s="32"/>
      <c r="BV80" s="32"/>
      <c r="BW80" s="32"/>
      <c r="BX80" s="32"/>
      <c r="BY80" s="32"/>
      <c r="BZ80" s="32"/>
      <c r="CA80" s="32"/>
      <c r="CB80" s="32"/>
      <c r="CC80" s="32"/>
      <c r="CD80" s="32"/>
      <c r="CE80" s="32">
        <v>0</v>
      </c>
      <c r="CF80" s="32"/>
      <c r="CG80" s="32"/>
      <c r="CH80" s="32"/>
      <c r="CI80" s="32">
        <f t="shared" si="6"/>
        <v>0</v>
      </c>
      <c r="CJ80" s="60">
        <f>IF((Table1[[#This Row],["Volume
BA MC-0"]]-Table1[[#This Row],[Total Panjang Pipa Aktual
(Sum-&gt;)3]]-Table1[[#This Row],[Total Volume
tidak dapat dipasang]])&gt;=0,Table1[[#This Row],["Volume
BA MC-0"]]-Table1[[#This Row],[Total Panjang Pipa Aktual
(Sum-&gt;)3]]-Table1[[#This Row],[Total Volume
tidak dapat dipasang]],0)</f>
        <v>8</v>
      </c>
      <c r="CK80" s="42"/>
      <c r="CL80" s="113"/>
      <c r="CM80" s="35"/>
      <c r="CN80" s="113"/>
      <c r="CO80" s="113"/>
      <c r="CP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0" s="61">
        <f>IFERROR(Table1[[#This Row],[Progres Keg. Umum
(%)]]*Table1[[#This Row],[Nilai RAB Jaringan
(file pa aji)]],0)</f>
        <v>0</v>
      </c>
      <c r="CR80" s="61">
        <f>IFERROR(Table1[[#This Row],[Progres MOS
(%)]]*Table1[[#This Row],[Nilai RAB Jaringan
(file pa aji)]],0)</f>
        <v>0</v>
      </c>
      <c r="CS80" s="61">
        <f>IFERROR(Table1[[#This Row],[Progres Pemasangan
(%)]]*Table1[[#This Row],[Nilai RAB Jaringan
(file pa aji)]],0)</f>
        <v>0</v>
      </c>
      <c r="CT80" s="61">
        <f>IFERROR(Table1[[#This Row],[Progres Perizinan
(%)]]*Table1[[#This Row],[Nilai RAB Jaringan
(file pa aji)]],0)</f>
        <v>0</v>
      </c>
      <c r="CU80" s="789">
        <v>509812803</v>
      </c>
      <c r="CV80" s="299">
        <v>509812803</v>
      </c>
      <c r="CW80" s="552">
        <v>509812803</v>
      </c>
      <c r="CX80" s="789">
        <f>_xlfn.XLOOKUP(Table1[[#This Row],[Kode Program]],'[1]Breakdown VOWD Greenfield'!$E:$E,'[1]Breakdown VOWD Greenfield'!$AT:$AT)</f>
        <v>509812803</v>
      </c>
      <c r="CY80" s="42"/>
      <c r="CZ80" s="300">
        <v>45411</v>
      </c>
      <c r="DA80" s="300">
        <v>45438</v>
      </c>
      <c r="DB80" s="301"/>
      <c r="DC80" s="286"/>
      <c r="DD80" s="62"/>
      <c r="DE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0" s="301"/>
      <c r="DG80" s="286"/>
      <c r="DH80" s="62"/>
      <c r="DI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0" s="300">
        <v>45439</v>
      </c>
      <c r="DK80" s="300">
        <v>45480</v>
      </c>
      <c r="DL80" s="301">
        <v>45447</v>
      </c>
      <c r="DM80" s="286" t="s">
        <v>639</v>
      </c>
      <c r="DN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0" s="301">
        <v>45448</v>
      </c>
      <c r="DP80" s="286" t="s">
        <v>640</v>
      </c>
      <c r="DQ80" s="308" t="s">
        <v>312</v>
      </c>
      <c r="DR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0" s="300">
        <v>45439</v>
      </c>
      <c r="DT80" s="300" t="e">
        <v>#N/A</v>
      </c>
      <c r="DU80" s="300">
        <v>45480</v>
      </c>
      <c r="DV80" s="300" t="e">
        <v>#N/A</v>
      </c>
      <c r="DW80" s="301"/>
      <c r="DX80" s="286"/>
      <c r="DY80" s="304"/>
      <c r="DZ80" s="304"/>
      <c r="EA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0" s="301"/>
      <c r="EC80" s="302"/>
      <c r="ED80" s="302"/>
      <c r="EE80" s="300"/>
      <c r="EF80" s="35">
        <v>1</v>
      </c>
      <c r="EG80" s="307">
        <v>1</v>
      </c>
      <c r="EH80" s="286" t="str">
        <f>IF(Table1[[#This Row],[PO Material Aktual 
(%)]]&gt;=100%,"Selesai PO = 100%",IF(Table1[[#This Row],[PO Material Aktual 
(%)]]&gt;=50%,"Proses PO &gt; 100%",IF(Table1[[#This Row],[PO Material Aktual 
(%)]]&gt;0%,"Proses PO &gt; 50%",IF(Table1[[#This Row],[PO Material Aktual 
(%)]]=0,"Belum PO = 0%"))))</f>
        <v>Selesai PO = 100%</v>
      </c>
      <c r="EI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0" s="300">
        <v>45481</v>
      </c>
      <c r="EK80" s="300" t="e">
        <v>#N/A</v>
      </c>
      <c r="EL80" s="300">
        <v>45529</v>
      </c>
      <c r="EM80" s="300" t="e">
        <v>#N/A</v>
      </c>
      <c r="EN80" s="301"/>
      <c r="EO80" s="302"/>
      <c r="EP80" s="302"/>
      <c r="EQ80" s="82">
        <v>1</v>
      </c>
      <c r="ER80" s="82">
        <v>1</v>
      </c>
      <c r="ES80" s="286" t="str">
        <f>IF(Table1[[#This Row],[Progres MOS]]&gt;=100%,"Selesai MOS = 100%",IF(Table1[[#This Row],[Progres MOS]]&gt;=50%,"Proses MOS &gt; 100%",IF(Table1[[#This Row],[Progres MOS]]&gt;0%,"Proses MOS &gt; 50%",IF(Table1[[#This Row],[Progres MOS]]=0,"Belum MOS = 0%"))))</f>
        <v>Selesai MOS = 100%</v>
      </c>
      <c r="ET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0" s="42"/>
      <c r="EV80" s="300">
        <v>45439</v>
      </c>
      <c r="EW80" s="300" t="e">
        <v>#N/A</v>
      </c>
      <c r="EX80" s="300">
        <v>45529</v>
      </c>
      <c r="EY80" s="300" t="e">
        <v>#N/A</v>
      </c>
      <c r="EZ80" s="322" t="s">
        <v>259</v>
      </c>
      <c r="FA80" s="306" t="s">
        <v>259</v>
      </c>
      <c r="FB80" s="300" t="s">
        <v>260</v>
      </c>
      <c r="FC80" s="300">
        <v>45420</v>
      </c>
      <c r="FD80" s="300" t="s">
        <v>260</v>
      </c>
      <c r="FE80" s="300">
        <v>45727</v>
      </c>
      <c r="FF80" s="300">
        <v>45897</v>
      </c>
      <c r="FG80" s="300" t="s">
        <v>260</v>
      </c>
      <c r="FH80" s="300" t="s">
        <v>260</v>
      </c>
      <c r="FI80" s="300">
        <v>45987</v>
      </c>
      <c r="FJ80" s="300" t="s">
        <v>260</v>
      </c>
      <c r="FK80" s="300">
        <v>46020</v>
      </c>
      <c r="FL80" s="306" t="s">
        <v>259</v>
      </c>
      <c r="FM80" s="306">
        <v>45420</v>
      </c>
      <c r="FN80" s="284">
        <f>IF(Table1[[#This Row],[Tanggal Pengajuan Dokumen]]="","",Table1[[#This Row],[PLAN PERMIT
start]]-Table1[[#This Row],[Tanggal Pengajuan Dokumen]])</f>
        <v>19</v>
      </c>
      <c r="FO80" s="306"/>
      <c r="FP80" s="286"/>
      <c r="FQ80" s="308"/>
      <c r="FR80" s="322"/>
      <c r="FS80" s="308" t="str">
        <f t="shared" si="7"/>
        <v>Sudah Terbit</v>
      </c>
      <c r="FT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0" s="314">
        <f ca="1">IF(Table1[[#This Row],[Status Izin]]="Selesai",Table1[[#This Row],[PLAN PERMIT
finish]]-Table1[[#This Row],[Tanggal Terbit/ Target Izin Terbit]],ROUNDUP(Table1[[#This Row],[PLAN PERMIT
finish]]-NOW(),0))</f>
        <v>45529</v>
      </c>
      <c r="FV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0" s="314"/>
      <c r="FX80" s="42"/>
      <c r="FY80" s="310"/>
      <c r="FZ80" s="311">
        <v>45582</v>
      </c>
      <c r="GA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0" s="300">
        <v>45503</v>
      </c>
      <c r="GC80" s="322">
        <v>45457</v>
      </c>
      <c r="GD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0" s="300">
        <v>45510</v>
      </c>
      <c r="GF80" s="322">
        <v>45457</v>
      </c>
      <c r="GG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0" s="300">
        <v>45516</v>
      </c>
      <c r="GI80" s="300">
        <v>45522</v>
      </c>
      <c r="GJ80" s="322">
        <v>45462</v>
      </c>
      <c r="GK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0" s="300">
        <v>45530</v>
      </c>
      <c r="GM80" s="300" t="e">
        <v>#N/A</v>
      </c>
      <c r="GN80" s="300">
        <v>45550</v>
      </c>
      <c r="GO80" s="300" t="e">
        <v>#N/A</v>
      </c>
      <c r="GP80" s="286"/>
      <c r="GQ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0" s="300" t="s">
        <v>261</v>
      </c>
      <c r="GS80" s="300" t="s">
        <v>261</v>
      </c>
      <c r="GT80" s="324">
        <v>45842</v>
      </c>
      <c r="GU80" s="314" t="str">
        <f>IF(Table1[[#This Row],[Hydro Tes Actual
(tanggal)]]&lt;&gt;"","Sudah","Belum")</f>
        <v>Sudah</v>
      </c>
      <c r="GV80" s="300" t="s">
        <v>261</v>
      </c>
      <c r="GW80" s="300" t="s">
        <v>261</v>
      </c>
      <c r="GX80" s="301">
        <v>45850</v>
      </c>
      <c r="GY80" s="314" t="str">
        <f>IF(Table1[[#This Row],[Interkoneksi Actual
(tanggal)]]&lt;&gt;"","Sudah","Belum")</f>
        <v>Sudah</v>
      </c>
      <c r="GZ80" s="300" t="s">
        <v>261</v>
      </c>
      <c r="HA80" s="300" t="s">
        <v>261</v>
      </c>
      <c r="HB80" s="301">
        <v>45856</v>
      </c>
      <c r="HC80" s="314" t="str">
        <f>IF(Table1[[#This Row],[Flushing Actual
(tanggal)]]&lt;&gt;"","Sudah","Belum")</f>
        <v>Sudah</v>
      </c>
      <c r="HD80" s="300">
        <v>45537</v>
      </c>
      <c r="HE80" s="300" t="e">
        <v>#N/A</v>
      </c>
      <c r="HF80" s="300">
        <v>45543</v>
      </c>
      <c r="HG80" s="322">
        <v>45524</v>
      </c>
      <c r="HH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0" s="300" t="s">
        <v>261</v>
      </c>
      <c r="HJ80" s="300" t="s">
        <v>261</v>
      </c>
      <c r="HK80" s="301"/>
      <c r="HL80" s="286"/>
      <c r="HM80" s="300">
        <v>45555</v>
      </c>
      <c r="HN80" s="300">
        <v>45555</v>
      </c>
      <c r="HO80" s="300" t="e">
        <v>#N/A</v>
      </c>
      <c r="HP80" s="300"/>
      <c r="HQ80" s="301">
        <v>45524</v>
      </c>
      <c r="HR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80" s="300">
        <v>45562</v>
      </c>
      <c r="HT80" s="300"/>
      <c r="HU80" s="300">
        <v>45562</v>
      </c>
      <c r="HV80" s="497"/>
      <c r="HW80" s="300">
        <v>45714</v>
      </c>
      <c r="HX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0" s="42"/>
      <c r="HZ80" s="322"/>
      <c r="IA80" s="306"/>
      <c r="IC80" s="585">
        <f>IFERROR(ROUND((Table1[[#This Row],[PLAN TC
finish]]-Table1[[#This Row],[PLAN MC-0
start]])/30,2),"")</f>
        <v>0.9</v>
      </c>
      <c r="ID80">
        <f>DATEDIF(Table1[[#This Row],[PLAN MC-0
start]],Table1[[#This Row],[PLAN TC
finish]],"m")</f>
        <v>0</v>
      </c>
    </row>
    <row r="81" spans="2:238" s="4" customFormat="1" ht="15" customHeight="1" x14ac:dyDescent="0.25">
      <c r="B81" s="281">
        <f>SUBTOTAL(3,$D$5:D81)</f>
        <v>77</v>
      </c>
      <c r="C81" s="318">
        <v>77</v>
      </c>
      <c r="D81" s="308" t="s">
        <v>629</v>
      </c>
      <c r="E81" s="285" t="s">
        <v>641</v>
      </c>
      <c r="F81" s="285" t="s">
        <v>642</v>
      </c>
      <c r="G81" s="319">
        <v>45752</v>
      </c>
      <c r="H81" s="284" t="s">
        <v>247</v>
      </c>
      <c r="I81" s="285" t="s">
        <v>248</v>
      </c>
      <c r="J81" s="285"/>
      <c r="K81" s="308" t="s">
        <v>632</v>
      </c>
      <c r="L81" s="286" t="s">
        <v>250</v>
      </c>
      <c r="M81" s="286" t="s">
        <v>251</v>
      </c>
      <c r="N81" s="94">
        <v>2650</v>
      </c>
      <c r="O81" s="31" t="s">
        <v>252</v>
      </c>
      <c r="P8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1" s="82" t="e">
        <v>#N/A</v>
      </c>
      <c r="S81" s="82">
        <v>1</v>
      </c>
      <c r="T81" s="35">
        <f>Table1[[#This Row],[Progres Total Aktual
(%)]]</f>
        <v>1</v>
      </c>
      <c r="U81" s="106">
        <f>Table1[[#This Row],[Progres Aktual
(%)]]-Table1[[#This Row],[Target Progres
(%)]]</f>
        <v>0</v>
      </c>
      <c r="V81" s="320">
        <f>Table1[[#This Row],["Volume
BA MC-0"]]</f>
        <v>2650</v>
      </c>
      <c r="W81" s="321">
        <f>Table1[[#This Row],[Total Panjang Pipa Aktual
(Sum-&gt;)3]]</f>
        <v>2654</v>
      </c>
      <c r="X81" s="42"/>
      <c r="Y81" s="62" t="s">
        <v>643</v>
      </c>
      <c r="Z81" s="62">
        <v>261103020543</v>
      </c>
      <c r="AA81" s="62">
        <f>ROUND((Table1[[#This Row],[Nilai RAB Jaringan
(Exclude Ppn)]]-Table1[[#This Row],[RAB Perizinan]])*1.11+Table1[[#This Row],[RAB Perizinan]],0)</f>
        <v>0</v>
      </c>
      <c r="AB81" s="290">
        <f>SUM(Table1[[#This Row],[RAB Kegiatan Umum]:[RAB Perizinan]])</f>
        <v>0</v>
      </c>
      <c r="AC81" s="290"/>
      <c r="AD81" s="290"/>
      <c r="AE81" s="290"/>
      <c r="AF81" s="290"/>
      <c r="AG81" s="290">
        <v>0</v>
      </c>
      <c r="AH81" s="35" t="e">
        <f>SUM(Table1[[#This Row],[Bobot Keg Umum]:[Bobot Perizinan]])</f>
        <v>#DIV/0!</v>
      </c>
      <c r="AI81" s="35" t="e">
        <f>Table1[[#This Row],[RAB Kegiatan Umum]]/Table1[[#This Row],[Nilai RAB Jaringan
(Exclude Ppn)]]</f>
        <v>#DIV/0!</v>
      </c>
      <c r="AJ81" s="35" t="e">
        <f>Table1[[#This Row],[RAB Pemasangan]]/Table1[[#This Row],[Nilai RAB Jaringan
(Exclude Ppn)]]</f>
        <v>#DIV/0!</v>
      </c>
      <c r="AK81" s="35" t="e">
        <f>Table1[[#This Row],[RAB Pengadaan]]/Table1[[#This Row],[Nilai RAB Jaringan
(Exclude Ppn)]]</f>
        <v>#DIV/0!</v>
      </c>
      <c r="AL81" s="35" t="e">
        <f>Table1[[#This Row],[RAB Perizinan]]/Table1[[#This Row],[Nilai RAB Jaringan
(Exclude Ppn)]]</f>
        <v>#DIV/0!</v>
      </c>
      <c r="AM81" s="42"/>
      <c r="AN81" s="256">
        <v>2650</v>
      </c>
      <c r="AO81" s="256">
        <f>SUM(Table1[[#This Row],[Pipa 63 mm]:[Pipa 1,800 mm]])</f>
        <v>2650</v>
      </c>
      <c r="AP81" s="256"/>
      <c r="AQ81" s="256"/>
      <c r="AR81" s="256"/>
      <c r="AS81" s="256"/>
      <c r="AT81" s="256"/>
      <c r="AU81" s="256"/>
      <c r="AV81" s="256"/>
      <c r="AW81" s="256"/>
      <c r="AX81" s="256"/>
      <c r="AY81" s="256"/>
      <c r="AZ81" s="256"/>
      <c r="BA81" s="256"/>
      <c r="BB81" s="256"/>
      <c r="BC81" s="256"/>
      <c r="BD81" s="256"/>
      <c r="BE81" s="256"/>
      <c r="BF81" s="256"/>
      <c r="BG81" s="256"/>
      <c r="BH81" s="256"/>
      <c r="BI81" s="256">
        <v>2650</v>
      </c>
      <c r="BJ81" s="36">
        <f>SUM(Table1[[#This Row],[Pipa 63 mm2]:[Pipa 1,800 mm21]])</f>
        <v>2654</v>
      </c>
      <c r="BK81" s="32"/>
      <c r="BL81" s="32"/>
      <c r="BM81" s="32"/>
      <c r="BN81" s="32"/>
      <c r="BO81" s="32"/>
      <c r="BP81" s="32"/>
      <c r="BQ81" s="32"/>
      <c r="BR81" s="32"/>
      <c r="BS81" s="32"/>
      <c r="BT81" s="32"/>
      <c r="BU81" s="32"/>
      <c r="BV81" s="32"/>
      <c r="BW81" s="32"/>
      <c r="BX81" s="32"/>
      <c r="BY81" s="32"/>
      <c r="BZ81" s="32"/>
      <c r="CA81" s="32"/>
      <c r="CB81" s="32"/>
      <c r="CC81" s="32"/>
      <c r="CD81" s="32">
        <v>2654</v>
      </c>
      <c r="CE81" s="32">
        <v>0</v>
      </c>
      <c r="CF81" s="32"/>
      <c r="CG81" s="32"/>
      <c r="CH81" s="32"/>
      <c r="CI81" s="32">
        <f t="shared" si="6"/>
        <v>0</v>
      </c>
      <c r="CJ81" s="60">
        <f>IF((Table1[[#This Row],["Volume
BA MC-0"]]-Table1[[#This Row],[Total Panjang Pipa Aktual
(Sum-&gt;)3]]-Table1[[#This Row],[Total Volume
tidak dapat dipasang]])&gt;=0,Table1[[#This Row],["Volume
BA MC-0"]]-Table1[[#This Row],[Total Panjang Pipa Aktual
(Sum-&gt;)3]]-Table1[[#This Row],[Total Volume
tidak dapat dipasang]],0)</f>
        <v>0</v>
      </c>
      <c r="CK81" s="42"/>
      <c r="CL81" s="113"/>
      <c r="CM81" s="35"/>
      <c r="CN81" s="113"/>
      <c r="CO81" s="113"/>
      <c r="CP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1" s="61">
        <f>IFERROR(Table1[[#This Row],[Progres Keg. Umum
(%)]]*Table1[[#This Row],[Nilai RAB Jaringan
(file pa aji)]],0)</f>
        <v>0</v>
      </c>
      <c r="CR81" s="61">
        <f>IFERROR(Table1[[#This Row],[Progres MOS
(%)]]*Table1[[#This Row],[Nilai RAB Jaringan
(file pa aji)]],0)</f>
        <v>0</v>
      </c>
      <c r="CS81" s="61">
        <f>IFERROR(Table1[[#This Row],[Progres Pemasangan
(%)]]*Table1[[#This Row],[Nilai RAB Jaringan
(file pa aji)]],0)</f>
        <v>0</v>
      </c>
      <c r="CT81" s="61">
        <f>IFERROR(Table1[[#This Row],[Progres Perizinan
(%)]]*Table1[[#This Row],[Nilai RAB Jaringan
(file pa aji)]],0)</f>
        <v>0</v>
      </c>
      <c r="CU81" s="789">
        <v>181565133009</v>
      </c>
      <c r="CV81" s="299">
        <v>181565133009</v>
      </c>
      <c r="CW81" s="552">
        <v>181565133009</v>
      </c>
      <c r="CX81" s="789">
        <f>_xlfn.XLOOKUP(Table1[[#This Row],[Kode Program]],'[1]Breakdown VOWD Greenfield'!$E:$E,'[1]Breakdown VOWD Greenfield'!$AT:$AT)</f>
        <v>181565133009</v>
      </c>
      <c r="CY81" s="42"/>
      <c r="CZ81" s="300">
        <v>45320</v>
      </c>
      <c r="DA81" s="300">
        <v>45354</v>
      </c>
      <c r="DB81" s="301"/>
      <c r="DC81" s="286"/>
      <c r="DD81" s="62"/>
      <c r="DE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1" s="301"/>
      <c r="DG81" s="286"/>
      <c r="DH81" s="62"/>
      <c r="DI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1" s="300">
        <v>45355</v>
      </c>
      <c r="DK81" s="300">
        <v>45508</v>
      </c>
      <c r="DL81" s="301">
        <v>45643</v>
      </c>
      <c r="DM81" s="327" t="s">
        <v>644</v>
      </c>
      <c r="DN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1" s="301">
        <v>45659</v>
      </c>
      <c r="DP81" s="286" t="s">
        <v>645</v>
      </c>
      <c r="DQ81" s="308" t="s">
        <v>646</v>
      </c>
      <c r="DR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1" s="300">
        <v>45355</v>
      </c>
      <c r="DT81" s="300" t="e">
        <v>#N/A</v>
      </c>
      <c r="DU81" s="300">
        <v>45403</v>
      </c>
      <c r="DV81" s="300" t="e">
        <v>#N/A</v>
      </c>
      <c r="DW81" s="301"/>
      <c r="DX81" s="286"/>
      <c r="DY81" s="304"/>
      <c r="DZ81" s="304"/>
      <c r="EA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1" s="301"/>
      <c r="EC81" s="302"/>
      <c r="ED81" s="302"/>
      <c r="EE81" s="300"/>
      <c r="EF81" s="35">
        <v>1</v>
      </c>
      <c r="EG81" s="307">
        <v>1</v>
      </c>
      <c r="EH81" s="286" t="str">
        <f>IF(Table1[[#This Row],[PO Material Aktual 
(%)]]&gt;=100%,"Selesai PO = 100%",IF(Table1[[#This Row],[PO Material Aktual 
(%)]]&gt;=50%,"Proses PO &gt; 100%",IF(Table1[[#This Row],[PO Material Aktual 
(%)]]&gt;0%,"Proses PO &gt; 50%",IF(Table1[[#This Row],[PO Material Aktual 
(%)]]=0,"Belum PO = 0%"))))</f>
        <v>Selesai PO = 100%</v>
      </c>
      <c r="EI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1" s="300">
        <v>45404</v>
      </c>
      <c r="EK81" s="300" t="e">
        <v>#N/A</v>
      </c>
      <c r="EL81" s="300">
        <v>45592</v>
      </c>
      <c r="EM81" s="300" t="e">
        <v>#N/A</v>
      </c>
      <c r="EN81" s="301"/>
      <c r="EO81" s="302"/>
      <c r="EP81" s="302"/>
      <c r="EQ81" s="82">
        <v>1</v>
      </c>
      <c r="ER81" s="82">
        <v>1</v>
      </c>
      <c r="ES81" s="286" t="str">
        <f>IF(Table1[[#This Row],[Progres MOS]]&gt;=100%,"Selesai MOS = 100%",IF(Table1[[#This Row],[Progres MOS]]&gt;=50%,"Proses MOS &gt; 100%",IF(Table1[[#This Row],[Progres MOS]]&gt;0%,"Proses MOS &gt; 50%",IF(Table1[[#This Row],[Progres MOS]]=0,"Belum MOS = 0%"))))</f>
        <v>Selesai MOS = 100%</v>
      </c>
      <c r="ET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1" s="42"/>
      <c r="EV81" s="300">
        <v>45355</v>
      </c>
      <c r="EW81" s="300" t="e">
        <v>#N/A</v>
      </c>
      <c r="EX81" s="300">
        <v>45536</v>
      </c>
      <c r="EY81" s="300" t="e">
        <v>#N/A</v>
      </c>
      <c r="EZ81" s="322" t="s">
        <v>259</v>
      </c>
      <c r="FA81" s="306" t="s">
        <v>259</v>
      </c>
      <c r="FB81" s="300" t="s">
        <v>260</v>
      </c>
      <c r="FC81" s="300">
        <v>45014</v>
      </c>
      <c r="FD81" s="300" t="s">
        <v>260</v>
      </c>
      <c r="FE81" s="300"/>
      <c r="FF81" s="300">
        <v>45134</v>
      </c>
      <c r="FG81" s="300" t="s">
        <v>260</v>
      </c>
      <c r="FH81" s="300" t="s">
        <v>260</v>
      </c>
      <c r="FI81" s="300">
        <v>45187</v>
      </c>
      <c r="FJ81" s="300" t="s">
        <v>260</v>
      </c>
      <c r="FK81" s="300">
        <v>45309</v>
      </c>
      <c r="FL81" s="306" t="s">
        <v>259</v>
      </c>
      <c r="FM81" s="306">
        <v>45014</v>
      </c>
      <c r="FN81" s="284">
        <f>IF(Table1[[#This Row],[Tanggal Pengajuan Dokumen]]="","",Table1[[#This Row],[PLAN PERMIT
start]]-Table1[[#This Row],[Tanggal Pengajuan Dokumen]])</f>
        <v>341</v>
      </c>
      <c r="FO81" s="306">
        <v>45309</v>
      </c>
      <c r="FP81" s="286" t="s">
        <v>174</v>
      </c>
      <c r="FQ81" s="286"/>
      <c r="FR81" s="286" t="s">
        <v>174</v>
      </c>
      <c r="FS81" s="308" t="str">
        <f t="shared" si="7"/>
        <v>Sudah Terbit</v>
      </c>
      <c r="FT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1" s="314">
        <f ca="1">IF(Table1[[#This Row],[Status Izin]]="Selesai",Table1[[#This Row],[PLAN PERMIT
finish]]-Table1[[#This Row],[Tanggal Terbit/ Target Izin Terbit]],ROUNDUP(Table1[[#This Row],[PLAN PERMIT
finish]]-NOW(),0))</f>
        <v>227</v>
      </c>
      <c r="FV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1" s="314"/>
      <c r="FX81" s="42"/>
      <c r="FY81" s="310"/>
      <c r="FZ81" s="311">
        <v>45582</v>
      </c>
      <c r="GA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1" s="300">
        <v>45510</v>
      </c>
      <c r="GC81" s="322">
        <v>45780</v>
      </c>
      <c r="GD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1" s="300">
        <v>45517</v>
      </c>
      <c r="GF81" s="322">
        <v>45779</v>
      </c>
      <c r="GG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1" s="300">
        <v>45523</v>
      </c>
      <c r="GI81" s="300">
        <v>45529</v>
      </c>
      <c r="GJ81" s="322">
        <v>45814</v>
      </c>
      <c r="GK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81" s="300">
        <v>45537</v>
      </c>
      <c r="GM81" s="300" t="e">
        <v>#N/A</v>
      </c>
      <c r="GN81" s="300">
        <v>45725</v>
      </c>
      <c r="GO81" s="300" t="e">
        <v>#N/A</v>
      </c>
      <c r="GP81" s="286"/>
      <c r="GQ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1" s="300" t="s">
        <v>261</v>
      </c>
      <c r="GS81" s="300" t="s">
        <v>261</v>
      </c>
      <c r="GT81" s="324">
        <v>45740</v>
      </c>
      <c r="GU81" s="314" t="str">
        <f>IF(Table1[[#This Row],[Hydro Tes Actual
(tanggal)]]&lt;&gt;"","Sudah","Belum")</f>
        <v>Sudah</v>
      </c>
      <c r="GV81" s="300" t="s">
        <v>261</v>
      </c>
      <c r="GW81" s="300" t="s">
        <v>261</v>
      </c>
      <c r="GX81" s="301"/>
      <c r="GY81" s="314" t="str">
        <f>IF(Table1[[#This Row],[Interkoneksi Actual
(tanggal)]]&lt;&gt;"","Sudah","Belum")</f>
        <v>Belum</v>
      </c>
      <c r="GZ81" s="300" t="s">
        <v>261</v>
      </c>
      <c r="HA81" s="300" t="s">
        <v>261</v>
      </c>
      <c r="HB81" s="301">
        <v>45764</v>
      </c>
      <c r="HC81" s="314" t="str">
        <f>IF(Table1[[#This Row],[Flushing Actual
(tanggal)]]&lt;&gt;"","Sudah","Belum")</f>
        <v>Sudah</v>
      </c>
      <c r="HD81" s="300">
        <v>45712</v>
      </c>
      <c r="HE81" s="300" t="e">
        <v>#N/A</v>
      </c>
      <c r="HF81" s="300">
        <v>45718</v>
      </c>
      <c r="HG81" s="322">
        <v>45779</v>
      </c>
      <c r="HH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1" s="300" t="s">
        <v>261</v>
      </c>
      <c r="HJ81" s="300" t="s">
        <v>261</v>
      </c>
      <c r="HK81" s="301"/>
      <c r="HL81" s="286"/>
      <c r="HM81" s="300">
        <v>45737</v>
      </c>
      <c r="HN81" s="300">
        <v>45737</v>
      </c>
      <c r="HO81" s="300" t="e">
        <v>#N/A</v>
      </c>
      <c r="HP81" s="300"/>
      <c r="HQ81" s="301">
        <v>45792</v>
      </c>
      <c r="HR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1" s="300">
        <v>45744</v>
      </c>
      <c r="HT81" s="300"/>
      <c r="HU81" s="300">
        <v>45744</v>
      </c>
      <c r="HV81" s="497"/>
      <c r="HW81" s="300">
        <v>45751</v>
      </c>
      <c r="HX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1" s="42"/>
      <c r="HZ81" s="322"/>
      <c r="IA81" s="306"/>
      <c r="IC81" s="585">
        <f>IFERROR(ROUND((Table1[[#This Row],[PLAN TC
finish]]-Table1[[#This Row],[PLAN MC-0
start]])/30,2),"")</f>
        <v>6.5</v>
      </c>
      <c r="ID81">
        <f>DATEDIF(Table1[[#This Row],[PLAN MC-0
start]],Table1[[#This Row],[PLAN TC
finish]],"m")</f>
        <v>6</v>
      </c>
    </row>
    <row r="82" spans="2:238" s="4" customFormat="1" ht="15" customHeight="1" x14ac:dyDescent="0.25">
      <c r="B82" s="281">
        <f>SUBTOTAL(3,$D$5:D82)</f>
        <v>78</v>
      </c>
      <c r="C82" s="318">
        <v>78</v>
      </c>
      <c r="D82" s="308" t="s">
        <v>629</v>
      </c>
      <c r="E82" s="285" t="s">
        <v>647</v>
      </c>
      <c r="F82" s="285" t="s">
        <v>648</v>
      </c>
      <c r="G82" s="319">
        <v>45752</v>
      </c>
      <c r="H82" s="284" t="s">
        <v>247</v>
      </c>
      <c r="I82" s="285" t="s">
        <v>248</v>
      </c>
      <c r="J82" s="285"/>
      <c r="K82" s="308" t="s">
        <v>632</v>
      </c>
      <c r="L82" s="286" t="s">
        <v>250</v>
      </c>
      <c r="M82" s="286" t="s">
        <v>251</v>
      </c>
      <c r="N82" s="94">
        <v>400</v>
      </c>
      <c r="O82" s="31" t="s">
        <v>252</v>
      </c>
      <c r="P8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2" s="82" t="e">
        <v>#N/A</v>
      </c>
      <c r="S82" s="82">
        <v>1</v>
      </c>
      <c r="T82" s="35">
        <f>Table1[[#This Row],[Progres Total Aktual
(%)]]</f>
        <v>1</v>
      </c>
      <c r="U82" s="106">
        <f>Table1[[#This Row],[Progres Aktual
(%)]]-Table1[[#This Row],[Target Progres
(%)]]</f>
        <v>0</v>
      </c>
      <c r="V82" s="320">
        <f>Table1[[#This Row],["Volume
BA MC-0"]]</f>
        <v>413</v>
      </c>
      <c r="W82" s="321">
        <f>Table1[[#This Row],[Total Panjang Pipa Aktual
(Sum-&gt;)3]]</f>
        <v>413.3</v>
      </c>
      <c r="X82" s="42"/>
      <c r="Y82" s="62" t="s">
        <v>649</v>
      </c>
      <c r="Z82" s="62">
        <v>35252754673</v>
      </c>
      <c r="AA82" s="62">
        <f>ROUND((Table1[[#This Row],[Nilai RAB Jaringan
(Exclude Ppn)]]-Table1[[#This Row],[RAB Perizinan]])*1.11+Table1[[#This Row],[RAB Perizinan]],0)</f>
        <v>0</v>
      </c>
      <c r="AB82" s="290">
        <f>SUM(Table1[[#This Row],[RAB Kegiatan Umum]:[RAB Perizinan]])</f>
        <v>0</v>
      </c>
      <c r="AC82" s="290"/>
      <c r="AD82" s="290"/>
      <c r="AE82" s="290"/>
      <c r="AF82" s="290"/>
      <c r="AG82" s="290">
        <v>0</v>
      </c>
      <c r="AH82" s="35" t="e">
        <f>SUM(Table1[[#This Row],[Bobot Keg Umum]:[Bobot Perizinan]])</f>
        <v>#DIV/0!</v>
      </c>
      <c r="AI82" s="35" t="e">
        <f>Table1[[#This Row],[RAB Kegiatan Umum]]/Table1[[#This Row],[Nilai RAB Jaringan
(Exclude Ppn)]]</f>
        <v>#DIV/0!</v>
      </c>
      <c r="AJ82" s="35" t="e">
        <f>Table1[[#This Row],[RAB Pemasangan]]/Table1[[#This Row],[Nilai RAB Jaringan
(Exclude Ppn)]]</f>
        <v>#DIV/0!</v>
      </c>
      <c r="AK82" s="35" t="e">
        <f>Table1[[#This Row],[RAB Pengadaan]]/Table1[[#This Row],[Nilai RAB Jaringan
(Exclude Ppn)]]</f>
        <v>#DIV/0!</v>
      </c>
      <c r="AL82" s="35" t="e">
        <f>Table1[[#This Row],[RAB Perizinan]]/Table1[[#This Row],[Nilai RAB Jaringan
(Exclude Ppn)]]</f>
        <v>#DIV/0!</v>
      </c>
      <c r="AM82" s="42"/>
      <c r="AN82" s="256">
        <v>413</v>
      </c>
      <c r="AO82" s="256">
        <f>SUM(Table1[[#This Row],[Pipa 63 mm]:[Pipa 1,800 mm]])</f>
        <v>413</v>
      </c>
      <c r="AP82" s="256"/>
      <c r="AQ82" s="256"/>
      <c r="AR82" s="256"/>
      <c r="AS82" s="256"/>
      <c r="AT82" s="256"/>
      <c r="AU82" s="256"/>
      <c r="AV82" s="256"/>
      <c r="AW82" s="256"/>
      <c r="AX82" s="256"/>
      <c r="AY82" s="256"/>
      <c r="AZ82" s="256"/>
      <c r="BA82" s="256"/>
      <c r="BB82" s="256"/>
      <c r="BC82" s="256"/>
      <c r="BD82" s="256"/>
      <c r="BE82" s="256">
        <v>413</v>
      </c>
      <c r="BF82" s="256"/>
      <c r="BG82" s="256"/>
      <c r="BH82" s="256"/>
      <c r="BI82" s="256"/>
      <c r="BJ82" s="36">
        <f>SUM(Table1[[#This Row],[Pipa 63 mm2]:[Pipa 1,800 mm21]])</f>
        <v>413.3</v>
      </c>
      <c r="BK82" s="32"/>
      <c r="BL82" s="32"/>
      <c r="BM82" s="32"/>
      <c r="BN82" s="32"/>
      <c r="BO82" s="32"/>
      <c r="BP82" s="32"/>
      <c r="BQ82" s="32"/>
      <c r="BR82" s="32"/>
      <c r="BS82" s="32"/>
      <c r="BT82" s="32"/>
      <c r="BU82" s="32"/>
      <c r="BV82" s="32"/>
      <c r="BW82" s="32"/>
      <c r="BX82" s="32"/>
      <c r="BY82" s="32"/>
      <c r="BZ82" s="32">
        <v>413.3</v>
      </c>
      <c r="CA82" s="32"/>
      <c r="CB82" s="32"/>
      <c r="CC82" s="32"/>
      <c r="CD82" s="32"/>
      <c r="CE82" s="32">
        <v>0</v>
      </c>
      <c r="CF82" s="32"/>
      <c r="CG82" s="32"/>
      <c r="CH82" s="32"/>
      <c r="CI82" s="32">
        <f t="shared" si="6"/>
        <v>0</v>
      </c>
      <c r="CJ82" s="60">
        <f>IF((Table1[[#This Row],["Volume
BA MC-0"]]-Table1[[#This Row],[Total Panjang Pipa Aktual
(Sum-&gt;)3]]-Table1[[#This Row],[Total Volume
tidak dapat dipasang]])&gt;=0,Table1[[#This Row],["Volume
BA MC-0"]]-Table1[[#This Row],[Total Panjang Pipa Aktual
(Sum-&gt;)3]]-Table1[[#This Row],[Total Volume
tidak dapat dipasang]],0)</f>
        <v>0</v>
      </c>
      <c r="CK82" s="42"/>
      <c r="CL82" s="113"/>
      <c r="CM82" s="35"/>
      <c r="CN82" s="113"/>
      <c r="CO82" s="113"/>
      <c r="CP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2" s="61">
        <f>IFERROR(Table1[[#This Row],[Progres Keg. Umum
(%)]]*Table1[[#This Row],[Nilai RAB Jaringan
(file pa aji)]],0)</f>
        <v>0</v>
      </c>
      <c r="CR82" s="61">
        <f>IFERROR(Table1[[#This Row],[Progres MOS
(%)]]*Table1[[#This Row],[Nilai RAB Jaringan
(file pa aji)]],0)</f>
        <v>0</v>
      </c>
      <c r="CS82" s="61">
        <f>IFERROR(Table1[[#This Row],[Progres Pemasangan
(%)]]*Table1[[#This Row],[Nilai RAB Jaringan
(file pa aji)]],0)</f>
        <v>0</v>
      </c>
      <c r="CT82" s="61">
        <f>IFERROR(Table1[[#This Row],[Progres Perizinan
(%)]]*Table1[[#This Row],[Nilai RAB Jaringan
(file pa aji)]],0)</f>
        <v>0</v>
      </c>
      <c r="CU82" s="789">
        <v>38791921143</v>
      </c>
      <c r="CV82" s="299">
        <v>38791921143</v>
      </c>
      <c r="CW82" s="552">
        <v>38791921143</v>
      </c>
      <c r="CX82" s="789">
        <f>_xlfn.XLOOKUP(Table1[[#This Row],[Kode Program]],'[1]Breakdown VOWD Greenfield'!$E:$E,'[1]Breakdown VOWD Greenfield'!$AT:$AT)</f>
        <v>38791921143</v>
      </c>
      <c r="CY82" s="42"/>
      <c r="CZ82" s="300">
        <v>45348</v>
      </c>
      <c r="DA82" s="300">
        <v>45382</v>
      </c>
      <c r="DB82" s="301">
        <v>45253</v>
      </c>
      <c r="DC82" s="286" t="s">
        <v>650</v>
      </c>
      <c r="DD82" s="62">
        <v>40920656403</v>
      </c>
      <c r="DE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82" s="301">
        <v>45275</v>
      </c>
      <c r="DG82" s="286" t="s">
        <v>651</v>
      </c>
      <c r="DH82" s="62">
        <v>40920656403</v>
      </c>
      <c r="DI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82" s="300">
        <v>45383</v>
      </c>
      <c r="DK82" s="300">
        <v>45536</v>
      </c>
      <c r="DL82" s="301">
        <v>45602</v>
      </c>
      <c r="DM82" s="286" t="s">
        <v>652</v>
      </c>
      <c r="DN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2" s="301">
        <v>45642</v>
      </c>
      <c r="DP82" s="286" t="s">
        <v>653</v>
      </c>
      <c r="DQ82" s="308" t="s">
        <v>258</v>
      </c>
      <c r="DR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2" s="300">
        <v>45383</v>
      </c>
      <c r="DT82" s="300" t="e">
        <v>#N/A</v>
      </c>
      <c r="DU82" s="300">
        <v>45431</v>
      </c>
      <c r="DV82" s="300" t="e">
        <v>#N/A</v>
      </c>
      <c r="DW82" s="301"/>
      <c r="DX82" s="286">
        <v>0</v>
      </c>
      <c r="DY82" s="304"/>
      <c r="DZ82" s="304"/>
      <c r="EA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2" s="301"/>
      <c r="EC82" s="302"/>
      <c r="ED82" s="302"/>
      <c r="EE82" s="300"/>
      <c r="EF82" s="35">
        <v>1</v>
      </c>
      <c r="EG82" s="307">
        <v>1</v>
      </c>
      <c r="EH82" s="286" t="str">
        <f>IF(Table1[[#This Row],[PO Material Aktual 
(%)]]&gt;=100%,"Selesai PO = 100%",IF(Table1[[#This Row],[PO Material Aktual 
(%)]]&gt;=50%,"Proses PO &gt; 100%",IF(Table1[[#This Row],[PO Material Aktual 
(%)]]&gt;0%,"Proses PO &gt; 50%",IF(Table1[[#This Row],[PO Material Aktual 
(%)]]=0,"Belum PO = 0%"))))</f>
        <v>Selesai PO = 100%</v>
      </c>
      <c r="EI8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2" s="300">
        <v>45432</v>
      </c>
      <c r="EK82" s="300" t="e">
        <v>#N/A</v>
      </c>
      <c r="EL82" s="300">
        <v>45620</v>
      </c>
      <c r="EM82" s="300" t="e">
        <v>#N/A</v>
      </c>
      <c r="EN82" s="301"/>
      <c r="EO82" s="302"/>
      <c r="EP82" s="302"/>
      <c r="EQ82" s="82">
        <v>1</v>
      </c>
      <c r="ER82" s="82">
        <v>1</v>
      </c>
      <c r="ES82" s="286" t="str">
        <f>IF(Table1[[#This Row],[Progres MOS]]&gt;=100%,"Selesai MOS = 100%",IF(Table1[[#This Row],[Progres MOS]]&gt;=50%,"Proses MOS &gt; 100%",IF(Table1[[#This Row],[Progres MOS]]&gt;0%,"Proses MOS &gt; 50%",IF(Table1[[#This Row],[Progres MOS]]=0,"Belum MOS = 0%"))))</f>
        <v>Selesai MOS = 100%</v>
      </c>
      <c r="ET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2" s="42"/>
      <c r="EV82" s="300">
        <v>45383</v>
      </c>
      <c r="EW82" s="300" t="e">
        <v>#N/A</v>
      </c>
      <c r="EX82" s="300">
        <v>45564</v>
      </c>
      <c r="EY82" s="300" t="e">
        <v>#N/A</v>
      </c>
      <c r="EZ82" s="322" t="s">
        <v>259</v>
      </c>
      <c r="FA82" s="306" t="s">
        <v>259</v>
      </c>
      <c r="FB82" s="300" t="s">
        <v>260</v>
      </c>
      <c r="FC82" s="300">
        <v>45014</v>
      </c>
      <c r="FD82" s="300" t="s">
        <v>260</v>
      </c>
      <c r="FE82" s="300"/>
      <c r="FF82" s="300">
        <v>45134</v>
      </c>
      <c r="FG82" s="300" t="s">
        <v>260</v>
      </c>
      <c r="FH82" s="300" t="s">
        <v>260</v>
      </c>
      <c r="FI82" s="300">
        <v>45187</v>
      </c>
      <c r="FJ82" s="300" t="s">
        <v>260</v>
      </c>
      <c r="FK82" s="300">
        <v>45309</v>
      </c>
      <c r="FL82" s="306" t="s">
        <v>259</v>
      </c>
      <c r="FM82" s="306">
        <v>45014</v>
      </c>
      <c r="FN82" s="284">
        <f>IF(Table1[[#This Row],[Tanggal Pengajuan Dokumen]]="","",Table1[[#This Row],[PLAN PERMIT
start]]-Table1[[#This Row],[Tanggal Pengajuan Dokumen]])</f>
        <v>369</v>
      </c>
      <c r="FO82" s="306">
        <v>45309</v>
      </c>
      <c r="FP82" s="286" t="s">
        <v>174</v>
      </c>
      <c r="FQ82" s="308"/>
      <c r="FR82" s="322"/>
      <c r="FS82" s="308" t="str">
        <f t="shared" si="7"/>
        <v>Sudah Terbit</v>
      </c>
      <c r="FT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2" s="314">
        <f ca="1">IF(Table1[[#This Row],[Status Izin]]="Selesai",Table1[[#This Row],[PLAN PERMIT
finish]]-Table1[[#This Row],[Tanggal Terbit/ Target Izin Terbit]],ROUNDUP(Table1[[#This Row],[PLAN PERMIT
finish]]-NOW(),0))</f>
        <v>255</v>
      </c>
      <c r="FV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82" s="314"/>
      <c r="FX82" s="42"/>
      <c r="FY82" s="310"/>
      <c r="FZ82" s="311">
        <v>45582</v>
      </c>
      <c r="GA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2" s="300">
        <v>45538</v>
      </c>
      <c r="GC82" s="322">
        <v>45520</v>
      </c>
      <c r="GD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2" s="300">
        <v>45545</v>
      </c>
      <c r="GF82" s="322">
        <v>45520</v>
      </c>
      <c r="GG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2" s="300">
        <v>45551</v>
      </c>
      <c r="GI82" s="300">
        <v>45557</v>
      </c>
      <c r="GJ82" s="322">
        <v>45525</v>
      </c>
      <c r="GK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2" s="300">
        <v>45565</v>
      </c>
      <c r="GM82" s="300" t="e">
        <v>#N/A</v>
      </c>
      <c r="GN82" s="300">
        <v>45725</v>
      </c>
      <c r="GO82" s="300" t="e">
        <v>#N/A</v>
      </c>
      <c r="GP82" s="286"/>
      <c r="GQ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2" s="300" t="s">
        <v>261</v>
      </c>
      <c r="GS82" s="300" t="s">
        <v>261</v>
      </c>
      <c r="GT82" s="324">
        <v>45755</v>
      </c>
      <c r="GU82" s="314" t="str">
        <f>IF(Table1[[#This Row],[Hydro Tes Actual
(tanggal)]]&lt;&gt;"","Sudah","Belum")</f>
        <v>Sudah</v>
      </c>
      <c r="GV82" s="300" t="s">
        <v>261</v>
      </c>
      <c r="GW82" s="300" t="s">
        <v>261</v>
      </c>
      <c r="GX82" s="301">
        <v>45740</v>
      </c>
      <c r="GY82" s="314" t="str">
        <f>IF(Table1[[#This Row],[Interkoneksi Actual
(tanggal)]]&lt;&gt;"","Sudah","Belum")</f>
        <v>Sudah</v>
      </c>
      <c r="GZ82" s="300" t="s">
        <v>261</v>
      </c>
      <c r="HA82" s="300" t="s">
        <v>261</v>
      </c>
      <c r="HB82" s="301">
        <v>45765</v>
      </c>
      <c r="HC82" s="314" t="str">
        <f>IF(Table1[[#This Row],[Flushing Actual
(tanggal)]]&lt;&gt;"","Sudah","Belum")</f>
        <v>Sudah</v>
      </c>
      <c r="HD82" s="300">
        <v>45712</v>
      </c>
      <c r="HE82" s="300" t="e">
        <v>#N/A</v>
      </c>
      <c r="HF82" s="300">
        <v>45718</v>
      </c>
      <c r="HG82" s="322">
        <v>45779</v>
      </c>
      <c r="HH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2" s="300" t="s">
        <v>261</v>
      </c>
      <c r="HJ82" s="300" t="s">
        <v>261</v>
      </c>
      <c r="HK82" s="301"/>
      <c r="HL82" s="286"/>
      <c r="HM82" s="300">
        <v>45737</v>
      </c>
      <c r="HN82" s="300">
        <v>45737</v>
      </c>
      <c r="HO82" s="300" t="e">
        <v>#N/A</v>
      </c>
      <c r="HP82" s="300"/>
      <c r="HQ82" s="301">
        <v>45792</v>
      </c>
      <c r="HR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2" s="300">
        <v>45744</v>
      </c>
      <c r="HT82" s="300"/>
      <c r="HU82" s="300">
        <v>45744</v>
      </c>
      <c r="HV82" s="497"/>
      <c r="HW82" s="300">
        <v>45751</v>
      </c>
      <c r="HX8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2" s="42"/>
      <c r="HZ82" s="322"/>
      <c r="IA82" s="306"/>
      <c r="IC82" s="585">
        <f>IFERROR(ROUND((Table1[[#This Row],[PLAN TC
finish]]-Table1[[#This Row],[PLAN MC-0
start]])/30,2),"")</f>
        <v>5.57</v>
      </c>
      <c r="ID82">
        <f>DATEDIF(Table1[[#This Row],[PLAN MC-0
start]],Table1[[#This Row],[PLAN TC
finish]],"m")</f>
        <v>5</v>
      </c>
    </row>
    <row r="83" spans="2:238" s="4" customFormat="1" ht="15" customHeight="1" x14ac:dyDescent="0.25">
      <c r="B83" s="281">
        <f>SUBTOTAL(3,$D$5:D83)</f>
        <v>79</v>
      </c>
      <c r="C83" s="318">
        <v>79</v>
      </c>
      <c r="D83" s="308" t="s">
        <v>629</v>
      </c>
      <c r="E83" s="285" t="s">
        <v>654</v>
      </c>
      <c r="F83" s="285" t="s">
        <v>655</v>
      </c>
      <c r="G83" s="319">
        <v>45752</v>
      </c>
      <c r="H83" s="284" t="s">
        <v>247</v>
      </c>
      <c r="I83" s="285" t="s">
        <v>278</v>
      </c>
      <c r="J83" s="285"/>
      <c r="K83" s="308" t="s">
        <v>632</v>
      </c>
      <c r="L83" s="286" t="s">
        <v>250</v>
      </c>
      <c r="M83" s="286" t="s">
        <v>269</v>
      </c>
      <c r="N83" s="94">
        <v>644</v>
      </c>
      <c r="O83" s="31" t="s">
        <v>252</v>
      </c>
      <c r="P8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3" s="82" t="e">
        <v>#N/A</v>
      </c>
      <c r="S83" s="82">
        <v>1</v>
      </c>
      <c r="T83" s="35">
        <f>Table1[[#This Row],[Progres Total Aktual
(%)]]</f>
        <v>1</v>
      </c>
      <c r="U83" s="106">
        <f>Table1[[#This Row],[Progres Aktual
(%)]]-Table1[[#This Row],[Target Progres
(%)]]</f>
        <v>0</v>
      </c>
      <c r="V83" s="320">
        <f>Table1[[#This Row],["Volume
BA MC-0"]]</f>
        <v>644</v>
      </c>
      <c r="W83" s="321">
        <f>Table1[[#This Row],[Total Panjang Pipa Aktual
(Sum-&gt;)3]]</f>
        <v>599</v>
      </c>
      <c r="X83" s="42"/>
      <c r="Y83" s="62" t="s">
        <v>656</v>
      </c>
      <c r="Z83" s="62">
        <v>1166157946</v>
      </c>
      <c r="AA83" s="62">
        <f>ROUND((Table1[[#This Row],[Nilai RAB Jaringan
(Exclude Ppn)]]-Table1[[#This Row],[RAB Perizinan]])*1.11+Table1[[#This Row],[RAB Perizinan]],0)</f>
        <v>0</v>
      </c>
      <c r="AB83" s="290">
        <f>SUM(Table1[[#This Row],[RAB Kegiatan Umum]:[RAB Perizinan]])</f>
        <v>0</v>
      </c>
      <c r="AC83" s="290"/>
      <c r="AD83" s="290"/>
      <c r="AE83" s="290"/>
      <c r="AF83" s="290"/>
      <c r="AG83" s="290">
        <v>471419109</v>
      </c>
      <c r="AH83" s="35" t="e">
        <f>SUM(Table1[[#This Row],[Bobot Keg Umum]:[Bobot Perizinan]])</f>
        <v>#DIV/0!</v>
      </c>
      <c r="AI83" s="35" t="e">
        <f>Table1[[#This Row],[RAB Kegiatan Umum]]/Table1[[#This Row],[Nilai RAB Jaringan
(Exclude Ppn)]]</f>
        <v>#DIV/0!</v>
      </c>
      <c r="AJ83" s="35" t="e">
        <f>Table1[[#This Row],[RAB Pemasangan]]/Table1[[#This Row],[Nilai RAB Jaringan
(Exclude Ppn)]]</f>
        <v>#DIV/0!</v>
      </c>
      <c r="AK83" s="35" t="e">
        <f>Table1[[#This Row],[RAB Pengadaan]]/Table1[[#This Row],[Nilai RAB Jaringan
(Exclude Ppn)]]</f>
        <v>#DIV/0!</v>
      </c>
      <c r="AL83" s="35" t="e">
        <f>Table1[[#This Row],[RAB Perizinan]]/Table1[[#This Row],[Nilai RAB Jaringan
(Exclude Ppn)]]</f>
        <v>#DIV/0!</v>
      </c>
      <c r="AM83" s="42"/>
      <c r="AN83" s="256">
        <v>644</v>
      </c>
      <c r="AO83" s="256">
        <f>SUM(Table1[[#This Row],[Pipa 63 mm]:[Pipa 1,800 mm]])</f>
        <v>629</v>
      </c>
      <c r="AP83" s="256">
        <v>120</v>
      </c>
      <c r="AQ83" s="256">
        <v>509</v>
      </c>
      <c r="AR83" s="256"/>
      <c r="AS83" s="256"/>
      <c r="AT83" s="256"/>
      <c r="AU83" s="256"/>
      <c r="AV83" s="256"/>
      <c r="AW83" s="256"/>
      <c r="AX83" s="256"/>
      <c r="AY83" s="256"/>
      <c r="AZ83" s="256"/>
      <c r="BA83" s="256"/>
      <c r="BB83" s="256"/>
      <c r="BC83" s="256"/>
      <c r="BD83" s="256"/>
      <c r="BE83" s="256"/>
      <c r="BF83" s="256"/>
      <c r="BG83" s="256"/>
      <c r="BH83" s="256"/>
      <c r="BI83" s="256"/>
      <c r="BJ83" s="36">
        <f>SUM(Table1[[#This Row],[Pipa 63 mm2]:[Pipa 1,800 mm21]])</f>
        <v>599</v>
      </c>
      <c r="BK83" s="32">
        <v>107</v>
      </c>
      <c r="BL83" s="32">
        <v>492</v>
      </c>
      <c r="BM83" s="32"/>
      <c r="BN83" s="32"/>
      <c r="BO83" s="32"/>
      <c r="BP83" s="32"/>
      <c r="BQ83" s="32"/>
      <c r="BR83" s="32"/>
      <c r="BS83" s="32"/>
      <c r="BT83" s="32"/>
      <c r="BU83" s="32"/>
      <c r="BV83" s="32"/>
      <c r="BW83" s="32"/>
      <c r="BX83" s="32"/>
      <c r="BY83" s="32"/>
      <c r="BZ83" s="32"/>
      <c r="CA83" s="32"/>
      <c r="CB83" s="32"/>
      <c r="CC83" s="32"/>
      <c r="CD83" s="32"/>
      <c r="CE83" s="32">
        <v>0</v>
      </c>
      <c r="CF83" s="32"/>
      <c r="CG83" s="32"/>
      <c r="CH83" s="32"/>
      <c r="CI83" s="32">
        <f t="shared" si="6"/>
        <v>0</v>
      </c>
      <c r="CJ83" s="60">
        <f>IF((Table1[[#This Row],["Volume
BA MC-0"]]-Table1[[#This Row],[Total Panjang Pipa Aktual
(Sum-&gt;)3]]-Table1[[#This Row],[Total Volume
tidak dapat dipasang]])&gt;=0,Table1[[#This Row],["Volume
BA MC-0"]]-Table1[[#This Row],[Total Panjang Pipa Aktual
(Sum-&gt;)3]]-Table1[[#This Row],[Total Volume
tidak dapat dipasang]],0)</f>
        <v>45</v>
      </c>
      <c r="CK83" s="42"/>
      <c r="CL83" s="113"/>
      <c r="CM83" s="35"/>
      <c r="CN83" s="113"/>
      <c r="CO83" s="113"/>
      <c r="CP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3" s="61">
        <f>IFERROR(Table1[[#This Row],[Progres Keg. Umum
(%)]]*Table1[[#This Row],[Nilai RAB Jaringan
(file pa aji)]],0)</f>
        <v>0</v>
      </c>
      <c r="CR83" s="61">
        <f>IFERROR(Table1[[#This Row],[Progres MOS
(%)]]*Table1[[#This Row],[Nilai RAB Jaringan
(file pa aji)]],0)</f>
        <v>0</v>
      </c>
      <c r="CS83" s="61">
        <f>IFERROR(Table1[[#This Row],[Progres Pemasangan
(%)]]*Table1[[#This Row],[Nilai RAB Jaringan
(file pa aji)]],0)</f>
        <v>0</v>
      </c>
      <c r="CT83" s="61">
        <f>IFERROR(Table1[[#This Row],[Progres Perizinan
(%)]]*Table1[[#This Row],[Nilai RAB Jaringan
(file pa aji)]],0)</f>
        <v>0</v>
      </c>
      <c r="CU83" s="789">
        <v>1047995087</v>
      </c>
      <c r="CV83" s="299">
        <v>1047995087</v>
      </c>
      <c r="CW83" s="552">
        <v>1047995087</v>
      </c>
      <c r="CX83" s="789">
        <f>_xlfn.XLOOKUP(Table1[[#This Row],[Kode Program]],'[1]Breakdown VOWD Greenfield'!$E:$E,'[1]Breakdown VOWD Greenfield'!$AT:$AT)</f>
        <v>1047995087</v>
      </c>
      <c r="CY83" s="42"/>
      <c r="CZ83" s="300">
        <v>45530</v>
      </c>
      <c r="DA83" s="300">
        <v>45557</v>
      </c>
      <c r="DB83" s="301"/>
      <c r="DC83" s="286"/>
      <c r="DD83" s="62"/>
      <c r="DE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3" s="301"/>
      <c r="DG83" s="286"/>
      <c r="DH83" s="62"/>
      <c r="DI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3" s="300">
        <v>45558</v>
      </c>
      <c r="DK83" s="300">
        <v>45627</v>
      </c>
      <c r="DL83" s="301">
        <v>45626</v>
      </c>
      <c r="DM83" s="286" t="s">
        <v>657</v>
      </c>
      <c r="DN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3" s="301">
        <v>45635</v>
      </c>
      <c r="DP83" s="286" t="s">
        <v>658</v>
      </c>
      <c r="DQ83" s="308" t="s">
        <v>275</v>
      </c>
      <c r="DR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3" s="300">
        <v>45558</v>
      </c>
      <c r="DT83" s="300" t="e">
        <v>#N/A</v>
      </c>
      <c r="DU83" s="300">
        <v>45599</v>
      </c>
      <c r="DV83" s="300" t="e">
        <v>#N/A</v>
      </c>
      <c r="DW83" s="301"/>
      <c r="DX83" s="286"/>
      <c r="DY83" s="304"/>
      <c r="DZ83" s="304"/>
      <c r="EA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3" s="301"/>
      <c r="EC83" s="302"/>
      <c r="ED83" s="302"/>
      <c r="EE83" s="300"/>
      <c r="EF83" s="35">
        <v>1</v>
      </c>
      <c r="EG83" s="307">
        <v>1</v>
      </c>
      <c r="EH83" s="286" t="str">
        <f>IF(Table1[[#This Row],[PO Material Aktual 
(%)]]&gt;=100%,"Selesai PO = 100%",IF(Table1[[#This Row],[PO Material Aktual 
(%)]]&gt;=50%,"Proses PO &gt; 100%",IF(Table1[[#This Row],[PO Material Aktual 
(%)]]&gt;0%,"Proses PO &gt; 50%",IF(Table1[[#This Row],[PO Material Aktual 
(%)]]=0,"Belum PO = 0%"))))</f>
        <v>Selesai PO = 100%</v>
      </c>
      <c r="EI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3" s="300">
        <v>45600</v>
      </c>
      <c r="EK83" s="300" t="e">
        <v>#N/A</v>
      </c>
      <c r="EL83" s="300">
        <v>45676</v>
      </c>
      <c r="EM83" s="300" t="e">
        <v>#N/A</v>
      </c>
      <c r="EN83" s="301"/>
      <c r="EO83" s="302"/>
      <c r="EP83" s="302"/>
      <c r="EQ83" s="82">
        <v>1</v>
      </c>
      <c r="ER83" s="82">
        <v>1</v>
      </c>
      <c r="ES83" s="286" t="str">
        <f>IF(Table1[[#This Row],[Progres MOS]]&gt;=100%,"Selesai MOS = 100%",IF(Table1[[#This Row],[Progres MOS]]&gt;=50%,"Proses MOS &gt; 100%",IF(Table1[[#This Row],[Progres MOS]]&gt;0%,"Proses MOS &gt; 50%",IF(Table1[[#This Row],[Progres MOS]]=0,"Belum MOS = 0%"))))</f>
        <v>Selesai MOS = 100%</v>
      </c>
      <c r="ET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3" s="42"/>
      <c r="EV83" s="300">
        <v>45558</v>
      </c>
      <c r="EW83" s="300" t="e">
        <v>#N/A</v>
      </c>
      <c r="EX83" s="300">
        <v>45655</v>
      </c>
      <c r="EY83" s="300" t="e">
        <v>#N/A</v>
      </c>
      <c r="EZ83" s="322" t="s">
        <v>298</v>
      </c>
      <c r="FA83" s="306" t="s">
        <v>259</v>
      </c>
      <c r="FB83" s="300" t="s">
        <v>260</v>
      </c>
      <c r="FC83" s="300">
        <v>45721</v>
      </c>
      <c r="FD83" s="300" t="s">
        <v>260</v>
      </c>
      <c r="FE83" s="300">
        <v>45729</v>
      </c>
      <c r="FF83" s="300">
        <v>45911</v>
      </c>
      <c r="FG83" s="300" t="s">
        <v>260</v>
      </c>
      <c r="FH83" s="300" t="s">
        <v>260</v>
      </c>
      <c r="FI83" s="300">
        <v>45988</v>
      </c>
      <c r="FJ83" s="300" t="s">
        <v>260</v>
      </c>
      <c r="FK83" s="300">
        <v>46094</v>
      </c>
      <c r="FL83" s="306" t="s">
        <v>298</v>
      </c>
      <c r="FM83" s="306">
        <v>45721</v>
      </c>
      <c r="FN83" s="284">
        <f>IF(Table1[[#This Row],[Tanggal Pengajuan Dokumen]]="","",Table1[[#This Row],[PLAN PERMIT
start]]-Table1[[#This Row],[Tanggal Pengajuan Dokumen]])</f>
        <v>-163</v>
      </c>
      <c r="FO83" s="306"/>
      <c r="FP83" s="286"/>
      <c r="FQ83" s="308"/>
      <c r="FR83" s="322"/>
      <c r="FS83" s="308" t="str">
        <f t="shared" si="7"/>
        <v>Sudah Terbit</v>
      </c>
      <c r="FT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3" s="314">
        <f ca="1">IF(Table1[[#This Row],[Status Izin]]="Selesai",Table1[[#This Row],[PLAN PERMIT
finish]]-Table1[[#This Row],[Tanggal Terbit/ Target Izin Terbit]],ROUNDUP(Table1[[#This Row],[PLAN PERMIT
finish]]-NOW(),0))</f>
        <v>45655</v>
      </c>
      <c r="FV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3" s="314"/>
      <c r="FX83" s="42"/>
      <c r="FY83" s="310"/>
      <c r="FZ83" s="311">
        <v>45582</v>
      </c>
      <c r="GA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3" s="300">
        <v>45629</v>
      </c>
      <c r="GC83" s="322">
        <v>45610</v>
      </c>
      <c r="GD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3" s="300">
        <v>45636</v>
      </c>
      <c r="GF83" s="322">
        <v>45610</v>
      </c>
      <c r="GG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3" s="300">
        <v>45642</v>
      </c>
      <c r="GI83" s="300">
        <v>45648</v>
      </c>
      <c r="GJ83" s="322">
        <v>45614</v>
      </c>
      <c r="GK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3" s="300">
        <v>45656</v>
      </c>
      <c r="GM83" s="300" t="e">
        <v>#N/A</v>
      </c>
      <c r="GN83" s="300">
        <v>45697</v>
      </c>
      <c r="GO83" s="300" t="e">
        <v>#N/A</v>
      </c>
      <c r="GP83" s="286"/>
      <c r="GQ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3" s="300" t="s">
        <v>261</v>
      </c>
      <c r="GS83" s="300" t="s">
        <v>261</v>
      </c>
      <c r="GT83" s="324">
        <v>45720</v>
      </c>
      <c r="GU83" s="314" t="str">
        <f>IF(Table1[[#This Row],[Hydro Tes Actual
(tanggal)]]&lt;&gt;"","Sudah","Belum")</f>
        <v>Sudah</v>
      </c>
      <c r="GV83" s="300" t="s">
        <v>261</v>
      </c>
      <c r="GW83" s="300" t="s">
        <v>261</v>
      </c>
      <c r="GX83" s="301">
        <v>45726</v>
      </c>
      <c r="GY83" s="314" t="str">
        <f>IF(Table1[[#This Row],[Interkoneksi Actual
(tanggal)]]&lt;&gt;"","Sudah","Belum")</f>
        <v>Sudah</v>
      </c>
      <c r="GZ83" s="300" t="s">
        <v>261</v>
      </c>
      <c r="HA83" s="300" t="s">
        <v>261</v>
      </c>
      <c r="HB83" s="301">
        <v>45727</v>
      </c>
      <c r="HC83" s="314" t="str">
        <f>IF(Table1[[#This Row],[Flushing Actual
(tanggal)]]&lt;&gt;"","Sudah","Belum")</f>
        <v>Sudah</v>
      </c>
      <c r="HD83" s="300">
        <v>45684</v>
      </c>
      <c r="HE83" s="300" t="e">
        <v>#N/A</v>
      </c>
      <c r="HF83" s="300">
        <v>45690</v>
      </c>
      <c r="HG83" s="322">
        <v>45368</v>
      </c>
      <c r="HH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3" s="300" t="s">
        <v>261</v>
      </c>
      <c r="HJ83" s="300" t="s">
        <v>261</v>
      </c>
      <c r="HK83" s="301"/>
      <c r="HL83" s="286"/>
      <c r="HM83" s="300">
        <v>45702</v>
      </c>
      <c r="HN83" s="300">
        <v>45702</v>
      </c>
      <c r="HO83" s="300" t="e">
        <v>#N/A</v>
      </c>
      <c r="HP83" s="300"/>
      <c r="HQ83" s="301">
        <v>45743</v>
      </c>
      <c r="HR8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3" s="300">
        <v>45709</v>
      </c>
      <c r="HT83" s="300"/>
      <c r="HU83" s="300">
        <v>45709</v>
      </c>
      <c r="HV83" s="497"/>
      <c r="HW83" s="300">
        <v>45748</v>
      </c>
      <c r="HX8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3" s="42"/>
      <c r="HZ83" s="322"/>
      <c r="IA83" s="306"/>
      <c r="IC83" s="585">
        <f>IFERROR(ROUND((Table1[[#This Row],[PLAN TC
finish]]-Table1[[#This Row],[PLAN MC-0
start]])/30,2),"")</f>
        <v>1.6</v>
      </c>
      <c r="ID83">
        <f>DATEDIF(Table1[[#This Row],[PLAN MC-0
start]],Table1[[#This Row],[PLAN TC
finish]],"m")</f>
        <v>1</v>
      </c>
    </row>
    <row r="84" spans="2:238" s="4" customFormat="1" ht="15" customHeight="1" x14ac:dyDescent="0.25">
      <c r="B84" s="281">
        <f>SUBTOTAL(3,$D$5:D84)</f>
        <v>80</v>
      </c>
      <c r="C84" s="318">
        <v>80</v>
      </c>
      <c r="D84" s="308" t="s">
        <v>629</v>
      </c>
      <c r="E84" s="285" t="s">
        <v>659</v>
      </c>
      <c r="F84" s="285" t="s">
        <v>660</v>
      </c>
      <c r="G84" s="319">
        <v>45752</v>
      </c>
      <c r="H84" s="284" t="s">
        <v>247</v>
      </c>
      <c r="I84" s="285" t="s">
        <v>278</v>
      </c>
      <c r="J84" s="285"/>
      <c r="K84" s="308" t="s">
        <v>632</v>
      </c>
      <c r="L84" s="286" t="s">
        <v>250</v>
      </c>
      <c r="M84" s="286" t="s">
        <v>269</v>
      </c>
      <c r="N84" s="94">
        <v>160</v>
      </c>
      <c r="O84" s="31" t="s">
        <v>252</v>
      </c>
      <c r="P8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4" s="82" t="e">
        <v>#N/A</v>
      </c>
      <c r="S84" s="82">
        <v>1</v>
      </c>
      <c r="T84" s="35">
        <f>Table1[[#This Row],[Progres Total Aktual
(%)]]</f>
        <v>1</v>
      </c>
      <c r="U84" s="106">
        <f>Table1[[#This Row],[Progres Aktual
(%)]]-Table1[[#This Row],[Target Progres
(%)]]</f>
        <v>0</v>
      </c>
      <c r="V84" s="320">
        <f>Table1[[#This Row],["Volume
BA MC-0"]]</f>
        <v>160</v>
      </c>
      <c r="W84" s="321">
        <f>Table1[[#This Row],[Total Panjang Pipa Aktual
(Sum-&gt;)3]]</f>
        <v>167</v>
      </c>
      <c r="X84" s="42"/>
      <c r="Y84" s="62" t="s">
        <v>661</v>
      </c>
      <c r="Z84" s="62">
        <v>374127457</v>
      </c>
      <c r="AA84" s="62">
        <f>ROUND((Table1[[#This Row],[Nilai RAB Jaringan
(Exclude Ppn)]]-Table1[[#This Row],[RAB Perizinan]])*1.11+Table1[[#This Row],[RAB Perizinan]],0)</f>
        <v>0</v>
      </c>
      <c r="AB84" s="290">
        <f>SUM(Table1[[#This Row],[RAB Kegiatan Umum]:[RAB Perizinan]])</f>
        <v>0</v>
      </c>
      <c r="AC84" s="290"/>
      <c r="AD84" s="290"/>
      <c r="AE84" s="290"/>
      <c r="AF84" s="290"/>
      <c r="AG84" s="290">
        <v>40992966</v>
      </c>
      <c r="AH84" s="35" t="e">
        <f>SUM(Table1[[#This Row],[Bobot Keg Umum]:[Bobot Perizinan]])</f>
        <v>#DIV/0!</v>
      </c>
      <c r="AI84" s="35" t="e">
        <f>Table1[[#This Row],[RAB Kegiatan Umum]]/Table1[[#This Row],[Nilai RAB Jaringan
(Exclude Ppn)]]</f>
        <v>#DIV/0!</v>
      </c>
      <c r="AJ84" s="35" t="e">
        <f>Table1[[#This Row],[RAB Pemasangan]]/Table1[[#This Row],[Nilai RAB Jaringan
(Exclude Ppn)]]</f>
        <v>#DIV/0!</v>
      </c>
      <c r="AK84" s="35" t="e">
        <f>Table1[[#This Row],[RAB Pengadaan]]/Table1[[#This Row],[Nilai RAB Jaringan
(Exclude Ppn)]]</f>
        <v>#DIV/0!</v>
      </c>
      <c r="AL84" s="35" t="e">
        <f>Table1[[#This Row],[RAB Perizinan]]/Table1[[#This Row],[Nilai RAB Jaringan
(Exclude Ppn)]]</f>
        <v>#DIV/0!</v>
      </c>
      <c r="AM84" s="42"/>
      <c r="AN84" s="256">
        <v>160</v>
      </c>
      <c r="AO84" s="256">
        <f>SUM(Table1[[#This Row],[Pipa 63 mm]:[Pipa 1,800 mm]])</f>
        <v>167</v>
      </c>
      <c r="AP84" s="256"/>
      <c r="AQ84" s="256"/>
      <c r="AR84" s="256">
        <v>167</v>
      </c>
      <c r="AS84" s="256"/>
      <c r="AT84" s="256"/>
      <c r="AU84" s="256"/>
      <c r="AV84" s="256"/>
      <c r="AW84" s="256"/>
      <c r="AX84" s="256"/>
      <c r="AY84" s="256"/>
      <c r="AZ84" s="256"/>
      <c r="BA84" s="256"/>
      <c r="BB84" s="256"/>
      <c r="BC84" s="256"/>
      <c r="BD84" s="256"/>
      <c r="BE84" s="256"/>
      <c r="BF84" s="256"/>
      <c r="BG84" s="256"/>
      <c r="BH84" s="256"/>
      <c r="BI84" s="256"/>
      <c r="BJ84" s="36">
        <f>SUM(Table1[[#This Row],[Pipa 63 mm2]:[Pipa 1,800 mm21]])</f>
        <v>167</v>
      </c>
      <c r="BK84" s="32"/>
      <c r="BL84" s="32"/>
      <c r="BM84" s="32">
        <v>167</v>
      </c>
      <c r="BN84" s="32"/>
      <c r="BO84" s="32"/>
      <c r="BP84" s="32"/>
      <c r="BQ84" s="32"/>
      <c r="BR84" s="32"/>
      <c r="BS84" s="32"/>
      <c r="BT84" s="32"/>
      <c r="BU84" s="32"/>
      <c r="BV84" s="32"/>
      <c r="BW84" s="32"/>
      <c r="BX84" s="32"/>
      <c r="BY84" s="32"/>
      <c r="BZ84" s="32"/>
      <c r="CA84" s="32"/>
      <c r="CB84" s="32"/>
      <c r="CC84" s="32"/>
      <c r="CD84" s="32"/>
      <c r="CE84" s="32">
        <v>0</v>
      </c>
      <c r="CF84" s="32"/>
      <c r="CG84" s="32"/>
      <c r="CH84" s="32"/>
      <c r="CI84" s="32">
        <f t="shared" si="6"/>
        <v>0</v>
      </c>
      <c r="CJ84" s="60">
        <f>IF((Table1[[#This Row],["Volume
BA MC-0"]]-Table1[[#This Row],[Total Panjang Pipa Aktual
(Sum-&gt;)3]]-Table1[[#This Row],[Total Volume
tidak dapat dipasang]])&gt;=0,Table1[[#This Row],["Volume
BA MC-0"]]-Table1[[#This Row],[Total Panjang Pipa Aktual
(Sum-&gt;)3]]-Table1[[#This Row],[Total Volume
tidak dapat dipasang]],0)</f>
        <v>0</v>
      </c>
      <c r="CK84" s="42"/>
      <c r="CL84" s="113"/>
      <c r="CM84" s="35"/>
      <c r="CN84" s="113"/>
      <c r="CO84" s="113"/>
      <c r="CP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4" s="61">
        <f>IFERROR(Table1[[#This Row],[Progres Keg. Umum
(%)]]*Table1[[#This Row],[Nilai RAB Jaringan
(file pa aji)]],0)</f>
        <v>0</v>
      </c>
      <c r="CR84" s="61">
        <f>IFERROR(Table1[[#This Row],[Progres MOS
(%)]]*Table1[[#This Row],[Nilai RAB Jaringan
(file pa aji)]],0)</f>
        <v>0</v>
      </c>
      <c r="CS84" s="61">
        <f>IFERROR(Table1[[#This Row],[Progres Pemasangan
(%)]]*Table1[[#This Row],[Nilai RAB Jaringan
(file pa aji)]],0)</f>
        <v>0</v>
      </c>
      <c r="CT84" s="61">
        <f>IFERROR(Table1[[#This Row],[Progres Perizinan
(%)]]*Table1[[#This Row],[Nilai RAB Jaringan
(file pa aji)]],0)</f>
        <v>0</v>
      </c>
      <c r="CU84" s="789">
        <v>374495783</v>
      </c>
      <c r="CV84" s="299">
        <v>374495783</v>
      </c>
      <c r="CW84" s="552">
        <v>374495783</v>
      </c>
      <c r="CX84" s="789">
        <f>_xlfn.XLOOKUP(Table1[[#This Row],[Kode Program]],'[1]Breakdown VOWD Greenfield'!$E:$E,'[1]Breakdown VOWD Greenfield'!$AT:$AT)</f>
        <v>374495783</v>
      </c>
      <c r="CY84" s="42"/>
      <c r="CZ84" s="300">
        <v>45530</v>
      </c>
      <c r="DA84" s="300">
        <v>45557</v>
      </c>
      <c r="DB84" s="301"/>
      <c r="DC84" s="286"/>
      <c r="DD84" s="62"/>
      <c r="DE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4" s="301"/>
      <c r="DG84" s="286"/>
      <c r="DH84" s="62"/>
      <c r="DI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4" s="300">
        <v>45558</v>
      </c>
      <c r="DK84" s="300">
        <v>45613</v>
      </c>
      <c r="DL84" s="301"/>
      <c r="DM84" s="286"/>
      <c r="DN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4" s="301"/>
      <c r="DP84" s="286"/>
      <c r="DQ84" s="308"/>
      <c r="DR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4" s="300">
        <v>45558</v>
      </c>
      <c r="DT84" s="300" t="e">
        <v>#N/A</v>
      </c>
      <c r="DU84" s="300">
        <v>45599</v>
      </c>
      <c r="DV84" s="300" t="e">
        <v>#N/A</v>
      </c>
      <c r="DW84" s="301"/>
      <c r="DX84" s="286"/>
      <c r="DY84" s="304"/>
      <c r="DZ84" s="304"/>
      <c r="EA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4" s="301"/>
      <c r="EC84" s="302"/>
      <c r="ED84" s="302"/>
      <c r="EE84" s="300"/>
      <c r="EF84" s="35">
        <v>1</v>
      </c>
      <c r="EG84" s="307">
        <v>1</v>
      </c>
      <c r="EH84" s="286" t="str">
        <f>IF(Table1[[#This Row],[PO Material Aktual 
(%)]]&gt;=100%,"Selesai PO = 100%",IF(Table1[[#This Row],[PO Material Aktual 
(%)]]&gt;=50%,"Proses PO &gt; 100%",IF(Table1[[#This Row],[PO Material Aktual 
(%)]]&gt;0%,"Proses PO &gt; 50%",IF(Table1[[#This Row],[PO Material Aktual 
(%)]]=0,"Belum PO = 0%"))))</f>
        <v>Selesai PO = 100%</v>
      </c>
      <c r="EI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4" s="300">
        <v>45600</v>
      </c>
      <c r="EK84" s="300" t="e">
        <v>#N/A</v>
      </c>
      <c r="EL84" s="300">
        <v>45648</v>
      </c>
      <c r="EM84" s="300" t="e">
        <v>#N/A</v>
      </c>
      <c r="EN84" s="301"/>
      <c r="EO84" s="302"/>
      <c r="EP84" s="302"/>
      <c r="EQ84" s="82">
        <v>1</v>
      </c>
      <c r="ER84" s="82">
        <v>1</v>
      </c>
      <c r="ES84" s="286" t="str">
        <f>IF(Table1[[#This Row],[Progres MOS]]&gt;=100%,"Selesai MOS = 100%",IF(Table1[[#This Row],[Progres MOS]]&gt;=50%,"Proses MOS &gt; 100%",IF(Table1[[#This Row],[Progres MOS]]&gt;0%,"Proses MOS &gt; 50%",IF(Table1[[#This Row],[Progres MOS]]=0,"Belum MOS = 0%"))))</f>
        <v>Selesai MOS = 100%</v>
      </c>
      <c r="ET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4" s="42"/>
      <c r="EV84" s="300">
        <v>45558</v>
      </c>
      <c r="EW84" s="300" t="e">
        <v>#N/A</v>
      </c>
      <c r="EX84" s="300">
        <v>45641</v>
      </c>
      <c r="EY84" s="300" t="e">
        <v>#N/A</v>
      </c>
      <c r="EZ84" s="322" t="s">
        <v>259</v>
      </c>
      <c r="FA84" s="306" t="s">
        <v>259</v>
      </c>
      <c r="FB84" s="300" t="s">
        <v>260</v>
      </c>
      <c r="FC84" s="300">
        <v>45650</v>
      </c>
      <c r="FD84" s="300" t="s">
        <v>260</v>
      </c>
      <c r="FE84" s="300">
        <v>45723</v>
      </c>
      <c r="FF84" s="300">
        <v>45804</v>
      </c>
      <c r="FG84" s="300" t="s">
        <v>260</v>
      </c>
      <c r="FH84" s="300" t="s">
        <v>260</v>
      </c>
      <c r="FI84" s="300">
        <v>45863</v>
      </c>
      <c r="FJ84" s="300" t="s">
        <v>260</v>
      </c>
      <c r="FK84" s="300">
        <v>46000</v>
      </c>
      <c r="FL84" s="306" t="s">
        <v>259</v>
      </c>
      <c r="FM84" s="306">
        <v>45650</v>
      </c>
      <c r="FN84" s="284">
        <f>IF(Table1[[#This Row],[Tanggal Pengajuan Dokumen]]="","",Table1[[#This Row],[PLAN PERMIT
start]]-Table1[[#This Row],[Tanggal Pengajuan Dokumen]])</f>
        <v>-92</v>
      </c>
      <c r="FO84" s="306">
        <v>46000</v>
      </c>
      <c r="FP84" s="286"/>
      <c r="FQ84" s="308"/>
      <c r="FR84" s="322"/>
      <c r="FS84" s="308" t="str">
        <f t="shared" si="7"/>
        <v>Sudah Terbit</v>
      </c>
      <c r="FT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4" s="314">
        <f ca="1">IF(Table1[[#This Row],[Status Izin]]="Selesai",Table1[[#This Row],[PLAN PERMIT
finish]]-Table1[[#This Row],[Tanggal Terbit/ Target Izin Terbit]],ROUNDUP(Table1[[#This Row],[PLAN PERMIT
finish]]-NOW(),0))</f>
        <v>-359</v>
      </c>
      <c r="FV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4" s="314"/>
      <c r="FX84" s="42"/>
      <c r="FY84" s="310"/>
      <c r="FZ84" s="311">
        <v>45582</v>
      </c>
      <c r="GA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4" s="300">
        <v>45615</v>
      </c>
      <c r="GC84" s="322">
        <v>45555</v>
      </c>
      <c r="GD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4" s="300">
        <v>45622</v>
      </c>
      <c r="GF84" s="322">
        <v>45555</v>
      </c>
      <c r="GG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4" s="300">
        <v>45628</v>
      </c>
      <c r="GI84" s="300">
        <v>45634</v>
      </c>
      <c r="GJ84" s="322">
        <v>45561</v>
      </c>
      <c r="GK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4" s="300">
        <v>45642</v>
      </c>
      <c r="GM84" s="300" t="e">
        <v>#N/A</v>
      </c>
      <c r="GN84" s="300">
        <v>45669</v>
      </c>
      <c r="GO84" s="300" t="e">
        <v>#N/A</v>
      </c>
      <c r="GP84" s="286"/>
      <c r="GQ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4" s="300" t="s">
        <v>261</v>
      </c>
      <c r="GS84" s="300" t="s">
        <v>261</v>
      </c>
      <c r="GT84" s="324">
        <v>45708</v>
      </c>
      <c r="GU84" s="314" t="str">
        <f>IF(Table1[[#This Row],[Hydro Tes Actual
(tanggal)]]&lt;&gt;"","Sudah","Belum")</f>
        <v>Sudah</v>
      </c>
      <c r="GV84" s="300" t="s">
        <v>261</v>
      </c>
      <c r="GW84" s="300" t="s">
        <v>261</v>
      </c>
      <c r="GX84" s="301">
        <v>45712</v>
      </c>
      <c r="GY84" s="314" t="str">
        <f>IF(Table1[[#This Row],[Interkoneksi Actual
(tanggal)]]&lt;&gt;"","Sudah","Belum")</f>
        <v>Sudah</v>
      </c>
      <c r="GZ84" s="300" t="s">
        <v>261</v>
      </c>
      <c r="HA84" s="300" t="s">
        <v>261</v>
      </c>
      <c r="HB84" s="301">
        <v>45716</v>
      </c>
      <c r="HC84" s="314" t="str">
        <f>IF(Table1[[#This Row],[Flushing Actual
(tanggal)]]&lt;&gt;"","Sudah","Belum")</f>
        <v>Sudah</v>
      </c>
      <c r="HD84" s="300">
        <v>45656</v>
      </c>
      <c r="HE84" s="300" t="e">
        <v>#N/A</v>
      </c>
      <c r="HF84" s="300">
        <v>45662</v>
      </c>
      <c r="HG84" s="322">
        <v>45363</v>
      </c>
      <c r="HH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4" s="300" t="s">
        <v>261</v>
      </c>
      <c r="HJ84" s="300" t="s">
        <v>261</v>
      </c>
      <c r="HK84" s="301"/>
      <c r="HL84" s="286"/>
      <c r="HM84" s="300">
        <v>45674</v>
      </c>
      <c r="HN84" s="300">
        <v>45674</v>
      </c>
      <c r="HO84" s="300" t="e">
        <v>#N/A</v>
      </c>
      <c r="HP84" s="300"/>
      <c r="HQ84" s="301">
        <v>45743</v>
      </c>
      <c r="HR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4" s="300">
        <v>45681</v>
      </c>
      <c r="HT84" s="300"/>
      <c r="HU84" s="300">
        <v>45681</v>
      </c>
      <c r="HV84" s="497"/>
      <c r="HW84" s="300">
        <v>45748</v>
      </c>
      <c r="HX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4" s="42"/>
      <c r="HZ84" s="322"/>
      <c r="IA84" s="306"/>
      <c r="IC84" s="585">
        <f>IFERROR(ROUND((Table1[[#This Row],[PLAN TC
finish]]-Table1[[#This Row],[PLAN MC-0
start]])/30,2),"")</f>
        <v>1.1299999999999999</v>
      </c>
      <c r="ID84">
        <f>DATEDIF(Table1[[#This Row],[PLAN MC-0
start]],Table1[[#This Row],[PLAN TC
finish]],"m")</f>
        <v>1</v>
      </c>
    </row>
    <row r="85" spans="2:238" s="4" customFormat="1" ht="15" customHeight="1" x14ac:dyDescent="0.25">
      <c r="B85" s="281">
        <f>SUBTOTAL(3,$D$5:D85)</f>
        <v>81</v>
      </c>
      <c r="C85" s="318">
        <v>81</v>
      </c>
      <c r="D85" s="308" t="s">
        <v>629</v>
      </c>
      <c r="E85" s="285" t="s">
        <v>662</v>
      </c>
      <c r="F85" s="285" t="s">
        <v>663</v>
      </c>
      <c r="G85" s="319">
        <v>45752</v>
      </c>
      <c r="H85" s="284" t="s">
        <v>247</v>
      </c>
      <c r="I85" s="285" t="s">
        <v>278</v>
      </c>
      <c r="J85" s="285"/>
      <c r="K85" s="308" t="s">
        <v>632</v>
      </c>
      <c r="L85" s="286" t="s">
        <v>250</v>
      </c>
      <c r="M85" s="286" t="s">
        <v>269</v>
      </c>
      <c r="N85" s="94">
        <v>2199</v>
      </c>
      <c r="O85" s="31" t="s">
        <v>252</v>
      </c>
      <c r="P8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5" s="82" t="e">
        <v>#N/A</v>
      </c>
      <c r="S85" s="82">
        <v>1</v>
      </c>
      <c r="T85" s="35">
        <f>Table1[[#This Row],[Progres Total Aktual
(%)]]</f>
        <v>1</v>
      </c>
      <c r="U85" s="106">
        <f>Table1[[#This Row],[Progres Aktual
(%)]]-Table1[[#This Row],[Target Progres
(%)]]</f>
        <v>0</v>
      </c>
      <c r="V85" s="320">
        <f>Table1[[#This Row],["Volume
BA MC-0"]]</f>
        <v>2199</v>
      </c>
      <c r="W85" s="321">
        <f>Table1[[#This Row],[Total Panjang Pipa Aktual
(Sum-&gt;)3]]</f>
        <v>2190</v>
      </c>
      <c r="X85" s="42"/>
      <c r="Y85" s="62" t="s">
        <v>664</v>
      </c>
      <c r="Z85" s="62">
        <v>5641702448</v>
      </c>
      <c r="AA85" s="62">
        <f>ROUND((Table1[[#This Row],[Nilai RAB Jaringan
(Exclude Ppn)]]-Table1[[#This Row],[RAB Perizinan]])*1.11+Table1[[#This Row],[RAB Perizinan]],0)</f>
        <v>0</v>
      </c>
      <c r="AB85" s="290">
        <f>SUM(Table1[[#This Row],[RAB Kegiatan Umum]:[RAB Perizinan]])</f>
        <v>0</v>
      </c>
      <c r="AC85" s="290"/>
      <c r="AD85" s="290"/>
      <c r="AE85" s="290"/>
      <c r="AF85" s="290"/>
      <c r="AG85" s="290">
        <v>2049649</v>
      </c>
      <c r="AH85" s="35" t="e">
        <f>SUM(Table1[[#This Row],[Bobot Keg Umum]:[Bobot Perizinan]])</f>
        <v>#DIV/0!</v>
      </c>
      <c r="AI85" s="35" t="e">
        <f>Table1[[#This Row],[RAB Kegiatan Umum]]/Table1[[#This Row],[Nilai RAB Jaringan
(Exclude Ppn)]]</f>
        <v>#DIV/0!</v>
      </c>
      <c r="AJ85" s="35" t="e">
        <f>Table1[[#This Row],[RAB Pemasangan]]/Table1[[#This Row],[Nilai RAB Jaringan
(Exclude Ppn)]]</f>
        <v>#DIV/0!</v>
      </c>
      <c r="AK85" s="35" t="e">
        <f>Table1[[#This Row],[RAB Pengadaan]]/Table1[[#This Row],[Nilai RAB Jaringan
(Exclude Ppn)]]</f>
        <v>#DIV/0!</v>
      </c>
      <c r="AL85" s="35" t="e">
        <f>Table1[[#This Row],[RAB Perizinan]]/Table1[[#This Row],[Nilai RAB Jaringan
(Exclude Ppn)]]</f>
        <v>#DIV/0!</v>
      </c>
      <c r="AM85" s="42"/>
      <c r="AN85" s="256">
        <v>2199</v>
      </c>
      <c r="AO85" s="256">
        <f>SUM(Table1[[#This Row],[Pipa 63 mm]:[Pipa 1,800 mm]])</f>
        <v>2197</v>
      </c>
      <c r="AP85" s="256"/>
      <c r="AQ85" s="256">
        <v>400</v>
      </c>
      <c r="AR85" s="256">
        <v>5</v>
      </c>
      <c r="AS85" s="256">
        <v>1357</v>
      </c>
      <c r="AT85" s="256">
        <v>430</v>
      </c>
      <c r="AU85" s="256">
        <v>5</v>
      </c>
      <c r="AV85" s="256"/>
      <c r="AW85" s="256"/>
      <c r="AX85" s="256"/>
      <c r="AY85" s="256"/>
      <c r="AZ85" s="256"/>
      <c r="BA85" s="256"/>
      <c r="BB85" s="256"/>
      <c r="BC85" s="256"/>
      <c r="BD85" s="256"/>
      <c r="BE85" s="256"/>
      <c r="BF85" s="256"/>
      <c r="BG85" s="256"/>
      <c r="BH85" s="256"/>
      <c r="BI85" s="256"/>
      <c r="BJ85" s="36">
        <f>SUM(Table1[[#This Row],[Pipa 63 mm2]:[Pipa 1,800 mm21]])</f>
        <v>2190</v>
      </c>
      <c r="BK85" s="32"/>
      <c r="BL85" s="32">
        <v>391</v>
      </c>
      <c r="BM85" s="32">
        <v>5</v>
      </c>
      <c r="BN85" s="32">
        <v>1364</v>
      </c>
      <c r="BO85" s="32">
        <v>430</v>
      </c>
      <c r="BP85" s="32"/>
      <c r="BQ85" s="32"/>
      <c r="BR85" s="32"/>
      <c r="BS85" s="32"/>
      <c r="BT85" s="32"/>
      <c r="BU85" s="32"/>
      <c r="BV85" s="32"/>
      <c r="BW85" s="32"/>
      <c r="BX85" s="32"/>
      <c r="BY85" s="32"/>
      <c r="BZ85" s="32"/>
      <c r="CA85" s="32"/>
      <c r="CB85" s="32"/>
      <c r="CC85" s="32"/>
      <c r="CD85" s="32"/>
      <c r="CE85" s="32">
        <v>0</v>
      </c>
      <c r="CF85" s="32"/>
      <c r="CG85" s="32"/>
      <c r="CH85" s="32"/>
      <c r="CI85" s="32">
        <f t="shared" si="6"/>
        <v>0</v>
      </c>
      <c r="CJ85" s="60">
        <f>IF((Table1[[#This Row],["Volume
BA MC-0"]]-Table1[[#This Row],[Total Panjang Pipa Aktual
(Sum-&gt;)3]]-Table1[[#This Row],[Total Volume
tidak dapat dipasang]])&gt;=0,Table1[[#This Row],["Volume
BA MC-0"]]-Table1[[#This Row],[Total Panjang Pipa Aktual
(Sum-&gt;)3]]-Table1[[#This Row],[Total Volume
tidak dapat dipasang]],0)</f>
        <v>9</v>
      </c>
      <c r="CK85" s="42"/>
      <c r="CL85" s="113"/>
      <c r="CM85" s="35"/>
      <c r="CN85" s="113"/>
      <c r="CO85" s="113"/>
      <c r="CP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5" s="61">
        <f>IFERROR(Table1[[#This Row],[Progres Keg. Umum
(%)]]*Table1[[#This Row],[Nilai RAB Jaringan
(file pa aji)]],0)</f>
        <v>0</v>
      </c>
      <c r="CR85" s="61">
        <f>IFERROR(Table1[[#This Row],[Progres MOS
(%)]]*Table1[[#This Row],[Nilai RAB Jaringan
(file pa aji)]],0)</f>
        <v>0</v>
      </c>
      <c r="CS85" s="61">
        <f>IFERROR(Table1[[#This Row],[Progres Pemasangan
(%)]]*Table1[[#This Row],[Nilai RAB Jaringan
(file pa aji)]],0)</f>
        <v>0</v>
      </c>
      <c r="CT85" s="61">
        <f>IFERROR(Table1[[#This Row],[Progres Perizinan
(%)]]*Table1[[#This Row],[Nilai RAB Jaringan
(file pa aji)]],0)</f>
        <v>0</v>
      </c>
      <c r="CU85" s="789">
        <v>5301539368</v>
      </c>
      <c r="CV85" s="299">
        <v>5301539368</v>
      </c>
      <c r="CW85" s="552">
        <v>5301539368</v>
      </c>
      <c r="CX85" s="789">
        <f>_xlfn.XLOOKUP(Table1[[#This Row],[Kode Program]],'[1]Breakdown VOWD Greenfield'!$E:$E,'[1]Breakdown VOWD Greenfield'!$AT:$AT)</f>
        <v>5301539368</v>
      </c>
      <c r="CY85" s="42"/>
      <c r="CZ85" s="300">
        <v>45530</v>
      </c>
      <c r="DA85" s="300">
        <v>45557</v>
      </c>
      <c r="DB85" s="301"/>
      <c r="DC85" s="286"/>
      <c r="DD85" s="62"/>
      <c r="DE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5" s="301"/>
      <c r="DG85" s="286"/>
      <c r="DH85" s="62"/>
      <c r="DI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5" s="300">
        <v>45558</v>
      </c>
      <c r="DK85" s="300">
        <v>45627</v>
      </c>
      <c r="DL85" s="301"/>
      <c r="DM85" s="286"/>
      <c r="DN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5" s="301"/>
      <c r="DP85" s="286"/>
      <c r="DQ85" s="308"/>
      <c r="DR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5" s="300">
        <v>45558</v>
      </c>
      <c r="DT85" s="300" t="e">
        <v>#N/A</v>
      </c>
      <c r="DU85" s="300">
        <v>45599</v>
      </c>
      <c r="DV85" s="300" t="e">
        <v>#N/A</v>
      </c>
      <c r="DW85" s="301"/>
      <c r="DX85" s="286"/>
      <c r="DY85" s="304"/>
      <c r="DZ85" s="304"/>
      <c r="EA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5" s="301"/>
      <c r="EC85" s="302"/>
      <c r="ED85" s="302"/>
      <c r="EE85" s="300"/>
      <c r="EF85" s="35">
        <v>1</v>
      </c>
      <c r="EG85" s="307">
        <v>1</v>
      </c>
      <c r="EH85" s="286" t="str">
        <f>IF(Table1[[#This Row],[PO Material Aktual 
(%)]]&gt;=100%,"Selesai PO = 100%",IF(Table1[[#This Row],[PO Material Aktual 
(%)]]&gt;=50%,"Proses PO &gt; 100%",IF(Table1[[#This Row],[PO Material Aktual 
(%)]]&gt;0%,"Proses PO &gt; 50%",IF(Table1[[#This Row],[PO Material Aktual 
(%)]]=0,"Belum PO = 0%"))))</f>
        <v>Selesai PO = 100%</v>
      </c>
      <c r="EI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5" s="300">
        <v>45600</v>
      </c>
      <c r="EK85" s="300" t="e">
        <v>#N/A</v>
      </c>
      <c r="EL85" s="300">
        <v>45676</v>
      </c>
      <c r="EM85" s="300" t="e">
        <v>#N/A</v>
      </c>
      <c r="EN85" s="301"/>
      <c r="EO85" s="302"/>
      <c r="EP85" s="302"/>
      <c r="EQ85" s="82">
        <v>1</v>
      </c>
      <c r="ER85" s="82">
        <v>1</v>
      </c>
      <c r="ES85" s="286" t="str">
        <f>IF(Table1[[#This Row],[Progres MOS]]&gt;=100%,"Selesai MOS = 100%",IF(Table1[[#This Row],[Progres MOS]]&gt;=50%,"Proses MOS &gt; 100%",IF(Table1[[#This Row],[Progres MOS]]&gt;0%,"Proses MOS &gt; 50%",IF(Table1[[#This Row],[Progres MOS]]=0,"Belum MOS = 0%"))))</f>
        <v>Selesai MOS = 100%</v>
      </c>
      <c r="ET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5" s="42"/>
      <c r="EV85" s="300">
        <v>45558</v>
      </c>
      <c r="EW85" s="300" t="e">
        <v>#N/A</v>
      </c>
      <c r="EX85" s="300">
        <v>45655</v>
      </c>
      <c r="EY85" s="300" t="e">
        <v>#N/A</v>
      </c>
      <c r="EZ85" s="322" t="s">
        <v>259</v>
      </c>
      <c r="FA85" s="306" t="s">
        <v>259</v>
      </c>
      <c r="FB85" s="300" t="s">
        <v>260</v>
      </c>
      <c r="FC85" s="300">
        <v>45582</v>
      </c>
      <c r="FD85" s="300" t="s">
        <v>260</v>
      </c>
      <c r="FE85" s="300">
        <v>45625</v>
      </c>
      <c r="FF85" s="300">
        <v>45702</v>
      </c>
      <c r="FG85" s="300" t="s">
        <v>260</v>
      </c>
      <c r="FH85" s="300" t="s">
        <v>260</v>
      </c>
      <c r="FI85" s="300">
        <v>45866</v>
      </c>
      <c r="FJ85" s="300" t="s">
        <v>260</v>
      </c>
      <c r="FK85" s="300">
        <v>46000</v>
      </c>
      <c r="FL85" s="306" t="s">
        <v>259</v>
      </c>
      <c r="FM85" s="306">
        <v>45582</v>
      </c>
      <c r="FN85" s="284">
        <f>IF(Table1[[#This Row],[Tanggal Pengajuan Dokumen]]="","",Table1[[#This Row],[PLAN PERMIT
start]]-Table1[[#This Row],[Tanggal Pengajuan Dokumen]])</f>
        <v>-24</v>
      </c>
      <c r="FO85" s="306">
        <v>46000</v>
      </c>
      <c r="FP85" s="286"/>
      <c r="FQ85" s="308"/>
      <c r="FR85" s="322"/>
      <c r="FS85" s="308" t="str">
        <f t="shared" si="7"/>
        <v>Sudah Terbit</v>
      </c>
      <c r="FT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5" s="314">
        <f ca="1">IF(Table1[[#This Row],[Status Izin]]="Selesai",Table1[[#This Row],[PLAN PERMIT
finish]]-Table1[[#This Row],[Tanggal Terbit/ Target Izin Terbit]],ROUNDUP(Table1[[#This Row],[PLAN PERMIT
finish]]-NOW(),0))</f>
        <v>-345</v>
      </c>
      <c r="FV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5" s="314"/>
      <c r="FX85" s="42"/>
      <c r="FY85" s="310"/>
      <c r="FZ85" s="311">
        <v>45582</v>
      </c>
      <c r="GA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5" s="300">
        <v>45629</v>
      </c>
      <c r="GC85" s="322">
        <v>45555</v>
      </c>
      <c r="GD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5" s="300">
        <v>45636</v>
      </c>
      <c r="GF85" s="322">
        <v>45555</v>
      </c>
      <c r="GG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5" s="300">
        <v>45642</v>
      </c>
      <c r="GI85" s="300">
        <v>45648</v>
      </c>
      <c r="GJ85" s="322">
        <v>45561</v>
      </c>
      <c r="GK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5" s="300">
        <v>45656</v>
      </c>
      <c r="GM85" s="300" t="e">
        <v>#N/A</v>
      </c>
      <c r="GN85" s="300">
        <v>45725</v>
      </c>
      <c r="GO85" s="300" t="e">
        <v>#N/A</v>
      </c>
      <c r="GP85" s="286"/>
      <c r="GQ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5" s="300" t="s">
        <v>261</v>
      </c>
      <c r="GS85" s="300" t="s">
        <v>261</v>
      </c>
      <c r="GT85" s="324">
        <v>45740</v>
      </c>
      <c r="GU85" s="314" t="str">
        <f>IF(Table1[[#This Row],[Hydro Tes Actual
(tanggal)]]&lt;&gt;"","Sudah","Belum")</f>
        <v>Sudah</v>
      </c>
      <c r="GV85" s="300" t="s">
        <v>261</v>
      </c>
      <c r="GW85" s="300" t="s">
        <v>261</v>
      </c>
      <c r="GX85" s="301">
        <v>45734</v>
      </c>
      <c r="GY85" s="314" t="str">
        <f>IF(Table1[[#This Row],[Interkoneksi Actual
(tanggal)]]&lt;&gt;"","Sudah","Belum")</f>
        <v>Sudah</v>
      </c>
      <c r="GZ85" s="300" t="s">
        <v>261</v>
      </c>
      <c r="HA85" s="300" t="s">
        <v>261</v>
      </c>
      <c r="HB85" s="301">
        <v>45745</v>
      </c>
      <c r="HC85" s="314" t="str">
        <f>IF(Table1[[#This Row],[Flushing Actual
(tanggal)]]&lt;&gt;"","Sudah","Belum")</f>
        <v>Sudah</v>
      </c>
      <c r="HD85" s="300">
        <v>45712</v>
      </c>
      <c r="HE85" s="300" t="e">
        <v>#N/A</v>
      </c>
      <c r="HF85" s="300">
        <v>45718</v>
      </c>
      <c r="HG85" s="322">
        <v>45750</v>
      </c>
      <c r="HH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5" s="300" t="s">
        <v>261</v>
      </c>
      <c r="HJ85" s="300" t="s">
        <v>261</v>
      </c>
      <c r="HK85" s="301"/>
      <c r="HL85" s="286"/>
      <c r="HM85" s="300">
        <v>45737</v>
      </c>
      <c r="HN85" s="300">
        <v>45737</v>
      </c>
      <c r="HO85" s="300" t="e">
        <v>#N/A</v>
      </c>
      <c r="HP85" s="300"/>
      <c r="HQ85" s="301">
        <v>45785</v>
      </c>
      <c r="HR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5" s="300">
        <v>45744</v>
      </c>
      <c r="HT85" s="300"/>
      <c r="HU85" s="300">
        <v>45744</v>
      </c>
      <c r="HV85" s="497"/>
      <c r="HW85" s="300">
        <v>45751</v>
      </c>
      <c r="HX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5" s="42"/>
      <c r="HZ85" s="322"/>
      <c r="IA85" s="306"/>
      <c r="IC85" s="585">
        <f>IFERROR(ROUND((Table1[[#This Row],[PLAN TC
finish]]-Table1[[#This Row],[PLAN MC-0
start]])/30,2),"")</f>
        <v>2.5299999999999998</v>
      </c>
      <c r="ID85">
        <f>DATEDIF(Table1[[#This Row],[PLAN MC-0
start]],Table1[[#This Row],[PLAN TC
finish]],"m")</f>
        <v>2</v>
      </c>
    </row>
    <row r="86" spans="2:238" s="4" customFormat="1" ht="15" customHeight="1" x14ac:dyDescent="0.25">
      <c r="B86" s="281">
        <f>SUBTOTAL(3,$D$5:D86)</f>
        <v>82</v>
      </c>
      <c r="C86" s="318">
        <v>82</v>
      </c>
      <c r="D86" s="308" t="s">
        <v>629</v>
      </c>
      <c r="E86" s="285" t="s">
        <v>665</v>
      </c>
      <c r="F86" s="285" t="s">
        <v>666</v>
      </c>
      <c r="G86" s="319">
        <v>45752</v>
      </c>
      <c r="H86" s="284" t="s">
        <v>247</v>
      </c>
      <c r="I86" s="285" t="s">
        <v>278</v>
      </c>
      <c r="J86" s="285"/>
      <c r="K86" s="308" t="s">
        <v>632</v>
      </c>
      <c r="L86" s="286" t="s">
        <v>250</v>
      </c>
      <c r="M86" s="286" t="s">
        <v>269</v>
      </c>
      <c r="N86" s="94">
        <v>75</v>
      </c>
      <c r="O86" s="31" t="s">
        <v>252</v>
      </c>
      <c r="P8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6" s="82" t="e">
        <v>#N/A</v>
      </c>
      <c r="S86" s="82">
        <v>1</v>
      </c>
      <c r="T86" s="35">
        <f>Table1[[#This Row],[Progres Total Aktual
(%)]]</f>
        <v>1</v>
      </c>
      <c r="U86" s="106">
        <f>Table1[[#This Row],[Progres Aktual
(%)]]-Table1[[#This Row],[Target Progres
(%)]]</f>
        <v>0</v>
      </c>
      <c r="V86" s="320">
        <f>Table1[[#This Row],["Volume
BA MC-0"]]</f>
        <v>75</v>
      </c>
      <c r="W86" s="321">
        <f>Table1[[#This Row],[Total Panjang Pipa Aktual
(Sum-&gt;)3]]</f>
        <v>75</v>
      </c>
      <c r="X86" s="42"/>
      <c r="Y86" s="62" t="s">
        <v>667</v>
      </c>
      <c r="Z86" s="62">
        <v>180068942</v>
      </c>
      <c r="AA86" s="62">
        <f>ROUND((Table1[[#This Row],[Nilai RAB Jaringan
(Exclude Ppn)]]-Table1[[#This Row],[RAB Perizinan]])*1.11+Table1[[#This Row],[RAB Perizinan]],0)</f>
        <v>0</v>
      </c>
      <c r="AB86" s="290">
        <f>SUM(Table1[[#This Row],[RAB Kegiatan Umum]:[RAB Perizinan]])</f>
        <v>0</v>
      </c>
      <c r="AC86" s="290"/>
      <c r="AD86" s="290"/>
      <c r="AE86" s="290"/>
      <c r="AF86" s="290"/>
      <c r="AG86" s="290">
        <v>12297890</v>
      </c>
      <c r="AH86" s="35" t="e">
        <f>SUM(Table1[[#This Row],[Bobot Keg Umum]:[Bobot Perizinan]])</f>
        <v>#DIV/0!</v>
      </c>
      <c r="AI86" s="35" t="e">
        <f>Table1[[#This Row],[RAB Kegiatan Umum]]/Table1[[#This Row],[Nilai RAB Jaringan
(Exclude Ppn)]]</f>
        <v>#DIV/0!</v>
      </c>
      <c r="AJ86" s="35" t="e">
        <f>Table1[[#This Row],[RAB Pemasangan]]/Table1[[#This Row],[Nilai RAB Jaringan
(Exclude Ppn)]]</f>
        <v>#DIV/0!</v>
      </c>
      <c r="AK86" s="35" t="e">
        <f>Table1[[#This Row],[RAB Pengadaan]]/Table1[[#This Row],[Nilai RAB Jaringan
(Exclude Ppn)]]</f>
        <v>#DIV/0!</v>
      </c>
      <c r="AL86" s="35" t="e">
        <f>Table1[[#This Row],[RAB Perizinan]]/Table1[[#This Row],[Nilai RAB Jaringan
(Exclude Ppn)]]</f>
        <v>#DIV/0!</v>
      </c>
      <c r="AM86" s="42"/>
      <c r="AN86" s="256">
        <v>75</v>
      </c>
      <c r="AO86" s="256">
        <f>SUM(Table1[[#This Row],[Pipa 63 mm]:[Pipa 1,800 mm]])</f>
        <v>75</v>
      </c>
      <c r="AP86" s="256"/>
      <c r="AQ86" s="256"/>
      <c r="AR86" s="256">
        <v>75</v>
      </c>
      <c r="AS86" s="256"/>
      <c r="AT86" s="256"/>
      <c r="AU86" s="256"/>
      <c r="AV86" s="256"/>
      <c r="AW86" s="256"/>
      <c r="AX86" s="256"/>
      <c r="AY86" s="256"/>
      <c r="AZ86" s="256"/>
      <c r="BA86" s="256"/>
      <c r="BB86" s="256"/>
      <c r="BC86" s="256"/>
      <c r="BD86" s="256"/>
      <c r="BE86" s="256"/>
      <c r="BF86" s="256"/>
      <c r="BG86" s="256"/>
      <c r="BH86" s="256"/>
      <c r="BI86" s="256"/>
      <c r="BJ86" s="36">
        <f>SUM(Table1[[#This Row],[Pipa 63 mm2]:[Pipa 1,800 mm21]])</f>
        <v>75</v>
      </c>
      <c r="BK86" s="32"/>
      <c r="BL86" s="32"/>
      <c r="BM86" s="32">
        <v>75</v>
      </c>
      <c r="BN86" s="32"/>
      <c r="BO86" s="32"/>
      <c r="BP86" s="32"/>
      <c r="BQ86" s="32"/>
      <c r="BR86" s="32"/>
      <c r="BS86" s="32"/>
      <c r="BT86" s="32"/>
      <c r="BU86" s="32"/>
      <c r="BV86" s="32"/>
      <c r="BW86" s="32"/>
      <c r="BX86" s="32"/>
      <c r="BY86" s="32"/>
      <c r="BZ86" s="32"/>
      <c r="CA86" s="32"/>
      <c r="CB86" s="32"/>
      <c r="CC86" s="32"/>
      <c r="CD86" s="32"/>
      <c r="CE86" s="32">
        <v>0</v>
      </c>
      <c r="CF86" s="32"/>
      <c r="CG86" s="32"/>
      <c r="CH86" s="32"/>
      <c r="CI86" s="32">
        <f t="shared" si="6"/>
        <v>0</v>
      </c>
      <c r="CJ86" s="60">
        <f>IF((Table1[[#This Row],["Volume
BA MC-0"]]-Table1[[#This Row],[Total Panjang Pipa Aktual
(Sum-&gt;)3]]-Table1[[#This Row],[Total Volume
tidak dapat dipasang]])&gt;=0,Table1[[#This Row],["Volume
BA MC-0"]]-Table1[[#This Row],[Total Panjang Pipa Aktual
(Sum-&gt;)3]]-Table1[[#This Row],[Total Volume
tidak dapat dipasang]],0)</f>
        <v>0</v>
      </c>
      <c r="CK86" s="42"/>
      <c r="CL86" s="113"/>
      <c r="CM86" s="35"/>
      <c r="CN86" s="113"/>
      <c r="CO86" s="113"/>
      <c r="CP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6" s="61">
        <f>IFERROR(Table1[[#This Row],[Progres Keg. Umum
(%)]]*Table1[[#This Row],[Nilai RAB Jaringan
(file pa aji)]],0)</f>
        <v>0</v>
      </c>
      <c r="CR86" s="61">
        <f>IFERROR(Table1[[#This Row],[Progres MOS
(%)]]*Table1[[#This Row],[Nilai RAB Jaringan
(file pa aji)]],0)</f>
        <v>0</v>
      </c>
      <c r="CS86" s="61">
        <f>IFERROR(Table1[[#This Row],[Progres Pemasangan
(%)]]*Table1[[#This Row],[Nilai RAB Jaringan
(file pa aji)]],0)</f>
        <v>0</v>
      </c>
      <c r="CT86" s="61">
        <f>IFERROR(Table1[[#This Row],[Progres Perizinan
(%)]]*Table1[[#This Row],[Nilai RAB Jaringan
(file pa aji)]],0)</f>
        <v>0</v>
      </c>
      <c r="CU86" s="789">
        <v>178920948</v>
      </c>
      <c r="CV86" s="299">
        <v>178920948</v>
      </c>
      <c r="CW86" s="552">
        <v>178920948</v>
      </c>
      <c r="CX86" s="789">
        <f>_xlfn.XLOOKUP(Table1[[#This Row],[Kode Program]],'[1]Breakdown VOWD Greenfield'!$E:$E,'[1]Breakdown VOWD Greenfield'!$AT:$AT)</f>
        <v>178920948</v>
      </c>
      <c r="CY86" s="42"/>
      <c r="CZ86" s="300">
        <v>45530</v>
      </c>
      <c r="DA86" s="300">
        <v>45557</v>
      </c>
      <c r="DB86" s="301"/>
      <c r="DC86" s="286"/>
      <c r="DD86" s="62"/>
      <c r="DE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6" s="301"/>
      <c r="DG86" s="286"/>
      <c r="DH86" s="62"/>
      <c r="DI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6" s="300">
        <v>45558</v>
      </c>
      <c r="DK86" s="300">
        <v>45613</v>
      </c>
      <c r="DL86" s="301"/>
      <c r="DM86" s="286"/>
      <c r="DN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6" s="301"/>
      <c r="DP86" s="286"/>
      <c r="DQ86" s="308"/>
      <c r="DR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6" s="300">
        <v>45558</v>
      </c>
      <c r="DT86" s="300" t="e">
        <v>#N/A</v>
      </c>
      <c r="DU86" s="300">
        <v>45599</v>
      </c>
      <c r="DV86" s="300" t="e">
        <v>#N/A</v>
      </c>
      <c r="DW86" s="301"/>
      <c r="DX86" s="286"/>
      <c r="DY86" s="304"/>
      <c r="DZ86" s="304"/>
      <c r="EA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6" s="301"/>
      <c r="EC86" s="302"/>
      <c r="ED86" s="302"/>
      <c r="EE86" s="300"/>
      <c r="EF86" s="35">
        <v>1</v>
      </c>
      <c r="EG86" s="307">
        <v>1</v>
      </c>
      <c r="EH86" s="286" t="str">
        <f>IF(Table1[[#This Row],[PO Material Aktual 
(%)]]&gt;=100%,"Selesai PO = 100%",IF(Table1[[#This Row],[PO Material Aktual 
(%)]]&gt;=50%,"Proses PO &gt; 100%",IF(Table1[[#This Row],[PO Material Aktual 
(%)]]&gt;0%,"Proses PO &gt; 50%",IF(Table1[[#This Row],[PO Material Aktual 
(%)]]=0,"Belum PO = 0%"))))</f>
        <v>Selesai PO = 100%</v>
      </c>
      <c r="EI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6" s="300">
        <v>45600</v>
      </c>
      <c r="EK86" s="300" t="e">
        <v>#N/A</v>
      </c>
      <c r="EL86" s="300">
        <v>45648</v>
      </c>
      <c r="EM86" s="300" t="e">
        <v>#N/A</v>
      </c>
      <c r="EN86" s="301"/>
      <c r="EO86" s="302"/>
      <c r="EP86" s="302"/>
      <c r="EQ86" s="82">
        <v>1</v>
      </c>
      <c r="ER86" s="82">
        <v>1</v>
      </c>
      <c r="ES86" s="286" t="str">
        <f>IF(Table1[[#This Row],[Progres MOS]]&gt;=100%,"Selesai MOS = 100%",IF(Table1[[#This Row],[Progres MOS]]&gt;=50%,"Proses MOS &gt; 100%",IF(Table1[[#This Row],[Progres MOS]]&gt;0%,"Proses MOS &gt; 50%",IF(Table1[[#This Row],[Progres MOS]]=0,"Belum MOS = 0%"))))</f>
        <v>Selesai MOS = 100%</v>
      </c>
      <c r="ET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6" s="42"/>
      <c r="EV86" s="300">
        <v>45558</v>
      </c>
      <c r="EW86" s="300" t="e">
        <v>#N/A</v>
      </c>
      <c r="EX86" s="300">
        <v>45641</v>
      </c>
      <c r="EY86" s="300" t="e">
        <v>#N/A</v>
      </c>
      <c r="EZ86" s="322" t="s">
        <v>259</v>
      </c>
      <c r="FA86" s="306" t="s">
        <v>259</v>
      </c>
      <c r="FB86" s="300" t="s">
        <v>260</v>
      </c>
      <c r="FC86" s="300">
        <v>45761</v>
      </c>
      <c r="FD86" s="300" t="s">
        <v>260</v>
      </c>
      <c r="FE86" s="300"/>
      <c r="FF86" s="300">
        <v>45783</v>
      </c>
      <c r="FG86" s="300" t="s">
        <v>260</v>
      </c>
      <c r="FH86" s="300" t="s">
        <v>260</v>
      </c>
      <c r="FI86" s="300"/>
      <c r="FJ86" s="300" t="s">
        <v>260</v>
      </c>
      <c r="FK86" s="300">
        <v>45824</v>
      </c>
      <c r="FL86" s="306" t="s">
        <v>259</v>
      </c>
      <c r="FM86" s="306">
        <v>45761</v>
      </c>
      <c r="FN86" s="284">
        <f>IF(Table1[[#This Row],[Tanggal Pengajuan Dokumen]]="","",Table1[[#This Row],[PLAN PERMIT
start]]-Table1[[#This Row],[Tanggal Pengajuan Dokumen]])</f>
        <v>-203</v>
      </c>
      <c r="FO86" s="306">
        <v>45824</v>
      </c>
      <c r="FP86" s="286"/>
      <c r="FQ86" s="308"/>
      <c r="FR86" s="322"/>
      <c r="FS86" s="308" t="str">
        <f t="shared" si="7"/>
        <v>Sudah Terbit</v>
      </c>
      <c r="FT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6" s="314">
        <f ca="1">IF(Table1[[#This Row],[Status Izin]]="Selesai",Table1[[#This Row],[PLAN PERMIT
finish]]-Table1[[#This Row],[Tanggal Terbit/ Target Izin Terbit]],ROUNDUP(Table1[[#This Row],[PLAN PERMIT
finish]]-NOW(),0))</f>
        <v>-183</v>
      </c>
      <c r="FV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6" s="314"/>
      <c r="FX86" s="42"/>
      <c r="FY86" s="310"/>
      <c r="FZ86" s="311">
        <v>45582</v>
      </c>
      <c r="GA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6" s="300">
        <v>45615</v>
      </c>
      <c r="GC86" s="322">
        <v>45610</v>
      </c>
      <c r="GD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6" s="300">
        <v>45622</v>
      </c>
      <c r="GF86" s="322">
        <v>45610</v>
      </c>
      <c r="GG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6" s="300">
        <v>45628</v>
      </c>
      <c r="GI86" s="300">
        <v>45634</v>
      </c>
      <c r="GJ86" s="322">
        <v>45614</v>
      </c>
      <c r="GK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6" s="300">
        <v>45642</v>
      </c>
      <c r="GM86" s="300" t="e">
        <v>#N/A</v>
      </c>
      <c r="GN86" s="300">
        <v>45669</v>
      </c>
      <c r="GO86" s="300" t="e">
        <v>#N/A</v>
      </c>
      <c r="GP86" s="286"/>
      <c r="GQ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6" s="300" t="s">
        <v>261</v>
      </c>
      <c r="GS86" s="300" t="s">
        <v>261</v>
      </c>
      <c r="GT86" s="324">
        <v>45737</v>
      </c>
      <c r="GU86" s="314" t="str">
        <f>IF(Table1[[#This Row],[Hydro Tes Actual
(tanggal)]]&lt;&gt;"","Sudah","Belum")</f>
        <v>Sudah</v>
      </c>
      <c r="GV86" s="300" t="s">
        <v>261</v>
      </c>
      <c r="GW86" s="300" t="s">
        <v>261</v>
      </c>
      <c r="GX86" s="301">
        <v>45727</v>
      </c>
      <c r="GY86" s="314" t="str">
        <f>IF(Table1[[#This Row],[Interkoneksi Actual
(tanggal)]]&lt;&gt;"","Sudah","Belum")</f>
        <v>Sudah</v>
      </c>
      <c r="GZ86" s="300" t="s">
        <v>261</v>
      </c>
      <c r="HA86" s="300" t="s">
        <v>261</v>
      </c>
      <c r="HB86" s="301">
        <v>45745</v>
      </c>
      <c r="HC86" s="314" t="str">
        <f>IF(Table1[[#This Row],[Flushing Actual
(tanggal)]]&lt;&gt;"","Sudah","Belum")</f>
        <v>Sudah</v>
      </c>
      <c r="HD86" s="300">
        <v>45656</v>
      </c>
      <c r="HE86" s="300" t="e">
        <v>#N/A</v>
      </c>
      <c r="HF86" s="300">
        <v>45662</v>
      </c>
      <c r="HG86" s="322">
        <v>45750</v>
      </c>
      <c r="HH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6" s="300" t="s">
        <v>261</v>
      </c>
      <c r="HJ86" s="300" t="s">
        <v>261</v>
      </c>
      <c r="HK86" s="301"/>
      <c r="HL86" s="286"/>
      <c r="HM86" s="300">
        <v>45674</v>
      </c>
      <c r="HN86" s="300">
        <v>45674</v>
      </c>
      <c r="HO86" s="300" t="e">
        <v>#N/A</v>
      </c>
      <c r="HP86" s="300"/>
      <c r="HQ86" s="301">
        <v>45405</v>
      </c>
      <c r="HR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86" s="300">
        <v>45681</v>
      </c>
      <c r="HT86" s="300"/>
      <c r="HU86" s="300">
        <v>45681</v>
      </c>
      <c r="HV86" s="497"/>
      <c r="HW86" s="300">
        <v>45751</v>
      </c>
      <c r="HX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6" s="42"/>
      <c r="HZ86" s="322"/>
      <c r="IA86" s="306"/>
      <c r="IC86" s="585">
        <f>IFERROR(ROUND((Table1[[#This Row],[PLAN TC
finish]]-Table1[[#This Row],[PLAN MC-0
start]])/30,2),"")</f>
        <v>1.1299999999999999</v>
      </c>
      <c r="ID86">
        <f>DATEDIF(Table1[[#This Row],[PLAN MC-0
start]],Table1[[#This Row],[PLAN TC
finish]],"m")</f>
        <v>1</v>
      </c>
    </row>
    <row r="87" spans="2:238" s="4" customFormat="1" ht="15" customHeight="1" x14ac:dyDescent="0.25">
      <c r="B87" s="281">
        <f>SUBTOTAL(3,$D$5:D87)</f>
        <v>83</v>
      </c>
      <c r="C87" s="318">
        <v>83</v>
      </c>
      <c r="D87" s="308" t="s">
        <v>629</v>
      </c>
      <c r="E87" s="285" t="s">
        <v>668</v>
      </c>
      <c r="F87" s="285" t="s">
        <v>669</v>
      </c>
      <c r="G87" s="319">
        <v>45752</v>
      </c>
      <c r="H87" s="284" t="s">
        <v>247</v>
      </c>
      <c r="I87" s="285" t="s">
        <v>278</v>
      </c>
      <c r="J87" s="388"/>
      <c r="K87" s="308" t="s">
        <v>632</v>
      </c>
      <c r="L87" s="286" t="s">
        <v>250</v>
      </c>
      <c r="M87" s="286" t="s">
        <v>269</v>
      </c>
      <c r="N87" s="94">
        <v>260</v>
      </c>
      <c r="O87" s="31" t="s">
        <v>252</v>
      </c>
      <c r="P8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7" s="82" t="e">
        <v>#N/A</v>
      </c>
      <c r="S87" s="82">
        <v>1</v>
      </c>
      <c r="T87" s="35">
        <f>Table1[[#This Row],[Progres Total Aktual
(%)]]</f>
        <v>1</v>
      </c>
      <c r="U87" s="106">
        <f>Table1[[#This Row],[Progres Aktual
(%)]]-Table1[[#This Row],[Target Progres
(%)]]</f>
        <v>0</v>
      </c>
      <c r="V87" s="320">
        <f>Table1[[#This Row],["Volume
BA MC-0"]]</f>
        <v>256</v>
      </c>
      <c r="W87" s="321">
        <f>Table1[[#This Row],[Total Panjang Pipa Aktual
(Sum-&gt;)3]]</f>
        <v>239.1</v>
      </c>
      <c r="X87" s="42"/>
      <c r="Y87" s="62" t="s">
        <v>670</v>
      </c>
      <c r="Z87" s="62">
        <v>446463363</v>
      </c>
      <c r="AA87" s="62">
        <f>ROUND((Table1[[#This Row],[Nilai RAB Jaringan
(Exclude Ppn)]]-Table1[[#This Row],[RAB Perizinan]])*1.11+Table1[[#This Row],[RAB Perizinan]],0)</f>
        <v>0</v>
      </c>
      <c r="AB87" s="290">
        <f>SUM(Table1[[#This Row],[RAB Kegiatan Umum]:[RAB Perizinan]])</f>
        <v>0</v>
      </c>
      <c r="AC87" s="290"/>
      <c r="AD87" s="290"/>
      <c r="AE87" s="290"/>
      <c r="AF87" s="290"/>
      <c r="AG87" s="290">
        <v>59439801</v>
      </c>
      <c r="AH87" s="35" t="e">
        <f>SUM(Table1[[#This Row],[Bobot Keg Umum]:[Bobot Perizinan]])</f>
        <v>#DIV/0!</v>
      </c>
      <c r="AI87" s="35" t="e">
        <f>Table1[[#This Row],[RAB Kegiatan Umum]]/Table1[[#This Row],[Nilai RAB Jaringan
(Exclude Ppn)]]</f>
        <v>#DIV/0!</v>
      </c>
      <c r="AJ87" s="35" t="e">
        <f>Table1[[#This Row],[RAB Pemasangan]]/Table1[[#This Row],[Nilai RAB Jaringan
(Exclude Ppn)]]</f>
        <v>#DIV/0!</v>
      </c>
      <c r="AK87" s="35" t="e">
        <f>Table1[[#This Row],[RAB Pengadaan]]/Table1[[#This Row],[Nilai RAB Jaringan
(Exclude Ppn)]]</f>
        <v>#DIV/0!</v>
      </c>
      <c r="AL87" s="35" t="e">
        <f>Table1[[#This Row],[RAB Perizinan]]/Table1[[#This Row],[Nilai RAB Jaringan
(Exclude Ppn)]]</f>
        <v>#DIV/0!</v>
      </c>
      <c r="AM87" s="42"/>
      <c r="AN87" s="256">
        <v>256</v>
      </c>
      <c r="AO87" s="256">
        <f>SUM(Table1[[#This Row],[Pipa 63 mm]:[Pipa 1,800 mm]])</f>
        <v>256</v>
      </c>
      <c r="AP87" s="256">
        <v>18</v>
      </c>
      <c r="AQ87" s="256">
        <v>238</v>
      </c>
      <c r="AR87" s="256"/>
      <c r="AS87" s="256"/>
      <c r="AT87" s="256"/>
      <c r="AU87" s="256"/>
      <c r="AV87" s="256"/>
      <c r="AW87" s="256"/>
      <c r="AX87" s="256"/>
      <c r="AY87" s="256"/>
      <c r="AZ87" s="256"/>
      <c r="BA87" s="256"/>
      <c r="BB87" s="256"/>
      <c r="BC87" s="256"/>
      <c r="BD87" s="256"/>
      <c r="BE87" s="256"/>
      <c r="BF87" s="256"/>
      <c r="BG87" s="256"/>
      <c r="BH87" s="256"/>
      <c r="BI87" s="256"/>
      <c r="BJ87" s="36">
        <f>SUM(Table1[[#This Row],[Pipa 63 mm2]:[Pipa 1,800 mm21]])</f>
        <v>239.1</v>
      </c>
      <c r="BK87" s="32"/>
      <c r="BL87" s="32">
        <v>239.1</v>
      </c>
      <c r="BM87" s="32"/>
      <c r="BN87" s="32"/>
      <c r="BO87" s="32"/>
      <c r="BP87" s="32"/>
      <c r="BQ87" s="32"/>
      <c r="BR87" s="32"/>
      <c r="BS87" s="32"/>
      <c r="BT87" s="32"/>
      <c r="BU87" s="32"/>
      <c r="BV87" s="32"/>
      <c r="BW87" s="32"/>
      <c r="BX87" s="32"/>
      <c r="BY87" s="32"/>
      <c r="BZ87" s="32"/>
      <c r="CA87" s="32"/>
      <c r="CB87" s="32"/>
      <c r="CC87" s="32"/>
      <c r="CD87" s="32"/>
      <c r="CE87" s="32">
        <v>0</v>
      </c>
      <c r="CF87" s="32"/>
      <c r="CG87" s="32"/>
      <c r="CH87" s="32"/>
      <c r="CI87" s="32">
        <f t="shared" si="6"/>
        <v>0</v>
      </c>
      <c r="CJ87" s="60">
        <f>IF((Table1[[#This Row],["Volume
BA MC-0"]]-Table1[[#This Row],[Total Panjang Pipa Aktual
(Sum-&gt;)3]]-Table1[[#This Row],[Total Volume
tidak dapat dipasang]])&gt;=0,Table1[[#This Row],["Volume
BA MC-0"]]-Table1[[#This Row],[Total Panjang Pipa Aktual
(Sum-&gt;)3]]-Table1[[#This Row],[Total Volume
tidak dapat dipasang]],0)</f>
        <v>16.900000000000006</v>
      </c>
      <c r="CK87" s="42"/>
      <c r="CL87" s="113"/>
      <c r="CM87" s="35"/>
      <c r="CN87" s="113"/>
      <c r="CO87" s="113"/>
      <c r="CP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7" s="61">
        <f>IFERROR(Table1[[#This Row],[Progres Keg. Umum
(%)]]*Table1[[#This Row],[Nilai RAB Jaringan
(file pa aji)]],0)</f>
        <v>0</v>
      </c>
      <c r="CR87" s="61">
        <f>IFERROR(Table1[[#This Row],[Progres MOS
(%)]]*Table1[[#This Row],[Nilai RAB Jaringan
(file pa aji)]],0)</f>
        <v>0</v>
      </c>
      <c r="CS87" s="61">
        <f>IFERROR(Table1[[#This Row],[Progres Pemasangan
(%)]]*Table1[[#This Row],[Nilai RAB Jaringan
(file pa aji)]],0)</f>
        <v>0</v>
      </c>
      <c r="CT87" s="61">
        <f>IFERROR(Table1[[#This Row],[Progres Perizinan
(%)]]*Table1[[#This Row],[Nilai RAB Jaringan
(file pa aji)]],0)</f>
        <v>0</v>
      </c>
      <c r="CU87" s="789">
        <v>415723528</v>
      </c>
      <c r="CV87" s="299">
        <v>415723528</v>
      </c>
      <c r="CW87" s="552">
        <v>415723528</v>
      </c>
      <c r="CX87" s="789">
        <f>_xlfn.XLOOKUP(Table1[[#This Row],[Kode Program]],'[1]Breakdown VOWD Greenfield'!$E:$E,'[1]Breakdown VOWD Greenfield'!$AT:$AT)</f>
        <v>415723528</v>
      </c>
      <c r="CY87" s="42"/>
      <c r="CZ87" s="300">
        <v>45530</v>
      </c>
      <c r="DA87" s="300">
        <v>45557</v>
      </c>
      <c r="DB87" s="301"/>
      <c r="DC87" s="286"/>
      <c r="DD87" s="62"/>
      <c r="DE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7" s="301"/>
      <c r="DG87" s="286"/>
      <c r="DH87" s="62"/>
      <c r="DI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7" s="300">
        <v>45558</v>
      </c>
      <c r="DK87" s="300">
        <v>45613</v>
      </c>
      <c r="DL87" s="301">
        <v>45924</v>
      </c>
      <c r="DM87" s="286" t="s">
        <v>671</v>
      </c>
      <c r="DN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87" s="301">
        <v>45929</v>
      </c>
      <c r="DP87" s="286" t="s">
        <v>672</v>
      </c>
      <c r="DQ87" s="308" t="s">
        <v>312</v>
      </c>
      <c r="DR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87" s="300">
        <v>45558</v>
      </c>
      <c r="DT87" s="300" t="e">
        <v>#N/A</v>
      </c>
      <c r="DU87" s="300">
        <v>45599</v>
      </c>
      <c r="DV87" s="300" t="e">
        <v>#N/A</v>
      </c>
      <c r="DW87" s="301"/>
      <c r="DX87" s="286"/>
      <c r="DY87" s="304"/>
      <c r="DZ87" s="304"/>
      <c r="EA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7" s="301"/>
      <c r="EC87" s="302"/>
      <c r="ED87" s="302"/>
      <c r="EE87" s="300"/>
      <c r="EF87" s="35">
        <v>1</v>
      </c>
      <c r="EG87" s="307">
        <v>1</v>
      </c>
      <c r="EH87" s="286" t="str">
        <f>IF(Table1[[#This Row],[PO Material Aktual 
(%)]]&gt;=100%,"Selesai PO = 100%",IF(Table1[[#This Row],[PO Material Aktual 
(%)]]&gt;=50%,"Proses PO &gt; 100%",IF(Table1[[#This Row],[PO Material Aktual 
(%)]]&gt;0%,"Proses PO &gt; 50%",IF(Table1[[#This Row],[PO Material Aktual 
(%)]]=0,"Belum PO = 0%"))))</f>
        <v>Selesai PO = 100%</v>
      </c>
      <c r="EI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7" s="300">
        <v>45600</v>
      </c>
      <c r="EK87" s="300" t="e">
        <v>#N/A</v>
      </c>
      <c r="EL87" s="300">
        <v>45648</v>
      </c>
      <c r="EM87" s="300" t="e">
        <v>#N/A</v>
      </c>
      <c r="EN87" s="301"/>
      <c r="EO87" s="302"/>
      <c r="EP87" s="302"/>
      <c r="EQ87" s="82">
        <v>1</v>
      </c>
      <c r="ER87" s="82">
        <v>1</v>
      </c>
      <c r="ES87" s="286" t="str">
        <f>IF(Table1[[#This Row],[Progres MOS]]&gt;=100%,"Selesai MOS = 100%",IF(Table1[[#This Row],[Progres MOS]]&gt;=50%,"Proses MOS &gt; 100%",IF(Table1[[#This Row],[Progres MOS]]&gt;0%,"Proses MOS &gt; 50%",IF(Table1[[#This Row],[Progres MOS]]=0,"Belum MOS = 0%"))))</f>
        <v>Selesai MOS = 100%</v>
      </c>
      <c r="ET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7" s="42"/>
      <c r="EV87" s="300">
        <v>45558</v>
      </c>
      <c r="EW87" s="300" t="e">
        <v>#N/A</v>
      </c>
      <c r="EX87" s="300">
        <v>45641</v>
      </c>
      <c r="EY87" s="300" t="e">
        <v>#N/A</v>
      </c>
      <c r="EZ87" s="322" t="s">
        <v>259</v>
      </c>
      <c r="FA87" s="306" t="s">
        <v>259</v>
      </c>
      <c r="FB87" s="300" t="s">
        <v>260</v>
      </c>
      <c r="FC87" s="300">
        <v>45719</v>
      </c>
      <c r="FD87" s="300" t="s">
        <v>260</v>
      </c>
      <c r="FE87" s="300">
        <v>45730</v>
      </c>
      <c r="FF87" s="300">
        <v>45784</v>
      </c>
      <c r="FG87" s="300" t="s">
        <v>260</v>
      </c>
      <c r="FH87" s="300" t="s">
        <v>260</v>
      </c>
      <c r="FI87" s="300">
        <v>45825</v>
      </c>
      <c r="FJ87" s="300" t="s">
        <v>260</v>
      </c>
      <c r="FK87" s="300">
        <v>45877</v>
      </c>
      <c r="FL87" s="306" t="s">
        <v>259</v>
      </c>
      <c r="FM87" s="306">
        <v>45719</v>
      </c>
      <c r="FN87" s="284">
        <f>IF(Table1[[#This Row],[Tanggal Pengajuan Dokumen]]="","",Table1[[#This Row],[PLAN PERMIT
start]]-Table1[[#This Row],[Tanggal Pengajuan Dokumen]])</f>
        <v>-161</v>
      </c>
      <c r="FO87" s="306">
        <v>45877</v>
      </c>
      <c r="FP87" s="286"/>
      <c r="FQ87" s="308"/>
      <c r="FR87" s="322"/>
      <c r="FS87" s="308" t="str">
        <f t="shared" si="7"/>
        <v>Sudah Terbit</v>
      </c>
      <c r="FT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7" s="314">
        <f ca="1">IF(Table1[[#This Row],[Status Izin]]="Selesai",Table1[[#This Row],[PLAN PERMIT
finish]]-Table1[[#This Row],[Tanggal Terbit/ Target Izin Terbit]],ROUNDUP(Table1[[#This Row],[PLAN PERMIT
finish]]-NOW(),0))</f>
        <v>-236</v>
      </c>
      <c r="FV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7" s="314"/>
      <c r="FX87" s="42"/>
      <c r="FY87" s="310"/>
      <c r="FZ87" s="311">
        <v>45582</v>
      </c>
      <c r="GA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87" s="300">
        <v>45615</v>
      </c>
      <c r="GC87" s="322">
        <v>45610</v>
      </c>
      <c r="GD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7" s="300">
        <v>45622</v>
      </c>
      <c r="GF87" s="322">
        <v>45610</v>
      </c>
      <c r="GG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7" s="300">
        <v>45628</v>
      </c>
      <c r="GI87" s="300">
        <v>45634</v>
      </c>
      <c r="GJ87" s="322">
        <v>45614</v>
      </c>
      <c r="GK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7" s="300">
        <v>45642</v>
      </c>
      <c r="GM87" s="300" t="e">
        <v>#N/A</v>
      </c>
      <c r="GN87" s="300">
        <v>45669</v>
      </c>
      <c r="GO87" s="300" t="e">
        <v>#N/A</v>
      </c>
      <c r="GP87" s="286"/>
      <c r="GQ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7" s="300" t="s">
        <v>261</v>
      </c>
      <c r="GS87" s="300" t="s">
        <v>261</v>
      </c>
      <c r="GT87" s="389">
        <v>45831</v>
      </c>
      <c r="GU87" s="314" t="str">
        <f>IF(Table1[[#This Row],[Hydro Tes Actual
(tanggal)]]&lt;&gt;"","Sudah","Belum")</f>
        <v>Sudah</v>
      </c>
      <c r="GV87" s="300" t="s">
        <v>261</v>
      </c>
      <c r="GW87" s="300" t="s">
        <v>261</v>
      </c>
      <c r="GX87" s="301">
        <v>45839</v>
      </c>
      <c r="GY87" s="314" t="str">
        <f>IF(Table1[[#This Row],[Interkoneksi Actual
(tanggal)]]&lt;&gt;"","Sudah","Belum")</f>
        <v>Sudah</v>
      </c>
      <c r="GZ87" s="300" t="s">
        <v>261</v>
      </c>
      <c r="HA87" s="300" t="s">
        <v>261</v>
      </c>
      <c r="HB87" s="390">
        <v>45845</v>
      </c>
      <c r="HC87" s="314" t="str">
        <f>IF(Table1[[#This Row],[Flushing Actual
(tanggal)]]&lt;&gt;"","Sudah","Belum")</f>
        <v>Sudah</v>
      </c>
      <c r="HD87" s="300">
        <v>45656</v>
      </c>
      <c r="HE87" s="300" t="e">
        <v>#N/A</v>
      </c>
      <c r="HF87" s="300">
        <v>45662</v>
      </c>
      <c r="HG87" s="322">
        <v>45846</v>
      </c>
      <c r="HH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7" s="300" t="s">
        <v>261</v>
      </c>
      <c r="HJ87" s="300" t="s">
        <v>261</v>
      </c>
      <c r="HK87" s="301"/>
      <c r="HL87" s="286"/>
      <c r="HM87" s="300">
        <v>45674</v>
      </c>
      <c r="HN87" s="300">
        <v>45674</v>
      </c>
      <c r="HO87" s="300" t="e">
        <v>#N/A</v>
      </c>
      <c r="HP87" s="300"/>
      <c r="HQ87" s="301">
        <v>45911</v>
      </c>
      <c r="HR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7" s="300">
        <v>45681</v>
      </c>
      <c r="HT87" s="300"/>
      <c r="HU87" s="300">
        <v>45681</v>
      </c>
      <c r="HV87" s="497"/>
      <c r="HW87" s="300">
        <v>45982</v>
      </c>
      <c r="HX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7" s="42"/>
      <c r="HZ87" s="322"/>
      <c r="IA87" s="306"/>
      <c r="IC87" s="585">
        <f>IFERROR(ROUND((Table1[[#This Row],[PLAN TC
finish]]-Table1[[#This Row],[PLAN MC-0
start]])/30,2),"")</f>
        <v>1.1299999999999999</v>
      </c>
      <c r="ID87">
        <f>DATEDIF(Table1[[#This Row],[PLAN MC-0
start]],Table1[[#This Row],[PLAN TC
finish]],"m")</f>
        <v>1</v>
      </c>
    </row>
    <row r="88" spans="2:238" s="4" customFormat="1" ht="15" customHeight="1" x14ac:dyDescent="0.25">
      <c r="B88" s="281">
        <f>SUBTOTAL(3,$D$5:D88)</f>
        <v>84</v>
      </c>
      <c r="C88" s="318">
        <v>84</v>
      </c>
      <c r="D88" s="285" t="s">
        <v>673</v>
      </c>
      <c r="E88" s="285" t="s">
        <v>674</v>
      </c>
      <c r="F88" s="285" t="s">
        <v>675</v>
      </c>
      <c r="G88" s="319">
        <v>45752</v>
      </c>
      <c r="H88" s="284" t="s">
        <v>247</v>
      </c>
      <c r="I88" s="285" t="s">
        <v>278</v>
      </c>
      <c r="J88" s="285"/>
      <c r="K88" s="308" t="s">
        <v>676</v>
      </c>
      <c r="L88" s="286" t="s">
        <v>250</v>
      </c>
      <c r="M88" s="286" t="s">
        <v>269</v>
      </c>
      <c r="N88" s="94">
        <v>4099</v>
      </c>
      <c r="O88" s="31" t="s">
        <v>252</v>
      </c>
      <c r="P8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8" s="82" t="e">
        <v>#N/A</v>
      </c>
      <c r="S88" s="82">
        <v>1</v>
      </c>
      <c r="T88" s="35">
        <f>Table1[[#This Row],[Progres Total Aktual
(%)]]</f>
        <v>1</v>
      </c>
      <c r="U88" s="106">
        <f>Table1[[#This Row],[Progres Aktual
(%)]]-Table1[[#This Row],[Target Progres
(%)]]</f>
        <v>0</v>
      </c>
      <c r="V88" s="320">
        <f>Table1[[#This Row],["Volume
BA MC-0"]]</f>
        <v>1193.4000000000001</v>
      </c>
      <c r="W88" s="321">
        <f>Table1[[#This Row],[Total Panjang Pipa Aktual
(Sum-&gt;)3]]</f>
        <v>4324</v>
      </c>
      <c r="X88" s="42"/>
      <c r="Y88" s="62" t="s">
        <v>677</v>
      </c>
      <c r="Z88" s="62">
        <v>11497374215</v>
      </c>
      <c r="AA88" s="62">
        <f>ROUND((Table1[[#This Row],[Nilai RAB Jaringan
(Exclude Ppn)]]-Table1[[#This Row],[RAB Perizinan]])*1.11+Table1[[#This Row],[RAB Perizinan]],0)</f>
        <v>0</v>
      </c>
      <c r="AB88" s="290">
        <f>SUM(Table1[[#This Row],[RAB Kegiatan Umum]:[RAB Perizinan]])</f>
        <v>0</v>
      </c>
      <c r="AC88" s="290"/>
      <c r="AD88" s="290"/>
      <c r="AE88" s="290"/>
      <c r="AF88" s="290"/>
      <c r="AG88" s="290">
        <v>0</v>
      </c>
      <c r="AH88" s="35" t="e">
        <f>SUM(Table1[[#This Row],[Bobot Keg Umum]:[Bobot Perizinan]])</f>
        <v>#DIV/0!</v>
      </c>
      <c r="AI88" s="35" t="e">
        <f>Table1[[#This Row],[RAB Kegiatan Umum]]/Table1[[#This Row],[Nilai RAB Jaringan
(Exclude Ppn)]]</f>
        <v>#DIV/0!</v>
      </c>
      <c r="AJ88" s="35" t="e">
        <f>Table1[[#This Row],[RAB Pemasangan]]/Table1[[#This Row],[Nilai RAB Jaringan
(Exclude Ppn)]]</f>
        <v>#DIV/0!</v>
      </c>
      <c r="AK88" s="35" t="e">
        <f>Table1[[#This Row],[RAB Pengadaan]]/Table1[[#This Row],[Nilai RAB Jaringan
(Exclude Ppn)]]</f>
        <v>#DIV/0!</v>
      </c>
      <c r="AL88" s="35" t="e">
        <f>Table1[[#This Row],[RAB Perizinan]]/Table1[[#This Row],[Nilai RAB Jaringan
(Exclude Ppn)]]</f>
        <v>#DIV/0!</v>
      </c>
      <c r="AM88" s="42"/>
      <c r="AN88" s="256">
        <v>1193.4000000000001</v>
      </c>
      <c r="AO88" s="256">
        <f>SUM(Table1[[#This Row],[Pipa 63 mm]:[Pipa 1,800 mm]])</f>
        <v>0</v>
      </c>
      <c r="AP88" s="256"/>
      <c r="AQ88" s="256"/>
      <c r="AR88" s="256"/>
      <c r="AS88" s="256"/>
      <c r="AT88" s="256"/>
      <c r="AU88" s="256"/>
      <c r="AV88" s="256"/>
      <c r="AW88" s="256"/>
      <c r="AX88" s="256"/>
      <c r="AY88" s="256"/>
      <c r="AZ88" s="256"/>
      <c r="BA88" s="256"/>
      <c r="BB88" s="256"/>
      <c r="BC88" s="256"/>
      <c r="BD88" s="256"/>
      <c r="BE88" s="256"/>
      <c r="BF88" s="256"/>
      <c r="BG88" s="256"/>
      <c r="BH88" s="256"/>
      <c r="BI88" s="256"/>
      <c r="BJ88" s="36">
        <f>SUM(Table1[[#This Row],[Pipa 63 mm2]:[Pipa 1,800 mm21]])</f>
        <v>4324</v>
      </c>
      <c r="BK88" s="32">
        <v>22</v>
      </c>
      <c r="BL88" s="32">
        <v>12</v>
      </c>
      <c r="BM88" s="32">
        <v>114</v>
      </c>
      <c r="BN88" s="32"/>
      <c r="BO88" s="32"/>
      <c r="BP88" s="32"/>
      <c r="BQ88" s="32">
        <v>4160</v>
      </c>
      <c r="BR88" s="32"/>
      <c r="BS88" s="32">
        <v>16</v>
      </c>
      <c r="BT88" s="32"/>
      <c r="BU88" s="32"/>
      <c r="BV88" s="32"/>
      <c r="BW88" s="32"/>
      <c r="BX88" s="32"/>
      <c r="BY88" s="32"/>
      <c r="BZ88" s="32"/>
      <c r="CA88" s="32"/>
      <c r="CB88" s="32"/>
      <c r="CC88" s="32"/>
      <c r="CD88" s="32"/>
      <c r="CE88" s="32">
        <v>0</v>
      </c>
      <c r="CF88" s="32"/>
      <c r="CG88" s="32"/>
      <c r="CH88" s="32"/>
      <c r="CI88" s="32">
        <f t="shared" si="6"/>
        <v>0</v>
      </c>
      <c r="CJ88" s="60">
        <f>IF((Table1[[#This Row],["Volume
BA MC-0"]]-Table1[[#This Row],[Total Panjang Pipa Aktual
(Sum-&gt;)3]]-Table1[[#This Row],[Total Volume
tidak dapat dipasang]])&gt;=0,Table1[[#This Row],["Volume
BA MC-0"]]-Table1[[#This Row],[Total Panjang Pipa Aktual
(Sum-&gt;)3]]-Table1[[#This Row],[Total Volume
tidak dapat dipasang]],0)</f>
        <v>0</v>
      </c>
      <c r="CK88" s="42"/>
      <c r="CL88" s="113"/>
      <c r="CM88" s="35"/>
      <c r="CN88" s="113"/>
      <c r="CO88" s="113"/>
      <c r="CP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8" s="61">
        <f>IFERROR(Table1[[#This Row],[Progres Keg. Umum
(%)]]*Table1[[#This Row],[Nilai RAB Jaringan
(file pa aji)]],0)</f>
        <v>0</v>
      </c>
      <c r="CR88" s="61">
        <f>IFERROR(Table1[[#This Row],[Progres MOS
(%)]]*Table1[[#This Row],[Nilai RAB Jaringan
(file pa aji)]],0)</f>
        <v>0</v>
      </c>
      <c r="CS88" s="61">
        <f>IFERROR(Table1[[#This Row],[Progres Pemasangan
(%)]]*Table1[[#This Row],[Nilai RAB Jaringan
(file pa aji)]],0)</f>
        <v>0</v>
      </c>
      <c r="CT88" s="61">
        <f>IFERROR(Table1[[#This Row],[Progres Perizinan
(%)]]*Table1[[#This Row],[Nilai RAB Jaringan
(file pa aji)]],0)</f>
        <v>0</v>
      </c>
      <c r="CU88" s="789">
        <v>11312531101</v>
      </c>
      <c r="CV88" s="299">
        <v>11312531101</v>
      </c>
      <c r="CW88" s="552">
        <v>11312531101</v>
      </c>
      <c r="CX88" s="789">
        <f>_xlfn.XLOOKUP(Table1[[#This Row],[Kode Program]],'[1]Breakdown VOWD Greenfield'!$E:$E,'[1]Breakdown VOWD Greenfield'!$AT:$AT)</f>
        <v>11312531101</v>
      </c>
      <c r="CY88" s="42"/>
      <c r="CZ88" s="300">
        <v>45194</v>
      </c>
      <c r="DA88" s="300">
        <v>45221</v>
      </c>
      <c r="DB88" s="301"/>
      <c r="DC88" s="286"/>
      <c r="DD88" s="62"/>
      <c r="DE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8" s="301"/>
      <c r="DG88" s="286"/>
      <c r="DH88" s="62"/>
      <c r="DI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8" s="300">
        <v>45222</v>
      </c>
      <c r="DK88" s="300">
        <v>45291</v>
      </c>
      <c r="DL88" s="301"/>
      <c r="DM88" s="286"/>
      <c r="DN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88" s="301"/>
      <c r="DP88" s="286"/>
      <c r="DQ88" s="308"/>
      <c r="DR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88" s="300">
        <v>45222</v>
      </c>
      <c r="DT88" s="300" t="e">
        <v>#N/A</v>
      </c>
      <c r="DU88" s="300">
        <v>45263</v>
      </c>
      <c r="DV88" s="300" t="e">
        <v>#N/A</v>
      </c>
      <c r="DW88" s="301"/>
      <c r="DX88" s="286"/>
      <c r="DY88" s="304"/>
      <c r="DZ88" s="304"/>
      <c r="EA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8" s="301"/>
      <c r="EC88" s="302"/>
      <c r="ED88" s="302"/>
      <c r="EE88" s="300"/>
      <c r="EF88" s="35">
        <v>1</v>
      </c>
      <c r="EG88" s="307">
        <v>1</v>
      </c>
      <c r="EH88" s="286" t="str">
        <f>IF(Table1[[#This Row],[PO Material Aktual 
(%)]]&gt;=100%,"Selesai PO = 100%",IF(Table1[[#This Row],[PO Material Aktual 
(%)]]&gt;=50%,"Proses PO &gt; 100%",IF(Table1[[#This Row],[PO Material Aktual 
(%)]]&gt;0%,"Proses PO &gt; 50%",IF(Table1[[#This Row],[PO Material Aktual 
(%)]]=0,"Belum PO = 0%"))))</f>
        <v>Selesai PO = 100%</v>
      </c>
      <c r="EI8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8" s="300">
        <v>45264</v>
      </c>
      <c r="EK88" s="300" t="e">
        <v>#N/A</v>
      </c>
      <c r="EL88" s="300">
        <v>45473</v>
      </c>
      <c r="EM88" s="300" t="e">
        <v>#N/A</v>
      </c>
      <c r="EN88" s="301"/>
      <c r="EO88" s="302"/>
      <c r="EP88" s="302"/>
      <c r="EQ88" s="82">
        <v>1</v>
      </c>
      <c r="ER88" s="82">
        <v>1</v>
      </c>
      <c r="ES88" s="286" t="str">
        <f>IF(Table1[[#This Row],[Progres MOS]]&gt;=100%,"Selesai MOS = 100%",IF(Table1[[#This Row],[Progres MOS]]&gt;=50%,"Proses MOS &gt; 100%",IF(Table1[[#This Row],[Progres MOS]]&gt;0%,"Proses MOS &gt; 50%",IF(Table1[[#This Row],[Progres MOS]]=0,"Belum MOS = 0%"))))</f>
        <v>Selesai MOS = 100%</v>
      </c>
      <c r="ET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8" s="42"/>
      <c r="EV88" s="300">
        <v>45222</v>
      </c>
      <c r="EW88" s="300" t="e">
        <v>#N/A</v>
      </c>
      <c r="EX88" s="300">
        <v>45319</v>
      </c>
      <c r="EY88" s="300" t="e">
        <v>#N/A</v>
      </c>
      <c r="EZ88" s="322" t="s">
        <v>298</v>
      </c>
      <c r="FA88" s="306" t="s">
        <v>259</v>
      </c>
      <c r="FB88" s="300" t="s">
        <v>260</v>
      </c>
      <c r="FC88" s="300">
        <v>45798</v>
      </c>
      <c r="FD88" s="300" t="s">
        <v>260</v>
      </c>
      <c r="FE88" s="300">
        <v>45881</v>
      </c>
      <c r="FF88" s="300">
        <v>45929</v>
      </c>
      <c r="FG88" s="300" t="s">
        <v>260</v>
      </c>
      <c r="FH88" s="300" t="s">
        <v>260</v>
      </c>
      <c r="FI88" s="300">
        <v>46021</v>
      </c>
      <c r="FJ88" s="300" t="s">
        <v>260</v>
      </c>
      <c r="FK88" s="300">
        <v>46094</v>
      </c>
      <c r="FL88" s="306" t="s">
        <v>298</v>
      </c>
      <c r="FM88" s="306">
        <v>45798</v>
      </c>
      <c r="FN88" s="284">
        <f>IF(Table1[[#This Row],[Tanggal Pengajuan Dokumen]]="","",Table1[[#This Row],[PLAN PERMIT
start]]-Table1[[#This Row],[Tanggal Pengajuan Dokumen]])</f>
        <v>-576</v>
      </c>
      <c r="FO88" s="306"/>
      <c r="FP88" s="286"/>
      <c r="FQ88" s="308"/>
      <c r="FR88" s="322"/>
      <c r="FS88" s="308" t="str">
        <f t="shared" si="7"/>
        <v>Sudah Terbit</v>
      </c>
      <c r="FT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8" s="314">
        <f ca="1">IF(Table1[[#This Row],[Status Izin]]="Selesai",Table1[[#This Row],[PLAN PERMIT
finish]]-Table1[[#This Row],[Tanggal Terbit/ Target Izin Terbit]],ROUNDUP(Table1[[#This Row],[PLAN PERMIT
finish]]-NOW(),0))</f>
        <v>45319</v>
      </c>
      <c r="FV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8" s="314"/>
      <c r="FX88" s="42"/>
      <c r="FY88" s="310"/>
      <c r="FZ88" s="311"/>
      <c r="GA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8" s="300">
        <v>45293</v>
      </c>
      <c r="GC88" s="322">
        <v>45913</v>
      </c>
      <c r="GD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88" s="300">
        <v>45300</v>
      </c>
      <c r="GF88" s="322">
        <v>45913</v>
      </c>
      <c r="GG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88" s="300">
        <v>45306</v>
      </c>
      <c r="GI88" s="300">
        <v>45312</v>
      </c>
      <c r="GJ88" s="322">
        <v>45209</v>
      </c>
      <c r="GK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8" s="300">
        <v>45320</v>
      </c>
      <c r="GM88" s="300" t="e">
        <v>#N/A</v>
      </c>
      <c r="GN88" s="300">
        <v>45578</v>
      </c>
      <c r="GO88" s="300" t="e">
        <v>#N/A</v>
      </c>
      <c r="GP88" s="286"/>
      <c r="GQ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8" s="300" t="s">
        <v>261</v>
      </c>
      <c r="GS88" s="391" t="s">
        <v>261</v>
      </c>
      <c r="GT88" s="392" t="s">
        <v>678</v>
      </c>
      <c r="GU88" s="393" t="str">
        <f>IF(Table1[[#This Row],[Hydro Tes Actual
(tanggal)]]&lt;&gt;"","Sudah","Belum")</f>
        <v>Sudah</v>
      </c>
      <c r="GV88" s="300" t="s">
        <v>261</v>
      </c>
      <c r="GW88" s="300" t="s">
        <v>261</v>
      </c>
      <c r="GX88" s="301"/>
      <c r="GY88" s="314" t="str">
        <f>IF(Table1[[#This Row],[Interkoneksi Actual
(tanggal)]]&lt;&gt;"","Sudah","Belum")</f>
        <v>Belum</v>
      </c>
      <c r="GZ88" s="300" t="s">
        <v>261</v>
      </c>
      <c r="HA88" s="391" t="s">
        <v>261</v>
      </c>
      <c r="HB88" s="394">
        <v>45468</v>
      </c>
      <c r="HC88" s="314" t="str">
        <f>IF(Table1[[#This Row],[Flushing Actual
(tanggal)]]&lt;&gt;"","Sudah","Belum")</f>
        <v>Sudah</v>
      </c>
      <c r="HD88" s="300">
        <v>45551</v>
      </c>
      <c r="HE88" s="300" t="e">
        <v>#N/A</v>
      </c>
      <c r="HF88" s="300">
        <v>45557</v>
      </c>
      <c r="HG88" s="322">
        <v>45559</v>
      </c>
      <c r="HH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88" s="300" t="s">
        <v>261</v>
      </c>
      <c r="HJ88" s="300" t="s">
        <v>261</v>
      </c>
      <c r="HK88" s="301"/>
      <c r="HL88" s="286"/>
      <c r="HM88" s="300">
        <v>45583</v>
      </c>
      <c r="HN88" s="300">
        <v>45583</v>
      </c>
      <c r="HO88" s="300" t="e">
        <v>#N/A</v>
      </c>
      <c r="HP88" s="300"/>
      <c r="HQ88" s="301">
        <v>45735</v>
      </c>
      <c r="HR8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8" s="300">
        <v>45590</v>
      </c>
      <c r="HT88" s="300"/>
      <c r="HU88" s="300">
        <v>45590</v>
      </c>
      <c r="HV88" s="497"/>
      <c r="HW88" s="300">
        <v>45745</v>
      </c>
      <c r="HX8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8" s="42"/>
      <c r="HZ88" s="322"/>
      <c r="IA88" s="306"/>
      <c r="IC88" s="585">
        <f>IFERROR(ROUND((Table1[[#This Row],[PLAN TC
finish]]-Table1[[#This Row],[PLAN MC-0
start]])/30,2),"")</f>
        <v>8.3699999999999992</v>
      </c>
      <c r="ID88">
        <f>DATEDIF(Table1[[#This Row],[PLAN MC-0
start]],Table1[[#This Row],[PLAN TC
finish]],"m")</f>
        <v>8</v>
      </c>
    </row>
    <row r="89" spans="2:238" s="4" customFormat="1" ht="15" customHeight="1" x14ac:dyDescent="0.25">
      <c r="B89" s="281">
        <f>SUBTOTAL(3,$D$5:D89)</f>
        <v>85</v>
      </c>
      <c r="C89" s="318">
        <v>85</v>
      </c>
      <c r="D89" s="285" t="s">
        <v>673</v>
      </c>
      <c r="E89" s="285" t="s">
        <v>679</v>
      </c>
      <c r="F89" s="285" t="s">
        <v>680</v>
      </c>
      <c r="G89" s="319">
        <v>45752</v>
      </c>
      <c r="H89" s="308" t="s">
        <v>681</v>
      </c>
      <c r="I89" s="285" t="s">
        <v>278</v>
      </c>
      <c r="J89" s="285"/>
      <c r="K89" s="308" t="s">
        <v>676</v>
      </c>
      <c r="L89" s="286" t="s">
        <v>250</v>
      </c>
      <c r="M89" s="286" t="s">
        <v>269</v>
      </c>
      <c r="N89" s="94">
        <v>135</v>
      </c>
      <c r="O89" s="31" t="s">
        <v>252</v>
      </c>
      <c r="P8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89" s="82" t="e">
        <v>#N/A</v>
      </c>
      <c r="S89" s="82">
        <v>1</v>
      </c>
      <c r="T89" s="35">
        <f>Table1[[#This Row],[Progres Total Aktual
(%)]]</f>
        <v>1</v>
      </c>
      <c r="U89" s="106">
        <f>Table1[[#This Row],[Progres Aktual
(%)]]-Table1[[#This Row],[Target Progres
(%)]]</f>
        <v>0</v>
      </c>
      <c r="V89" s="320">
        <f>Table1[[#This Row],["Volume
BA MC-0"]]</f>
        <v>135</v>
      </c>
      <c r="W89" s="321">
        <f>Table1[[#This Row],[Total Panjang Pipa Aktual
(Sum-&gt;)3]]</f>
        <v>135</v>
      </c>
      <c r="X89" s="42"/>
      <c r="Y89" s="62" t="s">
        <v>682</v>
      </c>
      <c r="Z89" s="62">
        <v>535348633</v>
      </c>
      <c r="AA89" s="62">
        <f>ROUND((Table1[[#This Row],[Nilai RAB Jaringan
(Exclude Ppn)]]-Table1[[#This Row],[RAB Perizinan]])*1.11+Table1[[#This Row],[RAB Perizinan]],0)</f>
        <v>0</v>
      </c>
      <c r="AB89" s="290">
        <f>SUM(Table1[[#This Row],[RAB Kegiatan Umum]:[RAB Perizinan]])</f>
        <v>0</v>
      </c>
      <c r="AC89" s="290"/>
      <c r="AD89" s="290"/>
      <c r="AE89" s="290"/>
      <c r="AF89" s="290"/>
      <c r="AG89" s="290">
        <v>0</v>
      </c>
      <c r="AH89" s="35" t="e">
        <f>SUM(Table1[[#This Row],[Bobot Keg Umum]:[Bobot Perizinan]])</f>
        <v>#DIV/0!</v>
      </c>
      <c r="AI89" s="35" t="e">
        <f>Table1[[#This Row],[RAB Kegiatan Umum]]/Table1[[#This Row],[Nilai RAB Jaringan
(Exclude Ppn)]]</f>
        <v>#DIV/0!</v>
      </c>
      <c r="AJ89" s="35" t="e">
        <f>Table1[[#This Row],[RAB Pemasangan]]/Table1[[#This Row],[Nilai RAB Jaringan
(Exclude Ppn)]]</f>
        <v>#DIV/0!</v>
      </c>
      <c r="AK89" s="35" t="e">
        <f>Table1[[#This Row],[RAB Pengadaan]]/Table1[[#This Row],[Nilai RAB Jaringan
(Exclude Ppn)]]</f>
        <v>#DIV/0!</v>
      </c>
      <c r="AL89" s="35" t="e">
        <f>Table1[[#This Row],[RAB Perizinan]]/Table1[[#This Row],[Nilai RAB Jaringan
(Exclude Ppn)]]</f>
        <v>#DIV/0!</v>
      </c>
      <c r="AM89" s="42"/>
      <c r="AN89" s="256">
        <v>135</v>
      </c>
      <c r="AO89" s="256">
        <f>SUM(Table1[[#This Row],[Pipa 63 mm]:[Pipa 1,800 mm]])</f>
        <v>0</v>
      </c>
      <c r="AP89" s="256"/>
      <c r="AQ89" s="256"/>
      <c r="AR89" s="256"/>
      <c r="AS89" s="256"/>
      <c r="AT89" s="256"/>
      <c r="AU89" s="256"/>
      <c r="AV89" s="256"/>
      <c r="AW89" s="256"/>
      <c r="AX89" s="256"/>
      <c r="AY89" s="256"/>
      <c r="AZ89" s="256"/>
      <c r="BA89" s="256"/>
      <c r="BB89" s="256"/>
      <c r="BC89" s="256"/>
      <c r="BD89" s="256"/>
      <c r="BE89" s="256"/>
      <c r="BF89" s="256"/>
      <c r="BG89" s="256"/>
      <c r="BH89" s="256"/>
      <c r="BI89" s="256"/>
      <c r="BJ89" s="36">
        <f>SUM(Table1[[#This Row],[Pipa 63 mm2]:[Pipa 1,800 mm21]])</f>
        <v>135</v>
      </c>
      <c r="BK89" s="32"/>
      <c r="BL89" s="32"/>
      <c r="BM89" s="32"/>
      <c r="BN89" s="32"/>
      <c r="BO89" s="32"/>
      <c r="BP89" s="32"/>
      <c r="BQ89" s="32">
        <v>135</v>
      </c>
      <c r="BR89" s="32"/>
      <c r="BS89" s="32"/>
      <c r="BT89" s="32"/>
      <c r="BU89" s="32"/>
      <c r="BV89" s="32"/>
      <c r="BW89" s="32"/>
      <c r="BX89" s="32"/>
      <c r="BY89" s="32"/>
      <c r="BZ89" s="32"/>
      <c r="CA89" s="32"/>
      <c r="CB89" s="32"/>
      <c r="CC89" s="32"/>
      <c r="CD89" s="32"/>
      <c r="CE89" s="32">
        <v>0</v>
      </c>
      <c r="CF89" s="32"/>
      <c r="CG89" s="32"/>
      <c r="CH89" s="32"/>
      <c r="CI89" s="32">
        <f t="shared" si="6"/>
        <v>0</v>
      </c>
      <c r="CJ89" s="60">
        <f>IF((Table1[[#This Row],["Volume
BA MC-0"]]-Table1[[#This Row],[Total Panjang Pipa Aktual
(Sum-&gt;)3]]-Table1[[#This Row],[Total Volume
tidak dapat dipasang]])&gt;=0,Table1[[#This Row],["Volume
BA MC-0"]]-Table1[[#This Row],[Total Panjang Pipa Aktual
(Sum-&gt;)3]]-Table1[[#This Row],[Total Volume
tidak dapat dipasang]],0)</f>
        <v>0</v>
      </c>
      <c r="CK89" s="42"/>
      <c r="CL89" s="113"/>
      <c r="CM89" s="35"/>
      <c r="CN89" s="113"/>
      <c r="CO89" s="113"/>
      <c r="CP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89" s="61">
        <f>IFERROR(Table1[[#This Row],[Progres Keg. Umum
(%)]]*Table1[[#This Row],[Nilai RAB Jaringan
(file pa aji)]],0)</f>
        <v>0</v>
      </c>
      <c r="CR89" s="61">
        <f>IFERROR(Table1[[#This Row],[Progres MOS
(%)]]*Table1[[#This Row],[Nilai RAB Jaringan
(file pa aji)]],0)</f>
        <v>0</v>
      </c>
      <c r="CS89" s="61">
        <f>IFERROR(Table1[[#This Row],[Progres Pemasangan
(%)]]*Table1[[#This Row],[Nilai RAB Jaringan
(file pa aji)]],0)</f>
        <v>0</v>
      </c>
      <c r="CT89" s="61">
        <f>IFERROR(Table1[[#This Row],[Progres Perizinan
(%)]]*Table1[[#This Row],[Nilai RAB Jaringan
(file pa aji)]],0)</f>
        <v>0</v>
      </c>
      <c r="CU89" s="789">
        <v>522883510</v>
      </c>
      <c r="CV89" s="299">
        <v>522883510</v>
      </c>
      <c r="CW89" s="552">
        <v>522883510</v>
      </c>
      <c r="CX89" s="789">
        <f>_xlfn.XLOOKUP(Table1[[#This Row],[Kode Program]],'[1]Breakdown VOWD Greenfield'!$E:$E,'[1]Breakdown VOWD Greenfield'!$AT:$AT)</f>
        <v>522883510</v>
      </c>
      <c r="CY89" s="42"/>
      <c r="CZ89" s="300">
        <v>45530</v>
      </c>
      <c r="DA89" s="300">
        <v>45550</v>
      </c>
      <c r="DB89" s="301"/>
      <c r="DC89" s="286"/>
      <c r="DD89" s="62"/>
      <c r="DE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89" s="301"/>
      <c r="DG89" s="286"/>
      <c r="DH89" s="62"/>
      <c r="DI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89" s="300">
        <v>45551</v>
      </c>
      <c r="DK89" s="300">
        <v>45592</v>
      </c>
      <c r="DL89" s="301">
        <v>45357</v>
      </c>
      <c r="DM89" s="395" t="s">
        <v>683</v>
      </c>
      <c r="DN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89" s="301">
        <v>45369</v>
      </c>
      <c r="DP89" s="396" t="s">
        <v>684</v>
      </c>
      <c r="DQ89" s="308" t="s">
        <v>685</v>
      </c>
      <c r="DR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89" s="300">
        <v>45551</v>
      </c>
      <c r="DT89" s="300" t="e">
        <v>#N/A</v>
      </c>
      <c r="DU89" s="300">
        <v>45585</v>
      </c>
      <c r="DV89" s="300" t="e">
        <v>#N/A</v>
      </c>
      <c r="DW89" s="301"/>
      <c r="DX89" s="286"/>
      <c r="DY89" s="304"/>
      <c r="DZ89" s="304"/>
      <c r="EA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89" s="301"/>
      <c r="EC89" s="302"/>
      <c r="ED89" s="302"/>
      <c r="EE89" s="300"/>
      <c r="EF89" s="35">
        <v>1</v>
      </c>
      <c r="EG89" s="307">
        <v>1</v>
      </c>
      <c r="EH89" s="286" t="str">
        <f>IF(Table1[[#This Row],[PO Material Aktual 
(%)]]&gt;=100%,"Selesai PO = 100%",IF(Table1[[#This Row],[PO Material Aktual 
(%)]]&gt;=50%,"Proses PO &gt; 100%",IF(Table1[[#This Row],[PO Material Aktual 
(%)]]&gt;0%,"Proses PO &gt; 50%",IF(Table1[[#This Row],[PO Material Aktual 
(%)]]=0,"Belum PO = 0%"))))</f>
        <v>Selesai PO = 100%</v>
      </c>
      <c r="EI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89" s="300">
        <v>45586</v>
      </c>
      <c r="EK89" s="300" t="e">
        <v>#N/A</v>
      </c>
      <c r="EL89" s="300">
        <v>45634</v>
      </c>
      <c r="EM89" s="300" t="e">
        <v>#N/A</v>
      </c>
      <c r="EN89" s="301"/>
      <c r="EO89" s="302"/>
      <c r="EP89" s="302"/>
      <c r="EQ89" s="82">
        <v>1</v>
      </c>
      <c r="ER89" s="82">
        <v>1</v>
      </c>
      <c r="ES89" s="286" t="str">
        <f>IF(Table1[[#This Row],[Progres MOS]]&gt;=100%,"Selesai MOS = 100%",IF(Table1[[#This Row],[Progres MOS]]&gt;=50%,"Proses MOS &gt; 100%",IF(Table1[[#This Row],[Progres MOS]]&gt;0%,"Proses MOS &gt; 50%",IF(Table1[[#This Row],[Progres MOS]]=0,"Belum MOS = 0%"))))</f>
        <v>Selesai MOS = 100%</v>
      </c>
      <c r="ET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89" s="42"/>
      <c r="EV89" s="300">
        <v>45551</v>
      </c>
      <c r="EW89" s="300" t="e">
        <v>#N/A</v>
      </c>
      <c r="EX89" s="300">
        <v>45620</v>
      </c>
      <c r="EY89" s="300" t="e">
        <v>#N/A</v>
      </c>
      <c r="EZ89" s="322" t="s">
        <v>298</v>
      </c>
      <c r="FA89" s="306" t="s">
        <v>259</v>
      </c>
      <c r="FB89" s="300" t="s">
        <v>260</v>
      </c>
      <c r="FC89" s="300">
        <v>45798</v>
      </c>
      <c r="FD89" s="300" t="s">
        <v>260</v>
      </c>
      <c r="FE89" s="300">
        <v>45881</v>
      </c>
      <c r="FF89" s="300">
        <v>45929</v>
      </c>
      <c r="FG89" s="300" t="s">
        <v>260</v>
      </c>
      <c r="FH89" s="300" t="s">
        <v>260</v>
      </c>
      <c r="FI89" s="300">
        <v>46021</v>
      </c>
      <c r="FJ89" s="300" t="s">
        <v>260</v>
      </c>
      <c r="FK89" s="300">
        <v>46094</v>
      </c>
      <c r="FL89" s="306" t="s">
        <v>298</v>
      </c>
      <c r="FM89" s="306">
        <v>45798</v>
      </c>
      <c r="FN89" s="284">
        <f>IF(Table1[[#This Row],[Tanggal Pengajuan Dokumen]]="","",Table1[[#This Row],[PLAN PERMIT
start]]-Table1[[#This Row],[Tanggal Pengajuan Dokumen]])</f>
        <v>-247</v>
      </c>
      <c r="FO89" s="306"/>
      <c r="FP89" s="286"/>
      <c r="FQ89" s="308"/>
      <c r="FR89" s="322"/>
      <c r="FS89" s="308" t="str">
        <f t="shared" si="7"/>
        <v>Sudah Terbit</v>
      </c>
      <c r="FT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89" s="314">
        <f ca="1">IF(Table1[[#This Row],[Status Izin]]="Selesai",Table1[[#This Row],[PLAN PERMIT
finish]]-Table1[[#This Row],[Tanggal Terbit/ Target Izin Terbit]],ROUNDUP(Table1[[#This Row],[PLAN PERMIT
finish]]-NOW(),0))</f>
        <v>45620</v>
      </c>
      <c r="FV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89" s="314"/>
      <c r="FX89" s="42"/>
      <c r="FY89" s="310"/>
      <c r="FZ89" s="311"/>
      <c r="GA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89" s="300">
        <v>45594</v>
      </c>
      <c r="GC89" s="322">
        <v>45322</v>
      </c>
      <c r="GD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89" s="300">
        <v>45601</v>
      </c>
      <c r="GF89" s="322">
        <v>45322</v>
      </c>
      <c r="GG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89" s="300">
        <v>45607</v>
      </c>
      <c r="GI89" s="300">
        <v>45613</v>
      </c>
      <c r="GJ89" s="322">
        <v>45338</v>
      </c>
      <c r="GK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89" s="300">
        <v>45621</v>
      </c>
      <c r="GM89" s="300" t="e">
        <v>#N/A</v>
      </c>
      <c r="GN89" s="300">
        <v>45662</v>
      </c>
      <c r="GO89" s="300" t="e">
        <v>#N/A</v>
      </c>
      <c r="GP89" s="286"/>
      <c r="GQ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89" s="300" t="s">
        <v>261</v>
      </c>
      <c r="GS89" s="391" t="s">
        <v>261</v>
      </c>
      <c r="GT89" s="397">
        <v>45422</v>
      </c>
      <c r="GU89" s="393" t="str">
        <f>IF(Table1[[#This Row],[Hydro Tes Actual
(tanggal)]]&lt;&gt;"","Sudah","Belum")</f>
        <v>Sudah</v>
      </c>
      <c r="GV89" s="300" t="s">
        <v>261</v>
      </c>
      <c r="GW89" s="300" t="s">
        <v>261</v>
      </c>
      <c r="GX89" s="301"/>
      <c r="GY89" s="314" t="str">
        <f>IF(Table1[[#This Row],[Interkoneksi Actual
(tanggal)]]&lt;&gt;"","Sudah","Belum")</f>
        <v>Belum</v>
      </c>
      <c r="GZ89" s="300" t="s">
        <v>261</v>
      </c>
      <c r="HA89" s="391" t="s">
        <v>261</v>
      </c>
      <c r="HB89" s="394">
        <v>45475</v>
      </c>
      <c r="HC89" s="314" t="str">
        <f>IF(Table1[[#This Row],[Flushing Actual
(tanggal)]]&lt;&gt;"","Sudah","Belum")</f>
        <v>Sudah</v>
      </c>
      <c r="HD89" s="300">
        <v>45649</v>
      </c>
      <c r="HE89" s="300" t="e">
        <v>#N/A</v>
      </c>
      <c r="HF89" s="300">
        <v>45655</v>
      </c>
      <c r="HG89" s="322">
        <v>45559</v>
      </c>
      <c r="HH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89" s="300" t="s">
        <v>261</v>
      </c>
      <c r="HJ89" s="300" t="s">
        <v>261</v>
      </c>
      <c r="HK89" s="301"/>
      <c r="HL89" s="286"/>
      <c r="HM89" s="300">
        <v>45674</v>
      </c>
      <c r="HN89" s="300">
        <v>45674</v>
      </c>
      <c r="HO89" s="300" t="e">
        <v>#N/A</v>
      </c>
      <c r="HP89" s="300"/>
      <c r="HQ89" s="301">
        <v>45735</v>
      </c>
      <c r="HR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89" s="300">
        <v>45681</v>
      </c>
      <c r="HT89" s="300"/>
      <c r="HU89" s="300">
        <v>45681</v>
      </c>
      <c r="HV89" s="497"/>
      <c r="HW89" s="300">
        <v>45745</v>
      </c>
      <c r="HX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89" s="42"/>
      <c r="HZ89" s="322"/>
      <c r="IA89" s="306"/>
      <c r="IC89" s="585">
        <f>IFERROR(ROUND((Table1[[#This Row],[PLAN TC
finish]]-Table1[[#This Row],[PLAN MC-0
start]])/30,2),"")</f>
        <v>1.6</v>
      </c>
      <c r="ID89">
        <f>DATEDIF(Table1[[#This Row],[PLAN MC-0
start]],Table1[[#This Row],[PLAN TC
finish]],"m")</f>
        <v>1</v>
      </c>
    </row>
    <row r="90" spans="2:238" s="4" customFormat="1" ht="15" customHeight="1" x14ac:dyDescent="0.25">
      <c r="B90" s="281">
        <f>SUBTOTAL(3,$D$5:D90)</f>
        <v>86</v>
      </c>
      <c r="C90" s="318">
        <v>86</v>
      </c>
      <c r="D90" s="285" t="s">
        <v>673</v>
      </c>
      <c r="E90" s="285" t="s">
        <v>686</v>
      </c>
      <c r="F90" s="285" t="s">
        <v>687</v>
      </c>
      <c r="G90" s="319">
        <v>45752</v>
      </c>
      <c r="H90" s="284" t="s">
        <v>247</v>
      </c>
      <c r="I90" s="285" t="s">
        <v>278</v>
      </c>
      <c r="J90" s="285"/>
      <c r="K90" s="308" t="s">
        <v>676</v>
      </c>
      <c r="L90" s="286" t="s">
        <v>250</v>
      </c>
      <c r="M90" s="286" t="s">
        <v>269</v>
      </c>
      <c r="N90" s="94">
        <v>152</v>
      </c>
      <c r="O90" s="31" t="s">
        <v>252</v>
      </c>
      <c r="P9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0" s="82" t="e">
        <v>#N/A</v>
      </c>
      <c r="S90" s="82">
        <v>1</v>
      </c>
      <c r="T90" s="35">
        <f>Table1[[#This Row],[Progres Total Aktual
(%)]]</f>
        <v>1</v>
      </c>
      <c r="U90" s="106">
        <f>Table1[[#This Row],[Progres Aktual
(%)]]-Table1[[#This Row],[Target Progres
(%)]]</f>
        <v>0</v>
      </c>
      <c r="V90" s="320">
        <f>Table1[[#This Row],["Volume
BA MC-0"]]</f>
        <v>152</v>
      </c>
      <c r="W90" s="321">
        <f>Table1[[#This Row],[Total Panjang Pipa Aktual
(Sum-&gt;)3]]</f>
        <v>140</v>
      </c>
      <c r="X90" s="42"/>
      <c r="Y90" s="62" t="s">
        <v>688</v>
      </c>
      <c r="Z90" s="62">
        <v>351137399</v>
      </c>
      <c r="AA90" s="62">
        <f>ROUND((Table1[[#This Row],[Nilai RAB Jaringan
(Exclude Ppn)]]-Table1[[#This Row],[RAB Perizinan]])*1.11+Table1[[#This Row],[RAB Perizinan]],0)</f>
        <v>0</v>
      </c>
      <c r="AB90" s="290">
        <f>SUM(Table1[[#This Row],[RAB Kegiatan Umum]:[RAB Perizinan]])</f>
        <v>0</v>
      </c>
      <c r="AC90" s="290"/>
      <c r="AD90" s="290"/>
      <c r="AE90" s="290"/>
      <c r="AF90" s="290"/>
      <c r="AG90" s="290">
        <v>26645428</v>
      </c>
      <c r="AH90" s="35" t="e">
        <f>SUM(Table1[[#This Row],[Bobot Keg Umum]:[Bobot Perizinan]])</f>
        <v>#DIV/0!</v>
      </c>
      <c r="AI90" s="35" t="e">
        <f>Table1[[#This Row],[RAB Kegiatan Umum]]/Table1[[#This Row],[Nilai RAB Jaringan
(Exclude Ppn)]]</f>
        <v>#DIV/0!</v>
      </c>
      <c r="AJ90" s="35" t="e">
        <f>Table1[[#This Row],[RAB Pemasangan]]/Table1[[#This Row],[Nilai RAB Jaringan
(Exclude Ppn)]]</f>
        <v>#DIV/0!</v>
      </c>
      <c r="AK90" s="35" t="e">
        <f>Table1[[#This Row],[RAB Pengadaan]]/Table1[[#This Row],[Nilai RAB Jaringan
(Exclude Ppn)]]</f>
        <v>#DIV/0!</v>
      </c>
      <c r="AL90" s="35" t="e">
        <f>Table1[[#This Row],[RAB Perizinan]]/Table1[[#This Row],[Nilai RAB Jaringan
(Exclude Ppn)]]</f>
        <v>#DIV/0!</v>
      </c>
      <c r="AM90" s="42"/>
      <c r="AN90" s="256">
        <v>152</v>
      </c>
      <c r="AO90" s="256">
        <f>SUM(Table1[[#This Row],[Pipa 63 mm]:[Pipa 1,800 mm]])</f>
        <v>0</v>
      </c>
      <c r="AP90" s="256"/>
      <c r="AQ90" s="256"/>
      <c r="AR90" s="256"/>
      <c r="AS90" s="256"/>
      <c r="AT90" s="256"/>
      <c r="AU90" s="256"/>
      <c r="AV90" s="256"/>
      <c r="AW90" s="256"/>
      <c r="AX90" s="256"/>
      <c r="AY90" s="256"/>
      <c r="AZ90" s="256"/>
      <c r="BA90" s="256"/>
      <c r="BB90" s="256"/>
      <c r="BC90" s="256"/>
      <c r="BD90" s="256"/>
      <c r="BE90" s="256"/>
      <c r="BF90" s="256"/>
      <c r="BG90" s="256"/>
      <c r="BH90" s="256"/>
      <c r="BI90" s="256"/>
      <c r="BJ90" s="36">
        <f>SUM(Table1[[#This Row],[Pipa 63 mm2]:[Pipa 1,800 mm21]])</f>
        <v>140</v>
      </c>
      <c r="BK90" s="32">
        <v>140</v>
      </c>
      <c r="BL90" s="32"/>
      <c r="BM90" s="32"/>
      <c r="BN90" s="32"/>
      <c r="BO90" s="32"/>
      <c r="BP90" s="32"/>
      <c r="BQ90" s="32"/>
      <c r="BR90" s="32"/>
      <c r="BS90" s="32"/>
      <c r="BT90" s="32"/>
      <c r="BU90" s="32"/>
      <c r="BV90" s="32"/>
      <c r="BW90" s="32"/>
      <c r="BX90" s="32"/>
      <c r="BY90" s="32"/>
      <c r="BZ90" s="32"/>
      <c r="CA90" s="32"/>
      <c r="CB90" s="32"/>
      <c r="CC90" s="32"/>
      <c r="CD90" s="32"/>
      <c r="CE90" s="32">
        <v>0</v>
      </c>
      <c r="CF90" s="32"/>
      <c r="CG90" s="32"/>
      <c r="CH90" s="32"/>
      <c r="CI90" s="32">
        <f t="shared" si="6"/>
        <v>0</v>
      </c>
      <c r="CJ90" s="60">
        <f>IF((Table1[[#This Row],["Volume
BA MC-0"]]-Table1[[#This Row],[Total Panjang Pipa Aktual
(Sum-&gt;)3]]-Table1[[#This Row],[Total Volume
tidak dapat dipasang]])&gt;=0,Table1[[#This Row],["Volume
BA MC-0"]]-Table1[[#This Row],[Total Panjang Pipa Aktual
(Sum-&gt;)3]]-Table1[[#This Row],[Total Volume
tidak dapat dipasang]],0)</f>
        <v>12</v>
      </c>
      <c r="CK90" s="42"/>
      <c r="CL90" s="113"/>
      <c r="CM90" s="35"/>
      <c r="CN90" s="113"/>
      <c r="CO90" s="113"/>
      <c r="CP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0" s="61">
        <f>IFERROR(Table1[[#This Row],[Progres Keg. Umum
(%)]]*Table1[[#This Row],[Nilai RAB Jaringan
(file pa aji)]],0)</f>
        <v>0</v>
      </c>
      <c r="CR90" s="61">
        <f>IFERROR(Table1[[#This Row],[Progres MOS
(%)]]*Table1[[#This Row],[Nilai RAB Jaringan
(file pa aji)]],0)</f>
        <v>0</v>
      </c>
      <c r="CS90" s="61">
        <f>IFERROR(Table1[[#This Row],[Progres Pemasangan
(%)]]*Table1[[#This Row],[Nilai RAB Jaringan
(file pa aji)]],0)</f>
        <v>0</v>
      </c>
      <c r="CT90" s="61">
        <f>IFERROR(Table1[[#This Row],[Progres Perizinan
(%)]]*Table1[[#This Row],[Nilai RAB Jaringan
(file pa aji)]],0)</f>
        <v>0</v>
      </c>
      <c r="CU90" s="789">
        <v>304269448</v>
      </c>
      <c r="CV90" s="299">
        <v>304269448</v>
      </c>
      <c r="CW90" s="552">
        <v>304269448</v>
      </c>
      <c r="CX90" s="789">
        <f>_xlfn.XLOOKUP(Table1[[#This Row],[Kode Program]],'[1]Breakdown VOWD Greenfield'!$E:$E,'[1]Breakdown VOWD Greenfield'!$AT:$AT)</f>
        <v>304269448</v>
      </c>
      <c r="CY90" s="42"/>
      <c r="CZ90" s="300">
        <v>45439</v>
      </c>
      <c r="DA90" s="300">
        <v>45466</v>
      </c>
      <c r="DB90" s="301"/>
      <c r="DC90" s="286"/>
      <c r="DD90" s="62"/>
      <c r="DE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0" s="301"/>
      <c r="DG90" s="286"/>
      <c r="DH90" s="62"/>
      <c r="DI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0" s="300">
        <v>45467</v>
      </c>
      <c r="DK90" s="300">
        <v>45508</v>
      </c>
      <c r="DL90" s="301">
        <v>45405</v>
      </c>
      <c r="DM90" s="395" t="s">
        <v>689</v>
      </c>
      <c r="DN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0" s="301">
        <v>45418</v>
      </c>
      <c r="DP90" s="396" t="s">
        <v>690</v>
      </c>
      <c r="DQ90" s="308" t="s">
        <v>371</v>
      </c>
      <c r="DR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0" s="300">
        <v>45467</v>
      </c>
      <c r="DT90" s="300" t="e">
        <v>#N/A</v>
      </c>
      <c r="DU90" s="300">
        <v>45508</v>
      </c>
      <c r="DV90" s="300" t="e">
        <v>#N/A</v>
      </c>
      <c r="DW90" s="301"/>
      <c r="DX90" s="286"/>
      <c r="DY90" s="304"/>
      <c r="DZ90" s="304"/>
      <c r="EA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0" s="301"/>
      <c r="EC90" s="302"/>
      <c r="ED90" s="302"/>
      <c r="EE90" s="300"/>
      <c r="EF90" s="35">
        <v>1</v>
      </c>
      <c r="EG90" s="307">
        <v>1</v>
      </c>
      <c r="EH90" s="286" t="str">
        <f>IF(Table1[[#This Row],[PO Material Aktual 
(%)]]&gt;=100%,"Selesai PO = 100%",IF(Table1[[#This Row],[PO Material Aktual 
(%)]]&gt;=50%,"Proses PO &gt; 100%",IF(Table1[[#This Row],[PO Material Aktual 
(%)]]&gt;0%,"Proses PO &gt; 50%",IF(Table1[[#This Row],[PO Material Aktual 
(%)]]=0,"Belum PO = 0%"))))</f>
        <v>Selesai PO = 100%</v>
      </c>
      <c r="EI9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0" s="300">
        <v>45509</v>
      </c>
      <c r="EK90" s="300" t="e">
        <v>#N/A</v>
      </c>
      <c r="EL90" s="300">
        <v>45599</v>
      </c>
      <c r="EM90" s="300" t="e">
        <v>#N/A</v>
      </c>
      <c r="EN90" s="301">
        <v>45960</v>
      </c>
      <c r="EO90" s="302"/>
      <c r="EP90" s="302"/>
      <c r="EQ90" s="82">
        <v>1</v>
      </c>
      <c r="ER90" s="82">
        <v>1</v>
      </c>
      <c r="ES90" s="286" t="str">
        <f>IF(Table1[[#This Row],[Progres MOS]]&gt;=100%,"Selesai MOS = 100%",IF(Table1[[#This Row],[Progres MOS]]&gt;=50%,"Proses MOS &gt; 100%",IF(Table1[[#This Row],[Progres MOS]]&gt;0%,"Proses MOS &gt; 50%",IF(Table1[[#This Row],[Progres MOS]]=0,"Belum MOS = 0%"))))</f>
        <v>Selesai MOS = 100%</v>
      </c>
      <c r="ET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0" s="42"/>
      <c r="EV90" s="300">
        <v>45467</v>
      </c>
      <c r="EW90" s="300" t="e">
        <v>#N/A</v>
      </c>
      <c r="EX90" s="300">
        <v>45564</v>
      </c>
      <c r="EY90" s="300" t="e">
        <v>#N/A</v>
      </c>
      <c r="EZ90" s="322" t="s">
        <v>298</v>
      </c>
      <c r="FA90" s="306" t="s">
        <v>259</v>
      </c>
      <c r="FB90" s="300" t="s">
        <v>260</v>
      </c>
      <c r="FC90" s="300">
        <v>45798</v>
      </c>
      <c r="FD90" s="300" t="s">
        <v>260</v>
      </c>
      <c r="FE90" s="300">
        <v>45875</v>
      </c>
      <c r="FF90" s="300">
        <v>45929</v>
      </c>
      <c r="FG90" s="300" t="s">
        <v>260</v>
      </c>
      <c r="FH90" s="300" t="s">
        <v>260</v>
      </c>
      <c r="FI90" s="300">
        <v>46003</v>
      </c>
      <c r="FJ90" s="300" t="s">
        <v>260</v>
      </c>
      <c r="FK90" s="300">
        <v>46087</v>
      </c>
      <c r="FL90" s="306" t="s">
        <v>298</v>
      </c>
      <c r="FM90" s="306">
        <v>45798</v>
      </c>
      <c r="FN90" s="284">
        <f>IF(Table1[[#This Row],[Tanggal Pengajuan Dokumen]]="","",Table1[[#This Row],[PLAN PERMIT
start]]-Table1[[#This Row],[Tanggal Pengajuan Dokumen]])</f>
        <v>-331</v>
      </c>
      <c r="FO90" s="306"/>
      <c r="FP90" s="286"/>
      <c r="FQ90" s="308"/>
      <c r="FR90" s="322"/>
      <c r="FS90" s="308" t="str">
        <f t="shared" si="7"/>
        <v>Sudah Terbit</v>
      </c>
      <c r="FT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0" s="314">
        <f ca="1">IF(Table1[[#This Row],[Status Izin]]="Selesai",Table1[[#This Row],[PLAN PERMIT
finish]]-Table1[[#This Row],[Tanggal Terbit/ Target Izin Terbit]],ROUNDUP(Table1[[#This Row],[PLAN PERMIT
finish]]-NOW(),0))</f>
        <v>45564</v>
      </c>
      <c r="FV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0" s="314"/>
      <c r="FX90" s="42"/>
      <c r="FY90" s="310"/>
      <c r="FZ90" s="311"/>
      <c r="GA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0" s="300">
        <v>45538</v>
      </c>
      <c r="GC90" s="322">
        <v>45379</v>
      </c>
      <c r="GD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0" s="300">
        <v>45545</v>
      </c>
      <c r="GF90" s="322">
        <v>45379</v>
      </c>
      <c r="GG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0" s="300">
        <v>45551</v>
      </c>
      <c r="GI90" s="300">
        <v>45557</v>
      </c>
      <c r="GJ90" s="322">
        <v>45387</v>
      </c>
      <c r="GK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0" s="300">
        <v>45565</v>
      </c>
      <c r="GM90" s="300" t="e">
        <v>#N/A</v>
      </c>
      <c r="GN90" s="300">
        <v>45641</v>
      </c>
      <c r="GO90" s="300" t="e">
        <v>#N/A</v>
      </c>
      <c r="GP90" s="286"/>
      <c r="GQ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0" s="300" t="s">
        <v>261</v>
      </c>
      <c r="GS90" s="391" t="s">
        <v>261</v>
      </c>
      <c r="GT90" s="397">
        <v>45450</v>
      </c>
      <c r="GU90" s="393" t="str">
        <f>IF(Table1[[#This Row],[Hydro Tes Actual
(tanggal)]]&lt;&gt;"","Sudah","Belum")</f>
        <v>Sudah</v>
      </c>
      <c r="GV90" s="300" t="s">
        <v>261</v>
      </c>
      <c r="GW90" s="300" t="s">
        <v>261</v>
      </c>
      <c r="GX90" s="301"/>
      <c r="GY90" s="314" t="str">
        <f>IF(Table1[[#This Row],[Interkoneksi Actual
(tanggal)]]&lt;&gt;"","Sudah","Belum")</f>
        <v>Belum</v>
      </c>
      <c r="GZ90" s="300" t="s">
        <v>261</v>
      </c>
      <c r="HA90" s="391" t="s">
        <v>261</v>
      </c>
      <c r="HB90" s="394">
        <v>45469</v>
      </c>
      <c r="HC90" s="314" t="str">
        <f>IF(Table1[[#This Row],[Flushing Actual
(tanggal)]]&lt;&gt;"","Sudah","Belum")</f>
        <v>Sudah</v>
      </c>
      <c r="HD90" s="300">
        <v>45621</v>
      </c>
      <c r="HE90" s="300" t="e">
        <v>#N/A</v>
      </c>
      <c r="HF90" s="300">
        <v>45623</v>
      </c>
      <c r="HG90" s="322">
        <v>45560</v>
      </c>
      <c r="HH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0" s="300" t="s">
        <v>261</v>
      </c>
      <c r="HJ90" s="300" t="s">
        <v>261</v>
      </c>
      <c r="HK90" s="301"/>
      <c r="HL90" s="286"/>
      <c r="HM90" s="300">
        <v>45646</v>
      </c>
      <c r="HN90" s="300">
        <v>45646</v>
      </c>
      <c r="HO90" s="300" t="e">
        <v>#N/A</v>
      </c>
      <c r="HP90" s="300"/>
      <c r="HQ90" s="301">
        <v>45733</v>
      </c>
      <c r="HR9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0" s="300">
        <v>45653</v>
      </c>
      <c r="HT90" s="300"/>
      <c r="HU90" s="300">
        <v>45653</v>
      </c>
      <c r="HV90" s="497"/>
      <c r="HW90" s="300">
        <v>45745</v>
      </c>
      <c r="HX9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0" s="42"/>
      <c r="HZ90" s="322"/>
      <c r="IA90" s="306"/>
      <c r="IC90" s="585">
        <f>IFERROR(ROUND((Table1[[#This Row],[PLAN TC
finish]]-Table1[[#This Row],[PLAN MC-0
start]])/30,2),"")</f>
        <v>2.4</v>
      </c>
      <c r="ID90">
        <f>DATEDIF(Table1[[#This Row],[PLAN MC-0
start]],Table1[[#This Row],[PLAN TC
finish]],"m")</f>
        <v>2</v>
      </c>
    </row>
    <row r="91" spans="2:238" s="4" customFormat="1" ht="15" customHeight="1" x14ac:dyDescent="0.25">
      <c r="B91" s="281">
        <f>SUBTOTAL(3,$D$5:D91)</f>
        <v>87</v>
      </c>
      <c r="C91" s="318">
        <v>87</v>
      </c>
      <c r="D91" s="285" t="s">
        <v>673</v>
      </c>
      <c r="E91" s="285" t="s">
        <v>691</v>
      </c>
      <c r="F91" s="285" t="s">
        <v>692</v>
      </c>
      <c r="G91" s="319">
        <v>45752</v>
      </c>
      <c r="H91" s="284" t="s">
        <v>247</v>
      </c>
      <c r="I91" s="285" t="s">
        <v>278</v>
      </c>
      <c r="J91" s="285"/>
      <c r="K91" s="308" t="s">
        <v>676</v>
      </c>
      <c r="L91" s="286" t="s">
        <v>250</v>
      </c>
      <c r="M91" s="286" t="s">
        <v>269</v>
      </c>
      <c r="N91" s="94">
        <v>481</v>
      </c>
      <c r="O91" s="31" t="s">
        <v>252</v>
      </c>
      <c r="P9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1" s="82" t="e">
        <v>#N/A</v>
      </c>
      <c r="S91" s="82">
        <v>1</v>
      </c>
      <c r="T91" s="35">
        <f>Table1[[#This Row],[Progres Total Aktual
(%)]]</f>
        <v>1</v>
      </c>
      <c r="U91" s="106">
        <f>Table1[[#This Row],[Progres Aktual
(%)]]-Table1[[#This Row],[Target Progres
(%)]]</f>
        <v>0</v>
      </c>
      <c r="V91" s="320">
        <f>Table1[[#This Row],["Volume
BA MC-0"]]</f>
        <v>473</v>
      </c>
      <c r="W91" s="321">
        <f>Table1[[#This Row],[Total Panjang Pipa Aktual
(Sum-&gt;)3]]</f>
        <v>473</v>
      </c>
      <c r="X91" s="42"/>
      <c r="Y91" s="62" t="s">
        <v>693</v>
      </c>
      <c r="Z91" s="62">
        <v>957106237</v>
      </c>
      <c r="AA91" s="62">
        <f>ROUND((Table1[[#This Row],[Nilai RAB Jaringan
(Exclude Ppn)]]-Table1[[#This Row],[RAB Perizinan]])*1.11+Table1[[#This Row],[RAB Perizinan]],0)</f>
        <v>0</v>
      </c>
      <c r="AB91" s="290">
        <f>SUM(Table1[[#This Row],[RAB Kegiatan Umum]:[RAB Perizinan]])</f>
        <v>0</v>
      </c>
      <c r="AC91" s="290"/>
      <c r="AD91" s="290"/>
      <c r="AE91" s="290"/>
      <c r="AF91" s="290"/>
      <c r="AG91" s="290">
        <v>153723623</v>
      </c>
      <c r="AH91" s="35" t="e">
        <f>SUM(Table1[[#This Row],[Bobot Keg Umum]:[Bobot Perizinan]])</f>
        <v>#DIV/0!</v>
      </c>
      <c r="AI91" s="35" t="e">
        <f>Table1[[#This Row],[RAB Kegiatan Umum]]/Table1[[#This Row],[Nilai RAB Jaringan
(Exclude Ppn)]]</f>
        <v>#DIV/0!</v>
      </c>
      <c r="AJ91" s="35" t="e">
        <f>Table1[[#This Row],[RAB Pemasangan]]/Table1[[#This Row],[Nilai RAB Jaringan
(Exclude Ppn)]]</f>
        <v>#DIV/0!</v>
      </c>
      <c r="AK91" s="35" t="e">
        <f>Table1[[#This Row],[RAB Pengadaan]]/Table1[[#This Row],[Nilai RAB Jaringan
(Exclude Ppn)]]</f>
        <v>#DIV/0!</v>
      </c>
      <c r="AL91" s="35" t="e">
        <f>Table1[[#This Row],[RAB Perizinan]]/Table1[[#This Row],[Nilai RAB Jaringan
(Exclude Ppn)]]</f>
        <v>#DIV/0!</v>
      </c>
      <c r="AM91" s="42"/>
      <c r="AN91" s="256">
        <v>473</v>
      </c>
      <c r="AO91" s="256">
        <f>SUM(Table1[[#This Row],[Pipa 63 mm]:[Pipa 1,800 mm]])</f>
        <v>0</v>
      </c>
      <c r="AP91" s="256"/>
      <c r="AQ91" s="256"/>
      <c r="AR91" s="256"/>
      <c r="AS91" s="256"/>
      <c r="AT91" s="256"/>
      <c r="AU91" s="256"/>
      <c r="AV91" s="256"/>
      <c r="AW91" s="256"/>
      <c r="AX91" s="256"/>
      <c r="AY91" s="256"/>
      <c r="AZ91" s="256"/>
      <c r="BA91" s="256"/>
      <c r="BB91" s="256"/>
      <c r="BC91" s="256"/>
      <c r="BD91" s="256"/>
      <c r="BE91" s="256"/>
      <c r="BF91" s="256"/>
      <c r="BG91" s="256"/>
      <c r="BH91" s="256"/>
      <c r="BI91" s="256"/>
      <c r="BJ91" s="36">
        <f>SUM(Table1[[#This Row],[Pipa 63 mm2]:[Pipa 1,800 mm21]])</f>
        <v>473</v>
      </c>
      <c r="BK91" s="32"/>
      <c r="BL91" s="32">
        <v>473</v>
      </c>
      <c r="BM91" s="32"/>
      <c r="BN91" s="32"/>
      <c r="BO91" s="32"/>
      <c r="BP91" s="32"/>
      <c r="BQ91" s="32"/>
      <c r="BR91" s="32"/>
      <c r="BS91" s="32"/>
      <c r="BT91" s="32"/>
      <c r="BU91" s="32"/>
      <c r="BV91" s="32"/>
      <c r="BW91" s="32"/>
      <c r="BX91" s="32"/>
      <c r="BY91" s="32"/>
      <c r="BZ91" s="32"/>
      <c r="CA91" s="32"/>
      <c r="CB91" s="32"/>
      <c r="CC91" s="32"/>
      <c r="CD91" s="32"/>
      <c r="CE91" s="32">
        <v>0</v>
      </c>
      <c r="CF91" s="32"/>
      <c r="CG91" s="32"/>
      <c r="CH91" s="32"/>
      <c r="CI91" s="32">
        <f t="shared" si="6"/>
        <v>0</v>
      </c>
      <c r="CJ91" s="60">
        <f>IF((Table1[[#This Row],["Volume
BA MC-0"]]-Table1[[#This Row],[Total Panjang Pipa Aktual
(Sum-&gt;)3]]-Table1[[#This Row],[Total Volume
tidak dapat dipasang]])&gt;=0,Table1[[#This Row],["Volume
BA MC-0"]]-Table1[[#This Row],[Total Panjang Pipa Aktual
(Sum-&gt;)3]]-Table1[[#This Row],[Total Volume
tidak dapat dipasang]],0)</f>
        <v>0</v>
      </c>
      <c r="CK91" s="42"/>
      <c r="CL91" s="113"/>
      <c r="CM91" s="35"/>
      <c r="CN91" s="113"/>
      <c r="CO91" s="113"/>
      <c r="CP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1" s="61">
        <f>IFERROR(Table1[[#This Row],[Progres Keg. Umum
(%)]]*Table1[[#This Row],[Nilai RAB Jaringan
(file pa aji)]],0)</f>
        <v>0</v>
      </c>
      <c r="CR91" s="61">
        <f>IFERROR(Table1[[#This Row],[Progres MOS
(%)]]*Table1[[#This Row],[Nilai RAB Jaringan
(file pa aji)]],0)</f>
        <v>0</v>
      </c>
      <c r="CS91" s="61">
        <f>IFERROR(Table1[[#This Row],[Progres Pemasangan
(%)]]*Table1[[#This Row],[Nilai RAB Jaringan
(file pa aji)]],0)</f>
        <v>0</v>
      </c>
      <c r="CT91" s="61">
        <f>IFERROR(Table1[[#This Row],[Progres Perizinan
(%)]]*Table1[[#This Row],[Nilai RAB Jaringan
(file pa aji)]],0)</f>
        <v>0</v>
      </c>
      <c r="CU91" s="789">
        <v>873370704</v>
      </c>
      <c r="CV91" s="299">
        <v>873370704</v>
      </c>
      <c r="CW91" s="552">
        <v>873370704</v>
      </c>
      <c r="CX91" s="789">
        <f>_xlfn.XLOOKUP(Table1[[#This Row],[Kode Program]],'[1]Breakdown VOWD Greenfield'!$E:$E,'[1]Breakdown VOWD Greenfield'!$AT:$AT)</f>
        <v>873370704</v>
      </c>
      <c r="CY91" s="42"/>
      <c r="CZ91" s="300">
        <v>45439</v>
      </c>
      <c r="DA91" s="300">
        <v>45466</v>
      </c>
      <c r="DB91" s="301"/>
      <c r="DC91" s="286"/>
      <c r="DD91" s="62"/>
      <c r="DE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1" s="301"/>
      <c r="DG91" s="286"/>
      <c r="DH91" s="62"/>
      <c r="DI9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1" s="300">
        <v>45467</v>
      </c>
      <c r="DK91" s="300">
        <v>45508</v>
      </c>
      <c r="DL91" s="301">
        <v>45439</v>
      </c>
      <c r="DM91" s="395" t="s">
        <v>694</v>
      </c>
      <c r="DN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1" s="301">
        <v>45447</v>
      </c>
      <c r="DP91" s="396" t="s">
        <v>695</v>
      </c>
      <c r="DQ91" s="308" t="s">
        <v>696</v>
      </c>
      <c r="DR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1" s="300">
        <v>45467</v>
      </c>
      <c r="DT91" s="300" t="e">
        <v>#N/A</v>
      </c>
      <c r="DU91" s="300">
        <v>45508</v>
      </c>
      <c r="DV91" s="300" t="e">
        <v>#N/A</v>
      </c>
      <c r="DW91" s="301"/>
      <c r="DX91" s="286"/>
      <c r="DY91" s="304"/>
      <c r="DZ91" s="304"/>
      <c r="EA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1" s="301"/>
      <c r="EC91" s="302"/>
      <c r="ED91" s="302"/>
      <c r="EE91" s="300"/>
      <c r="EF91" s="35">
        <v>1</v>
      </c>
      <c r="EG91" s="307">
        <v>1</v>
      </c>
      <c r="EH91" s="286" t="str">
        <f>IF(Table1[[#This Row],[PO Material Aktual 
(%)]]&gt;=100%,"Selesai PO = 100%",IF(Table1[[#This Row],[PO Material Aktual 
(%)]]&gt;=50%,"Proses PO &gt; 100%",IF(Table1[[#This Row],[PO Material Aktual 
(%)]]&gt;0%,"Proses PO &gt; 50%",IF(Table1[[#This Row],[PO Material Aktual 
(%)]]=0,"Belum PO = 0%"))))</f>
        <v>Selesai PO = 100%</v>
      </c>
      <c r="EI9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1" s="300">
        <v>45509</v>
      </c>
      <c r="EK91" s="300" t="e">
        <v>#N/A</v>
      </c>
      <c r="EL91" s="300">
        <v>45599</v>
      </c>
      <c r="EM91" s="300" t="e">
        <v>#N/A</v>
      </c>
      <c r="EN91" s="301">
        <v>45595</v>
      </c>
      <c r="EO91" s="302"/>
      <c r="EP91" s="302"/>
      <c r="EQ91" s="82">
        <v>1</v>
      </c>
      <c r="ER91" s="82">
        <v>1</v>
      </c>
      <c r="ES91" s="286" t="str">
        <f>IF(Table1[[#This Row],[Progres MOS]]&gt;=100%,"Selesai MOS = 100%",IF(Table1[[#This Row],[Progres MOS]]&gt;=50%,"Proses MOS &gt; 100%",IF(Table1[[#This Row],[Progres MOS]]&gt;0%,"Proses MOS &gt; 50%",IF(Table1[[#This Row],[Progres MOS]]=0,"Belum MOS = 0%"))))</f>
        <v>Selesai MOS = 100%</v>
      </c>
      <c r="ET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1" s="42"/>
      <c r="EV91" s="300">
        <v>45467</v>
      </c>
      <c r="EW91" s="300" t="e">
        <v>#N/A</v>
      </c>
      <c r="EX91" s="300">
        <v>45564</v>
      </c>
      <c r="EY91" s="300" t="e">
        <v>#N/A</v>
      </c>
      <c r="EZ91" s="322" t="s">
        <v>298</v>
      </c>
      <c r="FA91" s="306" t="s">
        <v>259</v>
      </c>
      <c r="FB91" s="300" t="s">
        <v>260</v>
      </c>
      <c r="FC91" s="300">
        <v>45799</v>
      </c>
      <c r="FD91" s="300" t="s">
        <v>260</v>
      </c>
      <c r="FE91" s="300">
        <v>45875</v>
      </c>
      <c r="FF91" s="300">
        <v>45929</v>
      </c>
      <c r="FG91" s="300" t="s">
        <v>260</v>
      </c>
      <c r="FH91" s="300" t="s">
        <v>260</v>
      </c>
      <c r="FI91" s="300">
        <v>46021</v>
      </c>
      <c r="FJ91" s="300" t="s">
        <v>260</v>
      </c>
      <c r="FK91" s="300">
        <v>46087</v>
      </c>
      <c r="FL91" s="306" t="s">
        <v>298</v>
      </c>
      <c r="FM91" s="306">
        <v>45799</v>
      </c>
      <c r="FN91" s="284">
        <f>IF(Table1[[#This Row],[Tanggal Pengajuan Dokumen]]="","",Table1[[#This Row],[PLAN PERMIT
start]]-Table1[[#This Row],[Tanggal Pengajuan Dokumen]])</f>
        <v>-332</v>
      </c>
      <c r="FO91" s="306"/>
      <c r="FP91" s="286"/>
      <c r="FQ91" s="308"/>
      <c r="FR91" s="322"/>
      <c r="FS91" s="308" t="str">
        <f t="shared" si="7"/>
        <v>Sudah Terbit</v>
      </c>
      <c r="FT9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1" s="314">
        <f ca="1">IF(Table1[[#This Row],[Status Izin]]="Selesai",Table1[[#This Row],[PLAN PERMIT
finish]]-Table1[[#This Row],[Tanggal Terbit/ Target Izin Terbit]],ROUNDUP(Table1[[#This Row],[PLAN PERMIT
finish]]-NOW(),0))</f>
        <v>45564</v>
      </c>
      <c r="FV9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1" s="314"/>
      <c r="FX91" s="42"/>
      <c r="FY91" s="310"/>
      <c r="FZ91" s="311"/>
      <c r="GA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1" s="300">
        <v>45538</v>
      </c>
      <c r="GC91" s="322">
        <v>45443</v>
      </c>
      <c r="GD9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1" s="300">
        <v>45545</v>
      </c>
      <c r="GF91" s="322">
        <v>45443</v>
      </c>
      <c r="GG9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1" s="300">
        <v>45551</v>
      </c>
      <c r="GI91" s="300">
        <v>45557</v>
      </c>
      <c r="GJ91" s="322">
        <v>45448</v>
      </c>
      <c r="GK9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1" s="300">
        <v>45565</v>
      </c>
      <c r="GM91" s="300" t="e">
        <v>#N/A</v>
      </c>
      <c r="GN91" s="300">
        <v>45641</v>
      </c>
      <c r="GO91" s="300" t="e">
        <v>#N/A</v>
      </c>
      <c r="GP91" s="286"/>
      <c r="GQ9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1" s="300" t="s">
        <v>261</v>
      </c>
      <c r="GS91" s="391" t="s">
        <v>261</v>
      </c>
      <c r="GT91" s="397">
        <v>45544</v>
      </c>
      <c r="GU91" s="393" t="str">
        <f>IF(Table1[[#This Row],[Hydro Tes Actual
(tanggal)]]&lt;&gt;"","Sudah","Belum")</f>
        <v>Sudah</v>
      </c>
      <c r="GV91" s="300" t="s">
        <v>261</v>
      </c>
      <c r="GW91" s="300" t="s">
        <v>261</v>
      </c>
      <c r="GX91" s="301"/>
      <c r="GY91" s="314" t="str">
        <f>IF(Table1[[#This Row],[Interkoneksi Actual
(tanggal)]]&lt;&gt;"","Sudah","Belum")</f>
        <v>Belum</v>
      </c>
      <c r="GZ91" s="300" t="s">
        <v>261</v>
      </c>
      <c r="HA91" s="391" t="s">
        <v>261</v>
      </c>
      <c r="HB91" s="394">
        <v>45558</v>
      </c>
      <c r="HC91" s="314" t="str">
        <f>IF(Table1[[#This Row],[Flushing Actual
(tanggal)]]&lt;&gt;"","Sudah","Belum")</f>
        <v>Sudah</v>
      </c>
      <c r="HD91" s="300">
        <v>45621</v>
      </c>
      <c r="HE91" s="300" t="e">
        <v>#N/A</v>
      </c>
      <c r="HF91" s="300">
        <v>45623</v>
      </c>
      <c r="HG91" s="322">
        <v>45560</v>
      </c>
      <c r="HH9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1" s="300" t="s">
        <v>261</v>
      </c>
      <c r="HJ91" s="300" t="s">
        <v>261</v>
      </c>
      <c r="HK91" s="301"/>
      <c r="HL91" s="286"/>
      <c r="HM91" s="300">
        <v>45646</v>
      </c>
      <c r="HN91" s="300">
        <v>45646</v>
      </c>
      <c r="HO91" s="300" t="e">
        <v>#N/A</v>
      </c>
      <c r="HP91" s="300"/>
      <c r="HQ91" s="301">
        <v>45734</v>
      </c>
      <c r="HR9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1" s="300">
        <v>45653</v>
      </c>
      <c r="HT91" s="300"/>
      <c r="HU91" s="300">
        <v>45653</v>
      </c>
      <c r="HV91" s="497"/>
      <c r="HW91" s="300">
        <v>45745</v>
      </c>
      <c r="HX9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1" s="42"/>
      <c r="HZ91" s="322"/>
      <c r="IA91" s="306"/>
      <c r="IC91" s="585">
        <f>IFERROR(ROUND((Table1[[#This Row],[PLAN TC
finish]]-Table1[[#This Row],[PLAN MC-0
start]])/30,2),"")</f>
        <v>2.4</v>
      </c>
      <c r="ID91">
        <f>DATEDIF(Table1[[#This Row],[PLAN MC-0
start]],Table1[[#This Row],[PLAN TC
finish]],"m")</f>
        <v>2</v>
      </c>
    </row>
    <row r="92" spans="2:238" s="4" customFormat="1" ht="15" customHeight="1" x14ac:dyDescent="0.25">
      <c r="B92" s="281">
        <f>SUBTOTAL(3,$D$5:D92)</f>
        <v>88</v>
      </c>
      <c r="C92" s="318">
        <v>88</v>
      </c>
      <c r="D92" s="285" t="s">
        <v>673</v>
      </c>
      <c r="E92" s="285" t="s">
        <v>697</v>
      </c>
      <c r="F92" s="285" t="s">
        <v>698</v>
      </c>
      <c r="G92" s="319">
        <v>45752</v>
      </c>
      <c r="H92" s="284" t="s">
        <v>247</v>
      </c>
      <c r="I92" s="285" t="s">
        <v>278</v>
      </c>
      <c r="J92" s="285"/>
      <c r="K92" s="308" t="s">
        <v>676</v>
      </c>
      <c r="L92" s="286" t="s">
        <v>250</v>
      </c>
      <c r="M92" s="286" t="s">
        <v>269</v>
      </c>
      <c r="N92" s="94">
        <v>121</v>
      </c>
      <c r="O92" s="31" t="s">
        <v>252</v>
      </c>
      <c r="P9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2" s="82" t="e">
        <v>#N/A</v>
      </c>
      <c r="S92" s="82">
        <v>1</v>
      </c>
      <c r="T92" s="35">
        <f>Table1[[#This Row],[Progres Total Aktual
(%)]]</f>
        <v>1</v>
      </c>
      <c r="U92" s="106">
        <f>Table1[[#This Row],[Progres Aktual
(%)]]-Table1[[#This Row],[Target Progres
(%)]]</f>
        <v>0</v>
      </c>
      <c r="V92" s="320">
        <f>Table1[[#This Row],["Volume
BA MC-0"]]</f>
        <v>122</v>
      </c>
      <c r="W92" s="321">
        <f>Table1[[#This Row],[Total Panjang Pipa Aktual
(Sum-&gt;)3]]</f>
        <v>122</v>
      </c>
      <c r="X92" s="42"/>
      <c r="Y92" s="62" t="s">
        <v>699</v>
      </c>
      <c r="Z92" s="62">
        <v>243037941</v>
      </c>
      <c r="AA92" s="62">
        <f>ROUND((Table1[[#This Row],[Nilai RAB Jaringan
(Exclude Ppn)]]-Table1[[#This Row],[RAB Perizinan]])*1.11+Table1[[#This Row],[RAB Perizinan]],0)</f>
        <v>0</v>
      </c>
      <c r="AB92" s="290">
        <f>SUM(Table1[[#This Row],[RAB Kegiatan Umum]:[RAB Perizinan]])</f>
        <v>0</v>
      </c>
      <c r="AC92" s="290"/>
      <c r="AD92" s="290"/>
      <c r="AE92" s="290"/>
      <c r="AF92" s="290"/>
      <c r="AG92" s="290">
        <v>24595780</v>
      </c>
      <c r="AH92" s="35" t="e">
        <f>SUM(Table1[[#This Row],[Bobot Keg Umum]:[Bobot Perizinan]])</f>
        <v>#DIV/0!</v>
      </c>
      <c r="AI92" s="35" t="e">
        <f>Table1[[#This Row],[RAB Kegiatan Umum]]/Table1[[#This Row],[Nilai RAB Jaringan
(Exclude Ppn)]]</f>
        <v>#DIV/0!</v>
      </c>
      <c r="AJ92" s="35" t="e">
        <f>Table1[[#This Row],[RAB Pemasangan]]/Table1[[#This Row],[Nilai RAB Jaringan
(Exclude Ppn)]]</f>
        <v>#DIV/0!</v>
      </c>
      <c r="AK92" s="35" t="e">
        <f>Table1[[#This Row],[RAB Pengadaan]]/Table1[[#This Row],[Nilai RAB Jaringan
(Exclude Ppn)]]</f>
        <v>#DIV/0!</v>
      </c>
      <c r="AL92" s="35" t="e">
        <f>Table1[[#This Row],[RAB Perizinan]]/Table1[[#This Row],[Nilai RAB Jaringan
(Exclude Ppn)]]</f>
        <v>#DIV/0!</v>
      </c>
      <c r="AM92" s="42"/>
      <c r="AN92" s="256">
        <v>122</v>
      </c>
      <c r="AO92" s="256">
        <f>SUM(Table1[[#This Row],[Pipa 63 mm]:[Pipa 1,800 mm]])</f>
        <v>0</v>
      </c>
      <c r="AP92" s="256"/>
      <c r="AQ92" s="256"/>
      <c r="AR92" s="256"/>
      <c r="AS92" s="256"/>
      <c r="AT92" s="256"/>
      <c r="AU92" s="256"/>
      <c r="AV92" s="256"/>
      <c r="AW92" s="256"/>
      <c r="AX92" s="256"/>
      <c r="AY92" s="256"/>
      <c r="AZ92" s="256"/>
      <c r="BA92" s="256"/>
      <c r="BB92" s="256"/>
      <c r="BC92" s="256"/>
      <c r="BD92" s="256"/>
      <c r="BE92" s="256"/>
      <c r="BF92" s="256"/>
      <c r="BG92" s="256"/>
      <c r="BH92" s="256"/>
      <c r="BI92" s="256"/>
      <c r="BJ92" s="36">
        <f>SUM(Table1[[#This Row],[Pipa 63 mm2]:[Pipa 1,800 mm21]])</f>
        <v>122</v>
      </c>
      <c r="BK92" s="32"/>
      <c r="BL92" s="32">
        <v>122</v>
      </c>
      <c r="BM92" s="32"/>
      <c r="BN92" s="32"/>
      <c r="BO92" s="32"/>
      <c r="BP92" s="32"/>
      <c r="BQ92" s="32"/>
      <c r="BR92" s="32"/>
      <c r="BS92" s="32"/>
      <c r="BT92" s="32"/>
      <c r="BU92" s="32"/>
      <c r="BV92" s="32"/>
      <c r="BW92" s="32"/>
      <c r="BX92" s="32"/>
      <c r="BY92" s="32"/>
      <c r="BZ92" s="32"/>
      <c r="CA92" s="32"/>
      <c r="CB92" s="32"/>
      <c r="CC92" s="32"/>
      <c r="CD92" s="32"/>
      <c r="CE92" s="32">
        <v>0</v>
      </c>
      <c r="CF92" s="32"/>
      <c r="CG92" s="32"/>
      <c r="CH92" s="32"/>
      <c r="CI92" s="32">
        <f t="shared" si="6"/>
        <v>0</v>
      </c>
      <c r="CJ92" s="60">
        <f>IF((Table1[[#This Row],["Volume
BA MC-0"]]-Table1[[#This Row],[Total Panjang Pipa Aktual
(Sum-&gt;)3]]-Table1[[#This Row],[Total Volume
tidak dapat dipasang]])&gt;=0,Table1[[#This Row],["Volume
BA MC-0"]]-Table1[[#This Row],[Total Panjang Pipa Aktual
(Sum-&gt;)3]]-Table1[[#This Row],[Total Volume
tidak dapat dipasang]],0)</f>
        <v>0</v>
      </c>
      <c r="CK92" s="42"/>
      <c r="CL92" s="113"/>
      <c r="CM92" s="35"/>
      <c r="CN92" s="113"/>
      <c r="CO92" s="113"/>
      <c r="CP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2" s="61">
        <f>IFERROR(Table1[[#This Row],[Progres Keg. Umum
(%)]]*Table1[[#This Row],[Nilai RAB Jaringan
(file pa aji)]],0)</f>
        <v>0</v>
      </c>
      <c r="CR92" s="61">
        <f>IFERROR(Table1[[#This Row],[Progres MOS
(%)]]*Table1[[#This Row],[Nilai RAB Jaringan
(file pa aji)]],0)</f>
        <v>0</v>
      </c>
      <c r="CS92" s="61">
        <f>IFERROR(Table1[[#This Row],[Progres Pemasangan
(%)]]*Table1[[#This Row],[Nilai RAB Jaringan
(file pa aji)]],0)</f>
        <v>0</v>
      </c>
      <c r="CT92" s="61">
        <f>IFERROR(Table1[[#This Row],[Progres Perizinan
(%)]]*Table1[[#This Row],[Nilai RAB Jaringan
(file pa aji)]],0)</f>
        <v>0</v>
      </c>
      <c r="CU92" s="789">
        <v>245360393</v>
      </c>
      <c r="CV92" s="299">
        <v>245360393</v>
      </c>
      <c r="CW92" s="552">
        <v>245360393</v>
      </c>
      <c r="CX92" s="789">
        <f>_xlfn.XLOOKUP(Table1[[#This Row],[Kode Program]],'[1]Breakdown VOWD Greenfield'!$E:$E,'[1]Breakdown VOWD Greenfield'!$AT:$AT)</f>
        <v>245360393</v>
      </c>
      <c r="CY92" s="42"/>
      <c r="CZ92" s="300">
        <v>45439</v>
      </c>
      <c r="DA92" s="300">
        <v>45466</v>
      </c>
      <c r="DB92" s="301"/>
      <c r="DC92" s="286"/>
      <c r="DD92" s="62"/>
      <c r="DE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2" s="301"/>
      <c r="DG92" s="286"/>
      <c r="DH92" s="62"/>
      <c r="DI9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2" s="300">
        <v>45467</v>
      </c>
      <c r="DK92" s="300">
        <v>45508</v>
      </c>
      <c r="DL92" s="301">
        <v>45439</v>
      </c>
      <c r="DM92" s="395" t="s">
        <v>700</v>
      </c>
      <c r="DN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2" s="301">
        <v>45447</v>
      </c>
      <c r="DP92" s="396" t="s">
        <v>695</v>
      </c>
      <c r="DQ92" s="308" t="s">
        <v>297</v>
      </c>
      <c r="DR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2" s="300">
        <v>45467</v>
      </c>
      <c r="DT92" s="300" t="e">
        <v>#N/A</v>
      </c>
      <c r="DU92" s="300">
        <v>45508</v>
      </c>
      <c r="DV92" s="300" t="e">
        <v>#N/A</v>
      </c>
      <c r="DW92" s="301"/>
      <c r="DX92" s="286"/>
      <c r="DY92" s="304"/>
      <c r="DZ92" s="304"/>
      <c r="EA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2" s="301"/>
      <c r="EC92" s="302"/>
      <c r="ED92" s="302"/>
      <c r="EE92" s="300"/>
      <c r="EF92" s="35">
        <v>1</v>
      </c>
      <c r="EG92" s="307">
        <v>1</v>
      </c>
      <c r="EH92" s="286" t="str">
        <f>IF(Table1[[#This Row],[PO Material Aktual 
(%)]]&gt;=100%,"Selesai PO = 100%",IF(Table1[[#This Row],[PO Material Aktual 
(%)]]&gt;=50%,"Proses PO &gt; 100%",IF(Table1[[#This Row],[PO Material Aktual 
(%)]]&gt;0%,"Proses PO &gt; 50%",IF(Table1[[#This Row],[PO Material Aktual 
(%)]]=0,"Belum PO = 0%"))))</f>
        <v>Selesai PO = 100%</v>
      </c>
      <c r="EI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2" s="300">
        <v>45509</v>
      </c>
      <c r="EK92" s="300" t="e">
        <v>#N/A</v>
      </c>
      <c r="EL92" s="300">
        <v>45599</v>
      </c>
      <c r="EM92" s="300" t="e">
        <v>#N/A</v>
      </c>
      <c r="EN92" s="301">
        <v>45595</v>
      </c>
      <c r="EO92" s="302"/>
      <c r="EP92" s="302"/>
      <c r="EQ92" s="82">
        <v>1</v>
      </c>
      <c r="ER92" s="82">
        <v>1</v>
      </c>
      <c r="ES92" s="286" t="str">
        <f>IF(Table1[[#This Row],[Progres MOS]]&gt;=100%,"Selesai MOS = 100%",IF(Table1[[#This Row],[Progres MOS]]&gt;=50%,"Proses MOS &gt; 100%",IF(Table1[[#This Row],[Progres MOS]]&gt;0%,"Proses MOS &gt; 50%",IF(Table1[[#This Row],[Progres MOS]]=0,"Belum MOS = 0%"))))</f>
        <v>Selesai MOS = 100%</v>
      </c>
      <c r="ET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2" s="42"/>
      <c r="EV92" s="300">
        <v>45467</v>
      </c>
      <c r="EW92" s="300" t="e">
        <v>#N/A</v>
      </c>
      <c r="EX92" s="300">
        <v>45564</v>
      </c>
      <c r="EY92" s="300" t="e">
        <v>#N/A</v>
      </c>
      <c r="EZ92" s="322" t="s">
        <v>298</v>
      </c>
      <c r="FA92" s="306" t="s">
        <v>259</v>
      </c>
      <c r="FB92" s="300" t="s">
        <v>260</v>
      </c>
      <c r="FC92" s="300">
        <v>45799</v>
      </c>
      <c r="FD92" s="300" t="s">
        <v>260</v>
      </c>
      <c r="FE92" s="300">
        <v>45875</v>
      </c>
      <c r="FF92" s="300">
        <v>45929</v>
      </c>
      <c r="FG92" s="300" t="s">
        <v>260</v>
      </c>
      <c r="FH92" s="300" t="s">
        <v>260</v>
      </c>
      <c r="FI92" s="300">
        <v>46021</v>
      </c>
      <c r="FJ92" s="300" t="s">
        <v>260</v>
      </c>
      <c r="FK92" s="300">
        <v>46087</v>
      </c>
      <c r="FL92" s="306" t="s">
        <v>298</v>
      </c>
      <c r="FM92" s="306">
        <v>45799</v>
      </c>
      <c r="FN92" s="284">
        <f>IF(Table1[[#This Row],[Tanggal Pengajuan Dokumen]]="","",Table1[[#This Row],[PLAN PERMIT
start]]-Table1[[#This Row],[Tanggal Pengajuan Dokumen]])</f>
        <v>-332</v>
      </c>
      <c r="FO92" s="306"/>
      <c r="FP92" s="286"/>
      <c r="FQ92" s="308"/>
      <c r="FR92" s="322"/>
      <c r="FS92" s="308" t="str">
        <f t="shared" si="7"/>
        <v>Sudah Terbit</v>
      </c>
      <c r="FT9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2" s="314">
        <f ca="1">IF(Table1[[#This Row],[Status Izin]]="Selesai",Table1[[#This Row],[PLAN PERMIT
finish]]-Table1[[#This Row],[Tanggal Terbit/ Target Izin Terbit]],ROUNDUP(Table1[[#This Row],[PLAN PERMIT
finish]]-NOW(),0))</f>
        <v>45564</v>
      </c>
      <c r="FV9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2" s="314"/>
      <c r="FX92" s="42"/>
      <c r="FY92" s="310"/>
      <c r="FZ92" s="311"/>
      <c r="GA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2" s="300">
        <v>45538</v>
      </c>
      <c r="GC92" s="322">
        <v>45443</v>
      </c>
      <c r="GD9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2" s="300">
        <v>45545</v>
      </c>
      <c r="GF92" s="322">
        <v>45443</v>
      </c>
      <c r="GG9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2" s="300">
        <v>45551</v>
      </c>
      <c r="GI92" s="300">
        <v>45557</v>
      </c>
      <c r="GJ92" s="322">
        <v>45448</v>
      </c>
      <c r="GK9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2" s="300">
        <v>45565</v>
      </c>
      <c r="GM92" s="300" t="e">
        <v>#N/A</v>
      </c>
      <c r="GN92" s="300">
        <v>45641</v>
      </c>
      <c r="GO92" s="300" t="e">
        <v>#N/A</v>
      </c>
      <c r="GP92" s="286"/>
      <c r="GQ9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2" s="300" t="s">
        <v>261</v>
      </c>
      <c r="GS92" s="391" t="s">
        <v>261</v>
      </c>
      <c r="GT92" s="397">
        <v>45534</v>
      </c>
      <c r="GU92" s="393" t="str">
        <f>IF(Table1[[#This Row],[Hydro Tes Actual
(tanggal)]]&lt;&gt;"","Sudah","Belum")</f>
        <v>Sudah</v>
      </c>
      <c r="GV92" s="300" t="s">
        <v>261</v>
      </c>
      <c r="GW92" s="300" t="s">
        <v>261</v>
      </c>
      <c r="GX92" s="301"/>
      <c r="GY92" s="314" t="str">
        <f>IF(Table1[[#This Row],[Interkoneksi Actual
(tanggal)]]&lt;&gt;"","Sudah","Belum")</f>
        <v>Belum</v>
      </c>
      <c r="GZ92" s="300" t="s">
        <v>261</v>
      </c>
      <c r="HA92" s="391" t="s">
        <v>261</v>
      </c>
      <c r="HB92" s="394">
        <v>45535</v>
      </c>
      <c r="HC92" s="314" t="str">
        <f>IF(Table1[[#This Row],[Flushing Actual
(tanggal)]]&lt;&gt;"","Sudah","Belum")</f>
        <v>Sudah</v>
      </c>
      <c r="HD92" s="300">
        <v>45621</v>
      </c>
      <c r="HE92" s="300" t="e">
        <v>#N/A</v>
      </c>
      <c r="HF92" s="300">
        <v>45623</v>
      </c>
      <c r="HG92" s="322">
        <v>45560</v>
      </c>
      <c r="HH9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2" s="300" t="s">
        <v>261</v>
      </c>
      <c r="HJ92" s="300" t="s">
        <v>261</v>
      </c>
      <c r="HK92" s="301"/>
      <c r="HL92" s="286"/>
      <c r="HM92" s="300">
        <v>45646</v>
      </c>
      <c r="HN92" s="300">
        <v>45646</v>
      </c>
      <c r="HO92" s="300" t="e">
        <v>#N/A</v>
      </c>
      <c r="HP92" s="300"/>
      <c r="HQ92" s="301">
        <v>45734</v>
      </c>
      <c r="HR9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2" s="300">
        <v>45653</v>
      </c>
      <c r="HT92" s="300"/>
      <c r="HU92" s="300">
        <v>45653</v>
      </c>
      <c r="HV92" s="497"/>
      <c r="HW92" s="300">
        <v>45745</v>
      </c>
      <c r="HX9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2" s="42"/>
      <c r="HZ92" s="322"/>
      <c r="IA92" s="306"/>
      <c r="IC92" s="585">
        <f>IFERROR(ROUND((Table1[[#This Row],[PLAN TC
finish]]-Table1[[#This Row],[PLAN MC-0
start]])/30,2),"")</f>
        <v>2.4</v>
      </c>
      <c r="ID92">
        <f>DATEDIF(Table1[[#This Row],[PLAN MC-0
start]],Table1[[#This Row],[PLAN TC
finish]],"m")</f>
        <v>2</v>
      </c>
    </row>
    <row r="93" spans="2:238" s="4" customFormat="1" ht="15" customHeight="1" x14ac:dyDescent="0.25">
      <c r="B93" s="281">
        <f>SUBTOTAL(3,$D$5:D93)</f>
        <v>89</v>
      </c>
      <c r="C93" s="318">
        <v>89</v>
      </c>
      <c r="D93" s="285" t="s">
        <v>673</v>
      </c>
      <c r="E93" s="285" t="s">
        <v>701</v>
      </c>
      <c r="F93" s="285" t="s">
        <v>702</v>
      </c>
      <c r="G93" s="319">
        <v>45752</v>
      </c>
      <c r="H93" s="284" t="s">
        <v>247</v>
      </c>
      <c r="I93" s="285" t="s">
        <v>278</v>
      </c>
      <c r="J93" s="285"/>
      <c r="K93" s="308" t="s">
        <v>676</v>
      </c>
      <c r="L93" s="286" t="s">
        <v>250</v>
      </c>
      <c r="M93" s="286" t="s">
        <v>269</v>
      </c>
      <c r="N93" s="94">
        <v>94</v>
      </c>
      <c r="O93" s="31" t="s">
        <v>252</v>
      </c>
      <c r="P9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3" s="82" t="e">
        <v>#N/A</v>
      </c>
      <c r="S93" s="82">
        <v>1</v>
      </c>
      <c r="T93" s="35">
        <f>Table1[[#This Row],[Progres Total Aktual
(%)]]</f>
        <v>1</v>
      </c>
      <c r="U93" s="106">
        <f>Table1[[#This Row],[Progres Aktual
(%)]]-Table1[[#This Row],[Target Progres
(%)]]</f>
        <v>0</v>
      </c>
      <c r="V93" s="320">
        <f>Table1[[#This Row],["Volume
BA MC-0"]]</f>
        <v>103</v>
      </c>
      <c r="W93" s="321">
        <f>Table1[[#This Row],[Total Panjang Pipa Aktual
(Sum-&gt;)3]]</f>
        <v>103</v>
      </c>
      <c r="X93" s="42"/>
      <c r="Y93" s="62" t="s">
        <v>703</v>
      </c>
      <c r="Z93" s="62">
        <v>200930786</v>
      </c>
      <c r="AA93" s="62">
        <f>ROUND((Table1[[#This Row],[Nilai RAB Jaringan
(Exclude Ppn)]]-Table1[[#This Row],[RAB Perizinan]])*1.11+Table1[[#This Row],[RAB Perizinan]],0)</f>
        <v>0</v>
      </c>
      <c r="AB93" s="290">
        <f>SUM(Table1[[#This Row],[RAB Kegiatan Umum]:[RAB Perizinan]])</f>
        <v>0</v>
      </c>
      <c r="AC93" s="290"/>
      <c r="AD93" s="290"/>
      <c r="AE93" s="290"/>
      <c r="AF93" s="290"/>
      <c r="AG93" s="290">
        <v>12297890</v>
      </c>
      <c r="AH93" s="35" t="e">
        <f>SUM(Table1[[#This Row],[Bobot Keg Umum]:[Bobot Perizinan]])</f>
        <v>#DIV/0!</v>
      </c>
      <c r="AI93" s="35" t="e">
        <f>Table1[[#This Row],[RAB Kegiatan Umum]]/Table1[[#This Row],[Nilai RAB Jaringan
(Exclude Ppn)]]</f>
        <v>#DIV/0!</v>
      </c>
      <c r="AJ93" s="35" t="e">
        <f>Table1[[#This Row],[RAB Pemasangan]]/Table1[[#This Row],[Nilai RAB Jaringan
(Exclude Ppn)]]</f>
        <v>#DIV/0!</v>
      </c>
      <c r="AK93" s="35" t="e">
        <f>Table1[[#This Row],[RAB Pengadaan]]/Table1[[#This Row],[Nilai RAB Jaringan
(Exclude Ppn)]]</f>
        <v>#DIV/0!</v>
      </c>
      <c r="AL93" s="35" t="e">
        <f>Table1[[#This Row],[RAB Perizinan]]/Table1[[#This Row],[Nilai RAB Jaringan
(Exclude Ppn)]]</f>
        <v>#DIV/0!</v>
      </c>
      <c r="AM93" s="42"/>
      <c r="AN93" s="256">
        <v>103</v>
      </c>
      <c r="AO93" s="256">
        <f>SUM(Table1[[#This Row],[Pipa 63 mm]:[Pipa 1,800 mm]])</f>
        <v>0</v>
      </c>
      <c r="AP93" s="256"/>
      <c r="AQ93" s="256"/>
      <c r="AR93" s="256"/>
      <c r="AS93" s="256"/>
      <c r="AT93" s="256"/>
      <c r="AU93" s="256"/>
      <c r="AV93" s="256"/>
      <c r="AW93" s="256"/>
      <c r="AX93" s="256"/>
      <c r="AY93" s="256"/>
      <c r="AZ93" s="256"/>
      <c r="BA93" s="256"/>
      <c r="BB93" s="256"/>
      <c r="BC93" s="256"/>
      <c r="BD93" s="256"/>
      <c r="BE93" s="256"/>
      <c r="BF93" s="256"/>
      <c r="BG93" s="256"/>
      <c r="BH93" s="256"/>
      <c r="BI93" s="256"/>
      <c r="BJ93" s="36">
        <f>SUM(Table1[[#This Row],[Pipa 63 mm2]:[Pipa 1,800 mm21]])</f>
        <v>103</v>
      </c>
      <c r="BK93" s="32"/>
      <c r="BL93" s="32">
        <v>103</v>
      </c>
      <c r="BM93" s="32"/>
      <c r="BN93" s="32"/>
      <c r="BO93" s="32"/>
      <c r="BP93" s="32"/>
      <c r="BQ93" s="32"/>
      <c r="BR93" s="32"/>
      <c r="BS93" s="32"/>
      <c r="BT93" s="32"/>
      <c r="BU93" s="32"/>
      <c r="BV93" s="32"/>
      <c r="BW93" s="32"/>
      <c r="BX93" s="32"/>
      <c r="BY93" s="32"/>
      <c r="BZ93" s="32"/>
      <c r="CA93" s="32"/>
      <c r="CB93" s="32"/>
      <c r="CC93" s="32"/>
      <c r="CD93" s="32"/>
      <c r="CE93" s="32">
        <v>0</v>
      </c>
      <c r="CF93" s="32"/>
      <c r="CG93" s="32"/>
      <c r="CH93" s="32"/>
      <c r="CI93" s="32">
        <f t="shared" si="6"/>
        <v>0</v>
      </c>
      <c r="CJ93" s="60">
        <f>IF((Table1[[#This Row],["Volume
BA MC-0"]]-Table1[[#This Row],[Total Panjang Pipa Aktual
(Sum-&gt;)3]]-Table1[[#This Row],[Total Volume
tidak dapat dipasang]])&gt;=0,Table1[[#This Row],["Volume
BA MC-0"]]-Table1[[#This Row],[Total Panjang Pipa Aktual
(Sum-&gt;)3]]-Table1[[#This Row],[Total Volume
tidak dapat dipasang]],0)</f>
        <v>0</v>
      </c>
      <c r="CK93" s="42"/>
      <c r="CL93" s="113"/>
      <c r="CM93" s="35"/>
      <c r="CN93" s="113"/>
      <c r="CO93" s="113"/>
      <c r="CP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3" s="61">
        <f>IFERROR(Table1[[#This Row],[Progres Keg. Umum
(%)]]*Table1[[#This Row],[Nilai RAB Jaringan
(file pa aji)]],0)</f>
        <v>0</v>
      </c>
      <c r="CR93" s="61">
        <f>IFERROR(Table1[[#This Row],[Progres MOS
(%)]]*Table1[[#This Row],[Nilai RAB Jaringan
(file pa aji)]],0)</f>
        <v>0</v>
      </c>
      <c r="CS93" s="61">
        <f>IFERROR(Table1[[#This Row],[Progres Pemasangan
(%)]]*Table1[[#This Row],[Nilai RAB Jaringan
(file pa aji)]],0)</f>
        <v>0</v>
      </c>
      <c r="CT93" s="61">
        <f>IFERROR(Table1[[#This Row],[Progres Perizinan
(%)]]*Table1[[#This Row],[Nilai RAB Jaringan
(file pa aji)]],0)</f>
        <v>0</v>
      </c>
      <c r="CU93" s="789">
        <v>195349512</v>
      </c>
      <c r="CV93" s="299">
        <v>195349512</v>
      </c>
      <c r="CW93" s="552">
        <v>195349512</v>
      </c>
      <c r="CX93" s="789">
        <f>_xlfn.XLOOKUP(Table1[[#This Row],[Kode Program]],'[1]Breakdown VOWD Greenfield'!$E:$E,'[1]Breakdown VOWD Greenfield'!$AT:$AT)</f>
        <v>195349512</v>
      </c>
      <c r="CY93" s="42"/>
      <c r="CZ93" s="300">
        <v>45439</v>
      </c>
      <c r="DA93" s="300">
        <v>45466</v>
      </c>
      <c r="DB93" s="301"/>
      <c r="DC93" s="286"/>
      <c r="DD93" s="62"/>
      <c r="DE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3" s="301"/>
      <c r="DG93" s="286"/>
      <c r="DH93" s="62"/>
      <c r="DI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3" s="300">
        <v>45467</v>
      </c>
      <c r="DK93" s="300">
        <v>45508</v>
      </c>
      <c r="DL93" s="301">
        <v>45439</v>
      </c>
      <c r="DM93" s="395" t="s">
        <v>704</v>
      </c>
      <c r="DN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3" s="301">
        <v>45447</v>
      </c>
      <c r="DP93" s="396" t="s">
        <v>695</v>
      </c>
      <c r="DQ93" s="308" t="s">
        <v>297</v>
      </c>
      <c r="DR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3" s="300">
        <v>45467</v>
      </c>
      <c r="DT93" s="300" t="e">
        <v>#N/A</v>
      </c>
      <c r="DU93" s="300">
        <v>45508</v>
      </c>
      <c r="DV93" s="300" t="e">
        <v>#N/A</v>
      </c>
      <c r="DW93" s="301"/>
      <c r="DX93" s="286"/>
      <c r="DY93" s="304"/>
      <c r="DZ93" s="304"/>
      <c r="EA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3" s="301"/>
      <c r="EC93" s="302"/>
      <c r="ED93" s="302"/>
      <c r="EE93" s="300"/>
      <c r="EF93" s="35">
        <v>1</v>
      </c>
      <c r="EG93" s="307">
        <v>1</v>
      </c>
      <c r="EH93" s="286" t="str">
        <f>IF(Table1[[#This Row],[PO Material Aktual 
(%)]]&gt;=100%,"Selesai PO = 100%",IF(Table1[[#This Row],[PO Material Aktual 
(%)]]&gt;=50%,"Proses PO &gt; 100%",IF(Table1[[#This Row],[PO Material Aktual 
(%)]]&gt;0%,"Proses PO &gt; 50%",IF(Table1[[#This Row],[PO Material Aktual 
(%)]]=0,"Belum PO = 0%"))))</f>
        <v>Selesai PO = 100%</v>
      </c>
      <c r="EI9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3" s="300">
        <v>45509</v>
      </c>
      <c r="EK93" s="300" t="e">
        <v>#N/A</v>
      </c>
      <c r="EL93" s="300">
        <v>45599</v>
      </c>
      <c r="EM93" s="300" t="e">
        <v>#N/A</v>
      </c>
      <c r="EN93" s="301">
        <v>46139</v>
      </c>
      <c r="EO93" s="302"/>
      <c r="EP93" s="302"/>
      <c r="EQ93" s="82">
        <v>1</v>
      </c>
      <c r="ER93" s="82">
        <v>1</v>
      </c>
      <c r="ES93" s="286" t="str">
        <f>IF(Table1[[#This Row],[Progres MOS]]&gt;=100%,"Selesai MOS = 100%",IF(Table1[[#This Row],[Progres MOS]]&gt;=50%,"Proses MOS &gt; 100%",IF(Table1[[#This Row],[Progres MOS]]&gt;0%,"Proses MOS &gt; 50%",IF(Table1[[#This Row],[Progres MOS]]=0,"Belum MOS = 0%"))))</f>
        <v>Selesai MOS = 100%</v>
      </c>
      <c r="ET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3" s="42"/>
      <c r="EV93" s="300">
        <v>45467</v>
      </c>
      <c r="EW93" s="300" t="e">
        <v>#N/A</v>
      </c>
      <c r="EX93" s="300">
        <v>45564</v>
      </c>
      <c r="EY93" s="300" t="e">
        <v>#N/A</v>
      </c>
      <c r="EZ93" s="322" t="s">
        <v>298</v>
      </c>
      <c r="FA93" s="306" t="s">
        <v>259</v>
      </c>
      <c r="FB93" s="300" t="s">
        <v>260</v>
      </c>
      <c r="FC93" s="300">
        <v>45799</v>
      </c>
      <c r="FD93" s="300" t="s">
        <v>260</v>
      </c>
      <c r="FE93" s="300">
        <v>45875</v>
      </c>
      <c r="FF93" s="300">
        <v>45929</v>
      </c>
      <c r="FG93" s="300" t="s">
        <v>260</v>
      </c>
      <c r="FH93" s="300" t="s">
        <v>260</v>
      </c>
      <c r="FI93" s="300">
        <v>46021</v>
      </c>
      <c r="FJ93" s="300" t="s">
        <v>260</v>
      </c>
      <c r="FK93" s="300">
        <v>46087</v>
      </c>
      <c r="FL93" s="306" t="s">
        <v>298</v>
      </c>
      <c r="FM93" s="306">
        <v>45799</v>
      </c>
      <c r="FN93" s="284">
        <f>IF(Table1[[#This Row],[Tanggal Pengajuan Dokumen]]="","",Table1[[#This Row],[PLAN PERMIT
start]]-Table1[[#This Row],[Tanggal Pengajuan Dokumen]])</f>
        <v>-332</v>
      </c>
      <c r="FO93" s="306"/>
      <c r="FP93" s="286"/>
      <c r="FQ93" s="308"/>
      <c r="FR93" s="322"/>
      <c r="FS93" s="308" t="str">
        <f t="shared" si="7"/>
        <v>Sudah Terbit</v>
      </c>
      <c r="FT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3" s="314">
        <f ca="1">IF(Table1[[#This Row],[Status Izin]]="Selesai",Table1[[#This Row],[PLAN PERMIT
finish]]-Table1[[#This Row],[Tanggal Terbit/ Target Izin Terbit]],ROUNDUP(Table1[[#This Row],[PLAN PERMIT
finish]]-NOW(),0))</f>
        <v>45564</v>
      </c>
      <c r="FV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3" s="314"/>
      <c r="FX93" s="42"/>
      <c r="FY93" s="310"/>
      <c r="FZ93" s="311"/>
      <c r="GA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3" s="300">
        <v>45538</v>
      </c>
      <c r="GC93" s="322">
        <v>45443</v>
      </c>
      <c r="GD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3" s="300">
        <v>45545</v>
      </c>
      <c r="GF93" s="322">
        <v>45443</v>
      </c>
      <c r="GG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3" s="300">
        <v>45551</v>
      </c>
      <c r="GI93" s="300">
        <v>45557</v>
      </c>
      <c r="GJ93" s="322">
        <v>45448</v>
      </c>
      <c r="GK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3" s="300">
        <v>45565</v>
      </c>
      <c r="GM93" s="300" t="e">
        <v>#N/A</v>
      </c>
      <c r="GN93" s="300">
        <v>45641</v>
      </c>
      <c r="GO93" s="300" t="e">
        <v>#N/A</v>
      </c>
      <c r="GP93" s="286"/>
      <c r="GQ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3" s="300" t="s">
        <v>261</v>
      </c>
      <c r="GS93" s="391" t="s">
        <v>261</v>
      </c>
      <c r="GT93" s="397">
        <v>45538</v>
      </c>
      <c r="GU93" s="393" t="str">
        <f>IF(Table1[[#This Row],[Hydro Tes Actual
(tanggal)]]&lt;&gt;"","Sudah","Belum")</f>
        <v>Sudah</v>
      </c>
      <c r="GV93" s="300" t="s">
        <v>261</v>
      </c>
      <c r="GW93" s="300" t="s">
        <v>261</v>
      </c>
      <c r="GX93" s="301"/>
      <c r="GY93" s="314" t="str">
        <f>IF(Table1[[#This Row],[Interkoneksi Actual
(tanggal)]]&lt;&gt;"","Sudah","Belum")</f>
        <v>Belum</v>
      </c>
      <c r="GZ93" s="300" t="s">
        <v>261</v>
      </c>
      <c r="HA93" s="391" t="s">
        <v>261</v>
      </c>
      <c r="HB93" s="394">
        <v>45541</v>
      </c>
      <c r="HC93" s="314" t="str">
        <f>IF(Table1[[#This Row],[Flushing Actual
(tanggal)]]&lt;&gt;"","Sudah","Belum")</f>
        <v>Sudah</v>
      </c>
      <c r="HD93" s="300">
        <v>45621</v>
      </c>
      <c r="HE93" s="300" t="e">
        <v>#N/A</v>
      </c>
      <c r="HF93" s="300">
        <v>45623</v>
      </c>
      <c r="HG93" s="322">
        <v>45560</v>
      </c>
      <c r="HH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3" s="300" t="s">
        <v>261</v>
      </c>
      <c r="HJ93" s="300" t="s">
        <v>261</v>
      </c>
      <c r="HK93" s="301"/>
      <c r="HL93" s="286"/>
      <c r="HM93" s="300">
        <v>45646</v>
      </c>
      <c r="HN93" s="300">
        <v>45646</v>
      </c>
      <c r="HO93" s="300" t="e">
        <v>#N/A</v>
      </c>
      <c r="HP93" s="300"/>
      <c r="HQ93" s="301">
        <v>45734</v>
      </c>
      <c r="HR9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3" s="300">
        <v>45653</v>
      </c>
      <c r="HT93" s="300"/>
      <c r="HU93" s="300">
        <v>45653</v>
      </c>
      <c r="HV93" s="497"/>
      <c r="HW93" s="300">
        <v>45745</v>
      </c>
      <c r="HX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3" s="42"/>
      <c r="HZ93" s="322"/>
      <c r="IA93" s="306"/>
      <c r="IC93" s="585">
        <f>IFERROR(ROUND((Table1[[#This Row],[PLAN TC
finish]]-Table1[[#This Row],[PLAN MC-0
start]])/30,2),"")</f>
        <v>2.4</v>
      </c>
      <c r="ID93">
        <f>DATEDIF(Table1[[#This Row],[PLAN MC-0
start]],Table1[[#This Row],[PLAN TC
finish]],"m")</f>
        <v>2</v>
      </c>
    </row>
    <row r="94" spans="2:238" s="4" customFormat="1" ht="15" customHeight="1" x14ac:dyDescent="0.25">
      <c r="B94" s="281">
        <f>SUBTOTAL(3,$D$5:D94)</f>
        <v>90</v>
      </c>
      <c r="C94" s="318">
        <v>90</v>
      </c>
      <c r="D94" s="285" t="s">
        <v>673</v>
      </c>
      <c r="E94" s="285" t="s">
        <v>705</v>
      </c>
      <c r="F94" s="285" t="s">
        <v>706</v>
      </c>
      <c r="G94" s="319">
        <v>45752</v>
      </c>
      <c r="H94" s="284" t="s">
        <v>247</v>
      </c>
      <c r="I94" s="285" t="s">
        <v>278</v>
      </c>
      <c r="J94" s="285"/>
      <c r="K94" s="308" t="s">
        <v>676</v>
      </c>
      <c r="L94" s="286" t="s">
        <v>250</v>
      </c>
      <c r="M94" s="286" t="s">
        <v>269</v>
      </c>
      <c r="N94" s="94">
        <v>232</v>
      </c>
      <c r="O94" s="31" t="s">
        <v>252</v>
      </c>
      <c r="P9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4" s="82" t="e">
        <v>#N/A</v>
      </c>
      <c r="S94" s="82">
        <v>1</v>
      </c>
      <c r="T94" s="35">
        <f>Table1[[#This Row],[Progres Total Aktual
(%)]]</f>
        <v>1</v>
      </c>
      <c r="U94" s="106">
        <f>Table1[[#This Row],[Progres Aktual
(%)]]-Table1[[#This Row],[Target Progres
(%)]]</f>
        <v>0</v>
      </c>
      <c r="V94" s="320">
        <f>Table1[[#This Row],["Volume
BA MC-0"]]</f>
        <v>262</v>
      </c>
      <c r="W94" s="321">
        <f>Table1[[#This Row],[Total Panjang Pipa Aktual
(Sum-&gt;)3]]</f>
        <v>262</v>
      </c>
      <c r="X94" s="42"/>
      <c r="Y94" s="62" t="s">
        <v>707</v>
      </c>
      <c r="Z94" s="62">
        <v>417909982</v>
      </c>
      <c r="AA94" s="62">
        <f>ROUND((Table1[[#This Row],[Nilai RAB Jaringan
(Exclude Ppn)]]-Table1[[#This Row],[RAB Perizinan]])*1.11+Table1[[#This Row],[RAB Perizinan]],0)</f>
        <v>0</v>
      </c>
      <c r="AB94" s="290">
        <f>SUM(Table1[[#This Row],[RAB Kegiatan Umum]:[RAB Perizinan]])</f>
        <v>0</v>
      </c>
      <c r="AC94" s="290"/>
      <c r="AD94" s="290"/>
      <c r="AE94" s="290"/>
      <c r="AF94" s="290"/>
      <c r="AG94" s="290">
        <v>28695076</v>
      </c>
      <c r="AH94" s="35" t="e">
        <f>SUM(Table1[[#This Row],[Bobot Keg Umum]:[Bobot Perizinan]])</f>
        <v>#DIV/0!</v>
      </c>
      <c r="AI94" s="35" t="e">
        <f>Table1[[#This Row],[RAB Kegiatan Umum]]/Table1[[#This Row],[Nilai RAB Jaringan
(Exclude Ppn)]]</f>
        <v>#DIV/0!</v>
      </c>
      <c r="AJ94" s="35" t="e">
        <f>Table1[[#This Row],[RAB Pemasangan]]/Table1[[#This Row],[Nilai RAB Jaringan
(Exclude Ppn)]]</f>
        <v>#DIV/0!</v>
      </c>
      <c r="AK94" s="35" t="e">
        <f>Table1[[#This Row],[RAB Pengadaan]]/Table1[[#This Row],[Nilai RAB Jaringan
(Exclude Ppn)]]</f>
        <v>#DIV/0!</v>
      </c>
      <c r="AL94" s="35" t="e">
        <f>Table1[[#This Row],[RAB Perizinan]]/Table1[[#This Row],[Nilai RAB Jaringan
(Exclude Ppn)]]</f>
        <v>#DIV/0!</v>
      </c>
      <c r="AM94" s="42"/>
      <c r="AN94" s="256">
        <v>262</v>
      </c>
      <c r="AO94" s="256">
        <f>SUM(Table1[[#This Row],[Pipa 63 mm]:[Pipa 1,800 mm]])</f>
        <v>0</v>
      </c>
      <c r="AP94" s="256"/>
      <c r="AQ94" s="256"/>
      <c r="AR94" s="256"/>
      <c r="AS94" s="256"/>
      <c r="AT94" s="256"/>
      <c r="AU94" s="256"/>
      <c r="AV94" s="256"/>
      <c r="AW94" s="256"/>
      <c r="AX94" s="256"/>
      <c r="AY94" s="256"/>
      <c r="AZ94" s="256"/>
      <c r="BA94" s="256"/>
      <c r="BB94" s="256"/>
      <c r="BC94" s="256"/>
      <c r="BD94" s="256"/>
      <c r="BE94" s="256"/>
      <c r="BF94" s="256"/>
      <c r="BG94" s="256"/>
      <c r="BH94" s="256"/>
      <c r="BI94" s="256"/>
      <c r="BJ94" s="36">
        <f>SUM(Table1[[#This Row],[Pipa 63 mm2]:[Pipa 1,800 mm21]])</f>
        <v>262</v>
      </c>
      <c r="BK94" s="32"/>
      <c r="BL94" s="32">
        <v>262</v>
      </c>
      <c r="BM94" s="32"/>
      <c r="BN94" s="32"/>
      <c r="BO94" s="32"/>
      <c r="BP94" s="32"/>
      <c r="BQ94" s="32"/>
      <c r="BR94" s="32"/>
      <c r="BS94" s="32"/>
      <c r="BT94" s="32"/>
      <c r="BU94" s="32"/>
      <c r="BV94" s="32"/>
      <c r="BW94" s="32"/>
      <c r="BX94" s="32"/>
      <c r="BY94" s="32"/>
      <c r="BZ94" s="32"/>
      <c r="CA94" s="32"/>
      <c r="CB94" s="32"/>
      <c r="CC94" s="32"/>
      <c r="CD94" s="32"/>
      <c r="CE94" s="32">
        <v>0</v>
      </c>
      <c r="CF94" s="32"/>
      <c r="CG94" s="32"/>
      <c r="CH94" s="32"/>
      <c r="CI94" s="32">
        <f t="shared" si="6"/>
        <v>0</v>
      </c>
      <c r="CJ94" s="60">
        <f>IF((Table1[[#This Row],["Volume
BA MC-0"]]-Table1[[#This Row],[Total Panjang Pipa Aktual
(Sum-&gt;)3]]-Table1[[#This Row],[Total Volume
tidak dapat dipasang]])&gt;=0,Table1[[#This Row],["Volume
BA MC-0"]]-Table1[[#This Row],[Total Panjang Pipa Aktual
(Sum-&gt;)3]]-Table1[[#This Row],[Total Volume
tidak dapat dipasang]],0)</f>
        <v>0</v>
      </c>
      <c r="CK94" s="42"/>
      <c r="CL94" s="113"/>
      <c r="CM94" s="35"/>
      <c r="CN94" s="113"/>
      <c r="CO94" s="113"/>
      <c r="CP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4" s="61">
        <f>IFERROR(Table1[[#This Row],[Progres Keg. Umum
(%)]]*Table1[[#This Row],[Nilai RAB Jaringan
(file pa aji)]],0)</f>
        <v>0</v>
      </c>
      <c r="CR94" s="61">
        <f>IFERROR(Table1[[#This Row],[Progres MOS
(%)]]*Table1[[#This Row],[Nilai RAB Jaringan
(file pa aji)]],0)</f>
        <v>0</v>
      </c>
      <c r="CS94" s="61">
        <f>IFERROR(Table1[[#This Row],[Progres Pemasangan
(%)]]*Table1[[#This Row],[Nilai RAB Jaringan
(file pa aji)]],0)</f>
        <v>0</v>
      </c>
      <c r="CT94" s="61">
        <f>IFERROR(Table1[[#This Row],[Progres Perizinan
(%)]]*Table1[[#This Row],[Nilai RAB Jaringan
(file pa aji)]],0)</f>
        <v>0</v>
      </c>
      <c r="CU94" s="789">
        <v>471968087</v>
      </c>
      <c r="CV94" s="299">
        <v>471968087</v>
      </c>
      <c r="CW94" s="552">
        <v>471968087</v>
      </c>
      <c r="CX94" s="789">
        <f>_xlfn.XLOOKUP(Table1[[#This Row],[Kode Program]],'[1]Breakdown VOWD Greenfield'!$E:$E,'[1]Breakdown VOWD Greenfield'!$AT:$AT)</f>
        <v>471968087</v>
      </c>
      <c r="CY94" s="42"/>
      <c r="CZ94" s="300">
        <v>45439</v>
      </c>
      <c r="DA94" s="300">
        <v>45466</v>
      </c>
      <c r="DB94" s="301"/>
      <c r="DC94" s="286"/>
      <c r="DD94" s="62"/>
      <c r="DE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4" s="301"/>
      <c r="DG94" s="286"/>
      <c r="DH94" s="62"/>
      <c r="DI9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4" s="300">
        <v>45467</v>
      </c>
      <c r="DK94" s="300">
        <v>45508</v>
      </c>
      <c r="DL94" s="301">
        <v>45439</v>
      </c>
      <c r="DM94" s="395" t="s">
        <v>708</v>
      </c>
      <c r="DN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4" s="301">
        <v>45447</v>
      </c>
      <c r="DP94" s="396" t="s">
        <v>695</v>
      </c>
      <c r="DQ94" s="308" t="s">
        <v>297</v>
      </c>
      <c r="DR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4" s="300">
        <v>45467</v>
      </c>
      <c r="DT94" s="300" t="e">
        <v>#N/A</v>
      </c>
      <c r="DU94" s="300">
        <v>45508</v>
      </c>
      <c r="DV94" s="300" t="e">
        <v>#N/A</v>
      </c>
      <c r="DW94" s="301"/>
      <c r="DX94" s="286"/>
      <c r="DY94" s="304"/>
      <c r="DZ94" s="304"/>
      <c r="EA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4" s="301"/>
      <c r="EC94" s="302"/>
      <c r="ED94" s="302"/>
      <c r="EE94" s="300"/>
      <c r="EF94" s="35">
        <v>1</v>
      </c>
      <c r="EG94" s="307">
        <v>1</v>
      </c>
      <c r="EH94" s="286" t="str">
        <f>IF(Table1[[#This Row],[PO Material Aktual 
(%)]]&gt;=100%,"Selesai PO = 100%",IF(Table1[[#This Row],[PO Material Aktual 
(%)]]&gt;=50%,"Proses PO &gt; 100%",IF(Table1[[#This Row],[PO Material Aktual 
(%)]]&gt;0%,"Proses PO &gt; 50%",IF(Table1[[#This Row],[PO Material Aktual 
(%)]]=0,"Belum PO = 0%"))))</f>
        <v>Selesai PO = 100%</v>
      </c>
      <c r="EI9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4" s="300">
        <v>45509</v>
      </c>
      <c r="EK94" s="300" t="e">
        <v>#N/A</v>
      </c>
      <c r="EL94" s="300">
        <v>45599</v>
      </c>
      <c r="EM94" s="300" t="e">
        <v>#N/A</v>
      </c>
      <c r="EN94" s="301">
        <v>46139</v>
      </c>
      <c r="EO94" s="302"/>
      <c r="EP94" s="302"/>
      <c r="EQ94" s="82">
        <v>1</v>
      </c>
      <c r="ER94" s="82">
        <v>1</v>
      </c>
      <c r="ES94" s="286" t="str">
        <f>IF(Table1[[#This Row],[Progres MOS]]&gt;=100%,"Selesai MOS = 100%",IF(Table1[[#This Row],[Progres MOS]]&gt;=50%,"Proses MOS &gt; 100%",IF(Table1[[#This Row],[Progres MOS]]&gt;0%,"Proses MOS &gt; 50%",IF(Table1[[#This Row],[Progres MOS]]=0,"Belum MOS = 0%"))))</f>
        <v>Selesai MOS = 100%</v>
      </c>
      <c r="ET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4" s="42"/>
      <c r="EV94" s="300">
        <v>45467</v>
      </c>
      <c r="EW94" s="300" t="e">
        <v>#N/A</v>
      </c>
      <c r="EX94" s="300">
        <v>45564</v>
      </c>
      <c r="EY94" s="300" t="e">
        <v>#N/A</v>
      </c>
      <c r="EZ94" s="322" t="s">
        <v>298</v>
      </c>
      <c r="FA94" s="306" t="s">
        <v>259</v>
      </c>
      <c r="FB94" s="300" t="s">
        <v>260</v>
      </c>
      <c r="FC94" s="300">
        <v>45799</v>
      </c>
      <c r="FD94" s="300" t="s">
        <v>260</v>
      </c>
      <c r="FE94" s="300">
        <v>45875</v>
      </c>
      <c r="FF94" s="300">
        <v>45929</v>
      </c>
      <c r="FG94" s="300" t="s">
        <v>260</v>
      </c>
      <c r="FH94" s="300" t="s">
        <v>260</v>
      </c>
      <c r="FI94" s="300">
        <v>46021</v>
      </c>
      <c r="FJ94" s="300" t="s">
        <v>260</v>
      </c>
      <c r="FK94" s="300">
        <v>46087</v>
      </c>
      <c r="FL94" s="306" t="s">
        <v>298</v>
      </c>
      <c r="FM94" s="306">
        <v>45799</v>
      </c>
      <c r="FN94" s="284">
        <f>IF(Table1[[#This Row],[Tanggal Pengajuan Dokumen]]="","",Table1[[#This Row],[PLAN PERMIT
start]]-Table1[[#This Row],[Tanggal Pengajuan Dokumen]])</f>
        <v>-332</v>
      </c>
      <c r="FO94" s="306"/>
      <c r="FP94" s="286"/>
      <c r="FQ94" s="308"/>
      <c r="FR94" s="322"/>
      <c r="FS94" s="308" t="str">
        <f t="shared" si="7"/>
        <v>Sudah Terbit</v>
      </c>
      <c r="FT9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4" s="314">
        <f ca="1">IF(Table1[[#This Row],[Status Izin]]="Selesai",Table1[[#This Row],[PLAN PERMIT
finish]]-Table1[[#This Row],[Tanggal Terbit/ Target Izin Terbit]],ROUNDUP(Table1[[#This Row],[PLAN PERMIT
finish]]-NOW(),0))</f>
        <v>45564</v>
      </c>
      <c r="FV9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4" s="314"/>
      <c r="FX94" s="42"/>
      <c r="FY94" s="310"/>
      <c r="FZ94" s="311"/>
      <c r="GA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4" s="300">
        <v>45538</v>
      </c>
      <c r="GC94" s="322">
        <v>45443</v>
      </c>
      <c r="GD9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4" s="300">
        <v>45545</v>
      </c>
      <c r="GF94" s="322">
        <v>45443</v>
      </c>
      <c r="GG9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4" s="300">
        <v>45551</v>
      </c>
      <c r="GI94" s="300">
        <v>45557</v>
      </c>
      <c r="GJ94" s="322">
        <v>45448</v>
      </c>
      <c r="GK9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4" s="300">
        <v>45565</v>
      </c>
      <c r="GM94" s="300" t="e">
        <v>#N/A</v>
      </c>
      <c r="GN94" s="300">
        <v>45641</v>
      </c>
      <c r="GO94" s="300" t="e">
        <v>#N/A</v>
      </c>
      <c r="GP94" s="286"/>
      <c r="GQ9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4" s="300" t="s">
        <v>261</v>
      </c>
      <c r="GS94" s="391" t="s">
        <v>261</v>
      </c>
      <c r="GT94" s="397">
        <v>45513</v>
      </c>
      <c r="GU94" s="393" t="str">
        <f>IF(Table1[[#This Row],[Hydro Tes Actual
(tanggal)]]&lt;&gt;"","Sudah","Belum")</f>
        <v>Sudah</v>
      </c>
      <c r="GV94" s="300" t="s">
        <v>261</v>
      </c>
      <c r="GW94" s="300" t="s">
        <v>261</v>
      </c>
      <c r="GX94" s="301"/>
      <c r="GY94" s="314" t="str">
        <f>IF(Table1[[#This Row],[Interkoneksi Actual
(tanggal)]]&lt;&gt;"","Sudah","Belum")</f>
        <v>Belum</v>
      </c>
      <c r="GZ94" s="300" t="s">
        <v>261</v>
      </c>
      <c r="HA94" s="391" t="s">
        <v>261</v>
      </c>
      <c r="HB94" s="394">
        <v>45540</v>
      </c>
      <c r="HC94" s="314" t="str">
        <f>IF(Table1[[#This Row],[Flushing Actual
(tanggal)]]&lt;&gt;"","Sudah","Belum")</f>
        <v>Sudah</v>
      </c>
      <c r="HD94" s="300">
        <v>45621</v>
      </c>
      <c r="HE94" s="300" t="e">
        <v>#N/A</v>
      </c>
      <c r="HF94" s="300">
        <v>45623</v>
      </c>
      <c r="HG94" s="322">
        <v>45560</v>
      </c>
      <c r="HH9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4" s="300" t="s">
        <v>261</v>
      </c>
      <c r="HJ94" s="300" t="s">
        <v>261</v>
      </c>
      <c r="HK94" s="301"/>
      <c r="HL94" s="286"/>
      <c r="HM94" s="300">
        <v>45646</v>
      </c>
      <c r="HN94" s="300">
        <v>45646</v>
      </c>
      <c r="HO94" s="300" t="e">
        <v>#N/A</v>
      </c>
      <c r="HP94" s="300"/>
      <c r="HQ94" s="301">
        <v>45734</v>
      </c>
      <c r="HR9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4" s="300">
        <v>45653</v>
      </c>
      <c r="HT94" s="300"/>
      <c r="HU94" s="300">
        <v>45653</v>
      </c>
      <c r="HV94" s="497"/>
      <c r="HW94" s="300">
        <v>45745</v>
      </c>
      <c r="HX9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4" s="42"/>
      <c r="HZ94" s="322"/>
      <c r="IA94" s="306"/>
      <c r="IC94" s="585">
        <f>IFERROR(ROUND((Table1[[#This Row],[PLAN TC
finish]]-Table1[[#This Row],[PLAN MC-0
start]])/30,2),"")</f>
        <v>2.4</v>
      </c>
      <c r="ID94">
        <f>DATEDIF(Table1[[#This Row],[PLAN MC-0
start]],Table1[[#This Row],[PLAN TC
finish]],"m")</f>
        <v>2</v>
      </c>
    </row>
    <row r="95" spans="2:238" s="4" customFormat="1" ht="15" customHeight="1" x14ac:dyDescent="0.25">
      <c r="B95" s="281">
        <f>SUBTOTAL(3,$D$5:D95)</f>
        <v>91</v>
      </c>
      <c r="C95" s="318">
        <v>91</v>
      </c>
      <c r="D95" s="285" t="s">
        <v>673</v>
      </c>
      <c r="E95" s="285" t="s">
        <v>709</v>
      </c>
      <c r="F95" s="285" t="s">
        <v>710</v>
      </c>
      <c r="G95" s="319">
        <v>45752</v>
      </c>
      <c r="H95" s="284" t="s">
        <v>247</v>
      </c>
      <c r="I95" s="285" t="s">
        <v>278</v>
      </c>
      <c r="J95" s="285"/>
      <c r="K95" s="308" t="s">
        <v>676</v>
      </c>
      <c r="L95" s="286" t="s">
        <v>250</v>
      </c>
      <c r="M95" s="286" t="s">
        <v>269</v>
      </c>
      <c r="N95" s="94">
        <v>57</v>
      </c>
      <c r="O95" s="31" t="s">
        <v>252</v>
      </c>
      <c r="P9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5" s="82" t="e">
        <v>#N/A</v>
      </c>
      <c r="S95" s="82">
        <v>1</v>
      </c>
      <c r="T95" s="35">
        <f>Table1[[#This Row],[Progres Total Aktual
(%)]]</f>
        <v>1</v>
      </c>
      <c r="U95" s="106">
        <f>Table1[[#This Row],[Progres Aktual
(%)]]-Table1[[#This Row],[Target Progres
(%)]]</f>
        <v>0</v>
      </c>
      <c r="V95" s="320">
        <f>Table1[[#This Row],["Volume
BA MC-0"]]</f>
        <v>57</v>
      </c>
      <c r="W95" s="321">
        <f>Table1[[#This Row],[Total Panjang Pipa Aktual
(Sum-&gt;)3]]</f>
        <v>283</v>
      </c>
      <c r="X95" s="42"/>
      <c r="Y95" s="62" t="s">
        <v>711</v>
      </c>
      <c r="Z95" s="62">
        <v>119133648</v>
      </c>
      <c r="AA95" s="62">
        <f>ROUND((Table1[[#This Row],[Nilai RAB Jaringan
(Exclude Ppn)]]-Table1[[#This Row],[RAB Perizinan]])*1.11+Table1[[#This Row],[RAB Perizinan]],0)</f>
        <v>0</v>
      </c>
      <c r="AB95" s="290">
        <f>SUM(Table1[[#This Row],[RAB Kegiatan Umum]:[RAB Perizinan]])</f>
        <v>0</v>
      </c>
      <c r="AC95" s="290"/>
      <c r="AD95" s="290"/>
      <c r="AE95" s="290"/>
      <c r="AF95" s="290"/>
      <c r="AG95" s="290">
        <v>28695077</v>
      </c>
      <c r="AH95" s="35" t="e">
        <f>SUM(Table1[[#This Row],[Bobot Keg Umum]:[Bobot Perizinan]])</f>
        <v>#DIV/0!</v>
      </c>
      <c r="AI95" s="35" t="e">
        <f>Table1[[#This Row],[RAB Kegiatan Umum]]/Table1[[#This Row],[Nilai RAB Jaringan
(Exclude Ppn)]]</f>
        <v>#DIV/0!</v>
      </c>
      <c r="AJ95" s="35" t="e">
        <f>Table1[[#This Row],[RAB Pemasangan]]/Table1[[#This Row],[Nilai RAB Jaringan
(Exclude Ppn)]]</f>
        <v>#DIV/0!</v>
      </c>
      <c r="AK95" s="35" t="e">
        <f>Table1[[#This Row],[RAB Pengadaan]]/Table1[[#This Row],[Nilai RAB Jaringan
(Exclude Ppn)]]</f>
        <v>#DIV/0!</v>
      </c>
      <c r="AL95" s="35" t="e">
        <f>Table1[[#This Row],[RAB Perizinan]]/Table1[[#This Row],[Nilai RAB Jaringan
(Exclude Ppn)]]</f>
        <v>#DIV/0!</v>
      </c>
      <c r="AM95" s="42"/>
      <c r="AN95" s="256">
        <v>57</v>
      </c>
      <c r="AO95" s="256">
        <f>SUM(Table1[[#This Row],[Pipa 63 mm]:[Pipa 1,800 mm]])</f>
        <v>0</v>
      </c>
      <c r="AP95" s="256"/>
      <c r="AQ95" s="256"/>
      <c r="AR95" s="256"/>
      <c r="AS95" s="256"/>
      <c r="AT95" s="256"/>
      <c r="AU95" s="256"/>
      <c r="AV95" s="256"/>
      <c r="AW95" s="256"/>
      <c r="AX95" s="256"/>
      <c r="AY95" s="256"/>
      <c r="AZ95" s="256"/>
      <c r="BA95" s="256"/>
      <c r="BB95" s="256"/>
      <c r="BC95" s="256"/>
      <c r="BD95" s="256"/>
      <c r="BE95" s="256"/>
      <c r="BF95" s="256"/>
      <c r="BG95" s="256"/>
      <c r="BH95" s="256"/>
      <c r="BI95" s="256"/>
      <c r="BJ95" s="36">
        <f>SUM(Table1[[#This Row],[Pipa 63 mm2]:[Pipa 1,800 mm21]])</f>
        <v>283</v>
      </c>
      <c r="BK95" s="32">
        <v>283</v>
      </c>
      <c r="BL95" s="32"/>
      <c r="BM95" s="32"/>
      <c r="BN95" s="32"/>
      <c r="BO95" s="32"/>
      <c r="BP95" s="32"/>
      <c r="BQ95" s="32"/>
      <c r="BR95" s="32"/>
      <c r="BS95" s="32"/>
      <c r="BT95" s="32"/>
      <c r="BU95" s="32"/>
      <c r="BV95" s="32"/>
      <c r="BW95" s="32"/>
      <c r="BX95" s="32"/>
      <c r="BY95" s="32"/>
      <c r="BZ95" s="32"/>
      <c r="CA95" s="32"/>
      <c r="CB95" s="32"/>
      <c r="CC95" s="32"/>
      <c r="CD95" s="32"/>
      <c r="CE95" s="32">
        <v>0</v>
      </c>
      <c r="CF95" s="32"/>
      <c r="CG95" s="32"/>
      <c r="CH95" s="32"/>
      <c r="CI95" s="32">
        <f t="shared" si="6"/>
        <v>0</v>
      </c>
      <c r="CJ95" s="60">
        <f>IF((Table1[[#This Row],["Volume
BA MC-0"]]-Table1[[#This Row],[Total Panjang Pipa Aktual
(Sum-&gt;)3]]-Table1[[#This Row],[Total Volume
tidak dapat dipasang]])&gt;=0,Table1[[#This Row],["Volume
BA MC-0"]]-Table1[[#This Row],[Total Panjang Pipa Aktual
(Sum-&gt;)3]]-Table1[[#This Row],[Total Volume
tidak dapat dipasang]],0)</f>
        <v>0</v>
      </c>
      <c r="CK95" s="42"/>
      <c r="CL95" s="113"/>
      <c r="CM95" s="35"/>
      <c r="CN95" s="113"/>
      <c r="CO95" s="113"/>
      <c r="CP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5" s="61">
        <f>IFERROR(Table1[[#This Row],[Progres Keg. Umum
(%)]]*Table1[[#This Row],[Nilai RAB Jaringan
(file pa aji)]],0)</f>
        <v>0</v>
      </c>
      <c r="CR95" s="61">
        <f>IFERROR(Table1[[#This Row],[Progres MOS
(%)]]*Table1[[#This Row],[Nilai RAB Jaringan
(file pa aji)]],0)</f>
        <v>0</v>
      </c>
      <c r="CS95" s="61">
        <f>IFERROR(Table1[[#This Row],[Progres Pemasangan
(%)]]*Table1[[#This Row],[Nilai RAB Jaringan
(file pa aji)]],0)</f>
        <v>0</v>
      </c>
      <c r="CT95" s="61">
        <f>IFERROR(Table1[[#This Row],[Progres Perizinan
(%)]]*Table1[[#This Row],[Nilai RAB Jaringan
(file pa aji)]],0)</f>
        <v>0</v>
      </c>
      <c r="CU95" s="789">
        <v>830932740</v>
      </c>
      <c r="CV95" s="299">
        <v>830932740</v>
      </c>
      <c r="CW95" s="552">
        <v>830932740</v>
      </c>
      <c r="CX95" s="789">
        <f>_xlfn.XLOOKUP(Table1[[#This Row],[Kode Program]],'[1]Breakdown VOWD Greenfield'!$E:$E,'[1]Breakdown VOWD Greenfield'!$AT:$AT)</f>
        <v>830932740</v>
      </c>
      <c r="CY95" s="42"/>
      <c r="CZ95" s="300">
        <v>45411</v>
      </c>
      <c r="DA95" s="300">
        <v>45438</v>
      </c>
      <c r="DB95" s="301"/>
      <c r="DC95" s="286"/>
      <c r="DD95" s="62"/>
      <c r="DE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5" s="301"/>
      <c r="DG95" s="286"/>
      <c r="DH95" s="62"/>
      <c r="DI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5" s="300">
        <v>45439</v>
      </c>
      <c r="DK95" s="300">
        <v>45480</v>
      </c>
      <c r="DL95" s="301">
        <v>45644</v>
      </c>
      <c r="DM95" s="395" t="s">
        <v>712</v>
      </c>
      <c r="DN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95" s="301">
        <v>45792</v>
      </c>
      <c r="DP95" s="396" t="s">
        <v>713</v>
      </c>
      <c r="DQ95" s="308" t="s">
        <v>297</v>
      </c>
      <c r="DR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95" s="300">
        <v>45439</v>
      </c>
      <c r="DT95" s="300" t="e">
        <v>#N/A</v>
      </c>
      <c r="DU95" s="300">
        <v>45480</v>
      </c>
      <c r="DV95" s="300" t="e">
        <v>#N/A</v>
      </c>
      <c r="DW95" s="301"/>
      <c r="DX95" s="286"/>
      <c r="DY95" s="304"/>
      <c r="DZ95" s="304"/>
      <c r="EA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5" s="301"/>
      <c r="EC95" s="302"/>
      <c r="ED95" s="302"/>
      <c r="EE95" s="300"/>
      <c r="EF95" s="35">
        <v>1</v>
      </c>
      <c r="EG95" s="307">
        <v>1</v>
      </c>
      <c r="EH95" s="286" t="str">
        <f>IF(Table1[[#This Row],[PO Material Aktual 
(%)]]&gt;=100%,"Selesai PO = 100%",IF(Table1[[#This Row],[PO Material Aktual 
(%)]]&gt;=50%,"Proses PO &gt; 100%",IF(Table1[[#This Row],[PO Material Aktual 
(%)]]&gt;0%,"Proses PO &gt; 50%",IF(Table1[[#This Row],[PO Material Aktual 
(%)]]=0,"Belum PO = 0%"))))</f>
        <v>Selesai PO = 100%</v>
      </c>
      <c r="EI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5" s="300">
        <v>45481</v>
      </c>
      <c r="EK95" s="300" t="e">
        <v>#N/A</v>
      </c>
      <c r="EL95" s="300">
        <v>45529</v>
      </c>
      <c r="EM95" s="300" t="e">
        <v>#N/A</v>
      </c>
      <c r="EN95" s="301">
        <v>45881</v>
      </c>
      <c r="EO95" s="302"/>
      <c r="EP95" s="302"/>
      <c r="EQ95" s="82">
        <v>1</v>
      </c>
      <c r="ER95" s="82">
        <v>1</v>
      </c>
      <c r="ES95" s="286" t="str">
        <f>IF(Table1[[#This Row],[Progres MOS]]&gt;=100%,"Selesai MOS = 100%",IF(Table1[[#This Row],[Progres MOS]]&gt;=50%,"Proses MOS &gt; 100%",IF(Table1[[#This Row],[Progres MOS]]&gt;0%,"Proses MOS &gt; 50%",IF(Table1[[#This Row],[Progres MOS]]=0,"Belum MOS = 0%"))))</f>
        <v>Selesai MOS = 100%</v>
      </c>
      <c r="ET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5" s="42"/>
      <c r="EV95" s="300">
        <v>45439</v>
      </c>
      <c r="EW95" s="300" t="e">
        <v>#N/A</v>
      </c>
      <c r="EX95" s="300">
        <v>45529</v>
      </c>
      <c r="EY95" s="300" t="e">
        <v>#N/A</v>
      </c>
      <c r="EZ95" s="322" t="s">
        <v>298</v>
      </c>
      <c r="FA95" s="306" t="s">
        <v>259</v>
      </c>
      <c r="FB95" s="300" t="s">
        <v>260</v>
      </c>
      <c r="FC95" s="300">
        <v>45799</v>
      </c>
      <c r="FD95" s="300" t="s">
        <v>260</v>
      </c>
      <c r="FE95" s="300">
        <v>45875</v>
      </c>
      <c r="FF95" s="300">
        <v>45929</v>
      </c>
      <c r="FG95" s="300" t="s">
        <v>260</v>
      </c>
      <c r="FH95" s="300" t="s">
        <v>260</v>
      </c>
      <c r="FI95" s="300">
        <v>46021</v>
      </c>
      <c r="FJ95" s="300" t="s">
        <v>260</v>
      </c>
      <c r="FK95" s="300">
        <v>46087</v>
      </c>
      <c r="FL95" s="306" t="s">
        <v>298</v>
      </c>
      <c r="FM95" s="306">
        <v>45799</v>
      </c>
      <c r="FN95" s="284">
        <f>IF(Table1[[#This Row],[Tanggal Pengajuan Dokumen]]="","",Table1[[#This Row],[PLAN PERMIT
start]]-Table1[[#This Row],[Tanggal Pengajuan Dokumen]])</f>
        <v>-360</v>
      </c>
      <c r="FO95" s="306"/>
      <c r="FP95" s="286"/>
      <c r="FQ95" s="308"/>
      <c r="FR95" s="322"/>
      <c r="FS95" s="308" t="str">
        <f t="shared" si="7"/>
        <v>Sudah Terbit</v>
      </c>
      <c r="FT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5" s="314">
        <f ca="1">IF(Table1[[#This Row],[Status Izin]]="Selesai",Table1[[#This Row],[PLAN PERMIT
finish]]-Table1[[#This Row],[Tanggal Terbit/ Target Izin Terbit]],ROUNDUP(Table1[[#This Row],[PLAN PERMIT
finish]]-NOW(),0))</f>
        <v>45529</v>
      </c>
      <c r="FV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5" s="314"/>
      <c r="FX95" s="42"/>
      <c r="FY95" s="310"/>
      <c r="FZ95" s="311"/>
      <c r="GA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5" s="300">
        <v>45503</v>
      </c>
      <c r="GC95" s="322">
        <v>45379</v>
      </c>
      <c r="GD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5" s="300">
        <v>45510</v>
      </c>
      <c r="GF95" s="322">
        <v>45379</v>
      </c>
      <c r="GG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5" s="300">
        <v>45516</v>
      </c>
      <c r="GI95" s="300">
        <v>45522</v>
      </c>
      <c r="GJ95" s="322">
        <v>45387</v>
      </c>
      <c r="GK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5" s="300">
        <v>45530</v>
      </c>
      <c r="GM95" s="300" t="e">
        <v>#N/A</v>
      </c>
      <c r="GN95" s="300">
        <v>45550</v>
      </c>
      <c r="GO95" s="300" t="e">
        <v>#N/A</v>
      </c>
      <c r="GP95" s="286"/>
      <c r="GQ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5" s="300" t="s">
        <v>261</v>
      </c>
      <c r="GS95" s="391" t="s">
        <v>261</v>
      </c>
      <c r="GT95" s="397">
        <v>45645</v>
      </c>
      <c r="GU95" s="393" t="str">
        <f>IF(Table1[[#This Row],[Hydro Tes Actual
(tanggal)]]&lt;&gt;"","Sudah","Belum")</f>
        <v>Sudah</v>
      </c>
      <c r="GV95" s="300" t="s">
        <v>261</v>
      </c>
      <c r="GW95" s="300" t="s">
        <v>261</v>
      </c>
      <c r="GX95" s="301"/>
      <c r="GY95" s="314" t="str">
        <f>IF(Table1[[#This Row],[Interkoneksi Actual
(tanggal)]]&lt;&gt;"","Sudah","Belum")</f>
        <v>Belum</v>
      </c>
      <c r="GZ95" s="300" t="s">
        <v>261</v>
      </c>
      <c r="HA95" s="391" t="s">
        <v>261</v>
      </c>
      <c r="HB95" s="394">
        <v>45701</v>
      </c>
      <c r="HC95" s="314" t="str">
        <f>IF(Table1[[#This Row],[Flushing Actual
(tanggal)]]&lt;&gt;"","Sudah","Belum")</f>
        <v>Sudah</v>
      </c>
      <c r="HD95" s="300">
        <v>45537</v>
      </c>
      <c r="HE95" s="300" t="e">
        <v>#N/A</v>
      </c>
      <c r="HF95" s="300">
        <v>45543</v>
      </c>
      <c r="HG95" s="322">
        <v>45719</v>
      </c>
      <c r="HH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5" s="300" t="s">
        <v>261</v>
      </c>
      <c r="HJ95" s="300" t="s">
        <v>261</v>
      </c>
      <c r="HK95" s="301"/>
      <c r="HL95" s="286"/>
      <c r="HM95" s="300">
        <v>45555</v>
      </c>
      <c r="HN95" s="300">
        <v>45555</v>
      </c>
      <c r="HO95" s="300" t="e">
        <v>#N/A</v>
      </c>
      <c r="HP95" s="300"/>
      <c r="HQ95" s="301">
        <v>45733</v>
      </c>
      <c r="HR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5" s="300">
        <v>45562</v>
      </c>
      <c r="HT95" s="300"/>
      <c r="HU95" s="300">
        <v>45562</v>
      </c>
      <c r="HV95" s="497"/>
      <c r="HW95" s="300">
        <v>45745</v>
      </c>
      <c r="HX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5" s="42"/>
      <c r="HZ95" s="322"/>
      <c r="IA95" s="306"/>
      <c r="IC95" s="585">
        <f>IFERROR(ROUND((Table1[[#This Row],[PLAN TC
finish]]-Table1[[#This Row],[PLAN MC-0
start]])/30,2),"")</f>
        <v>0.9</v>
      </c>
      <c r="ID95">
        <f>DATEDIF(Table1[[#This Row],[PLAN MC-0
start]],Table1[[#This Row],[PLAN TC
finish]],"m")</f>
        <v>0</v>
      </c>
    </row>
    <row r="96" spans="2:238" s="4" customFormat="1" ht="15" customHeight="1" x14ac:dyDescent="0.25">
      <c r="B96" s="281">
        <f>SUBTOTAL(3,$D$5:D96)</f>
        <v>92</v>
      </c>
      <c r="C96" s="318">
        <v>92</v>
      </c>
      <c r="D96" s="285" t="s">
        <v>673</v>
      </c>
      <c r="E96" s="285" t="s">
        <v>714</v>
      </c>
      <c r="F96" s="285" t="s">
        <v>715</v>
      </c>
      <c r="G96" s="319">
        <v>45752</v>
      </c>
      <c r="H96" s="284" t="s">
        <v>247</v>
      </c>
      <c r="I96" s="285" t="s">
        <v>278</v>
      </c>
      <c r="J96" s="285"/>
      <c r="K96" s="308" t="s">
        <v>676</v>
      </c>
      <c r="L96" s="286" t="s">
        <v>250</v>
      </c>
      <c r="M96" s="286" t="s">
        <v>269</v>
      </c>
      <c r="N96" s="94">
        <v>40</v>
      </c>
      <c r="O96" s="31" t="s">
        <v>252</v>
      </c>
      <c r="P9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6" s="82" t="e">
        <v>#N/A</v>
      </c>
      <c r="S96" s="82">
        <v>1</v>
      </c>
      <c r="T96" s="35">
        <f>Table1[[#This Row],[Progres Total Aktual
(%)]]</f>
        <v>1</v>
      </c>
      <c r="U96" s="106">
        <f>Table1[[#This Row],[Progres Aktual
(%)]]-Table1[[#This Row],[Target Progres
(%)]]</f>
        <v>0</v>
      </c>
      <c r="V96" s="320">
        <f>Table1[[#This Row],["Volume
BA MC-0"]]</f>
        <v>42</v>
      </c>
      <c r="W96" s="321">
        <f>Table1[[#This Row],[Total Panjang Pipa Aktual
(Sum-&gt;)3]]</f>
        <v>44</v>
      </c>
      <c r="X96" s="42"/>
      <c r="Y96" s="62" t="s">
        <v>716</v>
      </c>
      <c r="Z96" s="62">
        <v>115735796</v>
      </c>
      <c r="AA96" s="62">
        <f>ROUND((Table1[[#This Row],[Nilai RAB Jaringan
(Exclude Ppn)]]-Table1[[#This Row],[RAB Perizinan]])*1.11+Table1[[#This Row],[RAB Perizinan]],0)</f>
        <v>0</v>
      </c>
      <c r="AB96" s="290">
        <f>SUM(Table1[[#This Row],[RAB Kegiatan Umum]:[RAB Perizinan]])</f>
        <v>0</v>
      </c>
      <c r="AC96" s="290"/>
      <c r="AD96" s="290"/>
      <c r="AE96" s="290"/>
      <c r="AF96" s="290"/>
      <c r="AG96" s="290">
        <v>24595780</v>
      </c>
      <c r="AH96" s="35" t="e">
        <f>SUM(Table1[[#This Row],[Bobot Keg Umum]:[Bobot Perizinan]])</f>
        <v>#DIV/0!</v>
      </c>
      <c r="AI96" s="35" t="e">
        <f>Table1[[#This Row],[RAB Kegiatan Umum]]/Table1[[#This Row],[Nilai RAB Jaringan
(Exclude Ppn)]]</f>
        <v>#DIV/0!</v>
      </c>
      <c r="AJ96" s="35" t="e">
        <f>Table1[[#This Row],[RAB Pemasangan]]/Table1[[#This Row],[Nilai RAB Jaringan
(Exclude Ppn)]]</f>
        <v>#DIV/0!</v>
      </c>
      <c r="AK96" s="35" t="e">
        <f>Table1[[#This Row],[RAB Pengadaan]]/Table1[[#This Row],[Nilai RAB Jaringan
(Exclude Ppn)]]</f>
        <v>#DIV/0!</v>
      </c>
      <c r="AL96" s="35" t="e">
        <f>Table1[[#This Row],[RAB Perizinan]]/Table1[[#This Row],[Nilai RAB Jaringan
(Exclude Ppn)]]</f>
        <v>#DIV/0!</v>
      </c>
      <c r="AM96" s="42"/>
      <c r="AN96" s="256">
        <v>42</v>
      </c>
      <c r="AO96" s="256">
        <f>SUM(Table1[[#This Row],[Pipa 63 mm]:[Pipa 1,800 mm]])</f>
        <v>0</v>
      </c>
      <c r="AP96" s="256"/>
      <c r="AQ96" s="256"/>
      <c r="AR96" s="256"/>
      <c r="AS96" s="256"/>
      <c r="AT96" s="256"/>
      <c r="AU96" s="256"/>
      <c r="AV96" s="256"/>
      <c r="AW96" s="256"/>
      <c r="AX96" s="256"/>
      <c r="AY96" s="256"/>
      <c r="AZ96" s="256"/>
      <c r="BA96" s="256"/>
      <c r="BB96" s="256"/>
      <c r="BC96" s="256"/>
      <c r="BD96" s="256"/>
      <c r="BE96" s="256"/>
      <c r="BF96" s="256"/>
      <c r="BG96" s="256"/>
      <c r="BH96" s="256"/>
      <c r="BI96" s="256"/>
      <c r="BJ96" s="36">
        <f>SUM(Table1[[#This Row],[Pipa 63 mm2]:[Pipa 1,800 mm21]])</f>
        <v>44</v>
      </c>
      <c r="BK96" s="32">
        <v>44</v>
      </c>
      <c r="BL96" s="32"/>
      <c r="BM96" s="32"/>
      <c r="BN96" s="32"/>
      <c r="BO96" s="32"/>
      <c r="BP96" s="32"/>
      <c r="BQ96" s="32"/>
      <c r="BR96" s="32"/>
      <c r="BS96" s="32"/>
      <c r="BT96" s="32"/>
      <c r="BU96" s="32"/>
      <c r="BV96" s="32"/>
      <c r="BW96" s="32"/>
      <c r="BX96" s="32"/>
      <c r="BY96" s="32"/>
      <c r="BZ96" s="32"/>
      <c r="CA96" s="32"/>
      <c r="CB96" s="32"/>
      <c r="CC96" s="32"/>
      <c r="CD96" s="32"/>
      <c r="CE96" s="32">
        <v>0</v>
      </c>
      <c r="CF96" s="32"/>
      <c r="CG96" s="32"/>
      <c r="CH96" s="32"/>
      <c r="CI96" s="32">
        <f t="shared" si="6"/>
        <v>0</v>
      </c>
      <c r="CJ96" s="60">
        <f>IF((Table1[[#This Row],["Volume
BA MC-0"]]-Table1[[#This Row],[Total Panjang Pipa Aktual
(Sum-&gt;)3]]-Table1[[#This Row],[Total Volume
tidak dapat dipasang]])&gt;=0,Table1[[#This Row],["Volume
BA MC-0"]]-Table1[[#This Row],[Total Panjang Pipa Aktual
(Sum-&gt;)3]]-Table1[[#This Row],[Total Volume
tidak dapat dipasang]],0)</f>
        <v>0</v>
      </c>
      <c r="CK96" s="42"/>
      <c r="CL96" s="113"/>
      <c r="CM96" s="35"/>
      <c r="CN96" s="113"/>
      <c r="CO96" s="113"/>
      <c r="CP9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6" s="61">
        <f>IFERROR(Table1[[#This Row],[Progres Keg. Umum
(%)]]*Table1[[#This Row],[Nilai RAB Jaringan
(file pa aji)]],0)</f>
        <v>0</v>
      </c>
      <c r="CR96" s="61">
        <f>IFERROR(Table1[[#This Row],[Progres MOS
(%)]]*Table1[[#This Row],[Nilai RAB Jaringan
(file pa aji)]],0)</f>
        <v>0</v>
      </c>
      <c r="CS96" s="61">
        <f>IFERROR(Table1[[#This Row],[Progres Pemasangan
(%)]]*Table1[[#This Row],[Nilai RAB Jaringan
(file pa aji)]],0)</f>
        <v>0</v>
      </c>
      <c r="CT96" s="61">
        <f>IFERROR(Table1[[#This Row],[Progres Perizinan
(%)]]*Table1[[#This Row],[Nilai RAB Jaringan
(file pa aji)]],0)</f>
        <v>0</v>
      </c>
      <c r="CU96" s="789">
        <v>105609126</v>
      </c>
      <c r="CV96" s="299">
        <v>105609126</v>
      </c>
      <c r="CW96" s="552">
        <v>105609126</v>
      </c>
      <c r="CX96" s="789">
        <f>_xlfn.XLOOKUP(Table1[[#This Row],[Kode Program]],'[1]Breakdown VOWD Greenfield'!$E:$E,'[1]Breakdown VOWD Greenfield'!$AT:$AT)</f>
        <v>105609126</v>
      </c>
      <c r="CY96" s="42"/>
      <c r="CZ96" s="300">
        <v>45411</v>
      </c>
      <c r="DA96" s="300">
        <v>45438</v>
      </c>
      <c r="DB96" s="301"/>
      <c r="DC96" s="286"/>
      <c r="DD96" s="62"/>
      <c r="DE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6" s="301"/>
      <c r="DG96" s="286"/>
      <c r="DH96" s="62"/>
      <c r="DI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6" s="300">
        <v>45439</v>
      </c>
      <c r="DK96" s="300">
        <v>45480</v>
      </c>
      <c r="DL96" s="301">
        <v>45405</v>
      </c>
      <c r="DM96" s="395" t="s">
        <v>717</v>
      </c>
      <c r="DN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6" s="301">
        <v>45418</v>
      </c>
      <c r="DP96" s="396" t="s">
        <v>690</v>
      </c>
      <c r="DQ96" s="308" t="s">
        <v>371</v>
      </c>
      <c r="DR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6" s="300">
        <v>45439</v>
      </c>
      <c r="DT96" s="300" t="e">
        <v>#N/A</v>
      </c>
      <c r="DU96" s="300">
        <v>45480</v>
      </c>
      <c r="DV96" s="300" t="e">
        <v>#N/A</v>
      </c>
      <c r="DW96" s="301"/>
      <c r="DX96" s="286"/>
      <c r="DY96" s="304"/>
      <c r="DZ96" s="304"/>
      <c r="EA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6" s="301"/>
      <c r="EC96" s="302"/>
      <c r="ED96" s="302"/>
      <c r="EE96" s="300"/>
      <c r="EF96" s="35">
        <v>1</v>
      </c>
      <c r="EG96" s="307">
        <v>1</v>
      </c>
      <c r="EH96" s="286" t="str">
        <f>IF(Table1[[#This Row],[PO Material Aktual 
(%)]]&gt;=100%,"Selesai PO = 100%",IF(Table1[[#This Row],[PO Material Aktual 
(%)]]&gt;=50%,"Proses PO &gt; 100%",IF(Table1[[#This Row],[PO Material Aktual 
(%)]]&gt;0%,"Proses PO &gt; 50%",IF(Table1[[#This Row],[PO Material Aktual 
(%)]]=0,"Belum PO = 0%"))))</f>
        <v>Selesai PO = 100%</v>
      </c>
      <c r="EI9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6" s="300">
        <v>45481</v>
      </c>
      <c r="EK96" s="300" t="e">
        <v>#N/A</v>
      </c>
      <c r="EL96" s="300">
        <v>45529</v>
      </c>
      <c r="EM96" s="300" t="e">
        <v>#N/A</v>
      </c>
      <c r="EN96" s="301">
        <v>45960</v>
      </c>
      <c r="EO96" s="302"/>
      <c r="EP96" s="302"/>
      <c r="EQ96" s="82">
        <v>1</v>
      </c>
      <c r="ER96" s="82">
        <v>1</v>
      </c>
      <c r="ES96" s="286" t="str">
        <f>IF(Table1[[#This Row],[Progres MOS]]&gt;=100%,"Selesai MOS = 100%",IF(Table1[[#This Row],[Progres MOS]]&gt;=50%,"Proses MOS &gt; 100%",IF(Table1[[#This Row],[Progres MOS]]&gt;0%,"Proses MOS &gt; 50%",IF(Table1[[#This Row],[Progres MOS]]=0,"Belum MOS = 0%"))))</f>
        <v>Selesai MOS = 100%</v>
      </c>
      <c r="ET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96" s="42"/>
      <c r="EV96" s="300">
        <v>45439</v>
      </c>
      <c r="EW96" s="300" t="e">
        <v>#N/A</v>
      </c>
      <c r="EX96" s="300">
        <v>45529</v>
      </c>
      <c r="EY96" s="300" t="e">
        <v>#N/A</v>
      </c>
      <c r="EZ96" s="322" t="s">
        <v>298</v>
      </c>
      <c r="FA96" s="306" t="s">
        <v>259</v>
      </c>
      <c r="FB96" s="300" t="s">
        <v>260</v>
      </c>
      <c r="FC96" s="300">
        <v>45799</v>
      </c>
      <c r="FD96" s="300" t="s">
        <v>260</v>
      </c>
      <c r="FE96" s="300">
        <v>45875</v>
      </c>
      <c r="FF96" s="300">
        <v>45929</v>
      </c>
      <c r="FG96" s="300" t="s">
        <v>260</v>
      </c>
      <c r="FH96" s="300" t="s">
        <v>260</v>
      </c>
      <c r="FI96" s="300">
        <v>46021</v>
      </c>
      <c r="FJ96" s="300" t="s">
        <v>260</v>
      </c>
      <c r="FK96" s="300">
        <v>46087</v>
      </c>
      <c r="FL96" s="306" t="s">
        <v>298</v>
      </c>
      <c r="FM96" s="306">
        <v>45799</v>
      </c>
      <c r="FN96" s="284">
        <f>IF(Table1[[#This Row],[Tanggal Pengajuan Dokumen]]="","",Table1[[#This Row],[PLAN PERMIT
start]]-Table1[[#This Row],[Tanggal Pengajuan Dokumen]])</f>
        <v>-360</v>
      </c>
      <c r="FO96" s="306"/>
      <c r="FP96" s="286"/>
      <c r="FQ96" s="308"/>
      <c r="FR96" s="322"/>
      <c r="FS96" s="308" t="str">
        <f t="shared" si="7"/>
        <v>Sudah Terbit</v>
      </c>
      <c r="FT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6" s="314">
        <f ca="1">IF(Table1[[#This Row],[Status Izin]]="Selesai",Table1[[#This Row],[PLAN PERMIT
finish]]-Table1[[#This Row],[Tanggal Terbit/ Target Izin Terbit]],ROUNDUP(Table1[[#This Row],[PLAN PERMIT
finish]]-NOW(),0))</f>
        <v>45529</v>
      </c>
      <c r="FV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6" s="314"/>
      <c r="FX96" s="42"/>
      <c r="FY96" s="310"/>
      <c r="FZ96" s="311"/>
      <c r="GA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6" s="300">
        <v>45503</v>
      </c>
      <c r="GC96" s="322">
        <v>45379</v>
      </c>
      <c r="GD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6" s="300">
        <v>45510</v>
      </c>
      <c r="GF96" s="322">
        <v>45379</v>
      </c>
      <c r="GG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6" s="300">
        <v>45516</v>
      </c>
      <c r="GI96" s="300">
        <v>45522</v>
      </c>
      <c r="GJ96" s="322">
        <v>45387</v>
      </c>
      <c r="GK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6" s="300">
        <v>45530</v>
      </c>
      <c r="GM96" s="300" t="e">
        <v>#N/A</v>
      </c>
      <c r="GN96" s="300">
        <v>45550</v>
      </c>
      <c r="GO96" s="300" t="e">
        <v>#N/A</v>
      </c>
      <c r="GP96" s="286"/>
      <c r="GQ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6" s="300" t="s">
        <v>261</v>
      </c>
      <c r="GS96" s="391" t="s">
        <v>261</v>
      </c>
      <c r="GT96" s="397">
        <v>45453</v>
      </c>
      <c r="GU96" s="393" t="str">
        <f>IF(Table1[[#This Row],[Hydro Tes Actual
(tanggal)]]&lt;&gt;"","Sudah","Belum")</f>
        <v>Sudah</v>
      </c>
      <c r="GV96" s="300" t="s">
        <v>261</v>
      </c>
      <c r="GW96" s="300" t="s">
        <v>261</v>
      </c>
      <c r="GX96" s="301"/>
      <c r="GY96" s="314" t="str">
        <f>IF(Table1[[#This Row],[Interkoneksi Actual
(tanggal)]]&lt;&gt;"","Sudah","Belum")</f>
        <v>Belum</v>
      </c>
      <c r="GZ96" s="300" t="s">
        <v>261</v>
      </c>
      <c r="HA96" s="391" t="s">
        <v>261</v>
      </c>
      <c r="HB96" s="394">
        <v>45469</v>
      </c>
      <c r="HC96" s="314" t="str">
        <f>IF(Table1[[#This Row],[Flushing Actual
(tanggal)]]&lt;&gt;"","Sudah","Belum")</f>
        <v>Sudah</v>
      </c>
      <c r="HD96" s="300">
        <v>45537</v>
      </c>
      <c r="HE96" s="300" t="e">
        <v>#N/A</v>
      </c>
      <c r="HF96" s="300">
        <v>45543</v>
      </c>
      <c r="HG96" s="322">
        <v>45560</v>
      </c>
      <c r="HH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6" s="300" t="s">
        <v>261</v>
      </c>
      <c r="HJ96" s="300" t="s">
        <v>261</v>
      </c>
      <c r="HK96" s="301"/>
      <c r="HL96" s="286"/>
      <c r="HM96" s="300">
        <v>45555</v>
      </c>
      <c r="HN96" s="300">
        <v>45555</v>
      </c>
      <c r="HO96" s="300" t="e">
        <v>#N/A</v>
      </c>
      <c r="HP96" s="300"/>
      <c r="HQ96" s="301">
        <v>45733</v>
      </c>
      <c r="HR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6" s="300">
        <v>45562</v>
      </c>
      <c r="HT96" s="300"/>
      <c r="HU96" s="300">
        <v>45562</v>
      </c>
      <c r="HV96" s="497"/>
      <c r="HW96" s="300">
        <v>45745</v>
      </c>
      <c r="HX9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6" s="42"/>
      <c r="HZ96" s="322"/>
      <c r="IA96" s="306"/>
      <c r="IC96" s="585">
        <f>IFERROR(ROUND((Table1[[#This Row],[PLAN TC
finish]]-Table1[[#This Row],[PLAN MC-0
start]])/30,2),"")</f>
        <v>0.9</v>
      </c>
      <c r="ID96">
        <f>DATEDIF(Table1[[#This Row],[PLAN MC-0
start]],Table1[[#This Row],[PLAN TC
finish]],"m")</f>
        <v>0</v>
      </c>
    </row>
    <row r="97" spans="2:238" s="4" customFormat="1" ht="15" customHeight="1" x14ac:dyDescent="0.25">
      <c r="B97" s="281">
        <f>SUBTOTAL(3,$D$5:D97)</f>
        <v>93</v>
      </c>
      <c r="C97" s="318">
        <v>93</v>
      </c>
      <c r="D97" s="285" t="s">
        <v>673</v>
      </c>
      <c r="E97" s="285" t="s">
        <v>718</v>
      </c>
      <c r="F97" s="285" t="s">
        <v>719</v>
      </c>
      <c r="G97" s="319">
        <v>45752</v>
      </c>
      <c r="H97" s="284" t="s">
        <v>247</v>
      </c>
      <c r="I97" s="285" t="s">
        <v>278</v>
      </c>
      <c r="J97" s="285"/>
      <c r="K97" s="308" t="s">
        <v>676</v>
      </c>
      <c r="L97" s="286" t="s">
        <v>250</v>
      </c>
      <c r="M97" s="286" t="s">
        <v>269</v>
      </c>
      <c r="N97" s="94">
        <v>441</v>
      </c>
      <c r="O97" s="31" t="s">
        <v>252</v>
      </c>
      <c r="P9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7" s="82" t="e">
        <v>#N/A</v>
      </c>
      <c r="S97" s="82">
        <v>1</v>
      </c>
      <c r="T97" s="35">
        <f>Table1[[#This Row],[Progres Total Aktual
(%)]]</f>
        <v>1</v>
      </c>
      <c r="U97" s="106">
        <f>Table1[[#This Row],[Progres Aktual
(%)]]-Table1[[#This Row],[Target Progres
(%)]]</f>
        <v>0</v>
      </c>
      <c r="V97" s="320">
        <f>Table1[[#This Row],["Volume
BA MC-0"]]</f>
        <v>447</v>
      </c>
      <c r="W97" s="321">
        <f>Table1[[#This Row],[Total Panjang Pipa Aktual
(Sum-&gt;)3]]</f>
        <v>533</v>
      </c>
      <c r="X97" s="42"/>
      <c r="Y97" s="62" t="s">
        <v>720</v>
      </c>
      <c r="Z97" s="62">
        <v>876682855</v>
      </c>
      <c r="AA97" s="62">
        <f>ROUND((Table1[[#This Row],[Nilai RAB Jaringan
(Exclude Ppn)]]-Table1[[#This Row],[RAB Perizinan]])*1.11+Table1[[#This Row],[RAB Perizinan]],0)</f>
        <v>0</v>
      </c>
      <c r="AB97" s="290">
        <f>SUM(Table1[[#This Row],[RAB Kegiatan Umum]:[RAB Perizinan]])</f>
        <v>0</v>
      </c>
      <c r="AC97" s="290"/>
      <c r="AD97" s="290"/>
      <c r="AE97" s="290"/>
      <c r="AF97" s="290"/>
      <c r="AG97" s="290">
        <v>92234174</v>
      </c>
      <c r="AH97" s="35" t="e">
        <f>SUM(Table1[[#This Row],[Bobot Keg Umum]:[Bobot Perizinan]])</f>
        <v>#DIV/0!</v>
      </c>
      <c r="AI97" s="35" t="e">
        <f>Table1[[#This Row],[RAB Kegiatan Umum]]/Table1[[#This Row],[Nilai RAB Jaringan
(Exclude Ppn)]]</f>
        <v>#DIV/0!</v>
      </c>
      <c r="AJ97" s="35" t="e">
        <f>Table1[[#This Row],[RAB Pemasangan]]/Table1[[#This Row],[Nilai RAB Jaringan
(Exclude Ppn)]]</f>
        <v>#DIV/0!</v>
      </c>
      <c r="AK97" s="35" t="e">
        <f>Table1[[#This Row],[RAB Pengadaan]]/Table1[[#This Row],[Nilai RAB Jaringan
(Exclude Ppn)]]</f>
        <v>#DIV/0!</v>
      </c>
      <c r="AL97" s="35" t="e">
        <f>Table1[[#This Row],[RAB Perizinan]]/Table1[[#This Row],[Nilai RAB Jaringan
(Exclude Ppn)]]</f>
        <v>#DIV/0!</v>
      </c>
      <c r="AM97" s="42"/>
      <c r="AN97" s="256">
        <v>447</v>
      </c>
      <c r="AO97" s="256">
        <f>SUM(Table1[[#This Row],[Pipa 63 mm]:[Pipa 1,800 mm]])</f>
        <v>0</v>
      </c>
      <c r="AP97" s="256"/>
      <c r="AQ97" s="256"/>
      <c r="AR97" s="256"/>
      <c r="AS97" s="256"/>
      <c r="AT97" s="256"/>
      <c r="AU97" s="256"/>
      <c r="AV97" s="256"/>
      <c r="AW97" s="256"/>
      <c r="AX97" s="256"/>
      <c r="AY97" s="256"/>
      <c r="AZ97" s="256"/>
      <c r="BA97" s="256"/>
      <c r="BB97" s="256"/>
      <c r="BC97" s="256"/>
      <c r="BD97" s="256"/>
      <c r="BE97" s="256"/>
      <c r="BF97" s="256"/>
      <c r="BG97" s="256"/>
      <c r="BH97" s="256"/>
      <c r="BI97" s="256"/>
      <c r="BJ97" s="36">
        <f>SUM(Table1[[#This Row],[Pipa 63 mm2]:[Pipa 1,800 mm21]])</f>
        <v>533</v>
      </c>
      <c r="BK97" s="32"/>
      <c r="BL97" s="32">
        <v>533</v>
      </c>
      <c r="BM97" s="32"/>
      <c r="BN97" s="32"/>
      <c r="BO97" s="32"/>
      <c r="BP97" s="32"/>
      <c r="BQ97" s="32"/>
      <c r="BR97" s="32"/>
      <c r="BS97" s="32"/>
      <c r="BT97" s="32"/>
      <c r="BU97" s="32"/>
      <c r="BV97" s="32"/>
      <c r="BW97" s="32"/>
      <c r="BX97" s="32"/>
      <c r="BY97" s="32"/>
      <c r="BZ97" s="32"/>
      <c r="CA97" s="32"/>
      <c r="CB97" s="32"/>
      <c r="CC97" s="32"/>
      <c r="CD97" s="32"/>
      <c r="CE97" s="32">
        <v>0</v>
      </c>
      <c r="CF97" s="32"/>
      <c r="CG97" s="32"/>
      <c r="CH97" s="32"/>
      <c r="CI97" s="32">
        <f t="shared" si="6"/>
        <v>0</v>
      </c>
      <c r="CJ97" s="60">
        <f>IF((Table1[[#This Row],["Volume
BA MC-0"]]-Table1[[#This Row],[Total Panjang Pipa Aktual
(Sum-&gt;)3]]-Table1[[#This Row],[Total Volume
tidak dapat dipasang]])&gt;=0,Table1[[#This Row],["Volume
BA MC-0"]]-Table1[[#This Row],[Total Panjang Pipa Aktual
(Sum-&gt;)3]]-Table1[[#This Row],[Total Volume
tidak dapat dipasang]],0)</f>
        <v>0</v>
      </c>
      <c r="CK97" s="42"/>
      <c r="CL97" s="113"/>
      <c r="CM97" s="35"/>
      <c r="CN97" s="113"/>
      <c r="CO97" s="113"/>
      <c r="CP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7" s="61">
        <f>IFERROR(Table1[[#This Row],[Progres Keg. Umum
(%)]]*Table1[[#This Row],[Nilai RAB Jaringan
(file pa aji)]],0)</f>
        <v>0</v>
      </c>
      <c r="CR97" s="61">
        <f>IFERROR(Table1[[#This Row],[Progres MOS
(%)]]*Table1[[#This Row],[Nilai RAB Jaringan
(file pa aji)]],0)</f>
        <v>0</v>
      </c>
      <c r="CS97" s="61">
        <f>IFERROR(Table1[[#This Row],[Progres Pemasangan
(%)]]*Table1[[#This Row],[Nilai RAB Jaringan
(file pa aji)]],0)</f>
        <v>0</v>
      </c>
      <c r="CT97" s="61">
        <f>IFERROR(Table1[[#This Row],[Progres Perizinan
(%)]]*Table1[[#This Row],[Nilai RAB Jaringan
(file pa aji)]],0)</f>
        <v>0</v>
      </c>
      <c r="CU97" s="789">
        <v>1182056053</v>
      </c>
      <c r="CV97" s="299">
        <v>1182056053</v>
      </c>
      <c r="CW97" s="552">
        <v>1182056053</v>
      </c>
      <c r="CX97" s="789">
        <f>_xlfn.XLOOKUP(Table1[[#This Row],[Kode Program]],'[1]Breakdown VOWD Greenfield'!$E:$E,'[1]Breakdown VOWD Greenfield'!$AT:$AT)</f>
        <v>1182056053</v>
      </c>
      <c r="CY97" s="42"/>
      <c r="CZ97" s="300">
        <v>45411</v>
      </c>
      <c r="DA97" s="300">
        <v>45438</v>
      </c>
      <c r="DB97" s="301"/>
      <c r="DC97" s="286"/>
      <c r="DD97" s="62"/>
      <c r="DE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7" s="301"/>
      <c r="DG97" s="286"/>
      <c r="DH97" s="62"/>
      <c r="DI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7" s="300">
        <v>45439</v>
      </c>
      <c r="DK97" s="300">
        <v>45480</v>
      </c>
      <c r="DL97" s="301">
        <v>45405</v>
      </c>
      <c r="DM97" s="395" t="s">
        <v>721</v>
      </c>
      <c r="DN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7" s="301">
        <v>45418</v>
      </c>
      <c r="DP97" s="396" t="s">
        <v>690</v>
      </c>
      <c r="DQ97" s="308" t="s">
        <v>371</v>
      </c>
      <c r="DR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7" s="300">
        <v>45439</v>
      </c>
      <c r="DT97" s="300" t="e">
        <v>#N/A</v>
      </c>
      <c r="DU97" s="300">
        <v>45480</v>
      </c>
      <c r="DV97" s="300" t="e">
        <v>#N/A</v>
      </c>
      <c r="DW97" s="301"/>
      <c r="DX97" s="286"/>
      <c r="DY97" s="304"/>
      <c r="DZ97" s="304"/>
      <c r="EA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7" s="301"/>
      <c r="EC97" s="302"/>
      <c r="ED97" s="302"/>
      <c r="EE97" s="300"/>
      <c r="EF97" s="35">
        <v>1</v>
      </c>
      <c r="EG97" s="307">
        <v>1</v>
      </c>
      <c r="EH97" s="286" t="str">
        <f>IF(Table1[[#This Row],[PO Material Aktual 
(%)]]&gt;=100%,"Selesai PO = 100%",IF(Table1[[#This Row],[PO Material Aktual 
(%)]]&gt;=50%,"Proses PO &gt; 100%",IF(Table1[[#This Row],[PO Material Aktual 
(%)]]&gt;0%,"Proses PO &gt; 50%",IF(Table1[[#This Row],[PO Material Aktual 
(%)]]=0,"Belum PO = 0%"))))</f>
        <v>Selesai PO = 100%</v>
      </c>
      <c r="EI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7" s="300">
        <v>45481</v>
      </c>
      <c r="EK97" s="300" t="e">
        <v>#N/A</v>
      </c>
      <c r="EL97" s="300">
        <v>45529</v>
      </c>
      <c r="EM97" s="300" t="e">
        <v>#N/A</v>
      </c>
      <c r="EN97" s="301">
        <v>45523</v>
      </c>
      <c r="EO97" s="302"/>
      <c r="EP97" s="302"/>
      <c r="EQ97" s="82">
        <v>1</v>
      </c>
      <c r="ER97" s="82">
        <v>1</v>
      </c>
      <c r="ES97" s="286" t="str">
        <f>IF(Table1[[#This Row],[Progres MOS]]&gt;=100%,"Selesai MOS = 100%",IF(Table1[[#This Row],[Progres MOS]]&gt;=50%,"Proses MOS &gt; 100%",IF(Table1[[#This Row],[Progres MOS]]&gt;0%,"Proses MOS &gt; 50%",IF(Table1[[#This Row],[Progres MOS]]=0,"Belum MOS = 0%"))))</f>
        <v>Selesai MOS = 100%</v>
      </c>
      <c r="ET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7" s="42"/>
      <c r="EV97" s="300">
        <v>45439</v>
      </c>
      <c r="EW97" s="300" t="e">
        <v>#N/A</v>
      </c>
      <c r="EX97" s="300">
        <v>45529</v>
      </c>
      <c r="EY97" s="300" t="e">
        <v>#N/A</v>
      </c>
      <c r="EZ97" s="322" t="s">
        <v>298</v>
      </c>
      <c r="FA97" s="306" t="s">
        <v>259</v>
      </c>
      <c r="FB97" s="300" t="s">
        <v>260</v>
      </c>
      <c r="FC97" s="300">
        <v>45797</v>
      </c>
      <c r="FD97" s="300" t="s">
        <v>260</v>
      </c>
      <c r="FE97" s="300">
        <v>45884</v>
      </c>
      <c r="FF97" s="300">
        <v>45929</v>
      </c>
      <c r="FG97" s="300" t="s">
        <v>260</v>
      </c>
      <c r="FH97" s="300" t="s">
        <v>260</v>
      </c>
      <c r="FI97" s="300">
        <v>46021</v>
      </c>
      <c r="FJ97" s="300" t="s">
        <v>260</v>
      </c>
      <c r="FK97" s="300">
        <v>46090</v>
      </c>
      <c r="FL97" s="306" t="s">
        <v>298</v>
      </c>
      <c r="FM97" s="306">
        <v>45797</v>
      </c>
      <c r="FN97" s="284">
        <f>IF(Table1[[#This Row],[Tanggal Pengajuan Dokumen]]="","",Table1[[#This Row],[PLAN PERMIT
start]]-Table1[[#This Row],[Tanggal Pengajuan Dokumen]])</f>
        <v>-358</v>
      </c>
      <c r="FO97" s="306"/>
      <c r="FP97" s="286"/>
      <c r="FQ97" s="308"/>
      <c r="FR97" s="322"/>
      <c r="FS97" s="308" t="str">
        <f t="shared" si="7"/>
        <v>Sudah Terbit</v>
      </c>
      <c r="FT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7" s="314">
        <f ca="1">IF(Table1[[#This Row],[Status Izin]]="Selesai",Table1[[#This Row],[PLAN PERMIT
finish]]-Table1[[#This Row],[Tanggal Terbit/ Target Izin Terbit]],ROUNDUP(Table1[[#This Row],[PLAN PERMIT
finish]]-NOW(),0))</f>
        <v>45529</v>
      </c>
      <c r="FV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7" s="314"/>
      <c r="FX97" s="42"/>
      <c r="FY97" s="310"/>
      <c r="FZ97" s="311"/>
      <c r="GA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7" s="300">
        <v>45503</v>
      </c>
      <c r="GC97" s="322">
        <v>45379</v>
      </c>
      <c r="GD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7" s="300">
        <v>45510</v>
      </c>
      <c r="GF97" s="322">
        <v>45379</v>
      </c>
      <c r="GG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7" s="300">
        <v>45516</v>
      </c>
      <c r="GI97" s="300">
        <v>45522</v>
      </c>
      <c r="GJ97" s="322">
        <v>45386</v>
      </c>
      <c r="GK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7" s="300">
        <v>45530</v>
      </c>
      <c r="GM97" s="300" t="e">
        <v>#N/A</v>
      </c>
      <c r="GN97" s="300">
        <v>45550</v>
      </c>
      <c r="GO97" s="300" t="e">
        <v>#N/A</v>
      </c>
      <c r="GP97" s="286"/>
      <c r="GQ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7" s="300" t="s">
        <v>261</v>
      </c>
      <c r="GS97" s="391" t="s">
        <v>261</v>
      </c>
      <c r="GT97" s="397" t="s">
        <v>722</v>
      </c>
      <c r="GU97" s="393" t="str">
        <f>IF(Table1[[#This Row],[Hydro Tes Actual
(tanggal)]]&lt;&gt;"","Sudah","Belum")</f>
        <v>Sudah</v>
      </c>
      <c r="GV97" s="300" t="s">
        <v>261</v>
      </c>
      <c r="GW97" s="300" t="s">
        <v>261</v>
      </c>
      <c r="GX97" s="301"/>
      <c r="GY97" s="314" t="str">
        <f>IF(Table1[[#This Row],[Interkoneksi Actual
(tanggal)]]&lt;&gt;"","Sudah","Belum")</f>
        <v>Belum</v>
      </c>
      <c r="GZ97" s="300" t="s">
        <v>261</v>
      </c>
      <c r="HA97" s="391" t="s">
        <v>261</v>
      </c>
      <c r="HB97" s="394">
        <v>45547</v>
      </c>
      <c r="HC97" s="314" t="str">
        <f>IF(Table1[[#This Row],[Flushing Actual
(tanggal)]]&lt;&gt;"","Sudah","Belum")</f>
        <v>Sudah</v>
      </c>
      <c r="HD97" s="300">
        <v>45537</v>
      </c>
      <c r="HE97" s="300" t="e">
        <v>#N/A</v>
      </c>
      <c r="HF97" s="300">
        <v>45543</v>
      </c>
      <c r="HG97" s="322">
        <v>45559</v>
      </c>
      <c r="HH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7" s="300" t="s">
        <v>261</v>
      </c>
      <c r="HJ97" s="300" t="s">
        <v>261</v>
      </c>
      <c r="HK97" s="301"/>
      <c r="HL97" s="286"/>
      <c r="HM97" s="300">
        <v>45555</v>
      </c>
      <c r="HN97" s="300">
        <v>45555</v>
      </c>
      <c r="HO97" s="300" t="e">
        <v>#N/A</v>
      </c>
      <c r="HP97" s="300"/>
      <c r="HQ97" s="301">
        <v>45734</v>
      </c>
      <c r="HR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7" s="300">
        <v>45562</v>
      </c>
      <c r="HT97" s="300"/>
      <c r="HU97" s="300">
        <v>45562</v>
      </c>
      <c r="HV97" s="497"/>
      <c r="HW97" s="300">
        <v>45745</v>
      </c>
      <c r="HX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7" s="42"/>
      <c r="HZ97" s="322"/>
      <c r="IA97" s="306"/>
      <c r="IC97" s="585">
        <f>IFERROR(ROUND((Table1[[#This Row],[PLAN TC
finish]]-Table1[[#This Row],[PLAN MC-0
start]])/30,2),"")</f>
        <v>0.9</v>
      </c>
      <c r="ID97">
        <f>DATEDIF(Table1[[#This Row],[PLAN MC-0
start]],Table1[[#This Row],[PLAN TC
finish]],"m")</f>
        <v>0</v>
      </c>
    </row>
    <row r="98" spans="2:238" s="4" customFormat="1" ht="15" customHeight="1" x14ac:dyDescent="0.25">
      <c r="B98" s="281">
        <f>SUBTOTAL(3,$D$5:D98)</f>
        <v>94</v>
      </c>
      <c r="C98" s="318">
        <v>94</v>
      </c>
      <c r="D98" s="285" t="s">
        <v>673</v>
      </c>
      <c r="E98" s="285" t="s">
        <v>723</v>
      </c>
      <c r="F98" s="285" t="s">
        <v>724</v>
      </c>
      <c r="G98" s="319">
        <v>45752</v>
      </c>
      <c r="H98" s="284" t="s">
        <v>247</v>
      </c>
      <c r="I98" s="285" t="s">
        <v>278</v>
      </c>
      <c r="J98" s="285"/>
      <c r="K98" s="308" t="s">
        <v>676</v>
      </c>
      <c r="L98" s="286" t="s">
        <v>250</v>
      </c>
      <c r="M98" s="286" t="s">
        <v>269</v>
      </c>
      <c r="N98" s="94">
        <v>117</v>
      </c>
      <c r="O98" s="31" t="s">
        <v>252</v>
      </c>
      <c r="P9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8" s="82" t="e">
        <v>#N/A</v>
      </c>
      <c r="S98" s="82">
        <v>1</v>
      </c>
      <c r="T98" s="35">
        <f>Table1[[#This Row],[Progres Total Aktual
(%)]]</f>
        <v>1</v>
      </c>
      <c r="U98" s="106">
        <f>Table1[[#This Row],[Progres Aktual
(%)]]-Table1[[#This Row],[Target Progres
(%)]]</f>
        <v>0</v>
      </c>
      <c r="V98" s="320">
        <f>Table1[[#This Row],["Volume
BA MC-0"]]</f>
        <v>125</v>
      </c>
      <c r="W98" s="321">
        <f>Table1[[#This Row],[Total Panjang Pipa Aktual
(Sum-&gt;)3]]</f>
        <v>125</v>
      </c>
      <c r="X98" s="42"/>
      <c r="Y98" s="62" t="s">
        <v>725</v>
      </c>
      <c r="Z98" s="62">
        <v>251969292</v>
      </c>
      <c r="AA98" s="62">
        <f>ROUND((Table1[[#This Row],[Nilai RAB Jaringan
(Exclude Ppn)]]-Table1[[#This Row],[RAB Perizinan]])*1.11+Table1[[#This Row],[RAB Perizinan]],0)</f>
        <v>0</v>
      </c>
      <c r="AB98" s="290">
        <f>SUM(Table1[[#This Row],[RAB Kegiatan Umum]:[RAB Perizinan]])</f>
        <v>0</v>
      </c>
      <c r="AC98" s="290"/>
      <c r="AD98" s="290"/>
      <c r="AE98" s="290"/>
      <c r="AF98" s="290"/>
      <c r="AG98" s="290">
        <v>26645428</v>
      </c>
      <c r="AH98" s="35" t="e">
        <f>SUM(Table1[[#This Row],[Bobot Keg Umum]:[Bobot Perizinan]])</f>
        <v>#DIV/0!</v>
      </c>
      <c r="AI98" s="35" t="e">
        <f>Table1[[#This Row],[RAB Kegiatan Umum]]/Table1[[#This Row],[Nilai RAB Jaringan
(Exclude Ppn)]]</f>
        <v>#DIV/0!</v>
      </c>
      <c r="AJ98" s="35" t="e">
        <f>Table1[[#This Row],[RAB Pemasangan]]/Table1[[#This Row],[Nilai RAB Jaringan
(Exclude Ppn)]]</f>
        <v>#DIV/0!</v>
      </c>
      <c r="AK98" s="35" t="e">
        <f>Table1[[#This Row],[RAB Pengadaan]]/Table1[[#This Row],[Nilai RAB Jaringan
(Exclude Ppn)]]</f>
        <v>#DIV/0!</v>
      </c>
      <c r="AL98" s="35" t="e">
        <f>Table1[[#This Row],[RAB Perizinan]]/Table1[[#This Row],[Nilai RAB Jaringan
(Exclude Ppn)]]</f>
        <v>#DIV/0!</v>
      </c>
      <c r="AM98" s="42"/>
      <c r="AN98" s="256">
        <v>125</v>
      </c>
      <c r="AO98" s="256">
        <f>SUM(Table1[[#This Row],[Pipa 63 mm]:[Pipa 1,800 mm]])</f>
        <v>0</v>
      </c>
      <c r="AP98" s="256"/>
      <c r="AQ98" s="256"/>
      <c r="AR98" s="256"/>
      <c r="AS98" s="256"/>
      <c r="AT98" s="256"/>
      <c r="AU98" s="256"/>
      <c r="AV98" s="256"/>
      <c r="AW98" s="256"/>
      <c r="AX98" s="256"/>
      <c r="AY98" s="256"/>
      <c r="AZ98" s="256"/>
      <c r="BA98" s="256"/>
      <c r="BB98" s="256"/>
      <c r="BC98" s="256"/>
      <c r="BD98" s="256"/>
      <c r="BE98" s="256"/>
      <c r="BF98" s="256"/>
      <c r="BG98" s="256"/>
      <c r="BH98" s="256"/>
      <c r="BI98" s="256"/>
      <c r="BJ98" s="36">
        <f>SUM(Table1[[#This Row],[Pipa 63 mm2]:[Pipa 1,800 mm21]])</f>
        <v>125</v>
      </c>
      <c r="BK98" s="32"/>
      <c r="BL98" s="32">
        <v>125</v>
      </c>
      <c r="BM98" s="32"/>
      <c r="BN98" s="32"/>
      <c r="BO98" s="32"/>
      <c r="BP98" s="32"/>
      <c r="BQ98" s="32"/>
      <c r="BR98" s="32"/>
      <c r="BS98" s="32"/>
      <c r="BT98" s="32"/>
      <c r="BU98" s="32"/>
      <c r="BV98" s="32"/>
      <c r="BW98" s="32"/>
      <c r="BX98" s="32"/>
      <c r="BY98" s="32"/>
      <c r="BZ98" s="32"/>
      <c r="CA98" s="32"/>
      <c r="CB98" s="32"/>
      <c r="CC98" s="32"/>
      <c r="CD98" s="32"/>
      <c r="CE98" s="32">
        <v>0</v>
      </c>
      <c r="CF98" s="32"/>
      <c r="CG98" s="32"/>
      <c r="CH98" s="32"/>
      <c r="CI98" s="32">
        <f t="shared" si="6"/>
        <v>0</v>
      </c>
      <c r="CJ98" s="60">
        <f>IF((Table1[[#This Row],["Volume
BA MC-0"]]-Table1[[#This Row],[Total Panjang Pipa Aktual
(Sum-&gt;)3]]-Table1[[#This Row],[Total Volume
tidak dapat dipasang]])&gt;=0,Table1[[#This Row],["Volume
BA MC-0"]]-Table1[[#This Row],[Total Panjang Pipa Aktual
(Sum-&gt;)3]]-Table1[[#This Row],[Total Volume
tidak dapat dipasang]],0)</f>
        <v>0</v>
      </c>
      <c r="CK98" s="42"/>
      <c r="CL98" s="113"/>
      <c r="CM98" s="35"/>
      <c r="CN98" s="113"/>
      <c r="CO98" s="113"/>
      <c r="CP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8" s="61">
        <f>IFERROR(Table1[[#This Row],[Progres Keg. Umum
(%)]]*Table1[[#This Row],[Nilai RAB Jaringan
(file pa aji)]],0)</f>
        <v>0</v>
      </c>
      <c r="CR98" s="61">
        <f>IFERROR(Table1[[#This Row],[Progres MOS
(%)]]*Table1[[#This Row],[Nilai RAB Jaringan
(file pa aji)]],0)</f>
        <v>0</v>
      </c>
      <c r="CS98" s="61">
        <f>IFERROR(Table1[[#This Row],[Progres Pemasangan
(%)]]*Table1[[#This Row],[Nilai RAB Jaringan
(file pa aji)]],0)</f>
        <v>0</v>
      </c>
      <c r="CT98" s="61">
        <f>IFERROR(Table1[[#This Row],[Progres Perizinan
(%)]]*Table1[[#This Row],[Nilai RAB Jaringan
(file pa aji)]],0)</f>
        <v>0</v>
      </c>
      <c r="CU98" s="789">
        <v>265131831</v>
      </c>
      <c r="CV98" s="299">
        <v>265131831</v>
      </c>
      <c r="CW98" s="552">
        <v>265131831</v>
      </c>
      <c r="CX98" s="789">
        <f>_xlfn.XLOOKUP(Table1[[#This Row],[Kode Program]],'[1]Breakdown VOWD Greenfield'!$E:$E,'[1]Breakdown VOWD Greenfield'!$AT:$AT)</f>
        <v>265131831</v>
      </c>
      <c r="CY98" s="42"/>
      <c r="CZ98" s="300">
        <v>45411</v>
      </c>
      <c r="DA98" s="300">
        <v>45438</v>
      </c>
      <c r="DB98" s="301"/>
      <c r="DC98" s="286"/>
      <c r="DD98" s="62"/>
      <c r="DE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8" s="301"/>
      <c r="DG98" s="286"/>
      <c r="DH98" s="62"/>
      <c r="DI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8" s="300">
        <v>45439</v>
      </c>
      <c r="DK98" s="300">
        <v>45480</v>
      </c>
      <c r="DL98" s="301"/>
      <c r="DM98" s="286"/>
      <c r="DN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98" s="301"/>
      <c r="DP98" s="286"/>
      <c r="DQ98" s="308"/>
      <c r="DR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98" s="300">
        <v>45439</v>
      </c>
      <c r="DT98" s="300" t="e">
        <v>#N/A</v>
      </c>
      <c r="DU98" s="300">
        <v>45480</v>
      </c>
      <c r="DV98" s="300" t="e">
        <v>#N/A</v>
      </c>
      <c r="DW98" s="301"/>
      <c r="DX98" s="286"/>
      <c r="DY98" s="304"/>
      <c r="DZ98" s="304"/>
      <c r="EA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8" s="301"/>
      <c r="EC98" s="302"/>
      <c r="ED98" s="302"/>
      <c r="EE98" s="300"/>
      <c r="EF98" s="35">
        <v>1</v>
      </c>
      <c r="EG98" s="307">
        <v>1</v>
      </c>
      <c r="EH98" s="286" t="str">
        <f>IF(Table1[[#This Row],[PO Material Aktual 
(%)]]&gt;=100%,"Selesai PO = 100%",IF(Table1[[#This Row],[PO Material Aktual 
(%)]]&gt;=50%,"Proses PO &gt; 100%",IF(Table1[[#This Row],[PO Material Aktual 
(%)]]&gt;0%,"Proses PO &gt; 50%",IF(Table1[[#This Row],[PO Material Aktual 
(%)]]=0,"Belum PO = 0%"))))</f>
        <v>Selesai PO = 100%</v>
      </c>
      <c r="EI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8" s="300">
        <v>45481</v>
      </c>
      <c r="EK98" s="300" t="e">
        <v>#N/A</v>
      </c>
      <c r="EL98" s="300">
        <v>45529</v>
      </c>
      <c r="EM98" s="300" t="e">
        <v>#N/A</v>
      </c>
      <c r="EN98" s="301"/>
      <c r="EO98" s="302"/>
      <c r="EP98" s="302"/>
      <c r="EQ98" s="82">
        <v>1</v>
      </c>
      <c r="ER98" s="82">
        <v>1</v>
      </c>
      <c r="ES98" s="286" t="str">
        <f>IF(Table1[[#This Row],[Progres MOS]]&gt;=100%,"Selesai MOS = 100%",IF(Table1[[#This Row],[Progres MOS]]&gt;=50%,"Proses MOS &gt; 100%",IF(Table1[[#This Row],[Progres MOS]]&gt;0%,"Proses MOS &gt; 50%",IF(Table1[[#This Row],[Progres MOS]]=0,"Belum MOS = 0%"))))</f>
        <v>Selesai MOS = 100%</v>
      </c>
      <c r="ET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98" s="42"/>
      <c r="EV98" s="300">
        <v>45439</v>
      </c>
      <c r="EW98" s="300" t="e">
        <v>#N/A</v>
      </c>
      <c r="EX98" s="300">
        <v>45529</v>
      </c>
      <c r="EY98" s="300" t="e">
        <v>#N/A</v>
      </c>
      <c r="EZ98" s="322" t="s">
        <v>298</v>
      </c>
      <c r="FA98" s="306" t="s">
        <v>259</v>
      </c>
      <c r="FB98" s="300" t="s">
        <v>260</v>
      </c>
      <c r="FC98" s="300">
        <v>45799</v>
      </c>
      <c r="FD98" s="300" t="s">
        <v>260</v>
      </c>
      <c r="FE98" s="300">
        <v>45875</v>
      </c>
      <c r="FF98" s="300">
        <v>45929</v>
      </c>
      <c r="FG98" s="300" t="s">
        <v>260</v>
      </c>
      <c r="FH98" s="300" t="s">
        <v>260</v>
      </c>
      <c r="FI98" s="300">
        <v>46021</v>
      </c>
      <c r="FJ98" s="300" t="s">
        <v>260</v>
      </c>
      <c r="FK98" s="300">
        <v>46087</v>
      </c>
      <c r="FL98" s="306" t="s">
        <v>298</v>
      </c>
      <c r="FM98" s="306">
        <v>45799</v>
      </c>
      <c r="FN98" s="284">
        <f>IF(Table1[[#This Row],[Tanggal Pengajuan Dokumen]]="","",Table1[[#This Row],[PLAN PERMIT
start]]-Table1[[#This Row],[Tanggal Pengajuan Dokumen]])</f>
        <v>-360</v>
      </c>
      <c r="FO98" s="306"/>
      <c r="FP98" s="286"/>
      <c r="FQ98" s="308"/>
      <c r="FR98" s="322"/>
      <c r="FS98" s="308" t="str">
        <f t="shared" si="7"/>
        <v>Sudah Terbit</v>
      </c>
      <c r="FT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8" s="314">
        <f ca="1">IF(Table1[[#This Row],[Status Izin]]="Selesai",Table1[[#This Row],[PLAN PERMIT
finish]]-Table1[[#This Row],[Tanggal Terbit/ Target Izin Terbit]],ROUNDUP(Table1[[#This Row],[PLAN PERMIT
finish]]-NOW(),0))</f>
        <v>45529</v>
      </c>
      <c r="FV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8" s="314"/>
      <c r="FX98" s="42"/>
      <c r="FY98" s="310"/>
      <c r="FZ98" s="311"/>
      <c r="GA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8" s="300">
        <v>45503</v>
      </c>
      <c r="GC98" s="322">
        <v>45443</v>
      </c>
      <c r="GD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8" s="300">
        <v>45510</v>
      </c>
      <c r="GF98" s="322">
        <v>45443</v>
      </c>
      <c r="GG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8" s="300">
        <v>45516</v>
      </c>
      <c r="GI98" s="300">
        <v>45522</v>
      </c>
      <c r="GJ98" s="322">
        <v>45448</v>
      </c>
      <c r="GK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8" s="300">
        <v>45530</v>
      </c>
      <c r="GM98" s="300" t="e">
        <v>#N/A</v>
      </c>
      <c r="GN98" s="300">
        <v>45550</v>
      </c>
      <c r="GO98" s="300" t="e">
        <v>#N/A</v>
      </c>
      <c r="GP98" s="286"/>
      <c r="GQ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8" s="300" t="s">
        <v>261</v>
      </c>
      <c r="GS98" s="391" t="s">
        <v>261</v>
      </c>
      <c r="GT98" s="397">
        <v>45447</v>
      </c>
      <c r="GU98" s="393" t="str">
        <f>IF(Table1[[#This Row],[Hydro Tes Actual
(tanggal)]]&lt;&gt;"","Sudah","Belum")</f>
        <v>Sudah</v>
      </c>
      <c r="GV98" s="300" t="s">
        <v>261</v>
      </c>
      <c r="GW98" s="300" t="s">
        <v>261</v>
      </c>
      <c r="GX98" s="301"/>
      <c r="GY98" s="314" t="str">
        <f>IF(Table1[[#This Row],[Interkoneksi Actual
(tanggal)]]&lt;&gt;"","Sudah","Belum")</f>
        <v>Belum</v>
      </c>
      <c r="GZ98" s="300" t="s">
        <v>261</v>
      </c>
      <c r="HA98" s="391" t="s">
        <v>261</v>
      </c>
      <c r="HB98" s="394">
        <v>45469</v>
      </c>
      <c r="HC98" s="314" t="str">
        <f>IF(Table1[[#This Row],[Flushing Actual
(tanggal)]]&lt;&gt;"","Sudah","Belum")</f>
        <v>Sudah</v>
      </c>
      <c r="HD98" s="300">
        <v>45537</v>
      </c>
      <c r="HE98" s="300" t="e">
        <v>#N/A</v>
      </c>
      <c r="HF98" s="300">
        <v>45543</v>
      </c>
      <c r="HG98" s="322">
        <v>45566</v>
      </c>
      <c r="HH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98" s="300" t="s">
        <v>261</v>
      </c>
      <c r="HJ98" s="300" t="s">
        <v>261</v>
      </c>
      <c r="HK98" s="301"/>
      <c r="HL98" s="286"/>
      <c r="HM98" s="300">
        <v>45555</v>
      </c>
      <c r="HN98" s="300">
        <v>45555</v>
      </c>
      <c r="HO98" s="300" t="e">
        <v>#N/A</v>
      </c>
      <c r="HP98" s="300"/>
      <c r="HQ98" s="301">
        <v>45735</v>
      </c>
      <c r="HR9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8" s="300">
        <v>45562</v>
      </c>
      <c r="HT98" s="300"/>
      <c r="HU98" s="300">
        <v>45562</v>
      </c>
      <c r="HV98" s="497"/>
      <c r="HW98" s="300">
        <v>45745</v>
      </c>
      <c r="HX9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8" s="42"/>
      <c r="HZ98" s="322"/>
      <c r="IA98" s="306"/>
      <c r="IC98" s="585">
        <f>IFERROR(ROUND((Table1[[#This Row],[PLAN TC
finish]]-Table1[[#This Row],[PLAN MC-0
start]])/30,2),"")</f>
        <v>0.9</v>
      </c>
      <c r="ID98">
        <f>DATEDIF(Table1[[#This Row],[PLAN MC-0
start]],Table1[[#This Row],[PLAN TC
finish]],"m")</f>
        <v>0</v>
      </c>
    </row>
    <row r="99" spans="2:238" s="4" customFormat="1" ht="15" customHeight="1" x14ac:dyDescent="0.25">
      <c r="B99" s="281">
        <f>SUBTOTAL(3,$D$5:D99)</f>
        <v>95</v>
      </c>
      <c r="C99" s="318">
        <v>95</v>
      </c>
      <c r="D99" s="285" t="s">
        <v>673</v>
      </c>
      <c r="E99" s="285" t="s">
        <v>726</v>
      </c>
      <c r="F99" s="285" t="s">
        <v>727</v>
      </c>
      <c r="G99" s="319">
        <v>45752</v>
      </c>
      <c r="H99" s="284" t="s">
        <v>247</v>
      </c>
      <c r="I99" s="285" t="s">
        <v>278</v>
      </c>
      <c r="J99" s="285"/>
      <c r="K99" s="308" t="s">
        <v>676</v>
      </c>
      <c r="L99" s="286" t="s">
        <v>250</v>
      </c>
      <c r="M99" s="286" t="s">
        <v>269</v>
      </c>
      <c r="N99" s="94">
        <v>387</v>
      </c>
      <c r="O99" s="31" t="s">
        <v>252</v>
      </c>
      <c r="P9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99" s="82" t="e">
        <v>#N/A</v>
      </c>
      <c r="S99" s="82">
        <v>1</v>
      </c>
      <c r="T99" s="35">
        <f>Table1[[#This Row],[Progres Total Aktual
(%)]]</f>
        <v>1</v>
      </c>
      <c r="U99" s="106">
        <f>Table1[[#This Row],[Progres Aktual
(%)]]-Table1[[#This Row],[Target Progres
(%)]]</f>
        <v>0</v>
      </c>
      <c r="V99" s="320">
        <f>Table1[[#This Row],["Volume
BA MC-0"]]</f>
        <v>397</v>
      </c>
      <c r="W99" s="321">
        <f>Table1[[#This Row],[Total Panjang Pipa Aktual
(Sum-&gt;)3]]</f>
        <v>397</v>
      </c>
      <c r="X99" s="42"/>
      <c r="Y99" s="62" t="s">
        <v>728</v>
      </c>
      <c r="Z99" s="62">
        <v>387454691</v>
      </c>
      <c r="AA99" s="62">
        <f>ROUND((Table1[[#This Row],[Nilai RAB Jaringan
(Exclude Ppn)]]-Table1[[#This Row],[RAB Perizinan]])*1.11+Table1[[#This Row],[RAB Perizinan]],0)</f>
        <v>0</v>
      </c>
      <c r="AB99" s="290">
        <f>SUM(Table1[[#This Row],[RAB Kegiatan Umum]:[RAB Perizinan]])</f>
        <v>0</v>
      </c>
      <c r="AC99" s="290"/>
      <c r="AD99" s="290"/>
      <c r="AE99" s="290"/>
      <c r="AF99" s="290"/>
      <c r="AG99" s="290">
        <v>705079015</v>
      </c>
      <c r="AH99" s="35" t="e">
        <f>SUM(Table1[[#This Row],[Bobot Keg Umum]:[Bobot Perizinan]])</f>
        <v>#DIV/0!</v>
      </c>
      <c r="AI99" s="35" t="e">
        <f>Table1[[#This Row],[RAB Kegiatan Umum]]/Table1[[#This Row],[Nilai RAB Jaringan
(Exclude Ppn)]]</f>
        <v>#DIV/0!</v>
      </c>
      <c r="AJ99" s="35" t="e">
        <f>Table1[[#This Row],[RAB Pemasangan]]/Table1[[#This Row],[Nilai RAB Jaringan
(Exclude Ppn)]]</f>
        <v>#DIV/0!</v>
      </c>
      <c r="AK99" s="35" t="e">
        <f>Table1[[#This Row],[RAB Pengadaan]]/Table1[[#This Row],[Nilai RAB Jaringan
(Exclude Ppn)]]</f>
        <v>#DIV/0!</v>
      </c>
      <c r="AL99" s="35" t="e">
        <f>Table1[[#This Row],[RAB Perizinan]]/Table1[[#This Row],[Nilai RAB Jaringan
(Exclude Ppn)]]</f>
        <v>#DIV/0!</v>
      </c>
      <c r="AM99" s="42"/>
      <c r="AN99" s="256">
        <v>397</v>
      </c>
      <c r="AO99" s="256">
        <f>SUM(Table1[[#This Row],[Pipa 63 mm]:[Pipa 1,800 mm]])</f>
        <v>0</v>
      </c>
      <c r="AP99" s="256"/>
      <c r="AQ99" s="256"/>
      <c r="AR99" s="256"/>
      <c r="AS99" s="256"/>
      <c r="AT99" s="256"/>
      <c r="AU99" s="256"/>
      <c r="AV99" s="256"/>
      <c r="AW99" s="256"/>
      <c r="AX99" s="256"/>
      <c r="AY99" s="256"/>
      <c r="AZ99" s="256"/>
      <c r="BA99" s="256"/>
      <c r="BB99" s="256"/>
      <c r="BC99" s="256"/>
      <c r="BD99" s="256"/>
      <c r="BE99" s="256"/>
      <c r="BF99" s="256"/>
      <c r="BG99" s="256"/>
      <c r="BH99" s="256"/>
      <c r="BI99" s="256"/>
      <c r="BJ99" s="36">
        <f>SUM(Table1[[#This Row],[Pipa 63 mm2]:[Pipa 1,800 mm21]])</f>
        <v>397</v>
      </c>
      <c r="BK99" s="32"/>
      <c r="BL99" s="32">
        <v>397</v>
      </c>
      <c r="BM99" s="32"/>
      <c r="BN99" s="32"/>
      <c r="BO99" s="32"/>
      <c r="BP99" s="32"/>
      <c r="BQ99" s="32"/>
      <c r="BR99" s="32"/>
      <c r="BS99" s="32"/>
      <c r="BT99" s="32"/>
      <c r="BU99" s="32"/>
      <c r="BV99" s="32"/>
      <c r="BW99" s="32"/>
      <c r="BX99" s="32"/>
      <c r="BY99" s="32"/>
      <c r="BZ99" s="32"/>
      <c r="CA99" s="32"/>
      <c r="CB99" s="32"/>
      <c r="CC99" s="32"/>
      <c r="CD99" s="32"/>
      <c r="CE99" s="32">
        <v>0</v>
      </c>
      <c r="CF99" s="32"/>
      <c r="CG99" s="32"/>
      <c r="CH99" s="32"/>
      <c r="CI99" s="32">
        <f t="shared" si="6"/>
        <v>0</v>
      </c>
      <c r="CJ99" s="60">
        <f>IF((Table1[[#This Row],["Volume
BA MC-0"]]-Table1[[#This Row],[Total Panjang Pipa Aktual
(Sum-&gt;)3]]-Table1[[#This Row],[Total Volume
tidak dapat dipasang]])&gt;=0,Table1[[#This Row],["Volume
BA MC-0"]]-Table1[[#This Row],[Total Panjang Pipa Aktual
(Sum-&gt;)3]]-Table1[[#This Row],[Total Volume
tidak dapat dipasang]],0)</f>
        <v>0</v>
      </c>
      <c r="CK99" s="42"/>
      <c r="CL99" s="113"/>
      <c r="CM99" s="35"/>
      <c r="CN99" s="113"/>
      <c r="CO99" s="113"/>
      <c r="CP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99" s="61">
        <f>IFERROR(Table1[[#This Row],[Progres Keg. Umum
(%)]]*Table1[[#This Row],[Nilai RAB Jaringan
(file pa aji)]],0)</f>
        <v>0</v>
      </c>
      <c r="CR99" s="61">
        <f>IFERROR(Table1[[#This Row],[Progres MOS
(%)]]*Table1[[#This Row],[Nilai RAB Jaringan
(file pa aji)]],0)</f>
        <v>0</v>
      </c>
      <c r="CS99" s="61">
        <f>IFERROR(Table1[[#This Row],[Progres Pemasangan
(%)]]*Table1[[#This Row],[Nilai RAB Jaringan
(file pa aji)]],0)</f>
        <v>0</v>
      </c>
      <c r="CT99" s="61">
        <f>IFERROR(Table1[[#This Row],[Progres Perizinan
(%)]]*Table1[[#This Row],[Nilai RAB Jaringan
(file pa aji)]],0)</f>
        <v>0</v>
      </c>
      <c r="CU99" s="789">
        <v>357672601</v>
      </c>
      <c r="CV99" s="299">
        <v>357672601</v>
      </c>
      <c r="CW99" s="552">
        <v>357672601</v>
      </c>
      <c r="CX99" s="789">
        <f>_xlfn.XLOOKUP(Table1[[#This Row],[Kode Program]],'[1]Breakdown VOWD Greenfield'!$E:$E,'[1]Breakdown VOWD Greenfield'!$AT:$AT)</f>
        <v>357672601</v>
      </c>
      <c r="CY99" s="42"/>
      <c r="CZ99" s="300">
        <v>45439</v>
      </c>
      <c r="DA99" s="300">
        <v>45466</v>
      </c>
      <c r="DB99" s="301"/>
      <c r="DC99" s="286"/>
      <c r="DD99" s="62"/>
      <c r="DE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99" s="301"/>
      <c r="DG99" s="286"/>
      <c r="DH99" s="62"/>
      <c r="DI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99" s="300">
        <v>45467</v>
      </c>
      <c r="DK99" s="300">
        <v>45508</v>
      </c>
      <c r="DL99" s="301">
        <v>45439</v>
      </c>
      <c r="DM99" s="395" t="s">
        <v>729</v>
      </c>
      <c r="DN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99" s="301">
        <v>45447</v>
      </c>
      <c r="DP99" s="396" t="s">
        <v>695</v>
      </c>
      <c r="DQ99" s="308" t="s">
        <v>297</v>
      </c>
      <c r="DR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99" s="300">
        <v>45467</v>
      </c>
      <c r="DT99" s="300" t="e">
        <v>#N/A</v>
      </c>
      <c r="DU99" s="300">
        <v>45508</v>
      </c>
      <c r="DV99" s="300" t="e">
        <v>#N/A</v>
      </c>
      <c r="DW99" s="301"/>
      <c r="DX99" s="286"/>
      <c r="DY99" s="304"/>
      <c r="DZ99" s="304"/>
      <c r="EA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99" s="301"/>
      <c r="EC99" s="302"/>
      <c r="ED99" s="302"/>
      <c r="EE99" s="300"/>
      <c r="EF99" s="35">
        <v>1</v>
      </c>
      <c r="EG99" s="307">
        <v>1</v>
      </c>
      <c r="EH99" s="286" t="str">
        <f>IF(Table1[[#This Row],[PO Material Aktual 
(%)]]&gt;=100%,"Selesai PO = 100%",IF(Table1[[#This Row],[PO Material Aktual 
(%)]]&gt;=50%,"Proses PO &gt; 100%",IF(Table1[[#This Row],[PO Material Aktual 
(%)]]&gt;0%,"Proses PO &gt; 50%",IF(Table1[[#This Row],[PO Material Aktual 
(%)]]=0,"Belum PO = 0%"))))</f>
        <v>Selesai PO = 100%</v>
      </c>
      <c r="EI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99" s="300">
        <v>45509</v>
      </c>
      <c r="EK99" s="300" t="e">
        <v>#N/A</v>
      </c>
      <c r="EL99" s="300">
        <v>45599</v>
      </c>
      <c r="EM99" s="300" t="e">
        <v>#N/A</v>
      </c>
      <c r="EN99" s="301">
        <v>45595</v>
      </c>
      <c r="EO99" s="302"/>
      <c r="EP99" s="302"/>
      <c r="EQ99" s="82">
        <v>1</v>
      </c>
      <c r="ER99" s="82">
        <v>1</v>
      </c>
      <c r="ES99" s="286" t="str">
        <f>IF(Table1[[#This Row],[Progres MOS]]&gt;=100%,"Selesai MOS = 100%",IF(Table1[[#This Row],[Progres MOS]]&gt;=50%,"Proses MOS &gt; 100%",IF(Table1[[#This Row],[Progres MOS]]&gt;0%,"Proses MOS &gt; 50%",IF(Table1[[#This Row],[Progres MOS]]=0,"Belum MOS = 0%"))))</f>
        <v>Selesai MOS = 100%</v>
      </c>
      <c r="ET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99" s="42"/>
      <c r="EV99" s="300">
        <v>45467</v>
      </c>
      <c r="EW99" s="300" t="e">
        <v>#N/A</v>
      </c>
      <c r="EX99" s="300">
        <v>45564</v>
      </c>
      <c r="EY99" s="300" t="e">
        <v>#N/A</v>
      </c>
      <c r="EZ99" s="322" t="s">
        <v>298</v>
      </c>
      <c r="FA99" s="306" t="s">
        <v>259</v>
      </c>
      <c r="FB99" s="300" t="s">
        <v>260</v>
      </c>
      <c r="FC99" s="300">
        <v>45799</v>
      </c>
      <c r="FD99" s="300" t="s">
        <v>260</v>
      </c>
      <c r="FE99" s="300">
        <v>45875</v>
      </c>
      <c r="FF99" s="300">
        <v>45929</v>
      </c>
      <c r="FG99" s="300" t="s">
        <v>260</v>
      </c>
      <c r="FH99" s="300" t="s">
        <v>260</v>
      </c>
      <c r="FI99" s="300">
        <v>46021</v>
      </c>
      <c r="FJ99" s="300" t="s">
        <v>260</v>
      </c>
      <c r="FK99" s="300">
        <v>46087</v>
      </c>
      <c r="FL99" s="306" t="s">
        <v>298</v>
      </c>
      <c r="FM99" s="306">
        <v>45799</v>
      </c>
      <c r="FN99" s="284">
        <f>IF(Table1[[#This Row],[Tanggal Pengajuan Dokumen]]="","",Table1[[#This Row],[PLAN PERMIT
start]]-Table1[[#This Row],[Tanggal Pengajuan Dokumen]])</f>
        <v>-332</v>
      </c>
      <c r="FO99" s="306"/>
      <c r="FP99" s="286"/>
      <c r="FQ99" s="308"/>
      <c r="FR99" s="322"/>
      <c r="FS99" s="308" t="str">
        <f t="shared" si="7"/>
        <v>Sudah Terbit</v>
      </c>
      <c r="FT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99" s="314">
        <f ca="1">IF(Table1[[#This Row],[Status Izin]]="Selesai",Table1[[#This Row],[PLAN PERMIT
finish]]-Table1[[#This Row],[Tanggal Terbit/ Target Izin Terbit]],ROUNDUP(Table1[[#This Row],[PLAN PERMIT
finish]]-NOW(),0))</f>
        <v>45564</v>
      </c>
      <c r="FV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99" s="314"/>
      <c r="FX99" s="42"/>
      <c r="FY99" s="310"/>
      <c r="FZ99" s="311"/>
      <c r="GA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99" s="300">
        <v>45538</v>
      </c>
      <c r="GC99" s="322">
        <v>45443</v>
      </c>
      <c r="GD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99" s="300">
        <v>45545</v>
      </c>
      <c r="GF99" s="322">
        <v>45443</v>
      </c>
      <c r="GG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99" s="300">
        <v>45551</v>
      </c>
      <c r="GI99" s="300">
        <v>45557</v>
      </c>
      <c r="GJ99" s="322">
        <v>45448</v>
      </c>
      <c r="GK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99" s="300">
        <v>45565</v>
      </c>
      <c r="GM99" s="300" t="e">
        <v>#N/A</v>
      </c>
      <c r="GN99" s="300">
        <v>45641</v>
      </c>
      <c r="GO99" s="300" t="e">
        <v>#N/A</v>
      </c>
      <c r="GP99" s="286"/>
      <c r="GQ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99" s="300" t="s">
        <v>261</v>
      </c>
      <c r="GS99" s="391" t="s">
        <v>261</v>
      </c>
      <c r="GT99" s="397">
        <v>45525</v>
      </c>
      <c r="GU99" s="393" t="str">
        <f>IF(Table1[[#This Row],[Hydro Tes Actual
(tanggal)]]&lt;&gt;"","Sudah","Belum")</f>
        <v>Sudah</v>
      </c>
      <c r="GV99" s="300" t="s">
        <v>261</v>
      </c>
      <c r="GW99" s="300" t="s">
        <v>261</v>
      </c>
      <c r="GX99" s="301"/>
      <c r="GY99" s="314" t="str">
        <f>IF(Table1[[#This Row],[Interkoneksi Actual
(tanggal)]]&lt;&gt;"","Sudah","Belum")</f>
        <v>Belum</v>
      </c>
      <c r="GZ99" s="300" t="s">
        <v>261</v>
      </c>
      <c r="HA99" s="391" t="s">
        <v>261</v>
      </c>
      <c r="HB99" s="394">
        <v>45554</v>
      </c>
      <c r="HC99" s="314" t="str">
        <f>IF(Table1[[#This Row],[Flushing Actual
(tanggal)]]&lt;&gt;"","Sudah","Belum")</f>
        <v>Sudah</v>
      </c>
      <c r="HD99" s="300">
        <v>45621</v>
      </c>
      <c r="HE99" s="300" t="e">
        <v>#N/A</v>
      </c>
      <c r="HF99" s="300">
        <v>45623</v>
      </c>
      <c r="HG99" s="322">
        <v>45566</v>
      </c>
      <c r="HH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99" s="300" t="s">
        <v>261</v>
      </c>
      <c r="HJ99" s="300" t="s">
        <v>261</v>
      </c>
      <c r="HK99" s="301"/>
      <c r="HL99" s="286"/>
      <c r="HM99" s="300">
        <v>45646</v>
      </c>
      <c r="HN99" s="300">
        <v>45646</v>
      </c>
      <c r="HO99" s="300" t="e">
        <v>#N/A</v>
      </c>
      <c r="HP99" s="300"/>
      <c r="HQ99" s="301">
        <v>45733</v>
      </c>
      <c r="HR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99" s="300">
        <v>45653</v>
      </c>
      <c r="HT99" s="300"/>
      <c r="HU99" s="300">
        <v>45653</v>
      </c>
      <c r="HV99" s="497"/>
      <c r="HW99" s="300">
        <v>45745</v>
      </c>
      <c r="HX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99" s="42"/>
      <c r="HZ99" s="322"/>
      <c r="IA99" s="306"/>
      <c r="IC99" s="585">
        <f>IFERROR(ROUND((Table1[[#This Row],[PLAN TC
finish]]-Table1[[#This Row],[PLAN MC-0
start]])/30,2),"")</f>
        <v>2.4</v>
      </c>
      <c r="ID99">
        <f>DATEDIF(Table1[[#This Row],[PLAN MC-0
start]],Table1[[#This Row],[PLAN TC
finish]],"m")</f>
        <v>2</v>
      </c>
    </row>
    <row r="100" spans="2:238" s="4" customFormat="1" ht="15" customHeight="1" x14ac:dyDescent="0.25">
      <c r="B100" s="281">
        <f>SUBTOTAL(3,$D$5:D100)</f>
        <v>96</v>
      </c>
      <c r="C100" s="318">
        <v>96</v>
      </c>
      <c r="D100" s="285" t="s">
        <v>673</v>
      </c>
      <c r="E100" s="285" t="s">
        <v>730</v>
      </c>
      <c r="F100" s="285" t="s">
        <v>731</v>
      </c>
      <c r="G100" s="319">
        <v>45752</v>
      </c>
      <c r="H100" s="284" t="s">
        <v>247</v>
      </c>
      <c r="I100" s="285" t="s">
        <v>278</v>
      </c>
      <c r="J100" s="285"/>
      <c r="K100" s="308" t="s">
        <v>676</v>
      </c>
      <c r="L100" s="286" t="s">
        <v>250</v>
      </c>
      <c r="M100" s="286" t="s">
        <v>269</v>
      </c>
      <c r="N100" s="94">
        <v>126</v>
      </c>
      <c r="O100" s="31" t="s">
        <v>252</v>
      </c>
      <c r="P10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0" s="82" t="e">
        <v>#N/A</v>
      </c>
      <c r="S100" s="82">
        <v>1</v>
      </c>
      <c r="T100" s="35">
        <f>Table1[[#This Row],[Progres Total Aktual
(%)]]</f>
        <v>1</v>
      </c>
      <c r="U100" s="106">
        <f>Table1[[#This Row],[Progres Aktual
(%)]]-Table1[[#This Row],[Target Progres
(%)]]</f>
        <v>0</v>
      </c>
      <c r="V100" s="320">
        <f>Table1[[#This Row],["Volume
BA MC-0"]]</f>
        <v>124</v>
      </c>
      <c r="W100" s="321">
        <f>Table1[[#This Row],[Total Panjang Pipa Aktual
(Sum-&gt;)3]]</f>
        <v>126</v>
      </c>
      <c r="X100" s="42"/>
      <c r="Y100" s="62" t="s">
        <v>732</v>
      </c>
      <c r="Z100" s="62">
        <v>201946200</v>
      </c>
      <c r="AA100" s="62">
        <f>ROUND((Table1[[#This Row],[Nilai RAB Jaringan
(Exclude Ppn)]]-Table1[[#This Row],[RAB Perizinan]])*1.11+Table1[[#This Row],[RAB Perizinan]],0)</f>
        <v>0</v>
      </c>
      <c r="AB100" s="290">
        <f>SUM(Table1[[#This Row],[RAB Kegiatan Umum]:[RAB Perizinan]])</f>
        <v>0</v>
      </c>
      <c r="AC100" s="290"/>
      <c r="AD100" s="290"/>
      <c r="AE100" s="290"/>
      <c r="AF100" s="290"/>
      <c r="AG100" s="290">
        <v>49191560</v>
      </c>
      <c r="AH100" s="35" t="e">
        <f>SUM(Table1[[#This Row],[Bobot Keg Umum]:[Bobot Perizinan]])</f>
        <v>#DIV/0!</v>
      </c>
      <c r="AI100" s="35" t="e">
        <f>Table1[[#This Row],[RAB Kegiatan Umum]]/Table1[[#This Row],[Nilai RAB Jaringan
(Exclude Ppn)]]</f>
        <v>#DIV/0!</v>
      </c>
      <c r="AJ100" s="35" t="e">
        <f>Table1[[#This Row],[RAB Pemasangan]]/Table1[[#This Row],[Nilai RAB Jaringan
(Exclude Ppn)]]</f>
        <v>#DIV/0!</v>
      </c>
      <c r="AK100" s="35" t="e">
        <f>Table1[[#This Row],[RAB Pengadaan]]/Table1[[#This Row],[Nilai RAB Jaringan
(Exclude Ppn)]]</f>
        <v>#DIV/0!</v>
      </c>
      <c r="AL100" s="35" t="e">
        <f>Table1[[#This Row],[RAB Perizinan]]/Table1[[#This Row],[Nilai RAB Jaringan
(Exclude Ppn)]]</f>
        <v>#DIV/0!</v>
      </c>
      <c r="AM100" s="42"/>
      <c r="AN100" s="256">
        <v>124</v>
      </c>
      <c r="AO100" s="256">
        <f>SUM(Table1[[#This Row],[Pipa 63 mm]:[Pipa 1,800 mm]])</f>
        <v>0</v>
      </c>
      <c r="AP100" s="256"/>
      <c r="AQ100" s="256"/>
      <c r="AR100" s="256"/>
      <c r="AS100" s="256"/>
      <c r="AT100" s="256"/>
      <c r="AU100" s="256"/>
      <c r="AV100" s="256"/>
      <c r="AW100" s="256"/>
      <c r="AX100" s="256"/>
      <c r="AY100" s="256"/>
      <c r="AZ100" s="256"/>
      <c r="BA100" s="256"/>
      <c r="BB100" s="256"/>
      <c r="BC100" s="256"/>
      <c r="BD100" s="256"/>
      <c r="BE100" s="256"/>
      <c r="BF100" s="256"/>
      <c r="BG100" s="256"/>
      <c r="BH100" s="256"/>
      <c r="BI100" s="256"/>
      <c r="BJ100" s="36">
        <f>SUM(Table1[[#This Row],[Pipa 63 mm2]:[Pipa 1,800 mm21]])</f>
        <v>126</v>
      </c>
      <c r="BK100" s="32">
        <v>126</v>
      </c>
      <c r="BL100" s="32"/>
      <c r="BM100" s="32"/>
      <c r="BN100" s="32"/>
      <c r="BO100" s="32"/>
      <c r="BP100" s="32"/>
      <c r="BQ100" s="32"/>
      <c r="BR100" s="32"/>
      <c r="BS100" s="32"/>
      <c r="BT100" s="32"/>
      <c r="BU100" s="32"/>
      <c r="BV100" s="32"/>
      <c r="BW100" s="32"/>
      <c r="BX100" s="32"/>
      <c r="BY100" s="32"/>
      <c r="BZ100" s="32"/>
      <c r="CA100" s="32"/>
      <c r="CB100" s="32"/>
      <c r="CC100" s="32"/>
      <c r="CD100" s="32"/>
      <c r="CE100" s="32">
        <v>0</v>
      </c>
      <c r="CF100" s="32"/>
      <c r="CG100" s="32"/>
      <c r="CH100" s="32"/>
      <c r="CI100" s="32">
        <f t="shared" si="6"/>
        <v>0</v>
      </c>
      <c r="CJ100" s="60">
        <f>IF((Table1[[#This Row],["Volume
BA MC-0"]]-Table1[[#This Row],[Total Panjang Pipa Aktual
(Sum-&gt;)3]]-Table1[[#This Row],[Total Volume
tidak dapat dipasang]])&gt;=0,Table1[[#This Row],["Volume
BA MC-0"]]-Table1[[#This Row],[Total Panjang Pipa Aktual
(Sum-&gt;)3]]-Table1[[#This Row],[Total Volume
tidak dapat dipasang]],0)</f>
        <v>0</v>
      </c>
      <c r="CK100" s="42"/>
      <c r="CL100" s="113"/>
      <c r="CM100" s="35"/>
      <c r="CN100" s="113"/>
      <c r="CO100" s="113"/>
      <c r="CP10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0" s="61">
        <f>IFERROR(Table1[[#This Row],[Progres Keg. Umum
(%)]]*Table1[[#This Row],[Nilai RAB Jaringan
(file pa aji)]],0)</f>
        <v>0</v>
      </c>
      <c r="CR100" s="61">
        <f>IFERROR(Table1[[#This Row],[Progres MOS
(%)]]*Table1[[#This Row],[Nilai RAB Jaringan
(file pa aji)]],0)</f>
        <v>0</v>
      </c>
      <c r="CS100" s="61">
        <f>IFERROR(Table1[[#This Row],[Progres Pemasangan
(%)]]*Table1[[#This Row],[Nilai RAB Jaringan
(file pa aji)]],0)</f>
        <v>0</v>
      </c>
      <c r="CT100" s="61">
        <f>IFERROR(Table1[[#This Row],[Progres Perizinan
(%)]]*Table1[[#This Row],[Nilai RAB Jaringan
(file pa aji)]],0)</f>
        <v>0</v>
      </c>
      <c r="CU100" s="789">
        <v>219308195</v>
      </c>
      <c r="CV100" s="299">
        <v>219308195</v>
      </c>
      <c r="CW100" s="552">
        <v>219308195</v>
      </c>
      <c r="CX100" s="789">
        <f>_xlfn.XLOOKUP(Table1[[#This Row],[Kode Program]],'[1]Breakdown VOWD Greenfield'!$E:$E,'[1]Breakdown VOWD Greenfield'!$AT:$AT)</f>
        <v>219308195</v>
      </c>
      <c r="CY100" s="42"/>
      <c r="CZ100" s="300">
        <v>45411</v>
      </c>
      <c r="DA100" s="300">
        <v>45438</v>
      </c>
      <c r="DB100" s="301"/>
      <c r="DC100" s="286"/>
      <c r="DD100" s="62"/>
      <c r="DE1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0" s="301"/>
      <c r="DG100" s="286"/>
      <c r="DH100" s="62"/>
      <c r="DI1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0" s="300">
        <v>45439</v>
      </c>
      <c r="DK100" s="300">
        <v>45480</v>
      </c>
      <c r="DL100" s="301">
        <v>45439</v>
      </c>
      <c r="DM100" s="395" t="s">
        <v>733</v>
      </c>
      <c r="DN1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0" s="301">
        <v>45447</v>
      </c>
      <c r="DP100" s="396" t="s">
        <v>695</v>
      </c>
      <c r="DQ100" s="308" t="s">
        <v>297</v>
      </c>
      <c r="DR1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0" s="300">
        <v>45439</v>
      </c>
      <c r="DT100" s="300" t="e">
        <v>#N/A</v>
      </c>
      <c r="DU100" s="300">
        <v>45480</v>
      </c>
      <c r="DV100" s="300" t="e">
        <v>#N/A</v>
      </c>
      <c r="DW100" s="301"/>
      <c r="DX100" s="286"/>
      <c r="DY100" s="304"/>
      <c r="DZ100" s="304"/>
      <c r="EA1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0" s="301"/>
      <c r="EC100" s="302"/>
      <c r="ED100" s="302"/>
      <c r="EE100" s="300"/>
      <c r="EF100" s="35">
        <v>1</v>
      </c>
      <c r="EG100" s="307">
        <v>1</v>
      </c>
      <c r="EH100" s="286" t="str">
        <f>IF(Table1[[#This Row],[PO Material Aktual 
(%)]]&gt;=100%,"Selesai PO = 100%",IF(Table1[[#This Row],[PO Material Aktual 
(%)]]&gt;=50%,"Proses PO &gt; 100%",IF(Table1[[#This Row],[PO Material Aktual 
(%)]]&gt;0%,"Proses PO &gt; 50%",IF(Table1[[#This Row],[PO Material Aktual 
(%)]]=0,"Belum PO = 0%"))))</f>
        <v>Selesai PO = 100%</v>
      </c>
      <c r="EI10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0" s="300">
        <v>45481</v>
      </c>
      <c r="EK100" s="300" t="e">
        <v>#N/A</v>
      </c>
      <c r="EL100" s="300">
        <v>45529</v>
      </c>
      <c r="EM100" s="300" t="e">
        <v>#N/A</v>
      </c>
      <c r="EN100" s="301">
        <v>45527</v>
      </c>
      <c r="EO100" s="302"/>
      <c r="EP100" s="302"/>
      <c r="EQ100" s="82">
        <v>1</v>
      </c>
      <c r="ER100" s="82">
        <v>1</v>
      </c>
      <c r="ES100" s="286" t="str">
        <f>IF(Table1[[#This Row],[Progres MOS]]&gt;=100%,"Selesai MOS = 100%",IF(Table1[[#This Row],[Progres MOS]]&gt;=50%,"Proses MOS &gt; 100%",IF(Table1[[#This Row],[Progres MOS]]&gt;0%,"Proses MOS &gt; 50%",IF(Table1[[#This Row],[Progres MOS]]=0,"Belum MOS = 0%"))))</f>
        <v>Selesai MOS = 100%</v>
      </c>
      <c r="ET1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0" s="42"/>
      <c r="EV100" s="300">
        <v>45439</v>
      </c>
      <c r="EW100" s="300" t="e">
        <v>#N/A</v>
      </c>
      <c r="EX100" s="300">
        <v>45529</v>
      </c>
      <c r="EY100" s="300" t="e">
        <v>#N/A</v>
      </c>
      <c r="EZ100" s="322" t="s">
        <v>298</v>
      </c>
      <c r="FA100" s="306" t="s">
        <v>259</v>
      </c>
      <c r="FB100" s="300" t="s">
        <v>260</v>
      </c>
      <c r="FC100" s="300">
        <v>45799</v>
      </c>
      <c r="FD100" s="300" t="s">
        <v>260</v>
      </c>
      <c r="FE100" s="300">
        <v>45875</v>
      </c>
      <c r="FF100" s="300">
        <v>45929</v>
      </c>
      <c r="FG100" s="300" t="s">
        <v>260</v>
      </c>
      <c r="FH100" s="300" t="s">
        <v>260</v>
      </c>
      <c r="FI100" s="300">
        <v>46021</v>
      </c>
      <c r="FJ100" s="300" t="s">
        <v>260</v>
      </c>
      <c r="FK100" s="300">
        <v>46087</v>
      </c>
      <c r="FL100" s="306" t="s">
        <v>298</v>
      </c>
      <c r="FM100" s="306">
        <v>45799</v>
      </c>
      <c r="FN100" s="284">
        <f>IF(Table1[[#This Row],[Tanggal Pengajuan Dokumen]]="","",Table1[[#This Row],[PLAN PERMIT
start]]-Table1[[#This Row],[Tanggal Pengajuan Dokumen]])</f>
        <v>-360</v>
      </c>
      <c r="FO100" s="306"/>
      <c r="FP100" s="286"/>
      <c r="FQ100" s="308"/>
      <c r="FR100" s="322"/>
      <c r="FS100" s="308" t="str">
        <f t="shared" si="7"/>
        <v>Sudah Terbit</v>
      </c>
      <c r="FT1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0" s="314">
        <f ca="1">IF(Table1[[#This Row],[Status Izin]]="Selesai",Table1[[#This Row],[PLAN PERMIT
finish]]-Table1[[#This Row],[Tanggal Terbit/ Target Izin Terbit]],ROUNDUP(Table1[[#This Row],[PLAN PERMIT
finish]]-NOW(),0))</f>
        <v>45529</v>
      </c>
      <c r="FV1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0" s="314"/>
      <c r="FX100" s="42"/>
      <c r="FY100" s="310"/>
      <c r="FZ100" s="311"/>
      <c r="GA1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0" s="300">
        <v>45503</v>
      </c>
      <c r="GC100" s="322">
        <v>45443</v>
      </c>
      <c r="GD1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0" s="300">
        <v>45510</v>
      </c>
      <c r="GF100" s="322">
        <v>45443</v>
      </c>
      <c r="GG1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0" s="300">
        <v>45516</v>
      </c>
      <c r="GI100" s="300">
        <v>45522</v>
      </c>
      <c r="GJ100" s="322">
        <v>45448</v>
      </c>
      <c r="GK1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0" s="300">
        <v>45530</v>
      </c>
      <c r="GM100" s="300" t="e">
        <v>#N/A</v>
      </c>
      <c r="GN100" s="300">
        <v>45550</v>
      </c>
      <c r="GO100" s="300" t="e">
        <v>#N/A</v>
      </c>
      <c r="GP100" s="286"/>
      <c r="GQ1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0" s="300" t="s">
        <v>261</v>
      </c>
      <c r="GS100" s="391" t="s">
        <v>261</v>
      </c>
      <c r="GT100" s="397">
        <v>45525</v>
      </c>
      <c r="GU100" s="393" t="str">
        <f>IF(Table1[[#This Row],[Hydro Tes Actual
(tanggal)]]&lt;&gt;"","Sudah","Belum")</f>
        <v>Sudah</v>
      </c>
      <c r="GV100" s="300" t="s">
        <v>261</v>
      </c>
      <c r="GW100" s="300" t="s">
        <v>261</v>
      </c>
      <c r="GX100" s="301"/>
      <c r="GY100" s="314" t="str">
        <f>IF(Table1[[#This Row],[Interkoneksi Actual
(tanggal)]]&lt;&gt;"","Sudah","Belum")</f>
        <v>Belum</v>
      </c>
      <c r="GZ100" s="300" t="s">
        <v>261</v>
      </c>
      <c r="HA100" s="391" t="s">
        <v>261</v>
      </c>
      <c r="HB100" s="394">
        <v>45554</v>
      </c>
      <c r="HC100" s="314" t="str">
        <f>IF(Table1[[#This Row],[Flushing Actual
(tanggal)]]&lt;&gt;"","Sudah","Belum")</f>
        <v>Sudah</v>
      </c>
      <c r="HD100" s="300">
        <v>45537</v>
      </c>
      <c r="HE100" s="300" t="e">
        <v>#N/A</v>
      </c>
      <c r="HF100" s="300">
        <v>45543</v>
      </c>
      <c r="HG100" s="322">
        <v>45566</v>
      </c>
      <c r="HH1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0" s="300" t="s">
        <v>261</v>
      </c>
      <c r="HJ100" s="300" t="s">
        <v>261</v>
      </c>
      <c r="HK100" s="301"/>
      <c r="HL100" s="286"/>
      <c r="HM100" s="300">
        <v>45555</v>
      </c>
      <c r="HN100" s="300">
        <v>45555</v>
      </c>
      <c r="HO100" s="300" t="e">
        <v>#N/A</v>
      </c>
      <c r="HP100" s="300"/>
      <c r="HQ100" s="301">
        <v>45734</v>
      </c>
      <c r="HR1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0" s="300">
        <v>45562</v>
      </c>
      <c r="HT100" s="300"/>
      <c r="HU100" s="300">
        <v>45562</v>
      </c>
      <c r="HV100" s="497"/>
      <c r="HW100" s="300">
        <v>45745</v>
      </c>
      <c r="HX10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0" s="42"/>
      <c r="HZ100" s="322"/>
      <c r="IA100" s="306"/>
      <c r="IC100" s="585">
        <f>IFERROR(ROUND((Table1[[#This Row],[PLAN TC
finish]]-Table1[[#This Row],[PLAN MC-0
start]])/30,2),"")</f>
        <v>0.9</v>
      </c>
      <c r="ID100">
        <f>DATEDIF(Table1[[#This Row],[PLAN MC-0
start]],Table1[[#This Row],[PLAN TC
finish]],"m")</f>
        <v>0</v>
      </c>
    </row>
    <row r="101" spans="2:238" s="4" customFormat="1" ht="15" customHeight="1" x14ac:dyDescent="0.25">
      <c r="B101" s="281">
        <f>SUBTOTAL(3,$D$5:D101)</f>
        <v>97</v>
      </c>
      <c r="C101" s="318">
        <v>97</v>
      </c>
      <c r="D101" s="285" t="s">
        <v>673</v>
      </c>
      <c r="E101" s="285" t="s">
        <v>734</v>
      </c>
      <c r="F101" s="285" t="s">
        <v>735</v>
      </c>
      <c r="G101" s="319">
        <v>45752</v>
      </c>
      <c r="H101" s="284" t="s">
        <v>247</v>
      </c>
      <c r="I101" s="285" t="s">
        <v>278</v>
      </c>
      <c r="J101" s="285"/>
      <c r="K101" s="308" t="s">
        <v>676</v>
      </c>
      <c r="L101" s="286" t="s">
        <v>250</v>
      </c>
      <c r="M101" s="286" t="s">
        <v>269</v>
      </c>
      <c r="N101" s="94">
        <v>50</v>
      </c>
      <c r="O101" s="31" t="s">
        <v>252</v>
      </c>
      <c r="P10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1" s="82" t="e">
        <v>#N/A</v>
      </c>
      <c r="S101" s="82">
        <v>1</v>
      </c>
      <c r="T101" s="35">
        <f>Table1[[#This Row],[Progres Total Aktual
(%)]]</f>
        <v>1</v>
      </c>
      <c r="U101" s="106">
        <f>Table1[[#This Row],[Progres Aktual
(%)]]-Table1[[#This Row],[Target Progres
(%)]]</f>
        <v>0</v>
      </c>
      <c r="V101" s="320">
        <f>Table1[[#This Row],["Volume
BA MC-0"]]</f>
        <v>279</v>
      </c>
      <c r="W101" s="321">
        <f>Table1[[#This Row],[Total Panjang Pipa Aktual
(Sum-&gt;)3]]</f>
        <v>316</v>
      </c>
      <c r="X101" s="42"/>
      <c r="Y101" s="62" t="s">
        <v>736</v>
      </c>
      <c r="Z101" s="62">
        <v>554419375</v>
      </c>
      <c r="AA101" s="62">
        <f>ROUND((Table1[[#This Row],[Nilai RAB Jaringan
(Exclude Ppn)]]-Table1[[#This Row],[RAB Perizinan]])*1.11+Table1[[#This Row],[RAB Perizinan]],0)</f>
        <v>0</v>
      </c>
      <c r="AB101" s="290">
        <f>SUM(Table1[[#This Row],[RAB Kegiatan Umum]:[RAB Perizinan]])</f>
        <v>0</v>
      </c>
      <c r="AC101" s="290"/>
      <c r="AD101" s="290"/>
      <c r="AE101" s="290"/>
      <c r="AF101" s="290"/>
      <c r="AG101" s="290">
        <v>8198594</v>
      </c>
      <c r="AH101" s="35" t="e">
        <f>SUM(Table1[[#This Row],[Bobot Keg Umum]:[Bobot Perizinan]])</f>
        <v>#DIV/0!</v>
      </c>
      <c r="AI101" s="35" t="e">
        <f>Table1[[#This Row],[RAB Kegiatan Umum]]/Table1[[#This Row],[Nilai RAB Jaringan
(Exclude Ppn)]]</f>
        <v>#DIV/0!</v>
      </c>
      <c r="AJ101" s="35" t="e">
        <f>Table1[[#This Row],[RAB Pemasangan]]/Table1[[#This Row],[Nilai RAB Jaringan
(Exclude Ppn)]]</f>
        <v>#DIV/0!</v>
      </c>
      <c r="AK101" s="35" t="e">
        <f>Table1[[#This Row],[RAB Pengadaan]]/Table1[[#This Row],[Nilai RAB Jaringan
(Exclude Ppn)]]</f>
        <v>#DIV/0!</v>
      </c>
      <c r="AL101" s="35" t="e">
        <f>Table1[[#This Row],[RAB Perizinan]]/Table1[[#This Row],[Nilai RAB Jaringan
(Exclude Ppn)]]</f>
        <v>#DIV/0!</v>
      </c>
      <c r="AM101" s="42"/>
      <c r="AN101" s="256">
        <v>279</v>
      </c>
      <c r="AO101" s="256">
        <f>SUM(Table1[[#This Row],[Pipa 63 mm]:[Pipa 1,800 mm]])</f>
        <v>0</v>
      </c>
      <c r="AP101" s="256"/>
      <c r="AQ101" s="256"/>
      <c r="AR101" s="256"/>
      <c r="AS101" s="256"/>
      <c r="AT101" s="256"/>
      <c r="AU101" s="256"/>
      <c r="AV101" s="256"/>
      <c r="AW101" s="256"/>
      <c r="AX101" s="256"/>
      <c r="AY101" s="256"/>
      <c r="AZ101" s="256"/>
      <c r="BA101" s="256"/>
      <c r="BB101" s="256"/>
      <c r="BC101" s="256"/>
      <c r="BD101" s="256"/>
      <c r="BE101" s="256"/>
      <c r="BF101" s="256"/>
      <c r="BG101" s="256"/>
      <c r="BH101" s="256"/>
      <c r="BI101" s="256"/>
      <c r="BJ101" s="36">
        <f>SUM(Table1[[#This Row],[Pipa 63 mm2]:[Pipa 1,800 mm21]])</f>
        <v>316</v>
      </c>
      <c r="BK101" s="32">
        <v>49</v>
      </c>
      <c r="BL101" s="32">
        <v>267</v>
      </c>
      <c r="BM101" s="32"/>
      <c r="BN101" s="32"/>
      <c r="BO101" s="32"/>
      <c r="BP101" s="32"/>
      <c r="BQ101" s="32"/>
      <c r="BR101" s="32"/>
      <c r="BS101" s="32"/>
      <c r="BT101" s="32"/>
      <c r="BU101" s="32"/>
      <c r="BV101" s="32"/>
      <c r="BW101" s="32"/>
      <c r="BX101" s="32"/>
      <c r="BY101" s="32"/>
      <c r="BZ101" s="32"/>
      <c r="CA101" s="32"/>
      <c r="CB101" s="32"/>
      <c r="CC101" s="32"/>
      <c r="CD101" s="32"/>
      <c r="CE101" s="32">
        <v>0</v>
      </c>
      <c r="CF101" s="32"/>
      <c r="CG101" s="32"/>
      <c r="CH101" s="32"/>
      <c r="CI101" s="32">
        <f t="shared" si="6"/>
        <v>0</v>
      </c>
      <c r="CJ101" s="60">
        <f>IF((Table1[[#This Row],["Volume
BA MC-0"]]-Table1[[#This Row],[Total Panjang Pipa Aktual
(Sum-&gt;)3]]-Table1[[#This Row],[Total Volume
tidak dapat dipasang]])&gt;=0,Table1[[#This Row],["Volume
BA MC-0"]]-Table1[[#This Row],[Total Panjang Pipa Aktual
(Sum-&gt;)3]]-Table1[[#This Row],[Total Volume
tidak dapat dipasang]],0)</f>
        <v>0</v>
      </c>
      <c r="CK101" s="42"/>
      <c r="CL101" s="113"/>
      <c r="CM101" s="35"/>
      <c r="CN101" s="113"/>
      <c r="CO101" s="113"/>
      <c r="CP10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1" s="61">
        <f>IFERROR(Table1[[#This Row],[Progres Keg. Umum
(%)]]*Table1[[#This Row],[Nilai RAB Jaringan
(file pa aji)]],0)</f>
        <v>0</v>
      </c>
      <c r="CR101" s="61">
        <f>IFERROR(Table1[[#This Row],[Progres MOS
(%)]]*Table1[[#This Row],[Nilai RAB Jaringan
(file pa aji)]],0)</f>
        <v>0</v>
      </c>
      <c r="CS101" s="61">
        <f>IFERROR(Table1[[#This Row],[Progres Pemasangan
(%)]]*Table1[[#This Row],[Nilai RAB Jaringan
(file pa aji)]],0)</f>
        <v>0</v>
      </c>
      <c r="CT101" s="61">
        <f>IFERROR(Table1[[#This Row],[Progres Perizinan
(%)]]*Table1[[#This Row],[Nilai RAB Jaringan
(file pa aji)]],0)</f>
        <v>0</v>
      </c>
      <c r="CU101" s="789">
        <v>542536517</v>
      </c>
      <c r="CV101" s="299">
        <v>542536517</v>
      </c>
      <c r="CW101" s="552">
        <v>542536517</v>
      </c>
      <c r="CX101" s="789">
        <f>_xlfn.XLOOKUP(Table1[[#This Row],[Kode Program]],'[1]Breakdown VOWD Greenfield'!$E:$E,'[1]Breakdown VOWD Greenfield'!$AT:$AT)</f>
        <v>542536517</v>
      </c>
      <c r="CY101" s="42"/>
      <c r="CZ101" s="300">
        <v>45411</v>
      </c>
      <c r="DA101" s="300">
        <v>45438</v>
      </c>
      <c r="DB101" s="301"/>
      <c r="DC101" s="286"/>
      <c r="DD101" s="62"/>
      <c r="DE1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1" s="301"/>
      <c r="DG101" s="286"/>
      <c r="DH101" s="62"/>
      <c r="DI1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1" s="300">
        <v>45439</v>
      </c>
      <c r="DK101" s="300">
        <v>45480</v>
      </c>
      <c r="DL101" s="301">
        <v>45448</v>
      </c>
      <c r="DM101" s="395" t="s">
        <v>737</v>
      </c>
      <c r="DN1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1" s="301">
        <v>45673</v>
      </c>
      <c r="DP101" s="396" t="s">
        <v>738</v>
      </c>
      <c r="DQ101" s="308" t="s">
        <v>297</v>
      </c>
      <c r="DR1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1" s="300">
        <v>45439</v>
      </c>
      <c r="DT101" s="300" t="e">
        <v>#N/A</v>
      </c>
      <c r="DU101" s="300">
        <v>45480</v>
      </c>
      <c r="DV101" s="300" t="e">
        <v>#N/A</v>
      </c>
      <c r="DW101" s="301"/>
      <c r="DX101" s="286"/>
      <c r="DY101" s="304"/>
      <c r="DZ101" s="304"/>
      <c r="EA1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1" s="301"/>
      <c r="EC101" s="302"/>
      <c r="ED101" s="302"/>
      <c r="EE101" s="300"/>
      <c r="EF101" s="35">
        <v>1</v>
      </c>
      <c r="EG101" s="307">
        <v>1</v>
      </c>
      <c r="EH101" s="286" t="str">
        <f>IF(Table1[[#This Row],[PO Material Aktual 
(%)]]&gt;=100%,"Selesai PO = 100%",IF(Table1[[#This Row],[PO Material Aktual 
(%)]]&gt;=50%,"Proses PO &gt; 100%",IF(Table1[[#This Row],[PO Material Aktual 
(%)]]&gt;0%,"Proses PO &gt; 50%",IF(Table1[[#This Row],[PO Material Aktual 
(%)]]=0,"Belum PO = 0%"))))</f>
        <v>Selesai PO = 100%</v>
      </c>
      <c r="EI10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1" s="300">
        <v>45481</v>
      </c>
      <c r="EK101" s="300" t="e">
        <v>#N/A</v>
      </c>
      <c r="EL101" s="300">
        <v>45529</v>
      </c>
      <c r="EM101" s="300" t="e">
        <v>#N/A</v>
      </c>
      <c r="EN101" s="301"/>
      <c r="EO101" s="302"/>
      <c r="EP101" s="302"/>
      <c r="EQ101" s="82">
        <v>1</v>
      </c>
      <c r="ER101" s="82">
        <v>1</v>
      </c>
      <c r="ES101" s="286" t="str">
        <f>IF(Table1[[#This Row],[Progres MOS]]&gt;=100%,"Selesai MOS = 100%",IF(Table1[[#This Row],[Progres MOS]]&gt;=50%,"Proses MOS &gt; 100%",IF(Table1[[#This Row],[Progres MOS]]&gt;0%,"Proses MOS &gt; 50%",IF(Table1[[#This Row],[Progres MOS]]=0,"Belum MOS = 0%"))))</f>
        <v>Selesai MOS = 100%</v>
      </c>
      <c r="ET1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01" s="42"/>
      <c r="EV101" s="300">
        <v>45439</v>
      </c>
      <c r="EW101" s="300" t="e">
        <v>#N/A</v>
      </c>
      <c r="EX101" s="300">
        <v>45529</v>
      </c>
      <c r="EY101" s="300" t="e">
        <v>#N/A</v>
      </c>
      <c r="EZ101" s="322" t="s">
        <v>298</v>
      </c>
      <c r="FA101" s="306" t="s">
        <v>259</v>
      </c>
      <c r="FB101" s="300" t="s">
        <v>260</v>
      </c>
      <c r="FC101" s="300">
        <v>45799</v>
      </c>
      <c r="FD101" s="300" t="s">
        <v>260</v>
      </c>
      <c r="FE101" s="300">
        <v>45875</v>
      </c>
      <c r="FF101" s="300">
        <v>45929</v>
      </c>
      <c r="FG101" s="300" t="s">
        <v>260</v>
      </c>
      <c r="FH101" s="300" t="s">
        <v>260</v>
      </c>
      <c r="FI101" s="300">
        <v>46021</v>
      </c>
      <c r="FJ101" s="300" t="s">
        <v>260</v>
      </c>
      <c r="FK101" s="300">
        <v>46087</v>
      </c>
      <c r="FL101" s="306" t="s">
        <v>298</v>
      </c>
      <c r="FM101" s="306">
        <v>45799</v>
      </c>
      <c r="FN101" s="284">
        <f>IF(Table1[[#This Row],[Tanggal Pengajuan Dokumen]]="","",Table1[[#This Row],[PLAN PERMIT
start]]-Table1[[#This Row],[Tanggal Pengajuan Dokumen]])</f>
        <v>-360</v>
      </c>
      <c r="FO101" s="306"/>
      <c r="FP101" s="286"/>
      <c r="FQ101" s="308"/>
      <c r="FR101" s="322"/>
      <c r="FS101" s="308" t="str">
        <f t="shared" ref="FS101:FS128" si="8">IF(COUNTIF(EZ101:FR101,"*terbit*")&gt;=1,"Sudah Terbit","On Going")</f>
        <v>Sudah Terbit</v>
      </c>
      <c r="FT1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1" s="314">
        <f ca="1">IF(Table1[[#This Row],[Status Izin]]="Selesai",Table1[[#This Row],[PLAN PERMIT
finish]]-Table1[[#This Row],[Tanggal Terbit/ Target Izin Terbit]],ROUNDUP(Table1[[#This Row],[PLAN PERMIT
finish]]-NOW(),0))</f>
        <v>45529</v>
      </c>
      <c r="FV1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1" s="314"/>
      <c r="FX101" s="42"/>
      <c r="FY101" s="310"/>
      <c r="FZ101" s="311"/>
      <c r="GA1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1" s="300">
        <v>45503</v>
      </c>
      <c r="GC101" s="322">
        <v>45410</v>
      </c>
      <c r="GD1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1" s="300">
        <v>45510</v>
      </c>
      <c r="GF101" s="322">
        <v>45410</v>
      </c>
      <c r="GG1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1" s="300">
        <v>45516</v>
      </c>
      <c r="GI101" s="300">
        <v>45522</v>
      </c>
      <c r="GJ101" s="322">
        <v>45386</v>
      </c>
      <c r="GK1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1" s="300">
        <v>45530</v>
      </c>
      <c r="GM101" s="300" t="e">
        <v>#N/A</v>
      </c>
      <c r="GN101" s="300">
        <v>45550</v>
      </c>
      <c r="GO101" s="300" t="e">
        <v>#N/A</v>
      </c>
      <c r="GP101" s="286"/>
      <c r="GQ1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1" s="300" t="s">
        <v>261</v>
      </c>
      <c r="GS101" s="391" t="s">
        <v>261</v>
      </c>
      <c r="GT101" s="397">
        <v>45552</v>
      </c>
      <c r="GU101" s="393" t="str">
        <f>IF(Table1[[#This Row],[Hydro Tes Actual
(tanggal)]]&lt;&gt;"","Sudah","Belum")</f>
        <v>Sudah</v>
      </c>
      <c r="GV101" s="300" t="s">
        <v>261</v>
      </c>
      <c r="GW101" s="300" t="s">
        <v>261</v>
      </c>
      <c r="GX101" s="301"/>
      <c r="GY101" s="314" t="str">
        <f>IF(Table1[[#This Row],[Interkoneksi Actual
(tanggal)]]&lt;&gt;"","Sudah","Belum")</f>
        <v>Belum</v>
      </c>
      <c r="GZ101" s="300" t="s">
        <v>261</v>
      </c>
      <c r="HA101" s="391" t="s">
        <v>261</v>
      </c>
      <c r="HB101" s="394">
        <v>45553</v>
      </c>
      <c r="HC101" s="314" t="str">
        <f>IF(Table1[[#This Row],[Flushing Actual
(tanggal)]]&lt;&gt;"","Sudah","Belum")</f>
        <v>Sudah</v>
      </c>
      <c r="HD101" s="300">
        <v>45537</v>
      </c>
      <c r="HE101" s="300" t="e">
        <v>#N/A</v>
      </c>
      <c r="HF101" s="300">
        <v>45543</v>
      </c>
      <c r="HG101" s="322">
        <v>45566</v>
      </c>
      <c r="HH1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1" s="300" t="s">
        <v>261</v>
      </c>
      <c r="HJ101" s="300" t="s">
        <v>261</v>
      </c>
      <c r="HK101" s="301"/>
      <c r="HL101" s="286"/>
      <c r="HM101" s="300">
        <v>45555</v>
      </c>
      <c r="HN101" s="300">
        <v>45555</v>
      </c>
      <c r="HO101" s="300" t="e">
        <v>#N/A</v>
      </c>
      <c r="HP101" s="300"/>
      <c r="HQ101" s="301">
        <v>45733</v>
      </c>
      <c r="HR1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1" s="300">
        <v>45562</v>
      </c>
      <c r="HT101" s="300"/>
      <c r="HU101" s="300">
        <v>45562</v>
      </c>
      <c r="HV101" s="497"/>
      <c r="HW101" s="300">
        <v>45745</v>
      </c>
      <c r="HX10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1" s="42"/>
      <c r="HZ101" s="322"/>
      <c r="IA101" s="306"/>
      <c r="IC101" s="585">
        <f>IFERROR(ROUND((Table1[[#This Row],[PLAN TC
finish]]-Table1[[#This Row],[PLAN MC-0
start]])/30,2),"")</f>
        <v>0.9</v>
      </c>
      <c r="ID101">
        <f>DATEDIF(Table1[[#This Row],[PLAN MC-0
start]],Table1[[#This Row],[PLAN TC
finish]],"m")</f>
        <v>0</v>
      </c>
    </row>
    <row r="102" spans="2:238" s="4" customFormat="1" ht="15" customHeight="1" x14ac:dyDescent="0.25">
      <c r="B102" s="281">
        <f>SUBTOTAL(3,$D$5:D102)</f>
        <v>98</v>
      </c>
      <c r="C102" s="318">
        <v>98</v>
      </c>
      <c r="D102" s="285" t="s">
        <v>673</v>
      </c>
      <c r="E102" s="285" t="s">
        <v>739</v>
      </c>
      <c r="F102" s="285" t="s">
        <v>740</v>
      </c>
      <c r="G102" s="319">
        <v>45752</v>
      </c>
      <c r="H102" s="284" t="s">
        <v>247</v>
      </c>
      <c r="I102" s="285" t="s">
        <v>278</v>
      </c>
      <c r="J102" s="285"/>
      <c r="K102" s="308" t="s">
        <v>676</v>
      </c>
      <c r="L102" s="286" t="s">
        <v>250</v>
      </c>
      <c r="M102" s="286" t="s">
        <v>269</v>
      </c>
      <c r="N102" s="94">
        <v>85</v>
      </c>
      <c r="O102" s="31" t="s">
        <v>252</v>
      </c>
      <c r="P10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2" s="82" t="e">
        <v>#N/A</v>
      </c>
      <c r="S102" s="82">
        <v>1</v>
      </c>
      <c r="T102" s="35">
        <f>Table1[[#This Row],[Progres Total Aktual
(%)]]</f>
        <v>1</v>
      </c>
      <c r="U102" s="106">
        <f>Table1[[#This Row],[Progres Aktual
(%)]]-Table1[[#This Row],[Target Progres
(%)]]</f>
        <v>0</v>
      </c>
      <c r="V102" s="320">
        <f>Table1[[#This Row],["Volume
BA MC-0"]]</f>
        <v>134</v>
      </c>
      <c r="W102" s="321">
        <f>Table1[[#This Row],[Total Panjang Pipa Aktual
(Sum-&gt;)3]]</f>
        <v>122</v>
      </c>
      <c r="X102" s="42"/>
      <c r="Y102" s="62" t="s">
        <v>741</v>
      </c>
      <c r="Z102" s="62">
        <v>188193531</v>
      </c>
      <c r="AA102" s="62">
        <f>ROUND((Table1[[#This Row],[Nilai RAB Jaringan
(Exclude Ppn)]]-Table1[[#This Row],[RAB Perizinan]])*1.11+Table1[[#This Row],[RAB Perizinan]],0)</f>
        <v>0</v>
      </c>
      <c r="AB102" s="290">
        <f>SUM(Table1[[#This Row],[RAB Kegiatan Umum]:[RAB Perizinan]])</f>
        <v>0</v>
      </c>
      <c r="AC102" s="290"/>
      <c r="AD102" s="290"/>
      <c r="AE102" s="290"/>
      <c r="AF102" s="290"/>
      <c r="AG102" s="290">
        <v>20496483</v>
      </c>
      <c r="AH102" s="35" t="e">
        <f>SUM(Table1[[#This Row],[Bobot Keg Umum]:[Bobot Perizinan]])</f>
        <v>#DIV/0!</v>
      </c>
      <c r="AI102" s="35" t="e">
        <f>Table1[[#This Row],[RAB Kegiatan Umum]]/Table1[[#This Row],[Nilai RAB Jaringan
(Exclude Ppn)]]</f>
        <v>#DIV/0!</v>
      </c>
      <c r="AJ102" s="35" t="e">
        <f>Table1[[#This Row],[RAB Pemasangan]]/Table1[[#This Row],[Nilai RAB Jaringan
(Exclude Ppn)]]</f>
        <v>#DIV/0!</v>
      </c>
      <c r="AK102" s="35" t="e">
        <f>Table1[[#This Row],[RAB Pengadaan]]/Table1[[#This Row],[Nilai RAB Jaringan
(Exclude Ppn)]]</f>
        <v>#DIV/0!</v>
      </c>
      <c r="AL102" s="35" t="e">
        <f>Table1[[#This Row],[RAB Perizinan]]/Table1[[#This Row],[Nilai RAB Jaringan
(Exclude Ppn)]]</f>
        <v>#DIV/0!</v>
      </c>
      <c r="AM102" s="42"/>
      <c r="AN102" s="256">
        <v>134</v>
      </c>
      <c r="AO102" s="256">
        <f>SUM(Table1[[#This Row],[Pipa 63 mm]:[Pipa 1,800 mm]])</f>
        <v>0</v>
      </c>
      <c r="AP102" s="256"/>
      <c r="AQ102" s="256"/>
      <c r="AR102" s="256"/>
      <c r="AS102" s="256"/>
      <c r="AT102" s="256"/>
      <c r="AU102" s="256"/>
      <c r="AV102" s="256"/>
      <c r="AW102" s="256"/>
      <c r="AX102" s="256"/>
      <c r="AY102" s="256"/>
      <c r="AZ102" s="256"/>
      <c r="BA102" s="256"/>
      <c r="BB102" s="256"/>
      <c r="BC102" s="256"/>
      <c r="BD102" s="256"/>
      <c r="BE102" s="256"/>
      <c r="BF102" s="256"/>
      <c r="BG102" s="256"/>
      <c r="BH102" s="256"/>
      <c r="BI102" s="256"/>
      <c r="BJ102" s="36">
        <f>SUM(Table1[[#This Row],[Pipa 63 mm2]:[Pipa 1,800 mm21]])</f>
        <v>122</v>
      </c>
      <c r="BK102" s="32">
        <v>122</v>
      </c>
      <c r="BL102" s="32"/>
      <c r="BM102" s="32"/>
      <c r="BN102" s="32"/>
      <c r="BO102" s="32"/>
      <c r="BP102" s="32"/>
      <c r="BQ102" s="32"/>
      <c r="BR102" s="32"/>
      <c r="BS102" s="32"/>
      <c r="BT102" s="32"/>
      <c r="BU102" s="32"/>
      <c r="BV102" s="32"/>
      <c r="BW102" s="32"/>
      <c r="BX102" s="32"/>
      <c r="BY102" s="32"/>
      <c r="BZ102" s="32"/>
      <c r="CA102" s="32"/>
      <c r="CB102" s="32"/>
      <c r="CC102" s="32"/>
      <c r="CD102" s="32"/>
      <c r="CE102" s="32">
        <v>0</v>
      </c>
      <c r="CF102" s="32"/>
      <c r="CG102" s="32"/>
      <c r="CH102" s="32"/>
      <c r="CI102" s="32">
        <f t="shared" si="6"/>
        <v>0</v>
      </c>
      <c r="CJ102" s="60">
        <f>IF((Table1[[#This Row],["Volume
BA MC-0"]]-Table1[[#This Row],[Total Panjang Pipa Aktual
(Sum-&gt;)3]]-Table1[[#This Row],[Total Volume
tidak dapat dipasang]])&gt;=0,Table1[[#This Row],["Volume
BA MC-0"]]-Table1[[#This Row],[Total Panjang Pipa Aktual
(Sum-&gt;)3]]-Table1[[#This Row],[Total Volume
tidak dapat dipasang]],0)</f>
        <v>12</v>
      </c>
      <c r="CK102" s="42"/>
      <c r="CL102" s="113"/>
      <c r="CM102" s="35"/>
      <c r="CN102" s="113"/>
      <c r="CO102" s="113"/>
      <c r="CP1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2" s="61">
        <f>IFERROR(Table1[[#This Row],[Progres Keg. Umum
(%)]]*Table1[[#This Row],[Nilai RAB Jaringan
(file pa aji)]],0)</f>
        <v>0</v>
      </c>
      <c r="CR102" s="61">
        <f>IFERROR(Table1[[#This Row],[Progres MOS
(%)]]*Table1[[#This Row],[Nilai RAB Jaringan
(file pa aji)]],0)</f>
        <v>0</v>
      </c>
      <c r="CS102" s="61">
        <f>IFERROR(Table1[[#This Row],[Progres Pemasangan
(%)]]*Table1[[#This Row],[Nilai RAB Jaringan
(file pa aji)]],0)</f>
        <v>0</v>
      </c>
      <c r="CT102" s="61">
        <f>IFERROR(Table1[[#This Row],[Progres Perizinan
(%)]]*Table1[[#This Row],[Nilai RAB Jaringan
(file pa aji)]],0)</f>
        <v>0</v>
      </c>
      <c r="CU102" s="789">
        <v>429603948</v>
      </c>
      <c r="CV102" s="299">
        <v>429603948</v>
      </c>
      <c r="CW102" s="552">
        <v>429603948</v>
      </c>
      <c r="CX102" s="789">
        <f>_xlfn.XLOOKUP(Table1[[#This Row],[Kode Program]],'[1]Breakdown VOWD Greenfield'!$E:$E,'[1]Breakdown VOWD Greenfield'!$AT:$AT)</f>
        <v>429603948</v>
      </c>
      <c r="CY102" s="42"/>
      <c r="CZ102" s="300">
        <v>45411</v>
      </c>
      <c r="DA102" s="300">
        <v>45438</v>
      </c>
      <c r="DB102" s="301"/>
      <c r="DC102" s="286"/>
      <c r="DD102" s="62"/>
      <c r="DE1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2" s="301"/>
      <c r="DG102" s="286"/>
      <c r="DH102" s="62"/>
      <c r="DI1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2" s="300">
        <v>45439</v>
      </c>
      <c r="DK102" s="300">
        <v>45480</v>
      </c>
      <c r="DL102" s="301">
        <v>45553</v>
      </c>
      <c r="DM102" s="395" t="s">
        <v>742</v>
      </c>
      <c r="DN1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02" s="301"/>
      <c r="DP102" s="286"/>
      <c r="DQ102" s="308" t="s">
        <v>371</v>
      </c>
      <c r="DR1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02" s="300">
        <v>45439</v>
      </c>
      <c r="DT102" s="300" t="e">
        <v>#N/A</v>
      </c>
      <c r="DU102" s="300">
        <v>45480</v>
      </c>
      <c r="DV102" s="300" t="e">
        <v>#N/A</v>
      </c>
      <c r="DW102" s="301"/>
      <c r="DX102" s="286"/>
      <c r="DY102" s="304"/>
      <c r="DZ102" s="304"/>
      <c r="EA1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2" s="301"/>
      <c r="EC102" s="302"/>
      <c r="ED102" s="302"/>
      <c r="EE102" s="300"/>
      <c r="EF102" s="35">
        <v>1</v>
      </c>
      <c r="EG102" s="307">
        <v>1</v>
      </c>
      <c r="EH102" s="286" t="str">
        <f>IF(Table1[[#This Row],[PO Material Aktual 
(%)]]&gt;=100%,"Selesai PO = 100%",IF(Table1[[#This Row],[PO Material Aktual 
(%)]]&gt;=50%,"Proses PO &gt; 100%",IF(Table1[[#This Row],[PO Material Aktual 
(%)]]&gt;0%,"Proses PO &gt; 50%",IF(Table1[[#This Row],[PO Material Aktual 
(%)]]=0,"Belum PO = 0%"))))</f>
        <v>Selesai PO = 100%</v>
      </c>
      <c r="EI1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2" s="300">
        <v>45481</v>
      </c>
      <c r="EK102" s="300" t="e">
        <v>#N/A</v>
      </c>
      <c r="EL102" s="300">
        <v>45529</v>
      </c>
      <c r="EM102" s="300" t="e">
        <v>#N/A</v>
      </c>
      <c r="EN102" s="301">
        <v>45707</v>
      </c>
      <c r="EO102" s="302"/>
      <c r="EP102" s="302"/>
      <c r="EQ102" s="82">
        <v>1</v>
      </c>
      <c r="ER102" s="82">
        <v>1</v>
      </c>
      <c r="ES102" s="286" t="str">
        <f>IF(Table1[[#This Row],[Progres MOS]]&gt;=100%,"Selesai MOS = 100%",IF(Table1[[#This Row],[Progres MOS]]&gt;=50%,"Proses MOS &gt; 100%",IF(Table1[[#This Row],[Progres MOS]]&gt;0%,"Proses MOS &gt; 50%",IF(Table1[[#This Row],[Progres MOS]]=0,"Belum MOS = 0%"))))</f>
        <v>Selesai MOS = 100%</v>
      </c>
      <c r="ET1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2" s="42"/>
      <c r="EV102" s="300">
        <v>45439</v>
      </c>
      <c r="EW102" s="300" t="e">
        <v>#N/A</v>
      </c>
      <c r="EX102" s="300">
        <v>45529</v>
      </c>
      <c r="EY102" s="300" t="e">
        <v>#N/A</v>
      </c>
      <c r="EZ102" s="322" t="s">
        <v>298</v>
      </c>
      <c r="FA102" s="306" t="s">
        <v>259</v>
      </c>
      <c r="FB102" s="300" t="s">
        <v>260</v>
      </c>
      <c r="FC102" s="300">
        <v>45799</v>
      </c>
      <c r="FD102" s="300" t="s">
        <v>260</v>
      </c>
      <c r="FE102" s="300">
        <v>45875</v>
      </c>
      <c r="FF102" s="300">
        <v>45929</v>
      </c>
      <c r="FG102" s="300" t="s">
        <v>260</v>
      </c>
      <c r="FH102" s="300" t="s">
        <v>260</v>
      </c>
      <c r="FI102" s="300">
        <v>46021</v>
      </c>
      <c r="FJ102" s="300" t="s">
        <v>260</v>
      </c>
      <c r="FK102" s="300">
        <v>46087</v>
      </c>
      <c r="FL102" s="306" t="s">
        <v>298</v>
      </c>
      <c r="FM102" s="306">
        <v>45799</v>
      </c>
      <c r="FN102" s="284">
        <f>IF(Table1[[#This Row],[Tanggal Pengajuan Dokumen]]="","",Table1[[#This Row],[PLAN PERMIT
start]]-Table1[[#This Row],[Tanggal Pengajuan Dokumen]])</f>
        <v>-360</v>
      </c>
      <c r="FO102" s="306"/>
      <c r="FP102" s="286"/>
      <c r="FQ102" s="308"/>
      <c r="FR102" s="322"/>
      <c r="FS102" s="308" t="str">
        <f t="shared" si="8"/>
        <v>Sudah Terbit</v>
      </c>
      <c r="FT1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2" s="314">
        <f ca="1">IF(Table1[[#This Row],[Status Izin]]="Selesai",Table1[[#This Row],[PLAN PERMIT
finish]]-Table1[[#This Row],[Tanggal Terbit/ Target Izin Terbit]],ROUNDUP(Table1[[#This Row],[PLAN PERMIT
finish]]-NOW(),0))</f>
        <v>45529</v>
      </c>
      <c r="FV1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2" s="314"/>
      <c r="FX102" s="42"/>
      <c r="FY102" s="310"/>
      <c r="FZ102" s="311"/>
      <c r="GA1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2" s="300">
        <v>45503</v>
      </c>
      <c r="GC102" s="322">
        <v>45379</v>
      </c>
      <c r="GD1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2" s="300">
        <v>45510</v>
      </c>
      <c r="GF102" s="322">
        <v>45379</v>
      </c>
      <c r="GG1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2" s="300">
        <v>45516</v>
      </c>
      <c r="GI102" s="300">
        <v>45522</v>
      </c>
      <c r="GJ102" s="322">
        <v>45386</v>
      </c>
      <c r="GK1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2" s="300">
        <v>45530</v>
      </c>
      <c r="GM102" s="300" t="e">
        <v>#N/A</v>
      </c>
      <c r="GN102" s="300">
        <v>45550</v>
      </c>
      <c r="GO102" s="300" t="e">
        <v>#N/A</v>
      </c>
      <c r="GP102" s="286"/>
      <c r="GQ1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2" s="300" t="s">
        <v>261</v>
      </c>
      <c r="GS102" s="391" t="s">
        <v>261</v>
      </c>
      <c r="GT102" s="397">
        <v>45470</v>
      </c>
      <c r="GU102" s="393" t="str">
        <f>IF(Table1[[#This Row],[Hydro Tes Actual
(tanggal)]]&lt;&gt;"","Sudah","Belum")</f>
        <v>Sudah</v>
      </c>
      <c r="GV102" s="300" t="s">
        <v>261</v>
      </c>
      <c r="GW102" s="300" t="s">
        <v>261</v>
      </c>
      <c r="GX102" s="301"/>
      <c r="GY102" s="314" t="str">
        <f>IF(Table1[[#This Row],[Interkoneksi Actual
(tanggal)]]&lt;&gt;"","Sudah","Belum")</f>
        <v>Belum</v>
      </c>
      <c r="GZ102" s="300" t="s">
        <v>261</v>
      </c>
      <c r="HA102" s="391" t="s">
        <v>261</v>
      </c>
      <c r="HB102" s="398" t="s">
        <v>743</v>
      </c>
      <c r="HC102" s="314" t="str">
        <f>IF(Table1[[#This Row],[Flushing Actual
(tanggal)]]&lt;&gt;"","Sudah","Belum")</f>
        <v>Sudah</v>
      </c>
      <c r="HD102" s="300">
        <v>45537</v>
      </c>
      <c r="HE102" s="300" t="e">
        <v>#N/A</v>
      </c>
      <c r="HF102" s="300">
        <v>45543</v>
      </c>
      <c r="HG102" s="322">
        <v>45561</v>
      </c>
      <c r="HH1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2" s="300" t="s">
        <v>261</v>
      </c>
      <c r="HJ102" s="300" t="s">
        <v>261</v>
      </c>
      <c r="HK102" s="301"/>
      <c r="HL102" s="286"/>
      <c r="HM102" s="300">
        <v>45555</v>
      </c>
      <c r="HN102" s="300">
        <v>45555</v>
      </c>
      <c r="HO102" s="300" t="e">
        <v>#N/A</v>
      </c>
      <c r="HP102" s="300"/>
      <c r="HQ102" s="301">
        <v>45734</v>
      </c>
      <c r="HR1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2" s="300">
        <v>45562</v>
      </c>
      <c r="HT102" s="300"/>
      <c r="HU102" s="300">
        <v>45562</v>
      </c>
      <c r="HV102" s="497"/>
      <c r="HW102" s="300">
        <v>45745</v>
      </c>
      <c r="HX1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2" s="42"/>
      <c r="HZ102" s="322"/>
      <c r="IA102" s="306"/>
      <c r="IC102" s="585">
        <f>IFERROR(ROUND((Table1[[#This Row],[PLAN TC
finish]]-Table1[[#This Row],[PLAN MC-0
start]])/30,2),"")</f>
        <v>0.9</v>
      </c>
      <c r="ID102">
        <f>DATEDIF(Table1[[#This Row],[PLAN MC-0
start]],Table1[[#This Row],[PLAN TC
finish]],"m")</f>
        <v>0</v>
      </c>
    </row>
    <row r="103" spans="2:238" s="4" customFormat="1" ht="15" customHeight="1" x14ac:dyDescent="0.25">
      <c r="B103" s="281">
        <f>SUBTOTAL(3,$D$5:D103)</f>
        <v>99</v>
      </c>
      <c r="C103" s="318">
        <v>99</v>
      </c>
      <c r="D103" s="285" t="s">
        <v>673</v>
      </c>
      <c r="E103" s="285" t="s">
        <v>744</v>
      </c>
      <c r="F103" s="285" t="s">
        <v>745</v>
      </c>
      <c r="G103" s="319">
        <v>45752</v>
      </c>
      <c r="H103" s="284" t="s">
        <v>247</v>
      </c>
      <c r="I103" s="285" t="s">
        <v>278</v>
      </c>
      <c r="J103" s="285"/>
      <c r="K103" s="308" t="s">
        <v>676</v>
      </c>
      <c r="L103" s="286" t="s">
        <v>250</v>
      </c>
      <c r="M103" s="286" t="s">
        <v>269</v>
      </c>
      <c r="N103" s="94">
        <v>14689</v>
      </c>
      <c r="O103" s="31" t="s">
        <v>252</v>
      </c>
      <c r="P10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3" s="82" t="e">
        <v>#N/A</v>
      </c>
      <c r="S103" s="82">
        <v>1</v>
      </c>
      <c r="T103" s="35">
        <f>Table1[[#This Row],[Progres Total Aktual
(%)]]</f>
        <v>1</v>
      </c>
      <c r="U103" s="106">
        <f>Table1[[#This Row],[Progres Aktual
(%)]]-Table1[[#This Row],[Target Progres
(%)]]</f>
        <v>0</v>
      </c>
      <c r="V103" s="320">
        <f>Table1[[#This Row],["Volume
BA MC-0"]]</f>
        <v>15368</v>
      </c>
      <c r="W103" s="321">
        <f>Table1[[#This Row],[Total Panjang Pipa Aktual
(Sum-&gt;)3]]</f>
        <v>15669</v>
      </c>
      <c r="X103" s="42"/>
      <c r="Y103" s="62" t="s">
        <v>746</v>
      </c>
      <c r="Z103" s="62">
        <v>11318856344</v>
      </c>
      <c r="AA103" s="62">
        <f>ROUND((Table1[[#This Row],[Nilai RAB Jaringan
(Exclude Ppn)]]-Table1[[#This Row],[RAB Perizinan]])*1.11+Table1[[#This Row],[RAB Perizinan]],0)</f>
        <v>0</v>
      </c>
      <c r="AB103" s="290">
        <f>SUM(Table1[[#This Row],[RAB Kegiatan Umum]:[RAB Perizinan]])</f>
        <v>0</v>
      </c>
      <c r="AC103" s="290"/>
      <c r="AD103" s="290"/>
      <c r="AE103" s="290"/>
      <c r="AF103" s="290"/>
      <c r="AG103" s="290">
        <v>2648145604</v>
      </c>
      <c r="AH103" s="35" t="e">
        <f>SUM(Table1[[#This Row],[Bobot Keg Umum]:[Bobot Perizinan]])</f>
        <v>#DIV/0!</v>
      </c>
      <c r="AI103" s="35" t="e">
        <f>Table1[[#This Row],[RAB Kegiatan Umum]]/Table1[[#This Row],[Nilai RAB Jaringan
(Exclude Ppn)]]</f>
        <v>#DIV/0!</v>
      </c>
      <c r="AJ103" s="35" t="e">
        <f>Table1[[#This Row],[RAB Pemasangan]]/Table1[[#This Row],[Nilai RAB Jaringan
(Exclude Ppn)]]</f>
        <v>#DIV/0!</v>
      </c>
      <c r="AK103" s="35" t="e">
        <f>Table1[[#This Row],[RAB Pengadaan]]/Table1[[#This Row],[Nilai RAB Jaringan
(Exclude Ppn)]]</f>
        <v>#DIV/0!</v>
      </c>
      <c r="AL103" s="35" t="e">
        <f>Table1[[#This Row],[RAB Perizinan]]/Table1[[#This Row],[Nilai RAB Jaringan
(Exclude Ppn)]]</f>
        <v>#DIV/0!</v>
      </c>
      <c r="AM103" s="42"/>
      <c r="AN103" s="256">
        <v>15368</v>
      </c>
      <c r="AO103" s="256">
        <f>SUM(Table1[[#This Row],[Pipa 63 mm]:[Pipa 1,800 mm]])</f>
        <v>0</v>
      </c>
      <c r="AP103" s="256"/>
      <c r="AQ103" s="256"/>
      <c r="AR103" s="256"/>
      <c r="AS103" s="256"/>
      <c r="AT103" s="256"/>
      <c r="AU103" s="256"/>
      <c r="AV103" s="256"/>
      <c r="AW103" s="256"/>
      <c r="AX103" s="256"/>
      <c r="AY103" s="256"/>
      <c r="AZ103" s="256"/>
      <c r="BA103" s="256"/>
      <c r="BB103" s="256"/>
      <c r="BC103" s="256"/>
      <c r="BD103" s="256"/>
      <c r="BE103" s="256"/>
      <c r="BF103" s="256"/>
      <c r="BG103" s="256"/>
      <c r="BH103" s="256"/>
      <c r="BI103" s="256"/>
      <c r="BJ103" s="36">
        <f>SUM(Table1[[#This Row],[Pipa 63 mm2]:[Pipa 1,800 mm21]])</f>
        <v>15669</v>
      </c>
      <c r="BK103" s="32">
        <v>38</v>
      </c>
      <c r="BL103" s="32">
        <f>13411+182</f>
        <v>13593</v>
      </c>
      <c r="BM103" s="32">
        <v>1465</v>
      </c>
      <c r="BN103" s="32">
        <f>257+12</f>
        <v>269</v>
      </c>
      <c r="BO103" s="32">
        <f>160+40</f>
        <v>200</v>
      </c>
      <c r="BP103" s="32">
        <v>8</v>
      </c>
      <c r="BQ103" s="32">
        <v>96</v>
      </c>
      <c r="BR103" s="32"/>
      <c r="BS103" s="32"/>
      <c r="BT103" s="32"/>
      <c r="BU103" s="32"/>
      <c r="BV103" s="32"/>
      <c r="BW103" s="32"/>
      <c r="BX103" s="32"/>
      <c r="BY103" s="32"/>
      <c r="BZ103" s="32"/>
      <c r="CA103" s="32"/>
      <c r="CB103" s="32"/>
      <c r="CC103" s="32"/>
      <c r="CD103" s="32"/>
      <c r="CE103" s="32">
        <v>0</v>
      </c>
      <c r="CF103" s="32"/>
      <c r="CG103" s="32"/>
      <c r="CH103" s="32"/>
      <c r="CI103" s="32">
        <f t="shared" si="6"/>
        <v>0</v>
      </c>
      <c r="CJ103" s="60">
        <f>IF((Table1[[#This Row],["Volume
BA MC-0"]]-Table1[[#This Row],[Total Panjang Pipa Aktual
(Sum-&gt;)3]]-Table1[[#This Row],[Total Volume
tidak dapat dipasang]])&gt;=0,Table1[[#This Row],["Volume
BA MC-0"]]-Table1[[#This Row],[Total Panjang Pipa Aktual
(Sum-&gt;)3]]-Table1[[#This Row],[Total Volume
tidak dapat dipasang]],0)</f>
        <v>0</v>
      </c>
      <c r="CK103" s="42"/>
      <c r="CL103" s="113"/>
      <c r="CM103" s="35"/>
      <c r="CN103" s="113"/>
      <c r="CO103" s="113"/>
      <c r="CP1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3" s="61">
        <f>IFERROR(Table1[[#This Row],[Progres Keg. Umum
(%)]]*Table1[[#This Row],[Nilai RAB Jaringan
(file pa aji)]],0)</f>
        <v>0</v>
      </c>
      <c r="CR103" s="61">
        <f>IFERROR(Table1[[#This Row],[Progres MOS
(%)]]*Table1[[#This Row],[Nilai RAB Jaringan
(file pa aji)]],0)</f>
        <v>0</v>
      </c>
      <c r="CS103" s="61">
        <f>IFERROR(Table1[[#This Row],[Progres Pemasangan
(%)]]*Table1[[#This Row],[Nilai RAB Jaringan
(file pa aji)]],0)</f>
        <v>0</v>
      </c>
      <c r="CT103" s="61">
        <f>IFERROR(Table1[[#This Row],[Progres Perizinan
(%)]]*Table1[[#This Row],[Nilai RAB Jaringan
(file pa aji)]],0)</f>
        <v>0</v>
      </c>
      <c r="CU103" s="789">
        <v>11391069631</v>
      </c>
      <c r="CV103" s="299">
        <v>11391069631</v>
      </c>
      <c r="CW103" s="552">
        <v>11391069631</v>
      </c>
      <c r="CX103" s="789">
        <f>_xlfn.XLOOKUP(Table1[[#This Row],[Kode Program]],'[1]Breakdown VOWD Greenfield'!$E:$E,'[1]Breakdown VOWD Greenfield'!$AT:$AT)</f>
        <v>11391069631</v>
      </c>
      <c r="CY103" s="42"/>
      <c r="CZ103" s="300">
        <v>45292</v>
      </c>
      <c r="DA103" s="300">
        <v>45326</v>
      </c>
      <c r="DB103" s="301"/>
      <c r="DC103" s="286"/>
      <c r="DD103" s="62"/>
      <c r="DE1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3" s="301"/>
      <c r="DG103" s="286"/>
      <c r="DH103" s="62"/>
      <c r="DI1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3" s="300">
        <v>45327</v>
      </c>
      <c r="DK103" s="300">
        <v>45445</v>
      </c>
      <c r="DL103" s="301">
        <v>45210</v>
      </c>
      <c r="DM103" s="395" t="s">
        <v>747</v>
      </c>
      <c r="DN1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3" s="301">
        <v>45240</v>
      </c>
      <c r="DP103" s="396" t="s">
        <v>748</v>
      </c>
      <c r="DQ103" s="308" t="s">
        <v>560</v>
      </c>
      <c r="DR1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3" s="300">
        <v>45327</v>
      </c>
      <c r="DT103" s="300" t="e">
        <v>#N/A</v>
      </c>
      <c r="DU103" s="300">
        <v>45375</v>
      </c>
      <c r="DV103" s="300" t="e">
        <v>#N/A</v>
      </c>
      <c r="DW103" s="301"/>
      <c r="DX103" s="286"/>
      <c r="DY103" s="304"/>
      <c r="DZ103" s="304"/>
      <c r="EA1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3" s="301"/>
      <c r="EC103" s="302"/>
      <c r="ED103" s="302"/>
      <c r="EE103" s="300"/>
      <c r="EF103" s="35">
        <v>1</v>
      </c>
      <c r="EG103" s="307">
        <v>1</v>
      </c>
      <c r="EH103" s="286" t="str">
        <f>IF(Table1[[#This Row],[PO Material Aktual 
(%)]]&gt;=100%,"Selesai PO = 100%",IF(Table1[[#This Row],[PO Material Aktual 
(%)]]&gt;=50%,"Proses PO &gt; 100%",IF(Table1[[#This Row],[PO Material Aktual 
(%)]]&gt;0%,"Proses PO &gt; 50%",IF(Table1[[#This Row],[PO Material Aktual 
(%)]]=0,"Belum PO = 0%"))))</f>
        <v>Selesai PO = 100%</v>
      </c>
      <c r="EI1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3" s="300">
        <v>45376</v>
      </c>
      <c r="EK103" s="300" t="e">
        <v>#N/A</v>
      </c>
      <c r="EL103" s="300">
        <v>45564</v>
      </c>
      <c r="EM103" s="300" t="e">
        <v>#N/A</v>
      </c>
      <c r="EN103" s="301">
        <v>46160</v>
      </c>
      <c r="EO103" s="302"/>
      <c r="EP103" s="302"/>
      <c r="EQ103" s="82">
        <v>1</v>
      </c>
      <c r="ER103" s="82">
        <v>1</v>
      </c>
      <c r="ES103" s="286" t="str">
        <f>IF(Table1[[#This Row],[Progres MOS]]&gt;=100%,"Selesai MOS = 100%",IF(Table1[[#This Row],[Progres MOS]]&gt;=50%,"Proses MOS &gt; 100%",IF(Table1[[#This Row],[Progres MOS]]&gt;0%,"Proses MOS &gt; 50%",IF(Table1[[#This Row],[Progres MOS]]=0,"Belum MOS = 0%"))))</f>
        <v>Selesai MOS = 100%</v>
      </c>
      <c r="ET1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3" s="42"/>
      <c r="EV103" s="300">
        <v>45327</v>
      </c>
      <c r="EW103" s="300" t="e">
        <v>#N/A</v>
      </c>
      <c r="EX103" s="300">
        <v>45473</v>
      </c>
      <c r="EY103" s="300" t="e">
        <v>#N/A</v>
      </c>
      <c r="EZ103" s="322" t="s">
        <v>259</v>
      </c>
      <c r="FA103" s="306" t="s">
        <v>259</v>
      </c>
      <c r="FB103" s="300" t="s">
        <v>260</v>
      </c>
      <c r="FC103" s="300">
        <v>45230</v>
      </c>
      <c r="FD103" s="300" t="s">
        <v>260</v>
      </c>
      <c r="FE103" s="300"/>
      <c r="FF103" s="300">
        <v>45344</v>
      </c>
      <c r="FG103" s="300" t="s">
        <v>260</v>
      </c>
      <c r="FH103" s="300" t="s">
        <v>260</v>
      </c>
      <c r="FI103" s="300">
        <v>45473</v>
      </c>
      <c r="FJ103" s="300" t="s">
        <v>260</v>
      </c>
      <c r="FK103" s="300">
        <v>45531</v>
      </c>
      <c r="FL103" s="306" t="s">
        <v>259</v>
      </c>
      <c r="FM103" s="306"/>
      <c r="FN103" s="284" t="str">
        <f>IF(Table1[[#This Row],[Tanggal Pengajuan Dokumen]]="","",Table1[[#This Row],[PLAN PERMIT
start]]-Table1[[#This Row],[Tanggal Pengajuan Dokumen]])</f>
        <v/>
      </c>
      <c r="FO103" s="306"/>
      <c r="FP103" s="286"/>
      <c r="FQ103" s="308"/>
      <c r="FR103" s="322"/>
      <c r="FS103" s="308" t="str">
        <f t="shared" si="8"/>
        <v>Sudah Terbit</v>
      </c>
      <c r="FT1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3" s="314">
        <f ca="1">IF(Table1[[#This Row],[Status Izin]]="Selesai",Table1[[#This Row],[PLAN PERMIT
finish]]-Table1[[#This Row],[Tanggal Terbit/ Target Izin Terbit]],ROUNDUP(Table1[[#This Row],[PLAN PERMIT
finish]]-NOW(),0))</f>
        <v>45473</v>
      </c>
      <c r="FV1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3" s="314"/>
      <c r="FX103" s="42"/>
      <c r="FY103" s="310"/>
      <c r="FZ103" s="311"/>
      <c r="GA1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3" s="300">
        <v>45447</v>
      </c>
      <c r="GC103" s="322">
        <v>45245</v>
      </c>
      <c r="GD1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3" s="300">
        <v>45454</v>
      </c>
      <c r="GF103" s="322">
        <v>45245</v>
      </c>
      <c r="GG1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3" s="300">
        <v>45460</v>
      </c>
      <c r="GI103" s="300">
        <v>45466</v>
      </c>
      <c r="GJ103" s="322">
        <v>45349</v>
      </c>
      <c r="GK1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3" s="300">
        <v>45474</v>
      </c>
      <c r="GM103" s="300" t="e">
        <v>#N/A</v>
      </c>
      <c r="GN103" s="300">
        <v>45641</v>
      </c>
      <c r="GO103" s="300" t="e">
        <v>#N/A</v>
      </c>
      <c r="GP103" s="286"/>
      <c r="GQ1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3" s="300" t="s">
        <v>261</v>
      </c>
      <c r="GS103" s="391" t="s">
        <v>261</v>
      </c>
      <c r="GT103" s="399" t="s">
        <v>749</v>
      </c>
      <c r="GU103" s="393" t="str">
        <f>IF(Table1[[#This Row],[Hydro Tes Actual
(tanggal)]]&lt;&gt;"","Sudah","Belum")</f>
        <v>Sudah</v>
      </c>
      <c r="GV103" s="300" t="s">
        <v>261</v>
      </c>
      <c r="GW103" s="300" t="s">
        <v>261</v>
      </c>
      <c r="GX103" s="301"/>
      <c r="GY103" s="314" t="str">
        <f>IF(Table1[[#This Row],[Interkoneksi Actual
(tanggal)]]&lt;&gt;"","Sudah","Belum")</f>
        <v>Belum</v>
      </c>
      <c r="GZ103" s="300" t="s">
        <v>261</v>
      </c>
      <c r="HA103" s="391" t="s">
        <v>261</v>
      </c>
      <c r="HB103" s="398" t="s">
        <v>750</v>
      </c>
      <c r="HC103" s="314" t="str">
        <f>IF(Table1[[#This Row],[Flushing Actual
(tanggal)]]&lt;&gt;"","Sudah","Belum")</f>
        <v>Sudah</v>
      </c>
      <c r="HD103" s="300">
        <v>45621</v>
      </c>
      <c r="HE103" s="300" t="e">
        <v>#N/A</v>
      </c>
      <c r="HF103" s="300">
        <v>45627</v>
      </c>
      <c r="HG103" s="322">
        <v>45679</v>
      </c>
      <c r="HH1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3" s="300" t="s">
        <v>261</v>
      </c>
      <c r="HJ103" s="300" t="s">
        <v>261</v>
      </c>
      <c r="HK103" s="301"/>
      <c r="HL103" s="286"/>
      <c r="HM103" s="300">
        <v>45646</v>
      </c>
      <c r="HN103" s="300">
        <v>45646</v>
      </c>
      <c r="HO103" s="300" t="e">
        <v>#N/A</v>
      </c>
      <c r="HP103" s="300"/>
      <c r="HQ103" s="301">
        <v>45735</v>
      </c>
      <c r="HR1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3" s="300">
        <v>45653</v>
      </c>
      <c r="HT103" s="300"/>
      <c r="HU103" s="300">
        <v>45653</v>
      </c>
      <c r="HV103" s="497"/>
      <c r="HW103" s="300">
        <v>45745</v>
      </c>
      <c r="HX1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3" s="42"/>
      <c r="HZ103" s="322"/>
      <c r="IA103" s="306"/>
      <c r="IC103" s="585">
        <f>IFERROR(ROUND((Table1[[#This Row],[PLAN TC
finish]]-Table1[[#This Row],[PLAN MC-0
start]])/30,2),"")</f>
        <v>5.57</v>
      </c>
      <c r="ID103">
        <f>DATEDIF(Table1[[#This Row],[PLAN MC-0
start]],Table1[[#This Row],[PLAN TC
finish]],"m")</f>
        <v>5</v>
      </c>
    </row>
    <row r="104" spans="2:238" s="4" customFormat="1" ht="15" customHeight="1" x14ac:dyDescent="0.25">
      <c r="B104" s="281">
        <f>SUBTOTAL(3,$D$5:D104)</f>
        <v>100</v>
      </c>
      <c r="C104" s="318">
        <v>100</v>
      </c>
      <c r="D104" s="285" t="s">
        <v>673</v>
      </c>
      <c r="E104" s="285" t="s">
        <v>751</v>
      </c>
      <c r="F104" s="285" t="s">
        <v>752</v>
      </c>
      <c r="G104" s="319">
        <v>45752</v>
      </c>
      <c r="H104" s="284" t="s">
        <v>247</v>
      </c>
      <c r="I104" s="285" t="s">
        <v>278</v>
      </c>
      <c r="J104" s="285"/>
      <c r="K104" s="308" t="s">
        <v>676</v>
      </c>
      <c r="L104" s="286" t="s">
        <v>250</v>
      </c>
      <c r="M104" s="286" t="s">
        <v>269</v>
      </c>
      <c r="N104" s="94">
        <v>4951</v>
      </c>
      <c r="O104" s="31" t="s">
        <v>252</v>
      </c>
      <c r="P10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4" s="82" t="e">
        <v>#N/A</v>
      </c>
      <c r="S104" s="82">
        <v>1</v>
      </c>
      <c r="T104" s="35">
        <f>Table1[[#This Row],[Progres Total Aktual
(%)]]</f>
        <v>1</v>
      </c>
      <c r="U104" s="106">
        <f>Table1[[#This Row],[Progres Aktual
(%)]]-Table1[[#This Row],[Target Progres
(%)]]</f>
        <v>0</v>
      </c>
      <c r="V104" s="320">
        <f>Table1[[#This Row],["Volume
BA MC-0"]]</f>
        <v>5152</v>
      </c>
      <c r="W104" s="321">
        <f>Table1[[#This Row],[Total Panjang Pipa Aktual
(Sum-&gt;)3]]</f>
        <v>4865</v>
      </c>
      <c r="X104" s="42"/>
      <c r="Y104" s="62" t="s">
        <v>753</v>
      </c>
      <c r="Z104" s="62">
        <v>5569263556</v>
      </c>
      <c r="AA104" s="62">
        <f>ROUND((Table1[[#This Row],[Nilai RAB Jaringan
(Exclude Ppn)]]-Table1[[#This Row],[RAB Perizinan]])*1.11+Table1[[#This Row],[RAB Perizinan]],0)</f>
        <v>0</v>
      </c>
      <c r="AB104" s="290">
        <f>SUM(Table1[[#This Row],[RAB Kegiatan Umum]:[RAB Perizinan]])</f>
        <v>0</v>
      </c>
      <c r="AC104" s="290"/>
      <c r="AD104" s="290"/>
      <c r="AE104" s="290"/>
      <c r="AF104" s="290"/>
      <c r="AG104" s="290">
        <v>3207699590</v>
      </c>
      <c r="AH104" s="35" t="e">
        <f>SUM(Table1[[#This Row],[Bobot Keg Umum]:[Bobot Perizinan]])</f>
        <v>#DIV/0!</v>
      </c>
      <c r="AI104" s="35" t="e">
        <f>Table1[[#This Row],[RAB Kegiatan Umum]]/Table1[[#This Row],[Nilai RAB Jaringan
(Exclude Ppn)]]</f>
        <v>#DIV/0!</v>
      </c>
      <c r="AJ104" s="35" t="e">
        <f>Table1[[#This Row],[RAB Pemasangan]]/Table1[[#This Row],[Nilai RAB Jaringan
(Exclude Ppn)]]</f>
        <v>#DIV/0!</v>
      </c>
      <c r="AK104" s="35" t="e">
        <f>Table1[[#This Row],[RAB Pengadaan]]/Table1[[#This Row],[Nilai RAB Jaringan
(Exclude Ppn)]]</f>
        <v>#DIV/0!</v>
      </c>
      <c r="AL104" s="35" t="e">
        <f>Table1[[#This Row],[RAB Perizinan]]/Table1[[#This Row],[Nilai RAB Jaringan
(Exclude Ppn)]]</f>
        <v>#DIV/0!</v>
      </c>
      <c r="AM104" s="42"/>
      <c r="AN104" s="256">
        <v>5152</v>
      </c>
      <c r="AO104" s="256">
        <f>SUM(Table1[[#This Row],[Pipa 63 mm]:[Pipa 1,800 mm]])</f>
        <v>0</v>
      </c>
      <c r="AP104" s="256"/>
      <c r="AQ104" s="256"/>
      <c r="AR104" s="256"/>
      <c r="AS104" s="256"/>
      <c r="AT104" s="256"/>
      <c r="AU104" s="256"/>
      <c r="AV104" s="256"/>
      <c r="AW104" s="256"/>
      <c r="AX104" s="256"/>
      <c r="AY104" s="256"/>
      <c r="AZ104" s="256"/>
      <c r="BA104" s="256"/>
      <c r="BB104" s="256"/>
      <c r="BC104" s="256"/>
      <c r="BD104" s="256"/>
      <c r="BE104" s="256"/>
      <c r="BF104" s="256"/>
      <c r="BG104" s="256"/>
      <c r="BH104" s="256"/>
      <c r="BI104" s="256"/>
      <c r="BJ104" s="36">
        <f>SUM(Table1[[#This Row],[Pipa 63 mm2]:[Pipa 1,800 mm21]])</f>
        <v>4865</v>
      </c>
      <c r="BK104" s="32"/>
      <c r="BL104" s="32">
        <v>2805</v>
      </c>
      <c r="BM104" s="32">
        <v>1800</v>
      </c>
      <c r="BN104" s="32">
        <v>152</v>
      </c>
      <c r="BO104" s="32"/>
      <c r="BP104" s="32"/>
      <c r="BQ104" s="32">
        <v>108</v>
      </c>
      <c r="BR104" s="32"/>
      <c r="BS104" s="32"/>
      <c r="BT104" s="32"/>
      <c r="BU104" s="32"/>
      <c r="BV104" s="32"/>
      <c r="BW104" s="32"/>
      <c r="BX104" s="32"/>
      <c r="BY104" s="32"/>
      <c r="BZ104" s="32"/>
      <c r="CA104" s="32"/>
      <c r="CB104" s="32"/>
      <c r="CC104" s="32"/>
      <c r="CD104" s="32"/>
      <c r="CE104" s="32">
        <v>0</v>
      </c>
      <c r="CF104" s="32"/>
      <c r="CG104" s="32"/>
      <c r="CH104" s="32"/>
      <c r="CI104" s="32">
        <f t="shared" si="6"/>
        <v>0</v>
      </c>
      <c r="CJ104" s="60">
        <f>IF((Table1[[#This Row],["Volume
BA MC-0"]]-Table1[[#This Row],[Total Panjang Pipa Aktual
(Sum-&gt;)3]]-Table1[[#This Row],[Total Volume
tidak dapat dipasang]])&gt;=0,Table1[[#This Row],["Volume
BA MC-0"]]-Table1[[#This Row],[Total Panjang Pipa Aktual
(Sum-&gt;)3]]-Table1[[#This Row],[Total Volume
tidak dapat dipasang]],0)</f>
        <v>287</v>
      </c>
      <c r="CK104" s="42"/>
      <c r="CL104" s="113"/>
      <c r="CM104" s="35"/>
      <c r="CN104" s="113"/>
      <c r="CO104" s="113"/>
      <c r="CP10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4" s="61">
        <f>IFERROR(Table1[[#This Row],[Progres Keg. Umum
(%)]]*Table1[[#This Row],[Nilai RAB Jaringan
(file pa aji)]],0)</f>
        <v>0</v>
      </c>
      <c r="CR104" s="61">
        <f>IFERROR(Table1[[#This Row],[Progres MOS
(%)]]*Table1[[#This Row],[Nilai RAB Jaringan
(file pa aji)]],0)</f>
        <v>0</v>
      </c>
      <c r="CS104" s="61">
        <f>IFERROR(Table1[[#This Row],[Progres Pemasangan
(%)]]*Table1[[#This Row],[Nilai RAB Jaringan
(file pa aji)]],0)</f>
        <v>0</v>
      </c>
      <c r="CT104" s="61">
        <f>IFERROR(Table1[[#This Row],[Progres Perizinan
(%)]]*Table1[[#This Row],[Nilai RAB Jaringan
(file pa aji)]],0)</f>
        <v>0</v>
      </c>
      <c r="CU104" s="789">
        <v>4479280948</v>
      </c>
      <c r="CV104" s="299">
        <v>4479280948</v>
      </c>
      <c r="CW104" s="552">
        <v>4479280948</v>
      </c>
      <c r="CX104" s="789">
        <f>_xlfn.XLOOKUP(Table1[[#This Row],[Kode Program]],'[1]Breakdown VOWD Greenfield'!$E:$E,'[1]Breakdown VOWD Greenfield'!$AT:$AT)</f>
        <v>4479280948</v>
      </c>
      <c r="CY104" s="42"/>
      <c r="CZ104" s="300">
        <v>45292</v>
      </c>
      <c r="DA104" s="300">
        <v>45326</v>
      </c>
      <c r="DB104" s="301"/>
      <c r="DC104" s="286"/>
      <c r="DD104" s="62"/>
      <c r="DE1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4" s="301"/>
      <c r="DG104" s="286"/>
      <c r="DH104" s="62"/>
      <c r="DI1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4" s="300">
        <v>45327</v>
      </c>
      <c r="DK104" s="300">
        <v>45445</v>
      </c>
      <c r="DL104" s="301">
        <v>45248</v>
      </c>
      <c r="DM104" s="395" t="s">
        <v>754</v>
      </c>
      <c r="DN1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4" s="301">
        <v>45364</v>
      </c>
      <c r="DP104" s="396" t="s">
        <v>755</v>
      </c>
      <c r="DQ104" s="308" t="s">
        <v>297</v>
      </c>
      <c r="DR1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4" s="300">
        <v>45327</v>
      </c>
      <c r="DT104" s="300" t="e">
        <v>#N/A</v>
      </c>
      <c r="DU104" s="300">
        <v>45375</v>
      </c>
      <c r="DV104" s="300" t="e">
        <v>#N/A</v>
      </c>
      <c r="DW104" s="301"/>
      <c r="DX104" s="286"/>
      <c r="DY104" s="304"/>
      <c r="DZ104" s="304"/>
      <c r="EA1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4" s="301"/>
      <c r="EC104" s="302"/>
      <c r="ED104" s="302"/>
      <c r="EE104" s="300"/>
      <c r="EF104" s="35">
        <v>1</v>
      </c>
      <c r="EG104" s="307">
        <v>1</v>
      </c>
      <c r="EH104" s="286" t="str">
        <f>IF(Table1[[#This Row],[PO Material Aktual 
(%)]]&gt;=100%,"Selesai PO = 100%",IF(Table1[[#This Row],[PO Material Aktual 
(%)]]&gt;=50%,"Proses PO &gt; 100%",IF(Table1[[#This Row],[PO Material Aktual 
(%)]]&gt;0%,"Proses PO &gt; 50%",IF(Table1[[#This Row],[PO Material Aktual 
(%)]]=0,"Belum PO = 0%"))))</f>
        <v>Selesai PO = 100%</v>
      </c>
      <c r="EI10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4" s="300">
        <v>45376</v>
      </c>
      <c r="EK104" s="300" t="e">
        <v>#N/A</v>
      </c>
      <c r="EL104" s="300">
        <v>45564</v>
      </c>
      <c r="EM104" s="300" t="e">
        <v>#N/A</v>
      </c>
      <c r="EN104" s="301">
        <v>45867</v>
      </c>
      <c r="EO104" s="302"/>
      <c r="EP104" s="302"/>
      <c r="EQ104" s="82">
        <v>1</v>
      </c>
      <c r="ER104" s="82">
        <v>1</v>
      </c>
      <c r="ES104" s="286" t="str">
        <f>IF(Table1[[#This Row],[Progres MOS]]&gt;=100%,"Selesai MOS = 100%",IF(Table1[[#This Row],[Progres MOS]]&gt;=50%,"Proses MOS &gt; 100%",IF(Table1[[#This Row],[Progres MOS]]&gt;0%,"Proses MOS &gt; 50%",IF(Table1[[#This Row],[Progres MOS]]=0,"Belum MOS = 0%"))))</f>
        <v>Selesai MOS = 100%</v>
      </c>
      <c r="ET1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4" s="42"/>
      <c r="EV104" s="300">
        <v>45327</v>
      </c>
      <c r="EW104" s="300" t="e">
        <v>#N/A</v>
      </c>
      <c r="EX104" s="300">
        <v>45473</v>
      </c>
      <c r="EY104" s="300" t="e">
        <v>#N/A</v>
      </c>
      <c r="EZ104" s="322" t="s">
        <v>259</v>
      </c>
      <c r="FA104" s="306" t="s">
        <v>259</v>
      </c>
      <c r="FB104" s="300" t="s">
        <v>260</v>
      </c>
      <c r="FC104" s="300">
        <v>45245</v>
      </c>
      <c r="FD104" s="300" t="s">
        <v>260</v>
      </c>
      <c r="FE104" s="300"/>
      <c r="FF104" s="300">
        <v>45344</v>
      </c>
      <c r="FG104" s="300" t="s">
        <v>260</v>
      </c>
      <c r="FH104" s="300" t="s">
        <v>260</v>
      </c>
      <c r="FI104" s="300">
        <v>45443</v>
      </c>
      <c r="FJ104" s="300" t="s">
        <v>260</v>
      </c>
      <c r="FK104" s="300">
        <v>45537</v>
      </c>
      <c r="FL104" s="306" t="s">
        <v>259</v>
      </c>
      <c r="FM104" s="306">
        <v>45245</v>
      </c>
      <c r="FN104" s="284">
        <f>IF(Table1[[#This Row],[Tanggal Pengajuan Dokumen]]="","",Table1[[#This Row],[PLAN PERMIT
start]]-Table1[[#This Row],[Tanggal Pengajuan Dokumen]])</f>
        <v>82</v>
      </c>
      <c r="FO104" s="306">
        <v>45537</v>
      </c>
      <c r="FP104" s="286"/>
      <c r="FQ104" s="308"/>
      <c r="FR104" s="322"/>
      <c r="FS104" s="308" t="str">
        <f t="shared" si="8"/>
        <v>Sudah Terbit</v>
      </c>
      <c r="FT1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4" s="314">
        <f ca="1">IF(Table1[[#This Row],[Status Izin]]="Selesai",Table1[[#This Row],[PLAN PERMIT
finish]]-Table1[[#This Row],[Tanggal Terbit/ Target Izin Terbit]],ROUNDUP(Table1[[#This Row],[PLAN PERMIT
finish]]-NOW(),0))</f>
        <v>-64</v>
      </c>
      <c r="FV1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4" s="314"/>
      <c r="FX104" s="42"/>
      <c r="FY104" s="310"/>
      <c r="FZ104" s="311"/>
      <c r="GA1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4" s="300">
        <v>45447</v>
      </c>
      <c r="GC104" s="322">
        <v>45245</v>
      </c>
      <c r="GD1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4" s="300">
        <v>45454</v>
      </c>
      <c r="GF104" s="322">
        <v>45245</v>
      </c>
      <c r="GG1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4" s="300">
        <v>45460</v>
      </c>
      <c r="GI104" s="300">
        <v>45466</v>
      </c>
      <c r="GJ104" s="322">
        <v>45257</v>
      </c>
      <c r="GK1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4" s="300">
        <v>45474</v>
      </c>
      <c r="GM104" s="300" t="e">
        <v>#N/A</v>
      </c>
      <c r="GN104" s="300">
        <v>45641</v>
      </c>
      <c r="GO104" s="300" t="e">
        <v>#N/A</v>
      </c>
      <c r="GP104" s="286"/>
      <c r="GQ1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4" s="300" t="s">
        <v>261</v>
      </c>
      <c r="GS104" s="391" t="s">
        <v>261</v>
      </c>
      <c r="GT104" s="397" t="s">
        <v>756</v>
      </c>
      <c r="GU104" s="393" t="str">
        <f>IF(Table1[[#This Row],[Hydro Tes Actual
(tanggal)]]&lt;&gt;"","Sudah","Belum")</f>
        <v>Sudah</v>
      </c>
      <c r="GV104" s="300" t="s">
        <v>261</v>
      </c>
      <c r="GW104" s="300" t="s">
        <v>261</v>
      </c>
      <c r="GX104" s="301"/>
      <c r="GY104" s="314" t="str">
        <f>IF(Table1[[#This Row],[Interkoneksi Actual
(tanggal)]]&lt;&gt;"","Sudah","Belum")</f>
        <v>Belum</v>
      </c>
      <c r="GZ104" s="300" t="s">
        <v>261</v>
      </c>
      <c r="HA104" s="391" t="s">
        <v>261</v>
      </c>
      <c r="HB104" s="394">
        <v>45677</v>
      </c>
      <c r="HC104" s="314" t="str">
        <f>IF(Table1[[#This Row],[Flushing Actual
(tanggal)]]&lt;&gt;"","Sudah","Belum")</f>
        <v>Sudah</v>
      </c>
      <c r="HD104" s="300">
        <v>45621</v>
      </c>
      <c r="HE104" s="300" t="e">
        <v>#N/A</v>
      </c>
      <c r="HF104" s="300">
        <v>45627</v>
      </c>
      <c r="HG104" s="400">
        <v>45726</v>
      </c>
      <c r="HH1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4" s="300" t="s">
        <v>261</v>
      </c>
      <c r="HJ104" s="300" t="s">
        <v>261</v>
      </c>
      <c r="HK104" s="301"/>
      <c r="HL104" s="286"/>
      <c r="HM104" s="300">
        <v>45646</v>
      </c>
      <c r="HN104" s="300">
        <v>45646</v>
      </c>
      <c r="HO104" s="300" t="e">
        <v>#N/A</v>
      </c>
      <c r="HP104" s="300"/>
      <c r="HQ104" s="301">
        <v>45735</v>
      </c>
      <c r="HR1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4" s="300">
        <v>45653</v>
      </c>
      <c r="HT104" s="300"/>
      <c r="HU104" s="300">
        <v>45653</v>
      </c>
      <c r="HV104" s="497"/>
      <c r="HW104" s="300">
        <v>45745</v>
      </c>
      <c r="HX10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4" s="42"/>
      <c r="HZ104" s="322"/>
      <c r="IA104" s="306"/>
      <c r="IC104" s="585">
        <f>IFERROR(ROUND((Table1[[#This Row],[PLAN TC
finish]]-Table1[[#This Row],[PLAN MC-0
start]])/30,2),"")</f>
        <v>5.57</v>
      </c>
      <c r="ID104">
        <f>DATEDIF(Table1[[#This Row],[PLAN MC-0
start]],Table1[[#This Row],[PLAN TC
finish]],"m")</f>
        <v>5</v>
      </c>
    </row>
    <row r="105" spans="2:238" s="4" customFormat="1" ht="15" customHeight="1" x14ac:dyDescent="0.25">
      <c r="B105" s="281">
        <f>SUBTOTAL(3,$D$5:D105)</f>
        <v>101</v>
      </c>
      <c r="C105" s="318">
        <v>101</v>
      </c>
      <c r="D105" s="285" t="s">
        <v>673</v>
      </c>
      <c r="E105" s="285" t="s">
        <v>757</v>
      </c>
      <c r="F105" s="285" t="s">
        <v>758</v>
      </c>
      <c r="G105" s="319">
        <v>45752</v>
      </c>
      <c r="H105" s="284" t="s">
        <v>247</v>
      </c>
      <c r="I105" s="285" t="s">
        <v>278</v>
      </c>
      <c r="J105" s="285"/>
      <c r="K105" s="308" t="s">
        <v>676</v>
      </c>
      <c r="L105" s="286" t="s">
        <v>250</v>
      </c>
      <c r="M105" s="286" t="s">
        <v>269</v>
      </c>
      <c r="N105" s="94">
        <v>68</v>
      </c>
      <c r="O105" s="31" t="s">
        <v>252</v>
      </c>
      <c r="P10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5" s="82" t="e">
        <v>#N/A</v>
      </c>
      <c r="S105" s="82">
        <v>1</v>
      </c>
      <c r="T105" s="35">
        <f>Table1[[#This Row],[Progres Total Aktual
(%)]]</f>
        <v>1</v>
      </c>
      <c r="U105" s="106">
        <f>Table1[[#This Row],[Progres Aktual
(%)]]-Table1[[#This Row],[Target Progres
(%)]]</f>
        <v>0</v>
      </c>
      <c r="V105" s="320">
        <f>Table1[[#This Row],["Volume
BA MC-0"]]</f>
        <v>70</v>
      </c>
      <c r="W105" s="321">
        <f>Table1[[#This Row],[Total Panjang Pipa Aktual
(Sum-&gt;)3]]</f>
        <v>70</v>
      </c>
      <c r="X105" s="42"/>
      <c r="Y105" s="62" t="s">
        <v>759</v>
      </c>
      <c r="Z105" s="62">
        <v>217404757</v>
      </c>
      <c r="AA105" s="62">
        <f>ROUND((Table1[[#This Row],[Nilai RAB Jaringan
(Exclude Ppn)]]-Table1[[#This Row],[RAB Perizinan]])*1.11+Table1[[#This Row],[RAB Perizinan]],0)</f>
        <v>0</v>
      </c>
      <c r="AB105" s="290">
        <f>SUM(Table1[[#This Row],[RAB Kegiatan Umum]:[RAB Perizinan]])</f>
        <v>0</v>
      </c>
      <c r="AC105" s="290"/>
      <c r="AD105" s="290"/>
      <c r="AE105" s="290"/>
      <c r="AF105" s="290"/>
      <c r="AG105" s="290">
        <v>51241208</v>
      </c>
      <c r="AH105" s="35" t="e">
        <f>SUM(Table1[[#This Row],[Bobot Keg Umum]:[Bobot Perizinan]])</f>
        <v>#DIV/0!</v>
      </c>
      <c r="AI105" s="35" t="e">
        <f>Table1[[#This Row],[RAB Kegiatan Umum]]/Table1[[#This Row],[Nilai RAB Jaringan
(Exclude Ppn)]]</f>
        <v>#DIV/0!</v>
      </c>
      <c r="AJ105" s="35" t="e">
        <f>Table1[[#This Row],[RAB Pemasangan]]/Table1[[#This Row],[Nilai RAB Jaringan
(Exclude Ppn)]]</f>
        <v>#DIV/0!</v>
      </c>
      <c r="AK105" s="35" t="e">
        <f>Table1[[#This Row],[RAB Pengadaan]]/Table1[[#This Row],[Nilai RAB Jaringan
(Exclude Ppn)]]</f>
        <v>#DIV/0!</v>
      </c>
      <c r="AL105" s="35" t="e">
        <f>Table1[[#This Row],[RAB Perizinan]]/Table1[[#This Row],[Nilai RAB Jaringan
(Exclude Ppn)]]</f>
        <v>#DIV/0!</v>
      </c>
      <c r="AM105" s="42"/>
      <c r="AN105" s="256">
        <v>70</v>
      </c>
      <c r="AO105" s="256">
        <f>SUM(Table1[[#This Row],[Pipa 63 mm]:[Pipa 1,800 mm]])</f>
        <v>0</v>
      </c>
      <c r="AP105" s="256"/>
      <c r="AQ105" s="256"/>
      <c r="AR105" s="256"/>
      <c r="AS105" s="256"/>
      <c r="AT105" s="256"/>
      <c r="AU105" s="256"/>
      <c r="AV105" s="256"/>
      <c r="AW105" s="256"/>
      <c r="AX105" s="256"/>
      <c r="AY105" s="256"/>
      <c r="AZ105" s="256"/>
      <c r="BA105" s="256"/>
      <c r="BB105" s="256"/>
      <c r="BC105" s="256"/>
      <c r="BD105" s="256"/>
      <c r="BE105" s="256"/>
      <c r="BF105" s="256"/>
      <c r="BG105" s="256"/>
      <c r="BH105" s="256"/>
      <c r="BI105" s="256"/>
      <c r="BJ105" s="36">
        <f>SUM(Table1[[#This Row],[Pipa 63 mm2]:[Pipa 1,800 mm21]])</f>
        <v>70</v>
      </c>
      <c r="BK105" s="32">
        <v>70</v>
      </c>
      <c r="BL105" s="32"/>
      <c r="BM105" s="32"/>
      <c r="BN105" s="32"/>
      <c r="BO105" s="32"/>
      <c r="BP105" s="32"/>
      <c r="BQ105" s="32"/>
      <c r="BR105" s="32"/>
      <c r="BS105" s="32"/>
      <c r="BT105" s="32"/>
      <c r="BU105" s="32"/>
      <c r="BV105" s="32"/>
      <c r="BW105" s="32"/>
      <c r="BX105" s="32"/>
      <c r="BY105" s="32"/>
      <c r="BZ105" s="32"/>
      <c r="CA105" s="32"/>
      <c r="CB105" s="32"/>
      <c r="CC105" s="32"/>
      <c r="CD105" s="32"/>
      <c r="CE105" s="32">
        <v>0</v>
      </c>
      <c r="CF105" s="32"/>
      <c r="CG105" s="32"/>
      <c r="CH105" s="32"/>
      <c r="CI105" s="32">
        <f t="shared" si="6"/>
        <v>0</v>
      </c>
      <c r="CJ105" s="60">
        <f>IF((Table1[[#This Row],["Volume
BA MC-0"]]-Table1[[#This Row],[Total Panjang Pipa Aktual
(Sum-&gt;)3]]-Table1[[#This Row],[Total Volume
tidak dapat dipasang]])&gt;=0,Table1[[#This Row],["Volume
BA MC-0"]]-Table1[[#This Row],[Total Panjang Pipa Aktual
(Sum-&gt;)3]]-Table1[[#This Row],[Total Volume
tidak dapat dipasang]],0)</f>
        <v>0</v>
      </c>
      <c r="CK105" s="42"/>
      <c r="CL105" s="113"/>
      <c r="CM105" s="35"/>
      <c r="CN105" s="113"/>
      <c r="CO105" s="113"/>
      <c r="CP1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5" s="61">
        <f>IFERROR(Table1[[#This Row],[Progres Keg. Umum
(%)]]*Table1[[#This Row],[Nilai RAB Jaringan
(file pa aji)]],0)</f>
        <v>0</v>
      </c>
      <c r="CR105" s="61">
        <f>IFERROR(Table1[[#This Row],[Progres MOS
(%)]]*Table1[[#This Row],[Nilai RAB Jaringan
(file pa aji)]],0)</f>
        <v>0</v>
      </c>
      <c r="CS105" s="61">
        <f>IFERROR(Table1[[#This Row],[Progres Pemasangan
(%)]]*Table1[[#This Row],[Nilai RAB Jaringan
(file pa aji)]],0)</f>
        <v>0</v>
      </c>
      <c r="CT105" s="61">
        <f>IFERROR(Table1[[#This Row],[Progres Perizinan
(%)]]*Table1[[#This Row],[Nilai RAB Jaringan
(file pa aji)]],0)</f>
        <v>0</v>
      </c>
      <c r="CU105" s="789">
        <v>213544137</v>
      </c>
      <c r="CV105" s="299">
        <v>213544137</v>
      </c>
      <c r="CW105" s="552">
        <v>213544137</v>
      </c>
      <c r="CX105" s="789">
        <f>_xlfn.XLOOKUP(Table1[[#This Row],[Kode Program]],'[1]Breakdown VOWD Greenfield'!$E:$E,'[1]Breakdown VOWD Greenfield'!$AT:$AT)</f>
        <v>213544137</v>
      </c>
      <c r="CY105" s="42"/>
      <c r="CZ105" s="300">
        <v>45530</v>
      </c>
      <c r="DA105" s="300">
        <v>45543</v>
      </c>
      <c r="DB105" s="301"/>
      <c r="DC105" s="286"/>
      <c r="DD105" s="62"/>
      <c r="DE1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5" s="301"/>
      <c r="DG105" s="286"/>
      <c r="DH105" s="62"/>
      <c r="DI1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5" s="300">
        <v>45544</v>
      </c>
      <c r="DK105" s="300">
        <v>45592</v>
      </c>
      <c r="DL105" s="301">
        <v>45542</v>
      </c>
      <c r="DM105" s="395" t="s">
        <v>760</v>
      </c>
      <c r="DN1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5" s="301">
        <v>45593</v>
      </c>
      <c r="DP105" s="396" t="s">
        <v>761</v>
      </c>
      <c r="DQ105" s="308" t="s">
        <v>762</v>
      </c>
      <c r="DR1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5" s="300">
        <v>45544</v>
      </c>
      <c r="DT105" s="300" t="e">
        <v>#N/A</v>
      </c>
      <c r="DU105" s="300">
        <v>45571</v>
      </c>
      <c r="DV105" s="300" t="e">
        <v>#N/A</v>
      </c>
      <c r="DW105" s="301"/>
      <c r="DX105" s="286"/>
      <c r="DY105" s="304"/>
      <c r="DZ105" s="304"/>
      <c r="EA1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5" s="301"/>
      <c r="EC105" s="302"/>
      <c r="ED105" s="302"/>
      <c r="EE105" s="300"/>
      <c r="EF105" s="35">
        <v>1</v>
      </c>
      <c r="EG105" s="307">
        <v>1</v>
      </c>
      <c r="EH105" s="286" t="str">
        <f>IF(Table1[[#This Row],[PO Material Aktual 
(%)]]&gt;=100%,"Selesai PO = 100%",IF(Table1[[#This Row],[PO Material Aktual 
(%)]]&gt;=50%,"Proses PO &gt; 100%",IF(Table1[[#This Row],[PO Material Aktual 
(%)]]&gt;0%,"Proses PO &gt; 50%",IF(Table1[[#This Row],[PO Material Aktual 
(%)]]=0,"Belum PO = 0%"))))</f>
        <v>Selesai PO = 100%</v>
      </c>
      <c r="EI1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5" s="300">
        <v>45572</v>
      </c>
      <c r="EK105" s="300" t="e">
        <v>#N/A</v>
      </c>
      <c r="EL105" s="300">
        <v>45620</v>
      </c>
      <c r="EM105" s="300" t="e">
        <v>#N/A</v>
      </c>
      <c r="EN105" s="301">
        <v>45645</v>
      </c>
      <c r="EO105" s="302"/>
      <c r="EP105" s="302"/>
      <c r="EQ105" s="82">
        <v>1</v>
      </c>
      <c r="ER105" s="82">
        <v>1</v>
      </c>
      <c r="ES105" s="286" t="str">
        <f>IF(Table1[[#This Row],[Progres MOS]]&gt;=100%,"Selesai MOS = 100%",IF(Table1[[#This Row],[Progres MOS]]&gt;=50%,"Proses MOS &gt; 100%",IF(Table1[[#This Row],[Progres MOS]]&gt;0%,"Proses MOS &gt; 50%",IF(Table1[[#This Row],[Progres MOS]]=0,"Belum MOS = 0%"))))</f>
        <v>Selesai MOS = 100%</v>
      </c>
      <c r="ET1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5" s="42"/>
      <c r="EV105" s="300">
        <v>45544</v>
      </c>
      <c r="EW105" s="300" t="e">
        <v>#N/A</v>
      </c>
      <c r="EX105" s="300">
        <v>45620</v>
      </c>
      <c r="EY105" s="300" t="e">
        <v>#N/A</v>
      </c>
      <c r="EZ105" s="322" t="s">
        <v>298</v>
      </c>
      <c r="FA105" s="306" t="s">
        <v>259</v>
      </c>
      <c r="FB105" s="300" t="s">
        <v>260</v>
      </c>
      <c r="FC105" s="300">
        <v>45799</v>
      </c>
      <c r="FD105" s="300" t="s">
        <v>260</v>
      </c>
      <c r="FE105" s="300">
        <v>45875</v>
      </c>
      <c r="FF105" s="300">
        <v>45929</v>
      </c>
      <c r="FG105" s="300" t="s">
        <v>260</v>
      </c>
      <c r="FH105" s="300" t="s">
        <v>260</v>
      </c>
      <c r="FI105" s="300">
        <v>46021</v>
      </c>
      <c r="FJ105" s="300" t="s">
        <v>260</v>
      </c>
      <c r="FK105" s="300">
        <v>46087</v>
      </c>
      <c r="FL105" s="306" t="s">
        <v>298</v>
      </c>
      <c r="FM105" s="306">
        <v>45799</v>
      </c>
      <c r="FN105" s="284">
        <f>IF(Table1[[#This Row],[Tanggal Pengajuan Dokumen]]="","",Table1[[#This Row],[PLAN PERMIT
start]]-Table1[[#This Row],[Tanggal Pengajuan Dokumen]])</f>
        <v>-255</v>
      </c>
      <c r="FO105" s="306"/>
      <c r="FP105" s="286"/>
      <c r="FQ105" s="308"/>
      <c r="FR105" s="322"/>
      <c r="FS105" s="308" t="str">
        <f t="shared" si="8"/>
        <v>Sudah Terbit</v>
      </c>
      <c r="FT1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5" s="314">
        <f ca="1">IF(Table1[[#This Row],[Status Izin]]="Selesai",Table1[[#This Row],[PLAN PERMIT
finish]]-Table1[[#This Row],[Tanggal Terbit/ Target Izin Terbit]],ROUNDUP(Table1[[#This Row],[PLAN PERMIT
finish]]-NOW(),0))</f>
        <v>45620</v>
      </c>
      <c r="FV1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5" s="314"/>
      <c r="FX105" s="42"/>
      <c r="FY105" s="310"/>
      <c r="FZ105" s="311"/>
      <c r="GA1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5" s="300">
        <v>45594</v>
      </c>
      <c r="GC105" s="322">
        <v>45610</v>
      </c>
      <c r="GD1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5" s="300">
        <v>45601</v>
      </c>
      <c r="GF105" s="322">
        <v>45610</v>
      </c>
      <c r="GG1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5" s="300">
        <v>45607</v>
      </c>
      <c r="GI105" s="300">
        <v>45613</v>
      </c>
      <c r="GJ105" s="322">
        <v>45552</v>
      </c>
      <c r="GK1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5" s="300">
        <v>45621</v>
      </c>
      <c r="GM105" s="300" t="e">
        <v>#N/A</v>
      </c>
      <c r="GN105" s="300">
        <v>45641</v>
      </c>
      <c r="GO105" s="300" t="e">
        <v>#N/A</v>
      </c>
      <c r="GP105" s="286"/>
      <c r="GQ1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5" s="300" t="s">
        <v>261</v>
      </c>
      <c r="GS105" s="391" t="s">
        <v>261</v>
      </c>
      <c r="GT105" s="397">
        <v>45635</v>
      </c>
      <c r="GU105" s="393" t="str">
        <f>IF(Table1[[#This Row],[Hydro Tes Actual
(tanggal)]]&lt;&gt;"","Sudah","Belum")</f>
        <v>Sudah</v>
      </c>
      <c r="GV105" s="300" t="s">
        <v>261</v>
      </c>
      <c r="GW105" s="300" t="s">
        <v>261</v>
      </c>
      <c r="GX105" s="301"/>
      <c r="GY105" s="314" t="str">
        <f>IF(Table1[[#This Row],[Interkoneksi Actual
(tanggal)]]&lt;&gt;"","Sudah","Belum")</f>
        <v>Belum</v>
      </c>
      <c r="GZ105" s="300" t="s">
        <v>261</v>
      </c>
      <c r="HA105" s="391" t="s">
        <v>261</v>
      </c>
      <c r="HB105" s="394">
        <v>45643</v>
      </c>
      <c r="HC105" s="314" t="str">
        <f>IF(Table1[[#This Row],[Flushing Actual
(tanggal)]]&lt;&gt;"","Sudah","Belum")</f>
        <v>Sudah</v>
      </c>
      <c r="HD105" s="300">
        <v>45628</v>
      </c>
      <c r="HE105" s="300" t="e">
        <v>#N/A</v>
      </c>
      <c r="HF105" s="300">
        <v>45634</v>
      </c>
      <c r="HG105" s="322">
        <v>45670</v>
      </c>
      <c r="HH1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5" s="300" t="s">
        <v>261</v>
      </c>
      <c r="HJ105" s="300" t="s">
        <v>261</v>
      </c>
      <c r="HK105" s="301"/>
      <c r="HL105" s="286"/>
      <c r="HM105" s="300">
        <v>45646</v>
      </c>
      <c r="HN105" s="300">
        <v>45646</v>
      </c>
      <c r="HO105" s="300" t="e">
        <v>#N/A</v>
      </c>
      <c r="HP105" s="300"/>
      <c r="HQ105" s="301">
        <v>45734</v>
      </c>
      <c r="HR1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5" s="300">
        <v>45653</v>
      </c>
      <c r="HT105" s="300"/>
      <c r="HU105" s="300">
        <v>45653</v>
      </c>
      <c r="HV105" s="497"/>
      <c r="HW105" s="300">
        <v>45745</v>
      </c>
      <c r="HX1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5" s="42"/>
      <c r="HZ105" s="322"/>
      <c r="IA105" s="306"/>
      <c r="IC105" s="585">
        <f>IFERROR(ROUND((Table1[[#This Row],[PLAN TC
finish]]-Table1[[#This Row],[PLAN MC-0
start]])/30,2),"")</f>
        <v>0.9</v>
      </c>
      <c r="ID105">
        <f>DATEDIF(Table1[[#This Row],[PLAN MC-0
start]],Table1[[#This Row],[PLAN TC
finish]],"m")</f>
        <v>0</v>
      </c>
    </row>
    <row r="106" spans="2:238" s="4" customFormat="1" ht="15" customHeight="1" x14ac:dyDescent="0.25">
      <c r="B106" s="281">
        <f>SUBTOTAL(3,$D$5:D106)</f>
        <v>102</v>
      </c>
      <c r="C106" s="318">
        <v>102</v>
      </c>
      <c r="D106" s="285" t="s">
        <v>673</v>
      </c>
      <c r="E106" s="285" t="s">
        <v>763</v>
      </c>
      <c r="F106" s="285" t="s">
        <v>764</v>
      </c>
      <c r="G106" s="319">
        <v>45752</v>
      </c>
      <c r="H106" s="284" t="s">
        <v>247</v>
      </c>
      <c r="I106" s="285" t="s">
        <v>278</v>
      </c>
      <c r="J106" s="285"/>
      <c r="K106" s="308" t="s">
        <v>676</v>
      </c>
      <c r="L106" s="286" t="s">
        <v>250</v>
      </c>
      <c r="M106" s="286" t="s">
        <v>269</v>
      </c>
      <c r="N106" s="94">
        <v>1176</v>
      </c>
      <c r="O106" s="31" t="s">
        <v>252</v>
      </c>
      <c r="P10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6" s="82" t="e">
        <v>#N/A</v>
      </c>
      <c r="S106" s="82">
        <v>1</v>
      </c>
      <c r="T106" s="35">
        <f>Table1[[#This Row],[Progres Total Aktual
(%)]]</f>
        <v>1</v>
      </c>
      <c r="U106" s="106">
        <f>Table1[[#This Row],[Progres Aktual
(%)]]-Table1[[#This Row],[Target Progres
(%)]]</f>
        <v>0</v>
      </c>
      <c r="V106" s="320">
        <f>Table1[[#This Row],["Volume
BA MC-0"]]</f>
        <v>1222</v>
      </c>
      <c r="W106" s="321">
        <f>Table1[[#This Row],[Total Panjang Pipa Aktual
(Sum-&gt;)3]]</f>
        <v>1157</v>
      </c>
      <c r="X106" s="42"/>
      <c r="Y106" s="62" t="s">
        <v>765</v>
      </c>
      <c r="Z106" s="62">
        <v>2771683831</v>
      </c>
      <c r="AA106" s="62">
        <f>ROUND((Table1[[#This Row],[Nilai RAB Jaringan
(Exclude Ppn)]]-Table1[[#This Row],[RAB Perizinan]])*1.11+Table1[[#This Row],[RAB Perizinan]],0)</f>
        <v>0</v>
      </c>
      <c r="AB106" s="290">
        <f>SUM(Table1[[#This Row],[RAB Kegiatan Umum]:[RAB Perizinan]])</f>
        <v>0</v>
      </c>
      <c r="AC106" s="290"/>
      <c r="AD106" s="290"/>
      <c r="AE106" s="290"/>
      <c r="AF106" s="290"/>
      <c r="AG106" s="290">
        <v>61489449</v>
      </c>
      <c r="AH106" s="35" t="e">
        <f>SUM(Table1[[#This Row],[Bobot Keg Umum]:[Bobot Perizinan]])</f>
        <v>#DIV/0!</v>
      </c>
      <c r="AI106" s="35" t="e">
        <f>Table1[[#This Row],[RAB Kegiatan Umum]]/Table1[[#This Row],[Nilai RAB Jaringan
(Exclude Ppn)]]</f>
        <v>#DIV/0!</v>
      </c>
      <c r="AJ106" s="35" t="e">
        <f>Table1[[#This Row],[RAB Pemasangan]]/Table1[[#This Row],[Nilai RAB Jaringan
(Exclude Ppn)]]</f>
        <v>#DIV/0!</v>
      </c>
      <c r="AK106" s="35" t="e">
        <f>Table1[[#This Row],[RAB Pengadaan]]/Table1[[#This Row],[Nilai RAB Jaringan
(Exclude Ppn)]]</f>
        <v>#DIV/0!</v>
      </c>
      <c r="AL106" s="35" t="e">
        <f>Table1[[#This Row],[RAB Perizinan]]/Table1[[#This Row],[Nilai RAB Jaringan
(Exclude Ppn)]]</f>
        <v>#DIV/0!</v>
      </c>
      <c r="AM106" s="42"/>
      <c r="AN106" s="256">
        <v>1222</v>
      </c>
      <c r="AO106" s="256">
        <f>SUM(Table1[[#This Row],[Pipa 63 mm]:[Pipa 1,800 mm]])</f>
        <v>0</v>
      </c>
      <c r="AP106" s="256"/>
      <c r="AQ106" s="256"/>
      <c r="AR106" s="256"/>
      <c r="AS106" s="256"/>
      <c r="AT106" s="256"/>
      <c r="AU106" s="256"/>
      <c r="AV106" s="256"/>
      <c r="AW106" s="256"/>
      <c r="AX106" s="256"/>
      <c r="AY106" s="256"/>
      <c r="AZ106" s="256"/>
      <c r="BA106" s="256"/>
      <c r="BB106" s="256"/>
      <c r="BC106" s="256"/>
      <c r="BD106" s="256"/>
      <c r="BE106" s="256"/>
      <c r="BF106" s="256"/>
      <c r="BG106" s="256"/>
      <c r="BH106" s="256"/>
      <c r="BI106" s="256"/>
      <c r="BJ106" s="36">
        <f>SUM(Table1[[#This Row],[Pipa 63 mm2]:[Pipa 1,800 mm21]])</f>
        <v>1157</v>
      </c>
      <c r="BK106" s="32"/>
      <c r="BL106" s="32">
        <v>756</v>
      </c>
      <c r="BM106" s="32">
        <v>401</v>
      </c>
      <c r="BN106" s="32"/>
      <c r="BO106" s="32"/>
      <c r="BP106" s="32"/>
      <c r="BQ106" s="32"/>
      <c r="BR106" s="32"/>
      <c r="BS106" s="32"/>
      <c r="BT106" s="32"/>
      <c r="BU106" s="32"/>
      <c r="BV106" s="32"/>
      <c r="BW106" s="32"/>
      <c r="BX106" s="32"/>
      <c r="BY106" s="32"/>
      <c r="BZ106" s="32"/>
      <c r="CA106" s="32"/>
      <c r="CB106" s="32"/>
      <c r="CC106" s="32"/>
      <c r="CD106" s="32"/>
      <c r="CE106" s="32">
        <v>0</v>
      </c>
      <c r="CF106" s="32"/>
      <c r="CG106" s="32"/>
      <c r="CH106" s="32"/>
      <c r="CI106" s="32">
        <f t="shared" si="6"/>
        <v>0</v>
      </c>
      <c r="CJ106" s="60">
        <f>IF((Table1[[#This Row],["Volume
BA MC-0"]]-Table1[[#This Row],[Total Panjang Pipa Aktual
(Sum-&gt;)3]]-Table1[[#This Row],[Total Volume
tidak dapat dipasang]])&gt;=0,Table1[[#This Row],["Volume
BA MC-0"]]-Table1[[#This Row],[Total Panjang Pipa Aktual
(Sum-&gt;)3]]-Table1[[#This Row],[Total Volume
tidak dapat dipasang]],0)</f>
        <v>65</v>
      </c>
      <c r="CK106" s="42"/>
      <c r="CL106" s="113"/>
      <c r="CM106" s="35"/>
      <c r="CN106" s="113"/>
      <c r="CO106" s="113"/>
      <c r="CP1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6" s="61">
        <f>IFERROR(Table1[[#This Row],[Progres Keg. Umum
(%)]]*Table1[[#This Row],[Nilai RAB Jaringan
(file pa aji)]],0)</f>
        <v>0</v>
      </c>
      <c r="CR106" s="61">
        <f>IFERROR(Table1[[#This Row],[Progres MOS
(%)]]*Table1[[#This Row],[Nilai RAB Jaringan
(file pa aji)]],0)</f>
        <v>0</v>
      </c>
      <c r="CS106" s="61">
        <f>IFERROR(Table1[[#This Row],[Progres Pemasangan
(%)]]*Table1[[#This Row],[Nilai RAB Jaringan
(file pa aji)]],0)</f>
        <v>0</v>
      </c>
      <c r="CT106" s="61">
        <f>IFERROR(Table1[[#This Row],[Progres Perizinan
(%)]]*Table1[[#This Row],[Nilai RAB Jaringan
(file pa aji)]],0)</f>
        <v>0</v>
      </c>
      <c r="CU106" s="789">
        <v>2229658504</v>
      </c>
      <c r="CV106" s="299">
        <v>2229658504</v>
      </c>
      <c r="CW106" s="552">
        <v>2229658504</v>
      </c>
      <c r="CX106" s="789">
        <f>_xlfn.XLOOKUP(Table1[[#This Row],[Kode Program]],'[1]Breakdown VOWD Greenfield'!$E:$E,'[1]Breakdown VOWD Greenfield'!$AT:$AT)</f>
        <v>2229658504</v>
      </c>
      <c r="CY106" s="42"/>
      <c r="CZ106" s="300">
        <v>45439</v>
      </c>
      <c r="DA106" s="300">
        <v>45466</v>
      </c>
      <c r="DB106" s="301"/>
      <c r="DC106" s="286"/>
      <c r="DD106" s="62"/>
      <c r="DE1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6" s="301"/>
      <c r="DG106" s="286"/>
      <c r="DH106" s="62"/>
      <c r="DI1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6" s="300">
        <v>45467</v>
      </c>
      <c r="DK106" s="300">
        <v>45508</v>
      </c>
      <c r="DL106" s="301">
        <v>45439</v>
      </c>
      <c r="DM106" s="395" t="s">
        <v>766</v>
      </c>
      <c r="DN1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6" s="301">
        <v>45447</v>
      </c>
      <c r="DP106" s="396" t="s">
        <v>695</v>
      </c>
      <c r="DQ106" s="308" t="s">
        <v>297</v>
      </c>
      <c r="DR1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6" s="300">
        <v>45467</v>
      </c>
      <c r="DT106" s="300" t="e">
        <v>#N/A</v>
      </c>
      <c r="DU106" s="300">
        <v>45508</v>
      </c>
      <c r="DV106" s="300" t="e">
        <v>#N/A</v>
      </c>
      <c r="DW106" s="301"/>
      <c r="DX106" s="286"/>
      <c r="DY106" s="304"/>
      <c r="DZ106" s="304"/>
      <c r="EA1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6" s="301"/>
      <c r="EC106" s="302"/>
      <c r="ED106" s="302"/>
      <c r="EE106" s="300"/>
      <c r="EF106" s="35">
        <v>1</v>
      </c>
      <c r="EG106" s="307">
        <v>1</v>
      </c>
      <c r="EH106" s="286" t="str">
        <f>IF(Table1[[#This Row],[PO Material Aktual 
(%)]]&gt;=100%,"Selesai PO = 100%",IF(Table1[[#This Row],[PO Material Aktual 
(%)]]&gt;=50%,"Proses PO &gt; 100%",IF(Table1[[#This Row],[PO Material Aktual 
(%)]]&gt;0%,"Proses PO &gt; 50%",IF(Table1[[#This Row],[PO Material Aktual 
(%)]]=0,"Belum PO = 0%"))))</f>
        <v>Selesai PO = 100%</v>
      </c>
      <c r="EI1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6" s="300">
        <v>45509</v>
      </c>
      <c r="EK106" s="300" t="e">
        <v>#N/A</v>
      </c>
      <c r="EL106" s="300">
        <v>45599</v>
      </c>
      <c r="EM106" s="300" t="e">
        <v>#N/A</v>
      </c>
      <c r="EN106" s="301">
        <v>45595</v>
      </c>
      <c r="EO106" s="302"/>
      <c r="EP106" s="302"/>
      <c r="EQ106" s="82">
        <v>1</v>
      </c>
      <c r="ER106" s="82">
        <v>1</v>
      </c>
      <c r="ES106" s="286" t="str">
        <f>IF(Table1[[#This Row],[Progres MOS]]&gt;=100%,"Selesai MOS = 100%",IF(Table1[[#This Row],[Progres MOS]]&gt;=50%,"Proses MOS &gt; 100%",IF(Table1[[#This Row],[Progres MOS]]&gt;0%,"Proses MOS &gt; 50%",IF(Table1[[#This Row],[Progres MOS]]=0,"Belum MOS = 0%"))))</f>
        <v>Selesai MOS = 100%</v>
      </c>
      <c r="ET1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106" s="42"/>
      <c r="EV106" s="300">
        <v>45467</v>
      </c>
      <c r="EW106" s="300" t="e">
        <v>#N/A</v>
      </c>
      <c r="EX106" s="300">
        <v>45564</v>
      </c>
      <c r="EY106" s="300" t="e">
        <v>#N/A</v>
      </c>
      <c r="EZ106" s="322" t="s">
        <v>298</v>
      </c>
      <c r="FA106" s="306" t="s">
        <v>259</v>
      </c>
      <c r="FB106" s="300" t="s">
        <v>260</v>
      </c>
      <c r="FC106" s="300">
        <v>45799</v>
      </c>
      <c r="FD106" s="300" t="s">
        <v>260</v>
      </c>
      <c r="FE106" s="300">
        <v>45875</v>
      </c>
      <c r="FF106" s="300">
        <v>45929</v>
      </c>
      <c r="FG106" s="300" t="s">
        <v>260</v>
      </c>
      <c r="FH106" s="300" t="s">
        <v>260</v>
      </c>
      <c r="FI106" s="300">
        <v>46021</v>
      </c>
      <c r="FJ106" s="300" t="s">
        <v>260</v>
      </c>
      <c r="FK106" s="300">
        <v>46087</v>
      </c>
      <c r="FL106" s="306" t="s">
        <v>298</v>
      </c>
      <c r="FM106" s="306">
        <v>45799</v>
      </c>
      <c r="FN106" s="284">
        <f>IF(Table1[[#This Row],[Tanggal Pengajuan Dokumen]]="","",Table1[[#This Row],[PLAN PERMIT
start]]-Table1[[#This Row],[Tanggal Pengajuan Dokumen]])</f>
        <v>-332</v>
      </c>
      <c r="FO106" s="306"/>
      <c r="FP106" s="286"/>
      <c r="FQ106" s="308"/>
      <c r="FR106" s="322"/>
      <c r="FS106" s="308" t="str">
        <f t="shared" si="8"/>
        <v>Sudah Terbit</v>
      </c>
      <c r="FT1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6" s="314">
        <f ca="1">IF(Table1[[#This Row],[Status Izin]]="Selesai",Table1[[#This Row],[PLAN PERMIT
finish]]-Table1[[#This Row],[Tanggal Terbit/ Target Izin Terbit]],ROUNDUP(Table1[[#This Row],[PLAN PERMIT
finish]]-NOW(),0))</f>
        <v>45564</v>
      </c>
      <c r="FV1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6" s="314"/>
      <c r="FX106" s="42"/>
      <c r="FY106" s="310"/>
      <c r="FZ106" s="311"/>
      <c r="GA1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6" s="300">
        <v>45538</v>
      </c>
      <c r="GC106" s="322">
        <v>45443</v>
      </c>
      <c r="GD1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6" s="300">
        <v>45545</v>
      </c>
      <c r="GF106" s="322">
        <v>45443</v>
      </c>
      <c r="GG1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6" s="300">
        <v>45551</v>
      </c>
      <c r="GI106" s="300">
        <v>45557</v>
      </c>
      <c r="GJ106" s="322">
        <v>45450</v>
      </c>
      <c r="GK1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6" s="300">
        <v>45565</v>
      </c>
      <c r="GM106" s="300" t="e">
        <v>#N/A</v>
      </c>
      <c r="GN106" s="300">
        <v>45641</v>
      </c>
      <c r="GO106" s="300" t="e">
        <v>#N/A</v>
      </c>
      <c r="GP106" s="286"/>
      <c r="GQ1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6" s="300" t="s">
        <v>261</v>
      </c>
      <c r="GS106" s="391" t="s">
        <v>261</v>
      </c>
      <c r="GT106" s="397" t="s">
        <v>767</v>
      </c>
      <c r="GU106" s="393" t="str">
        <f>IF(Table1[[#This Row],[Hydro Tes Actual
(tanggal)]]&lt;&gt;"","Sudah","Belum")</f>
        <v>Sudah</v>
      </c>
      <c r="GV106" s="300" t="s">
        <v>261</v>
      </c>
      <c r="GW106" s="300" t="s">
        <v>261</v>
      </c>
      <c r="GX106" s="301"/>
      <c r="GY106" s="314" t="str">
        <f>IF(Table1[[#This Row],[Interkoneksi Actual
(tanggal)]]&lt;&gt;"","Sudah","Belum")</f>
        <v>Belum</v>
      </c>
      <c r="GZ106" s="300" t="s">
        <v>261</v>
      </c>
      <c r="HA106" s="391" t="s">
        <v>261</v>
      </c>
      <c r="HB106" s="394">
        <v>45656</v>
      </c>
      <c r="HC106" s="314" t="str">
        <f>IF(Table1[[#This Row],[Flushing Actual
(tanggal)]]&lt;&gt;"","Sudah","Belum")</f>
        <v>Sudah</v>
      </c>
      <c r="HD106" s="300">
        <v>45621</v>
      </c>
      <c r="HE106" s="300" t="e">
        <v>#N/A</v>
      </c>
      <c r="HF106" s="300">
        <v>45623</v>
      </c>
      <c r="HG106" s="322">
        <v>45824</v>
      </c>
      <c r="HH1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6" s="300" t="s">
        <v>261</v>
      </c>
      <c r="HJ106" s="300" t="s">
        <v>261</v>
      </c>
      <c r="HK106" s="301"/>
      <c r="HL106" s="286"/>
      <c r="HM106" s="300">
        <v>45646</v>
      </c>
      <c r="HN106" s="300">
        <v>45646</v>
      </c>
      <c r="HO106" s="300" t="e">
        <v>#N/A</v>
      </c>
      <c r="HP106" s="300"/>
      <c r="HQ106" s="301">
        <v>45735</v>
      </c>
      <c r="HR1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6" s="300">
        <v>45653</v>
      </c>
      <c r="HT106" s="300"/>
      <c r="HU106" s="300">
        <v>45653</v>
      </c>
      <c r="HV106" s="497"/>
      <c r="HW106" s="300">
        <v>45745</v>
      </c>
      <c r="HX1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6" s="42"/>
      <c r="HZ106" s="322"/>
      <c r="IA106" s="306"/>
      <c r="IC106" s="585">
        <f>IFERROR(ROUND((Table1[[#This Row],[PLAN TC
finish]]-Table1[[#This Row],[PLAN MC-0
start]])/30,2),"")</f>
        <v>2.4</v>
      </c>
      <c r="ID106">
        <f>DATEDIF(Table1[[#This Row],[PLAN MC-0
start]],Table1[[#This Row],[PLAN TC
finish]],"m")</f>
        <v>2</v>
      </c>
    </row>
    <row r="107" spans="2:238" s="4" customFormat="1" ht="15" customHeight="1" x14ac:dyDescent="0.25">
      <c r="B107" s="281">
        <f>SUBTOTAL(3,$D$5:D107)</f>
        <v>103</v>
      </c>
      <c r="C107" s="318">
        <v>103</v>
      </c>
      <c r="D107" s="285" t="s">
        <v>673</v>
      </c>
      <c r="E107" s="285" t="s">
        <v>768</v>
      </c>
      <c r="F107" s="285" t="s">
        <v>769</v>
      </c>
      <c r="G107" s="319">
        <v>45752</v>
      </c>
      <c r="H107" s="284" t="s">
        <v>247</v>
      </c>
      <c r="I107" s="285" t="s">
        <v>278</v>
      </c>
      <c r="J107" s="285"/>
      <c r="K107" s="308" t="s">
        <v>676</v>
      </c>
      <c r="L107" s="286" t="s">
        <v>250</v>
      </c>
      <c r="M107" s="286" t="s">
        <v>269</v>
      </c>
      <c r="N107" s="94">
        <v>160</v>
      </c>
      <c r="O107" s="31" t="s">
        <v>252</v>
      </c>
      <c r="P10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7" s="82" t="e">
        <v>#N/A</v>
      </c>
      <c r="S107" s="82">
        <v>1</v>
      </c>
      <c r="T107" s="35">
        <f>Table1[[#This Row],[Progres Total Aktual
(%)]]</f>
        <v>1</v>
      </c>
      <c r="U107" s="106">
        <f>Table1[[#This Row],[Progres Aktual
(%)]]-Table1[[#This Row],[Target Progres
(%)]]</f>
        <v>0</v>
      </c>
      <c r="V107" s="320">
        <f>Table1[[#This Row],["Volume
BA MC-0"]]</f>
        <v>101</v>
      </c>
      <c r="W107" s="321">
        <f>Table1[[#This Row],[Total Panjang Pipa Aktual
(Sum-&gt;)3]]</f>
        <v>84</v>
      </c>
      <c r="X107" s="42"/>
      <c r="Y107" s="62" t="s">
        <v>770</v>
      </c>
      <c r="Z107" s="62">
        <v>251089266</v>
      </c>
      <c r="AA107" s="62">
        <f>ROUND((Table1[[#This Row],[Nilai RAB Jaringan
(Exclude Ppn)]]-Table1[[#This Row],[RAB Perizinan]])*1.11+Table1[[#This Row],[RAB Perizinan]],0)</f>
        <v>0</v>
      </c>
      <c r="AB107" s="290">
        <f>SUM(Table1[[#This Row],[RAB Kegiatan Umum]:[RAB Perizinan]])</f>
        <v>0</v>
      </c>
      <c r="AC107" s="290"/>
      <c r="AD107" s="290"/>
      <c r="AE107" s="290"/>
      <c r="AF107" s="290"/>
      <c r="AG107" s="290">
        <v>40992966</v>
      </c>
      <c r="AH107" s="35" t="e">
        <f>SUM(Table1[[#This Row],[Bobot Keg Umum]:[Bobot Perizinan]])</f>
        <v>#DIV/0!</v>
      </c>
      <c r="AI107" s="35" t="e">
        <f>Table1[[#This Row],[RAB Kegiatan Umum]]/Table1[[#This Row],[Nilai RAB Jaringan
(Exclude Ppn)]]</f>
        <v>#DIV/0!</v>
      </c>
      <c r="AJ107" s="35" t="e">
        <f>Table1[[#This Row],[RAB Pemasangan]]/Table1[[#This Row],[Nilai RAB Jaringan
(Exclude Ppn)]]</f>
        <v>#DIV/0!</v>
      </c>
      <c r="AK107" s="35" t="e">
        <f>Table1[[#This Row],[RAB Pengadaan]]/Table1[[#This Row],[Nilai RAB Jaringan
(Exclude Ppn)]]</f>
        <v>#DIV/0!</v>
      </c>
      <c r="AL107" s="35" t="e">
        <f>Table1[[#This Row],[RAB Perizinan]]/Table1[[#This Row],[Nilai RAB Jaringan
(Exclude Ppn)]]</f>
        <v>#DIV/0!</v>
      </c>
      <c r="AM107" s="42"/>
      <c r="AN107" s="256">
        <v>101</v>
      </c>
      <c r="AO107" s="256">
        <f>SUM(Table1[[#This Row],[Pipa 63 mm]:[Pipa 1,800 mm]])</f>
        <v>0</v>
      </c>
      <c r="AP107" s="256"/>
      <c r="AQ107" s="256"/>
      <c r="AR107" s="256"/>
      <c r="AS107" s="256"/>
      <c r="AT107" s="256"/>
      <c r="AU107" s="256"/>
      <c r="AV107" s="256"/>
      <c r="AW107" s="256"/>
      <c r="AX107" s="256"/>
      <c r="AY107" s="256"/>
      <c r="AZ107" s="256"/>
      <c r="BA107" s="256"/>
      <c r="BB107" s="256"/>
      <c r="BC107" s="256"/>
      <c r="BD107" s="256"/>
      <c r="BE107" s="256"/>
      <c r="BF107" s="256"/>
      <c r="BG107" s="256"/>
      <c r="BH107" s="256"/>
      <c r="BI107" s="256"/>
      <c r="BJ107" s="36">
        <f>SUM(Table1[[#This Row],[Pipa 63 mm2]:[Pipa 1,800 mm21]])</f>
        <v>84</v>
      </c>
      <c r="BK107" s="32">
        <v>84</v>
      </c>
      <c r="BL107" s="32"/>
      <c r="BM107" s="32"/>
      <c r="BN107" s="32"/>
      <c r="BO107" s="32"/>
      <c r="BP107" s="32"/>
      <c r="BQ107" s="32"/>
      <c r="BR107" s="32"/>
      <c r="BS107" s="32"/>
      <c r="BT107" s="32"/>
      <c r="BU107" s="32"/>
      <c r="BV107" s="32"/>
      <c r="BW107" s="32"/>
      <c r="BX107" s="32"/>
      <c r="BY107" s="32"/>
      <c r="BZ107" s="32"/>
      <c r="CA107" s="32"/>
      <c r="CB107" s="32"/>
      <c r="CC107" s="32"/>
      <c r="CD107" s="32"/>
      <c r="CE107" s="32">
        <v>0</v>
      </c>
      <c r="CF107" s="32"/>
      <c r="CG107" s="32"/>
      <c r="CH107" s="32"/>
      <c r="CI107" s="32">
        <f t="shared" si="6"/>
        <v>0</v>
      </c>
      <c r="CJ107" s="60">
        <f>IF((Table1[[#This Row],["Volume
BA MC-0"]]-Table1[[#This Row],[Total Panjang Pipa Aktual
(Sum-&gt;)3]]-Table1[[#This Row],[Total Volume
tidak dapat dipasang]])&gt;=0,Table1[[#This Row],["Volume
BA MC-0"]]-Table1[[#This Row],[Total Panjang Pipa Aktual
(Sum-&gt;)3]]-Table1[[#This Row],[Total Volume
tidak dapat dipasang]],0)</f>
        <v>17</v>
      </c>
      <c r="CK107" s="42"/>
      <c r="CL107" s="113"/>
      <c r="CM107" s="35"/>
      <c r="CN107" s="113"/>
      <c r="CO107" s="113"/>
      <c r="CP1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7" s="61">
        <f>IFERROR(Table1[[#This Row],[Progres Keg. Umum
(%)]]*Table1[[#This Row],[Nilai RAB Jaringan
(file pa aji)]],0)</f>
        <v>0</v>
      </c>
      <c r="CR107" s="61">
        <f>IFERROR(Table1[[#This Row],[Progres MOS
(%)]]*Table1[[#This Row],[Nilai RAB Jaringan
(file pa aji)]],0)</f>
        <v>0</v>
      </c>
      <c r="CS107" s="61">
        <f>IFERROR(Table1[[#This Row],[Progres Pemasangan
(%)]]*Table1[[#This Row],[Nilai RAB Jaringan
(file pa aji)]],0)</f>
        <v>0</v>
      </c>
      <c r="CT107" s="61">
        <f>IFERROR(Table1[[#This Row],[Progres Perizinan
(%)]]*Table1[[#This Row],[Nilai RAB Jaringan
(file pa aji)]],0)</f>
        <v>0</v>
      </c>
      <c r="CU107" s="789">
        <v>190389475</v>
      </c>
      <c r="CV107" s="299">
        <v>190389475</v>
      </c>
      <c r="CW107" s="552">
        <v>190389475</v>
      </c>
      <c r="CX107" s="789">
        <f>_xlfn.XLOOKUP(Table1[[#This Row],[Kode Program]],'[1]Breakdown VOWD Greenfield'!$E:$E,'[1]Breakdown VOWD Greenfield'!$AT:$AT)</f>
        <v>190389475</v>
      </c>
      <c r="CY107" s="42"/>
      <c r="CZ107" s="300">
        <v>45530</v>
      </c>
      <c r="DA107" s="300">
        <v>45543</v>
      </c>
      <c r="DB107" s="301"/>
      <c r="DC107" s="286"/>
      <c r="DD107" s="62"/>
      <c r="DE1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7" s="301"/>
      <c r="DG107" s="286"/>
      <c r="DH107" s="62"/>
      <c r="DI10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7" s="300">
        <v>45544</v>
      </c>
      <c r="DK107" s="300">
        <v>45592</v>
      </c>
      <c r="DL107" s="301">
        <v>45542</v>
      </c>
      <c r="DM107" s="395" t="s">
        <v>771</v>
      </c>
      <c r="DN1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7" s="301">
        <v>45586</v>
      </c>
      <c r="DP107" s="396" t="s">
        <v>772</v>
      </c>
      <c r="DQ107" s="396" t="s">
        <v>501</v>
      </c>
      <c r="DR1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07" s="300">
        <v>45544</v>
      </c>
      <c r="DT107" s="300" t="e">
        <v>#N/A</v>
      </c>
      <c r="DU107" s="300">
        <v>45571</v>
      </c>
      <c r="DV107" s="300" t="e">
        <v>#N/A</v>
      </c>
      <c r="DW107" s="301"/>
      <c r="DX107" s="286"/>
      <c r="DY107" s="304"/>
      <c r="DZ107" s="304"/>
      <c r="EA1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7" s="301"/>
      <c r="EC107" s="302"/>
      <c r="ED107" s="302"/>
      <c r="EE107" s="300"/>
      <c r="EF107" s="35">
        <v>1</v>
      </c>
      <c r="EG107" s="307">
        <v>1</v>
      </c>
      <c r="EH107" s="286" t="str">
        <f>IF(Table1[[#This Row],[PO Material Aktual 
(%)]]&gt;=100%,"Selesai PO = 100%",IF(Table1[[#This Row],[PO Material Aktual 
(%)]]&gt;=50%,"Proses PO &gt; 100%",IF(Table1[[#This Row],[PO Material Aktual 
(%)]]&gt;0%,"Proses PO &gt; 50%",IF(Table1[[#This Row],[PO Material Aktual 
(%)]]=0,"Belum PO = 0%"))))</f>
        <v>Selesai PO = 100%</v>
      </c>
      <c r="EI10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7" s="300">
        <v>45572</v>
      </c>
      <c r="EK107" s="300" t="e">
        <v>#N/A</v>
      </c>
      <c r="EL107" s="300">
        <v>45620</v>
      </c>
      <c r="EM107" s="300" t="e">
        <v>#N/A</v>
      </c>
      <c r="EN107" s="301">
        <v>45881</v>
      </c>
      <c r="EO107" s="302"/>
      <c r="EP107" s="302"/>
      <c r="EQ107" s="82">
        <v>1</v>
      </c>
      <c r="ER107" s="82">
        <v>1</v>
      </c>
      <c r="ES107" s="286" t="str">
        <f>IF(Table1[[#This Row],[Progres MOS]]&gt;=100%,"Selesai MOS = 100%",IF(Table1[[#This Row],[Progres MOS]]&gt;=50%,"Proses MOS &gt; 100%",IF(Table1[[#This Row],[Progres MOS]]&gt;0%,"Proses MOS &gt; 50%",IF(Table1[[#This Row],[Progres MOS]]=0,"Belum MOS = 0%"))))</f>
        <v>Selesai MOS = 100%</v>
      </c>
      <c r="ET1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7" s="42"/>
      <c r="EV107" s="300">
        <v>45544</v>
      </c>
      <c r="EW107" s="300" t="e">
        <v>#N/A</v>
      </c>
      <c r="EX107" s="300">
        <v>45620</v>
      </c>
      <c r="EY107" s="300" t="e">
        <v>#N/A</v>
      </c>
      <c r="EZ107" s="322" t="s">
        <v>298</v>
      </c>
      <c r="FA107" s="306" t="s">
        <v>259</v>
      </c>
      <c r="FB107" s="300" t="s">
        <v>260</v>
      </c>
      <c r="FC107" s="300">
        <v>45799</v>
      </c>
      <c r="FD107" s="300" t="s">
        <v>260</v>
      </c>
      <c r="FE107" s="300">
        <v>45875</v>
      </c>
      <c r="FF107" s="300">
        <v>45929</v>
      </c>
      <c r="FG107" s="300" t="s">
        <v>260</v>
      </c>
      <c r="FH107" s="300" t="s">
        <v>260</v>
      </c>
      <c r="FI107" s="300">
        <v>46021</v>
      </c>
      <c r="FJ107" s="300" t="s">
        <v>260</v>
      </c>
      <c r="FK107" s="300">
        <v>46087</v>
      </c>
      <c r="FL107" s="306" t="s">
        <v>298</v>
      </c>
      <c r="FM107" s="306">
        <v>45799</v>
      </c>
      <c r="FN107" s="284">
        <f>IF(Table1[[#This Row],[Tanggal Pengajuan Dokumen]]="","",Table1[[#This Row],[PLAN PERMIT
start]]-Table1[[#This Row],[Tanggal Pengajuan Dokumen]])</f>
        <v>-255</v>
      </c>
      <c r="FO107" s="306"/>
      <c r="FP107" s="286"/>
      <c r="FQ107" s="308"/>
      <c r="FR107" s="322"/>
      <c r="FS107" s="308" t="str">
        <f t="shared" si="8"/>
        <v>Sudah Terbit</v>
      </c>
      <c r="FT10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7" s="314">
        <f ca="1">IF(Table1[[#This Row],[Status Izin]]="Selesai",Table1[[#This Row],[PLAN PERMIT
finish]]-Table1[[#This Row],[Tanggal Terbit/ Target Izin Terbit]],ROUNDUP(Table1[[#This Row],[PLAN PERMIT
finish]]-NOW(),0))</f>
        <v>45620</v>
      </c>
      <c r="FV10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7" s="314"/>
      <c r="FX107" s="42"/>
      <c r="FY107" s="310"/>
      <c r="FZ107" s="311"/>
      <c r="GA1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7" s="300">
        <v>45594</v>
      </c>
      <c r="GC107" s="322">
        <v>45610</v>
      </c>
      <c r="GD10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7" s="300">
        <v>45601</v>
      </c>
      <c r="GF107" s="322">
        <v>45610</v>
      </c>
      <c r="GG10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7" s="300">
        <v>45607</v>
      </c>
      <c r="GI107" s="300">
        <v>45613</v>
      </c>
      <c r="GJ107" s="322">
        <v>45553</v>
      </c>
      <c r="GK10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7" s="300">
        <v>45621</v>
      </c>
      <c r="GM107" s="300" t="e">
        <v>#N/A</v>
      </c>
      <c r="GN107" s="300">
        <v>45641</v>
      </c>
      <c r="GO107" s="300" t="e">
        <v>#N/A</v>
      </c>
      <c r="GP107" s="286"/>
      <c r="GQ10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7" s="300" t="s">
        <v>261</v>
      </c>
      <c r="GS107" s="391" t="s">
        <v>261</v>
      </c>
      <c r="GT107" s="397">
        <v>45628</v>
      </c>
      <c r="GU107" s="393" t="str">
        <f>IF(Table1[[#This Row],[Hydro Tes Actual
(tanggal)]]&lt;&gt;"","Sudah","Belum")</f>
        <v>Sudah</v>
      </c>
      <c r="GV107" s="300" t="s">
        <v>261</v>
      </c>
      <c r="GW107" s="300" t="s">
        <v>261</v>
      </c>
      <c r="GX107" s="301"/>
      <c r="GY107" s="314" t="str">
        <f>IF(Table1[[#This Row],[Interkoneksi Actual
(tanggal)]]&lt;&gt;"","Sudah","Belum")</f>
        <v>Belum</v>
      </c>
      <c r="GZ107" s="300" t="s">
        <v>261</v>
      </c>
      <c r="HA107" s="391" t="s">
        <v>261</v>
      </c>
      <c r="HB107" s="394">
        <v>45684</v>
      </c>
      <c r="HC107" s="314" t="str">
        <f>IF(Table1[[#This Row],[Flushing Actual
(tanggal)]]&lt;&gt;"","Sudah","Belum")</f>
        <v>Sudah</v>
      </c>
      <c r="HD107" s="300">
        <v>45628</v>
      </c>
      <c r="HE107" s="300" t="e">
        <v>#N/A</v>
      </c>
      <c r="HF107" s="300">
        <v>45634</v>
      </c>
      <c r="HG107" s="322">
        <v>45825</v>
      </c>
      <c r="HH10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7" s="300" t="s">
        <v>261</v>
      </c>
      <c r="HJ107" s="300" t="s">
        <v>261</v>
      </c>
      <c r="HK107" s="301"/>
      <c r="HL107" s="286"/>
      <c r="HM107" s="300">
        <v>45646</v>
      </c>
      <c r="HN107" s="300">
        <v>45646</v>
      </c>
      <c r="HO107" s="300" t="e">
        <v>#N/A</v>
      </c>
      <c r="HP107" s="300"/>
      <c r="HQ107" s="301">
        <v>45734</v>
      </c>
      <c r="HR10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7" s="300">
        <v>45653</v>
      </c>
      <c r="HT107" s="300"/>
      <c r="HU107" s="300">
        <v>45653</v>
      </c>
      <c r="HV107" s="497"/>
      <c r="HW107" s="300">
        <v>45745</v>
      </c>
      <c r="HX10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7" s="42"/>
      <c r="HZ107" s="322"/>
      <c r="IA107" s="306"/>
      <c r="IC107" s="585">
        <f>IFERROR(ROUND((Table1[[#This Row],[PLAN TC
finish]]-Table1[[#This Row],[PLAN MC-0
start]])/30,2),"")</f>
        <v>0.9</v>
      </c>
      <c r="ID107">
        <f>DATEDIF(Table1[[#This Row],[PLAN MC-0
start]],Table1[[#This Row],[PLAN TC
finish]],"m")</f>
        <v>0</v>
      </c>
    </row>
    <row r="108" spans="2:238" s="4" customFormat="1" ht="15" customHeight="1" x14ac:dyDescent="0.25">
      <c r="B108" s="281">
        <f>SUBTOTAL(3,$D$5:D108)</f>
        <v>104</v>
      </c>
      <c r="C108" s="318">
        <v>104</v>
      </c>
      <c r="D108" s="285" t="s">
        <v>673</v>
      </c>
      <c r="E108" s="285" t="s">
        <v>773</v>
      </c>
      <c r="F108" s="285" t="s">
        <v>774</v>
      </c>
      <c r="G108" s="319">
        <v>45752</v>
      </c>
      <c r="H108" s="284" t="s">
        <v>247</v>
      </c>
      <c r="I108" s="285" t="s">
        <v>278</v>
      </c>
      <c r="J108" s="285"/>
      <c r="K108" s="308" t="s">
        <v>676</v>
      </c>
      <c r="L108" s="286" t="s">
        <v>250</v>
      </c>
      <c r="M108" s="286" t="s">
        <v>269</v>
      </c>
      <c r="N108" s="94">
        <v>2667</v>
      </c>
      <c r="O108" s="31" t="s">
        <v>252</v>
      </c>
      <c r="P10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8" s="82" t="e">
        <v>#N/A</v>
      </c>
      <c r="S108" s="82">
        <v>1</v>
      </c>
      <c r="T108" s="35">
        <f>Table1[[#This Row],[Progres Total Aktual
(%)]]</f>
        <v>1</v>
      </c>
      <c r="U108" s="106">
        <f>Table1[[#This Row],[Progres Aktual
(%)]]-Table1[[#This Row],[Target Progres
(%)]]</f>
        <v>0</v>
      </c>
      <c r="V108" s="320">
        <f>Table1[[#This Row],["Volume
BA MC-0"]]</f>
        <v>2825</v>
      </c>
      <c r="W108" s="321">
        <f>Table1[[#This Row],[Total Panjang Pipa Aktual
(Sum-&gt;)3]]</f>
        <v>2825</v>
      </c>
      <c r="X108" s="42"/>
      <c r="Y108" s="62" t="s">
        <v>775</v>
      </c>
      <c r="Z108" s="62">
        <v>4287062529</v>
      </c>
      <c r="AA108" s="62">
        <f>ROUND((Table1[[#This Row],[Nilai RAB Jaringan
(Exclude Ppn)]]-Table1[[#This Row],[RAB Perizinan]])*1.11+Table1[[#This Row],[RAB Perizinan]],0)</f>
        <v>0</v>
      </c>
      <c r="AB108" s="290">
        <f>SUM(Table1[[#This Row],[RAB Kegiatan Umum]:[RAB Perizinan]])</f>
        <v>0</v>
      </c>
      <c r="AC108" s="290"/>
      <c r="AD108" s="290"/>
      <c r="AE108" s="290"/>
      <c r="AF108" s="290"/>
      <c r="AG108" s="290">
        <v>159872568</v>
      </c>
      <c r="AH108" s="35" t="e">
        <f>SUM(Table1[[#This Row],[Bobot Keg Umum]:[Bobot Perizinan]])</f>
        <v>#DIV/0!</v>
      </c>
      <c r="AI108" s="35" t="e">
        <f>Table1[[#This Row],[RAB Kegiatan Umum]]/Table1[[#This Row],[Nilai RAB Jaringan
(Exclude Ppn)]]</f>
        <v>#DIV/0!</v>
      </c>
      <c r="AJ108" s="35" t="e">
        <f>Table1[[#This Row],[RAB Pemasangan]]/Table1[[#This Row],[Nilai RAB Jaringan
(Exclude Ppn)]]</f>
        <v>#DIV/0!</v>
      </c>
      <c r="AK108" s="35" t="e">
        <f>Table1[[#This Row],[RAB Pengadaan]]/Table1[[#This Row],[Nilai RAB Jaringan
(Exclude Ppn)]]</f>
        <v>#DIV/0!</v>
      </c>
      <c r="AL108" s="35" t="e">
        <f>Table1[[#This Row],[RAB Perizinan]]/Table1[[#This Row],[Nilai RAB Jaringan
(Exclude Ppn)]]</f>
        <v>#DIV/0!</v>
      </c>
      <c r="AM108" s="42"/>
      <c r="AN108" s="256">
        <v>2825</v>
      </c>
      <c r="AO108" s="256">
        <f>SUM(Table1[[#This Row],[Pipa 63 mm]:[Pipa 1,800 mm]])</f>
        <v>0</v>
      </c>
      <c r="AP108" s="256"/>
      <c r="AQ108" s="256"/>
      <c r="AR108" s="256"/>
      <c r="AS108" s="256"/>
      <c r="AT108" s="256"/>
      <c r="AU108" s="256"/>
      <c r="AV108" s="256"/>
      <c r="AW108" s="256"/>
      <c r="AX108" s="256"/>
      <c r="AY108" s="256"/>
      <c r="AZ108" s="256"/>
      <c r="BA108" s="256"/>
      <c r="BB108" s="256"/>
      <c r="BC108" s="256"/>
      <c r="BD108" s="256"/>
      <c r="BE108" s="256"/>
      <c r="BF108" s="256"/>
      <c r="BG108" s="256"/>
      <c r="BH108" s="256"/>
      <c r="BI108" s="256"/>
      <c r="BJ108" s="36">
        <f>SUM(Table1[[#This Row],[Pipa 63 mm2]:[Pipa 1,800 mm21]])</f>
        <v>2825</v>
      </c>
      <c r="BK108" s="32">
        <v>2506</v>
      </c>
      <c r="BL108" s="32">
        <v>183</v>
      </c>
      <c r="BM108" s="32"/>
      <c r="BN108" s="32">
        <v>136</v>
      </c>
      <c r="BO108" s="32"/>
      <c r="BP108" s="32"/>
      <c r="BQ108" s="32"/>
      <c r="BR108" s="32"/>
      <c r="BS108" s="32"/>
      <c r="BT108" s="32"/>
      <c r="BU108" s="32"/>
      <c r="BV108" s="32"/>
      <c r="BW108" s="32"/>
      <c r="BX108" s="32"/>
      <c r="BY108" s="32"/>
      <c r="BZ108" s="32"/>
      <c r="CA108" s="32"/>
      <c r="CB108" s="32"/>
      <c r="CC108" s="32"/>
      <c r="CD108" s="32"/>
      <c r="CE108" s="32">
        <v>0</v>
      </c>
      <c r="CF108" s="32"/>
      <c r="CG108" s="32"/>
      <c r="CH108" s="32"/>
      <c r="CI108" s="32">
        <f t="shared" si="6"/>
        <v>0</v>
      </c>
      <c r="CJ108" s="60">
        <f>IF((Table1[[#This Row],["Volume
BA MC-0"]]-Table1[[#This Row],[Total Panjang Pipa Aktual
(Sum-&gt;)3]]-Table1[[#This Row],[Total Volume
tidak dapat dipasang]])&gt;=0,Table1[[#This Row],["Volume
BA MC-0"]]-Table1[[#This Row],[Total Panjang Pipa Aktual
(Sum-&gt;)3]]-Table1[[#This Row],[Total Volume
tidak dapat dipasang]],0)</f>
        <v>0</v>
      </c>
      <c r="CK108" s="42"/>
      <c r="CL108" s="113"/>
      <c r="CM108" s="35"/>
      <c r="CN108" s="113"/>
      <c r="CO108" s="113"/>
      <c r="CP1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8" s="61">
        <f>IFERROR(Table1[[#This Row],[Progres Keg. Umum
(%)]]*Table1[[#This Row],[Nilai RAB Jaringan
(file pa aji)]],0)</f>
        <v>0</v>
      </c>
      <c r="CR108" s="61">
        <f>IFERROR(Table1[[#This Row],[Progres MOS
(%)]]*Table1[[#This Row],[Nilai RAB Jaringan
(file pa aji)]],0)</f>
        <v>0</v>
      </c>
      <c r="CS108" s="61">
        <f>IFERROR(Table1[[#This Row],[Progres Pemasangan
(%)]]*Table1[[#This Row],[Nilai RAB Jaringan
(file pa aji)]],0)</f>
        <v>0</v>
      </c>
      <c r="CT108" s="61">
        <f>IFERROR(Table1[[#This Row],[Progres Perizinan
(%)]]*Table1[[#This Row],[Nilai RAB Jaringan
(file pa aji)]],0)</f>
        <v>0</v>
      </c>
      <c r="CU108" s="789">
        <v>3919403446</v>
      </c>
      <c r="CV108" s="299">
        <v>3919403446</v>
      </c>
      <c r="CW108" s="552">
        <v>3919403446</v>
      </c>
      <c r="CX108" s="789">
        <f>_xlfn.XLOOKUP(Table1[[#This Row],[Kode Program]],'[1]Breakdown VOWD Greenfield'!$E:$E,'[1]Breakdown VOWD Greenfield'!$AT:$AT)</f>
        <v>3919403446</v>
      </c>
      <c r="CY108" s="42"/>
      <c r="CZ108" s="300">
        <v>45439</v>
      </c>
      <c r="DA108" s="300">
        <v>45466</v>
      </c>
      <c r="DB108" s="301"/>
      <c r="DC108" s="286"/>
      <c r="DD108" s="62"/>
      <c r="DE1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8" s="301"/>
      <c r="DG108" s="286"/>
      <c r="DH108" s="62"/>
      <c r="DI1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8" s="300">
        <v>45467</v>
      </c>
      <c r="DK108" s="300">
        <v>45508</v>
      </c>
      <c r="DL108" s="301">
        <v>45439</v>
      </c>
      <c r="DM108" s="395" t="s">
        <v>776</v>
      </c>
      <c r="DN1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8" s="301">
        <v>45673</v>
      </c>
      <c r="DP108" s="396" t="s">
        <v>738</v>
      </c>
      <c r="DQ108" s="308" t="s">
        <v>297</v>
      </c>
      <c r="DR1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8" s="300">
        <v>45467</v>
      </c>
      <c r="DT108" s="300" t="e">
        <v>#N/A</v>
      </c>
      <c r="DU108" s="300">
        <v>45508</v>
      </c>
      <c r="DV108" s="300" t="e">
        <v>#N/A</v>
      </c>
      <c r="DW108" s="301"/>
      <c r="DX108" s="286"/>
      <c r="DY108" s="304"/>
      <c r="DZ108" s="304"/>
      <c r="EA1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8" s="301"/>
      <c r="EC108" s="302"/>
      <c r="ED108" s="302"/>
      <c r="EE108" s="300"/>
      <c r="EF108" s="35">
        <v>1</v>
      </c>
      <c r="EG108" s="307">
        <v>1</v>
      </c>
      <c r="EH108" s="286" t="str">
        <f>IF(Table1[[#This Row],[PO Material Aktual 
(%)]]&gt;=100%,"Selesai PO = 100%",IF(Table1[[#This Row],[PO Material Aktual 
(%)]]&gt;=50%,"Proses PO &gt; 100%",IF(Table1[[#This Row],[PO Material Aktual 
(%)]]&gt;0%,"Proses PO &gt; 50%",IF(Table1[[#This Row],[PO Material Aktual 
(%)]]=0,"Belum PO = 0%"))))</f>
        <v>Selesai PO = 100%</v>
      </c>
      <c r="EI1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8" s="300">
        <v>45509</v>
      </c>
      <c r="EK108" s="300" t="e">
        <v>#N/A</v>
      </c>
      <c r="EL108" s="300">
        <v>45599</v>
      </c>
      <c r="EM108" s="300" t="e">
        <v>#N/A</v>
      </c>
      <c r="EN108" s="301">
        <v>45960</v>
      </c>
      <c r="EO108" s="302"/>
      <c r="EP108" s="302"/>
      <c r="EQ108" s="82">
        <v>1</v>
      </c>
      <c r="ER108" s="82">
        <v>1</v>
      </c>
      <c r="ES108" s="286" t="str">
        <f>IF(Table1[[#This Row],[Progres MOS]]&gt;=100%,"Selesai MOS = 100%",IF(Table1[[#This Row],[Progres MOS]]&gt;=50%,"Proses MOS &gt; 100%",IF(Table1[[#This Row],[Progres MOS]]&gt;0%,"Proses MOS &gt; 50%",IF(Table1[[#This Row],[Progres MOS]]=0,"Belum MOS = 0%"))))</f>
        <v>Selesai MOS = 100%</v>
      </c>
      <c r="ET1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8" s="42"/>
      <c r="EV108" s="300">
        <v>45467</v>
      </c>
      <c r="EW108" s="300" t="e">
        <v>#N/A</v>
      </c>
      <c r="EX108" s="300">
        <v>45564</v>
      </c>
      <c r="EY108" s="300" t="e">
        <v>#N/A</v>
      </c>
      <c r="EZ108" s="322" t="s">
        <v>259</v>
      </c>
      <c r="FA108" s="306" t="s">
        <v>259</v>
      </c>
      <c r="FB108" s="300" t="s">
        <v>260</v>
      </c>
      <c r="FC108" s="300">
        <v>45545</v>
      </c>
      <c r="FD108" s="300" t="s">
        <v>260</v>
      </c>
      <c r="FE108" s="300"/>
      <c r="FF108" s="300">
        <v>45543</v>
      </c>
      <c r="FG108" s="300" t="s">
        <v>260</v>
      </c>
      <c r="FH108" s="300" t="s">
        <v>260</v>
      </c>
      <c r="FI108" s="300">
        <v>45558</v>
      </c>
      <c r="FJ108" s="300" t="s">
        <v>260</v>
      </c>
      <c r="FK108" s="300">
        <v>45575</v>
      </c>
      <c r="FL108" s="306" t="s">
        <v>259</v>
      </c>
      <c r="FM108" s="306">
        <v>45545</v>
      </c>
      <c r="FN108" s="284">
        <f>IF(Table1[[#This Row],[Tanggal Pengajuan Dokumen]]="","",Table1[[#This Row],[PLAN PERMIT
start]]-Table1[[#This Row],[Tanggal Pengajuan Dokumen]])</f>
        <v>-78</v>
      </c>
      <c r="FO108" s="306">
        <v>45575</v>
      </c>
      <c r="FP108" s="286"/>
      <c r="FQ108" s="308"/>
      <c r="FR108" s="322"/>
      <c r="FS108" s="308" t="str">
        <f t="shared" si="8"/>
        <v>Sudah Terbit</v>
      </c>
      <c r="FT1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8" s="314">
        <f ca="1">IF(Table1[[#This Row],[Status Izin]]="Selesai",Table1[[#This Row],[PLAN PERMIT
finish]]-Table1[[#This Row],[Tanggal Terbit/ Target Izin Terbit]],ROUNDUP(Table1[[#This Row],[PLAN PERMIT
finish]]-NOW(),0))</f>
        <v>-11</v>
      </c>
      <c r="FV1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8" s="314"/>
      <c r="FX108" s="42"/>
      <c r="FY108" s="310"/>
      <c r="FZ108" s="311"/>
      <c r="GA1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8" s="300">
        <v>45538</v>
      </c>
      <c r="GC108" s="322">
        <v>45443</v>
      </c>
      <c r="GD1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08" s="300">
        <v>45545</v>
      </c>
      <c r="GF108" s="322">
        <v>45443</v>
      </c>
      <c r="GG1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08" s="300">
        <v>45551</v>
      </c>
      <c r="GI108" s="300">
        <v>45557</v>
      </c>
      <c r="GJ108" s="322">
        <v>45478</v>
      </c>
      <c r="GK1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8" s="300">
        <v>45565</v>
      </c>
      <c r="GM108" s="300" t="e">
        <v>#N/A</v>
      </c>
      <c r="GN108" s="300">
        <v>45641</v>
      </c>
      <c r="GO108" s="300" t="e">
        <v>#N/A</v>
      </c>
      <c r="GP108" s="286"/>
      <c r="GQ1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8" s="300" t="s">
        <v>261</v>
      </c>
      <c r="GS108" s="391" t="s">
        <v>261</v>
      </c>
      <c r="GT108" s="397" t="s">
        <v>777</v>
      </c>
      <c r="GU108" s="393" t="str">
        <f>IF(Table1[[#This Row],[Hydro Tes Actual
(tanggal)]]&lt;&gt;"","Sudah","Belum")</f>
        <v>Sudah</v>
      </c>
      <c r="GV108" s="300" t="s">
        <v>261</v>
      </c>
      <c r="GW108" s="300" t="s">
        <v>261</v>
      </c>
      <c r="GX108" s="301"/>
      <c r="GY108" s="314" t="str">
        <f>IF(Table1[[#This Row],[Interkoneksi Actual
(tanggal)]]&lt;&gt;"","Sudah","Belum")</f>
        <v>Belum</v>
      </c>
      <c r="GZ108" s="300" t="s">
        <v>261</v>
      </c>
      <c r="HA108" s="391" t="s">
        <v>261</v>
      </c>
      <c r="HB108" s="394">
        <v>45636</v>
      </c>
      <c r="HC108" s="314" t="str">
        <f>IF(Table1[[#This Row],[Flushing Actual
(tanggal)]]&lt;&gt;"","Sudah","Belum")</f>
        <v>Sudah</v>
      </c>
      <c r="HD108" s="300">
        <v>45621</v>
      </c>
      <c r="HE108" s="300" t="e">
        <v>#N/A</v>
      </c>
      <c r="HF108" s="300">
        <v>45623</v>
      </c>
      <c r="HG108" s="322">
        <v>45825</v>
      </c>
      <c r="HH1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8" s="300" t="s">
        <v>261</v>
      </c>
      <c r="HJ108" s="300" t="s">
        <v>261</v>
      </c>
      <c r="HK108" s="301"/>
      <c r="HL108" s="286"/>
      <c r="HM108" s="300">
        <v>45646</v>
      </c>
      <c r="HN108" s="300">
        <v>45646</v>
      </c>
      <c r="HO108" s="300" t="e">
        <v>#N/A</v>
      </c>
      <c r="HP108" s="300"/>
      <c r="HQ108" s="301">
        <v>45733</v>
      </c>
      <c r="HR1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8" s="300">
        <v>45653</v>
      </c>
      <c r="HT108" s="300"/>
      <c r="HU108" s="300">
        <v>45653</v>
      </c>
      <c r="HV108" s="497"/>
      <c r="HW108" s="300">
        <v>45745</v>
      </c>
      <c r="HX1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8" s="42"/>
      <c r="HZ108" s="322"/>
      <c r="IA108" s="306"/>
      <c r="IC108" s="585">
        <f>IFERROR(ROUND((Table1[[#This Row],[PLAN TC
finish]]-Table1[[#This Row],[PLAN MC-0
start]])/30,2),"")</f>
        <v>2.4</v>
      </c>
      <c r="ID108">
        <f>DATEDIF(Table1[[#This Row],[PLAN MC-0
start]],Table1[[#This Row],[PLAN TC
finish]],"m")</f>
        <v>2</v>
      </c>
    </row>
    <row r="109" spans="2:238" s="4" customFormat="1" ht="15" customHeight="1" x14ac:dyDescent="0.25">
      <c r="B109" s="281">
        <f>SUBTOTAL(3,$D$5:D109)</f>
        <v>105</v>
      </c>
      <c r="C109" s="318">
        <v>105</v>
      </c>
      <c r="D109" s="285" t="s">
        <v>673</v>
      </c>
      <c r="E109" s="285" t="s">
        <v>778</v>
      </c>
      <c r="F109" s="285" t="s">
        <v>779</v>
      </c>
      <c r="G109" s="319">
        <v>45752</v>
      </c>
      <c r="H109" s="284" t="s">
        <v>247</v>
      </c>
      <c r="I109" s="285" t="s">
        <v>278</v>
      </c>
      <c r="J109" s="285"/>
      <c r="K109" s="308" t="s">
        <v>676</v>
      </c>
      <c r="L109" s="286" t="s">
        <v>250</v>
      </c>
      <c r="M109" s="286" t="s">
        <v>269</v>
      </c>
      <c r="N109" s="94">
        <v>954</v>
      </c>
      <c r="O109" s="31" t="s">
        <v>252</v>
      </c>
      <c r="P10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09" s="82" t="e">
        <v>#N/A</v>
      </c>
      <c r="S109" s="82">
        <v>1</v>
      </c>
      <c r="T109" s="35">
        <f>Table1[[#This Row],[Progres Total Aktual
(%)]]</f>
        <v>1</v>
      </c>
      <c r="U109" s="106">
        <f>Table1[[#This Row],[Progres Aktual
(%)]]-Table1[[#This Row],[Target Progres
(%)]]</f>
        <v>0</v>
      </c>
      <c r="V109" s="320">
        <f>Table1[[#This Row],["Volume
BA MC-0"]]</f>
        <v>634</v>
      </c>
      <c r="W109" s="321">
        <f>Table1[[#This Row],[Total Panjang Pipa Aktual
(Sum-&gt;)3]]</f>
        <v>1014</v>
      </c>
      <c r="X109" s="42"/>
      <c r="Y109" s="62" t="s">
        <v>780</v>
      </c>
      <c r="Z109" s="62">
        <v>1590872320</v>
      </c>
      <c r="AA109" s="62">
        <f>ROUND((Table1[[#This Row],[Nilai RAB Jaringan
(Exclude Ppn)]]-Table1[[#This Row],[RAB Perizinan]])*1.11+Table1[[#This Row],[RAB Perizinan]],0)</f>
        <v>0</v>
      </c>
      <c r="AB109" s="290">
        <f>SUM(Table1[[#This Row],[RAB Kegiatan Umum]:[RAB Perizinan]])</f>
        <v>0</v>
      </c>
      <c r="AC109" s="290"/>
      <c r="AD109" s="290"/>
      <c r="AE109" s="290"/>
      <c r="AF109" s="290"/>
      <c r="AG109" s="290">
        <v>817809672</v>
      </c>
      <c r="AH109" s="35" t="e">
        <f>SUM(Table1[[#This Row],[Bobot Keg Umum]:[Bobot Perizinan]])</f>
        <v>#DIV/0!</v>
      </c>
      <c r="AI109" s="35" t="e">
        <f>Table1[[#This Row],[RAB Kegiatan Umum]]/Table1[[#This Row],[Nilai RAB Jaringan
(Exclude Ppn)]]</f>
        <v>#DIV/0!</v>
      </c>
      <c r="AJ109" s="35" t="e">
        <f>Table1[[#This Row],[RAB Pemasangan]]/Table1[[#This Row],[Nilai RAB Jaringan
(Exclude Ppn)]]</f>
        <v>#DIV/0!</v>
      </c>
      <c r="AK109" s="35" t="e">
        <f>Table1[[#This Row],[RAB Pengadaan]]/Table1[[#This Row],[Nilai RAB Jaringan
(Exclude Ppn)]]</f>
        <v>#DIV/0!</v>
      </c>
      <c r="AL109" s="35" t="e">
        <f>Table1[[#This Row],[RAB Perizinan]]/Table1[[#This Row],[Nilai RAB Jaringan
(Exclude Ppn)]]</f>
        <v>#DIV/0!</v>
      </c>
      <c r="AM109" s="42"/>
      <c r="AN109" s="256">
        <v>634</v>
      </c>
      <c r="AO109" s="256">
        <f>SUM(Table1[[#This Row],[Pipa 63 mm]:[Pipa 1,800 mm]])</f>
        <v>0</v>
      </c>
      <c r="AP109" s="256"/>
      <c r="AQ109" s="256"/>
      <c r="AR109" s="256"/>
      <c r="AS109" s="256"/>
      <c r="AT109" s="256"/>
      <c r="AU109" s="256"/>
      <c r="AV109" s="256"/>
      <c r="AW109" s="256"/>
      <c r="AX109" s="256"/>
      <c r="AY109" s="256"/>
      <c r="AZ109" s="256"/>
      <c r="BA109" s="256"/>
      <c r="BB109" s="256"/>
      <c r="BC109" s="256"/>
      <c r="BD109" s="256"/>
      <c r="BE109" s="256"/>
      <c r="BF109" s="256"/>
      <c r="BG109" s="256"/>
      <c r="BH109" s="256"/>
      <c r="BI109" s="256"/>
      <c r="BJ109" s="36">
        <f>SUM(Table1[[#This Row],[Pipa 63 mm2]:[Pipa 1,800 mm21]])</f>
        <v>1014</v>
      </c>
      <c r="BK109" s="32">
        <v>886</v>
      </c>
      <c r="BL109" s="32">
        <v>128</v>
      </c>
      <c r="BM109" s="32"/>
      <c r="BN109" s="32"/>
      <c r="BO109" s="32"/>
      <c r="BP109" s="32"/>
      <c r="BQ109" s="32"/>
      <c r="BR109" s="32"/>
      <c r="BS109" s="32"/>
      <c r="BT109" s="32"/>
      <c r="BU109" s="32"/>
      <c r="BV109" s="32"/>
      <c r="BW109" s="32"/>
      <c r="BX109" s="32"/>
      <c r="BY109" s="32"/>
      <c r="BZ109" s="32"/>
      <c r="CA109" s="32"/>
      <c r="CB109" s="32"/>
      <c r="CC109" s="32"/>
      <c r="CD109" s="32"/>
      <c r="CE109" s="32">
        <v>0</v>
      </c>
      <c r="CF109" s="32"/>
      <c r="CG109" s="32"/>
      <c r="CH109" s="32"/>
      <c r="CI109" s="32">
        <f t="shared" si="6"/>
        <v>0</v>
      </c>
      <c r="CJ109" s="60">
        <f>IF((Table1[[#This Row],["Volume
BA MC-0"]]-Table1[[#This Row],[Total Panjang Pipa Aktual
(Sum-&gt;)3]]-Table1[[#This Row],[Total Volume
tidak dapat dipasang]])&gt;=0,Table1[[#This Row],["Volume
BA MC-0"]]-Table1[[#This Row],[Total Panjang Pipa Aktual
(Sum-&gt;)3]]-Table1[[#This Row],[Total Volume
tidak dapat dipasang]],0)</f>
        <v>0</v>
      </c>
      <c r="CK109" s="42"/>
      <c r="CL109" s="113"/>
      <c r="CM109" s="35"/>
      <c r="CN109" s="113"/>
      <c r="CO109" s="113"/>
      <c r="CP1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09" s="61">
        <f>IFERROR(Table1[[#This Row],[Progres Keg. Umum
(%)]]*Table1[[#This Row],[Nilai RAB Jaringan
(file pa aji)]],0)</f>
        <v>0</v>
      </c>
      <c r="CR109" s="61">
        <f>IFERROR(Table1[[#This Row],[Progres MOS
(%)]]*Table1[[#This Row],[Nilai RAB Jaringan
(file pa aji)]],0)</f>
        <v>0</v>
      </c>
      <c r="CS109" s="61">
        <f>IFERROR(Table1[[#This Row],[Progres Pemasangan
(%)]]*Table1[[#This Row],[Nilai RAB Jaringan
(file pa aji)]],0)</f>
        <v>0</v>
      </c>
      <c r="CT109" s="61">
        <f>IFERROR(Table1[[#This Row],[Progres Perizinan
(%)]]*Table1[[#This Row],[Nilai RAB Jaringan
(file pa aji)]],0)</f>
        <v>0</v>
      </c>
      <c r="CU109" s="789">
        <v>1674296671</v>
      </c>
      <c r="CV109" s="299">
        <v>1674296671</v>
      </c>
      <c r="CW109" s="552">
        <v>1674296671</v>
      </c>
      <c r="CX109" s="789">
        <f>_xlfn.XLOOKUP(Table1[[#This Row],[Kode Program]],'[1]Breakdown VOWD Greenfield'!$E:$E,'[1]Breakdown VOWD Greenfield'!$AT:$AT)</f>
        <v>1674296671</v>
      </c>
      <c r="CY109" s="42"/>
      <c r="CZ109" s="300">
        <v>45530</v>
      </c>
      <c r="DA109" s="300">
        <v>45550</v>
      </c>
      <c r="DB109" s="301"/>
      <c r="DC109" s="286"/>
      <c r="DD109" s="62"/>
      <c r="DE1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09" s="301"/>
      <c r="DG109" s="286"/>
      <c r="DH109" s="62"/>
      <c r="DI1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09" s="300">
        <v>45551</v>
      </c>
      <c r="DK109" s="300">
        <v>45592</v>
      </c>
      <c r="DL109" s="301">
        <v>45540</v>
      </c>
      <c r="DM109" s="395" t="s">
        <v>781</v>
      </c>
      <c r="DN1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09" s="301">
        <v>45593</v>
      </c>
      <c r="DP109" s="396" t="s">
        <v>782</v>
      </c>
      <c r="DQ109" s="308" t="s">
        <v>783</v>
      </c>
      <c r="DR1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09" s="300">
        <v>45551</v>
      </c>
      <c r="DT109" s="300" t="e">
        <v>#N/A</v>
      </c>
      <c r="DU109" s="300">
        <v>45585</v>
      </c>
      <c r="DV109" s="300" t="e">
        <v>#N/A</v>
      </c>
      <c r="DW109" s="301"/>
      <c r="DX109" s="286"/>
      <c r="DY109" s="304"/>
      <c r="DZ109" s="304"/>
      <c r="EA1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09" s="301"/>
      <c r="EC109" s="302"/>
      <c r="ED109" s="302"/>
      <c r="EE109" s="300"/>
      <c r="EF109" s="35">
        <v>1</v>
      </c>
      <c r="EG109" s="307">
        <v>1</v>
      </c>
      <c r="EH109" s="286" t="str">
        <f>IF(Table1[[#This Row],[PO Material Aktual 
(%)]]&gt;=100%,"Selesai PO = 100%",IF(Table1[[#This Row],[PO Material Aktual 
(%)]]&gt;=50%,"Proses PO &gt; 100%",IF(Table1[[#This Row],[PO Material Aktual 
(%)]]&gt;0%,"Proses PO &gt; 50%",IF(Table1[[#This Row],[PO Material Aktual 
(%)]]=0,"Belum PO = 0%"))))</f>
        <v>Selesai PO = 100%</v>
      </c>
      <c r="EI1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09" s="300">
        <v>45586</v>
      </c>
      <c r="EK109" s="300" t="e">
        <v>#N/A</v>
      </c>
      <c r="EL109" s="300">
        <v>45655</v>
      </c>
      <c r="EM109" s="300" t="e">
        <v>#N/A</v>
      </c>
      <c r="EN109" s="301">
        <v>45707</v>
      </c>
      <c r="EO109" s="302"/>
      <c r="EP109" s="302"/>
      <c r="EQ109" s="82">
        <v>1</v>
      </c>
      <c r="ER109" s="82">
        <v>1</v>
      </c>
      <c r="ES109" s="286" t="str">
        <f>IF(Table1[[#This Row],[Progres MOS]]&gt;=100%,"Selesai MOS = 100%",IF(Table1[[#This Row],[Progres MOS]]&gt;=50%,"Proses MOS &gt; 100%",IF(Table1[[#This Row],[Progres MOS]]&gt;0%,"Proses MOS &gt; 50%",IF(Table1[[#This Row],[Progres MOS]]=0,"Belum MOS = 0%"))))</f>
        <v>Selesai MOS = 100%</v>
      </c>
      <c r="ET1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09" s="42"/>
      <c r="EV109" s="300">
        <v>45551</v>
      </c>
      <c r="EW109" s="300" t="e">
        <v>#N/A</v>
      </c>
      <c r="EX109" s="300">
        <v>45620</v>
      </c>
      <c r="EY109" s="300" t="e">
        <v>#N/A</v>
      </c>
      <c r="EZ109" s="322" t="s">
        <v>298</v>
      </c>
      <c r="FA109" s="306" t="s">
        <v>259</v>
      </c>
      <c r="FB109" s="300" t="s">
        <v>260</v>
      </c>
      <c r="FC109" s="300">
        <v>45799</v>
      </c>
      <c r="FD109" s="300" t="s">
        <v>260</v>
      </c>
      <c r="FE109" s="300">
        <v>45875</v>
      </c>
      <c r="FF109" s="300">
        <v>45929</v>
      </c>
      <c r="FG109" s="300" t="s">
        <v>260</v>
      </c>
      <c r="FH109" s="300" t="s">
        <v>260</v>
      </c>
      <c r="FI109" s="300">
        <v>46021</v>
      </c>
      <c r="FJ109" s="300" t="s">
        <v>260</v>
      </c>
      <c r="FK109" s="300">
        <v>46087</v>
      </c>
      <c r="FL109" s="306" t="s">
        <v>298</v>
      </c>
      <c r="FM109" s="306">
        <v>45799</v>
      </c>
      <c r="FN109" s="284">
        <f>IF(Table1[[#This Row],[Tanggal Pengajuan Dokumen]]="","",Table1[[#This Row],[PLAN PERMIT
start]]-Table1[[#This Row],[Tanggal Pengajuan Dokumen]])</f>
        <v>-248</v>
      </c>
      <c r="FO109" s="306"/>
      <c r="FP109" s="286"/>
      <c r="FQ109" s="308"/>
      <c r="FR109" s="322"/>
      <c r="FS109" s="308" t="str">
        <f t="shared" si="8"/>
        <v>Sudah Terbit</v>
      </c>
      <c r="FT1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09" s="314">
        <f ca="1">IF(Table1[[#This Row],[Status Izin]]="Selesai",Table1[[#This Row],[PLAN PERMIT
finish]]-Table1[[#This Row],[Tanggal Terbit/ Target Izin Terbit]],ROUNDUP(Table1[[#This Row],[PLAN PERMIT
finish]]-NOW(),0))</f>
        <v>45620</v>
      </c>
      <c r="FV1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09" s="314"/>
      <c r="FX109" s="42"/>
      <c r="FY109" s="310"/>
      <c r="FZ109" s="311"/>
      <c r="GA1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09" s="300">
        <v>45594</v>
      </c>
      <c r="GC109" s="322">
        <v>45610</v>
      </c>
      <c r="GD1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09" s="300">
        <v>45601</v>
      </c>
      <c r="GF109" s="322">
        <v>45610</v>
      </c>
      <c r="GG1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09" s="300">
        <v>45607</v>
      </c>
      <c r="GI109" s="300">
        <v>45613</v>
      </c>
      <c r="GJ109" s="322">
        <v>45553</v>
      </c>
      <c r="GK1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09" s="300">
        <v>45621</v>
      </c>
      <c r="GM109" s="300" t="e">
        <v>#N/A</v>
      </c>
      <c r="GN109" s="300">
        <v>45669</v>
      </c>
      <c r="GO109" s="300" t="e">
        <v>#N/A</v>
      </c>
      <c r="GP109" s="286"/>
      <c r="GQ1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09" s="300" t="s">
        <v>261</v>
      </c>
      <c r="GS109" s="391" t="s">
        <v>261</v>
      </c>
      <c r="GT109" s="397" t="s">
        <v>784</v>
      </c>
      <c r="GU109" s="393" t="str">
        <f>IF(Table1[[#This Row],[Hydro Tes Actual
(tanggal)]]&lt;&gt;"","Sudah","Belum")</f>
        <v>Sudah</v>
      </c>
      <c r="GV109" s="300" t="s">
        <v>261</v>
      </c>
      <c r="GW109" s="300" t="s">
        <v>261</v>
      </c>
      <c r="GX109" s="301"/>
      <c r="GY109" s="314" t="str">
        <f>IF(Table1[[#This Row],[Interkoneksi Actual
(tanggal)]]&lt;&gt;"","Sudah","Belum")</f>
        <v>Belum</v>
      </c>
      <c r="GZ109" s="300" t="s">
        <v>261</v>
      </c>
      <c r="HA109" s="391" t="s">
        <v>261</v>
      </c>
      <c r="HB109" s="394">
        <v>45693</v>
      </c>
      <c r="HC109" s="314" t="str">
        <f>IF(Table1[[#This Row],[Flushing Actual
(tanggal)]]&lt;&gt;"","Sudah","Belum")</f>
        <v>Sudah</v>
      </c>
      <c r="HD109" s="300">
        <v>45656</v>
      </c>
      <c r="HE109" s="300" t="e">
        <v>#N/A</v>
      </c>
      <c r="HF109" s="300">
        <v>45662</v>
      </c>
      <c r="HG109" s="322">
        <v>45825</v>
      </c>
      <c r="HH1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09" s="300" t="s">
        <v>261</v>
      </c>
      <c r="HJ109" s="300" t="s">
        <v>261</v>
      </c>
      <c r="HK109" s="301"/>
      <c r="HL109" s="286"/>
      <c r="HM109" s="300">
        <v>45681</v>
      </c>
      <c r="HN109" s="300">
        <v>45681</v>
      </c>
      <c r="HO109" s="300" t="e">
        <v>#N/A</v>
      </c>
      <c r="HP109" s="300"/>
      <c r="HQ109" s="301">
        <v>45735</v>
      </c>
      <c r="HR1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09" s="300">
        <v>45688</v>
      </c>
      <c r="HT109" s="300"/>
      <c r="HU109" s="300">
        <v>45688</v>
      </c>
      <c r="HV109" s="497"/>
      <c r="HW109" s="300">
        <v>45745</v>
      </c>
      <c r="HX1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09" s="42"/>
      <c r="HZ109" s="322"/>
      <c r="IA109" s="306"/>
      <c r="IC109" s="585">
        <f>IFERROR(ROUND((Table1[[#This Row],[PLAN TC
finish]]-Table1[[#This Row],[PLAN MC-0
start]])/30,2),"")</f>
        <v>1.83</v>
      </c>
      <c r="ID109">
        <f>DATEDIF(Table1[[#This Row],[PLAN MC-0
start]],Table1[[#This Row],[PLAN TC
finish]],"m")</f>
        <v>1</v>
      </c>
    </row>
    <row r="110" spans="2:238" s="4" customFormat="1" ht="15" customHeight="1" x14ac:dyDescent="0.25">
      <c r="B110" s="281">
        <f>SUBTOTAL(3,$D$5:D110)</f>
        <v>106</v>
      </c>
      <c r="C110" s="318">
        <v>106</v>
      </c>
      <c r="D110" s="285" t="s">
        <v>673</v>
      </c>
      <c r="E110" s="285" t="s">
        <v>785</v>
      </c>
      <c r="F110" s="285" t="s">
        <v>786</v>
      </c>
      <c r="G110" s="319">
        <v>45752</v>
      </c>
      <c r="H110" s="284" t="s">
        <v>247</v>
      </c>
      <c r="I110" s="285" t="s">
        <v>278</v>
      </c>
      <c r="J110" s="388"/>
      <c r="K110" s="308" t="s">
        <v>676</v>
      </c>
      <c r="L110" s="286" t="s">
        <v>250</v>
      </c>
      <c r="M110" s="286" t="s">
        <v>269</v>
      </c>
      <c r="N110" s="94">
        <v>200</v>
      </c>
      <c r="O110" s="31" t="s">
        <v>252</v>
      </c>
      <c r="P11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0" s="82" t="e">
        <v>#N/A</v>
      </c>
      <c r="S110" s="82">
        <v>1</v>
      </c>
      <c r="T110" s="35">
        <f>Table1[[#This Row],[Progres Total Aktual
(%)]]</f>
        <v>1</v>
      </c>
      <c r="U110" s="106">
        <f>Table1[[#This Row],[Progres Aktual
(%)]]-Table1[[#This Row],[Target Progres
(%)]]</f>
        <v>0</v>
      </c>
      <c r="V110" s="320">
        <f>Table1[[#This Row],["Volume
BA MC-0"]]</f>
        <v>200</v>
      </c>
      <c r="W110" s="321">
        <f>Table1[[#This Row],[Total Panjang Pipa Aktual
(Sum-&gt;)3]]</f>
        <v>285</v>
      </c>
      <c r="X110" s="42"/>
      <c r="Y110" s="62" t="s">
        <v>787</v>
      </c>
      <c r="Z110" s="62">
        <v>322468820</v>
      </c>
      <c r="AA110" s="62">
        <f>ROUND((Table1[[#This Row],[Nilai RAB Jaringan
(Exclude Ppn)]]-Table1[[#This Row],[RAB Perizinan]])*1.11+Table1[[#This Row],[RAB Perizinan]],0)</f>
        <v>0</v>
      </c>
      <c r="AB110" s="290">
        <f>SUM(Table1[[#This Row],[RAB Kegiatan Umum]:[RAB Perizinan]])</f>
        <v>0</v>
      </c>
      <c r="AC110" s="290"/>
      <c r="AD110" s="290"/>
      <c r="AE110" s="290"/>
      <c r="AF110" s="290"/>
      <c r="AG110" s="290">
        <v>10248242</v>
      </c>
      <c r="AH110" s="35" t="e">
        <f>SUM(Table1[[#This Row],[Bobot Keg Umum]:[Bobot Perizinan]])</f>
        <v>#DIV/0!</v>
      </c>
      <c r="AI110" s="35" t="e">
        <f>Table1[[#This Row],[RAB Kegiatan Umum]]/Table1[[#This Row],[Nilai RAB Jaringan
(Exclude Ppn)]]</f>
        <v>#DIV/0!</v>
      </c>
      <c r="AJ110" s="35" t="e">
        <f>Table1[[#This Row],[RAB Pemasangan]]/Table1[[#This Row],[Nilai RAB Jaringan
(Exclude Ppn)]]</f>
        <v>#DIV/0!</v>
      </c>
      <c r="AK110" s="35" t="e">
        <f>Table1[[#This Row],[RAB Pengadaan]]/Table1[[#This Row],[Nilai RAB Jaringan
(Exclude Ppn)]]</f>
        <v>#DIV/0!</v>
      </c>
      <c r="AL110" s="35" t="e">
        <f>Table1[[#This Row],[RAB Perizinan]]/Table1[[#This Row],[Nilai RAB Jaringan
(Exclude Ppn)]]</f>
        <v>#DIV/0!</v>
      </c>
      <c r="AM110" s="42"/>
      <c r="AN110" s="256">
        <v>200</v>
      </c>
      <c r="AO110" s="256">
        <f>SUM(Table1[[#This Row],[Pipa 63 mm]:[Pipa 1,800 mm]])</f>
        <v>0</v>
      </c>
      <c r="AP110" s="256"/>
      <c r="AQ110" s="256"/>
      <c r="AR110" s="256"/>
      <c r="AS110" s="256"/>
      <c r="AT110" s="256"/>
      <c r="AU110" s="256"/>
      <c r="AV110" s="256"/>
      <c r="AW110" s="256"/>
      <c r="AX110" s="256"/>
      <c r="AY110" s="256"/>
      <c r="AZ110" s="256"/>
      <c r="BA110" s="256"/>
      <c r="BB110" s="256"/>
      <c r="BC110" s="256"/>
      <c r="BD110" s="256"/>
      <c r="BE110" s="256"/>
      <c r="BF110" s="256"/>
      <c r="BG110" s="256"/>
      <c r="BH110" s="256"/>
      <c r="BI110" s="256"/>
      <c r="BJ110" s="36">
        <f>SUM(Table1[[#This Row],[Pipa 63 mm2]:[Pipa 1,800 mm21]])</f>
        <v>285</v>
      </c>
      <c r="BK110" s="32">
        <f>197+85</f>
        <v>282</v>
      </c>
      <c r="BL110" s="32"/>
      <c r="BM110" s="32"/>
      <c r="BN110" s="32">
        <v>3</v>
      </c>
      <c r="BO110" s="32"/>
      <c r="BP110" s="32"/>
      <c r="BQ110" s="32"/>
      <c r="BR110" s="32"/>
      <c r="BS110" s="32"/>
      <c r="BT110" s="32"/>
      <c r="BU110" s="32"/>
      <c r="BV110" s="32"/>
      <c r="BW110" s="32"/>
      <c r="BX110" s="32"/>
      <c r="BY110" s="32"/>
      <c r="BZ110" s="32"/>
      <c r="CA110" s="32"/>
      <c r="CB110" s="32"/>
      <c r="CC110" s="32"/>
      <c r="CD110" s="32"/>
      <c r="CE110" s="32">
        <v>200</v>
      </c>
      <c r="CF110" s="32"/>
      <c r="CG110" s="32"/>
      <c r="CH110" s="32"/>
      <c r="CI110" s="32">
        <f t="shared" si="6"/>
        <v>200</v>
      </c>
      <c r="CJ110" s="60">
        <f>IF((Table1[[#This Row],["Volume
BA MC-0"]]-Table1[[#This Row],[Total Panjang Pipa Aktual
(Sum-&gt;)3]]-Table1[[#This Row],[Total Volume
tidak dapat dipasang]])&gt;=0,Table1[[#This Row],["Volume
BA MC-0"]]-Table1[[#This Row],[Total Panjang Pipa Aktual
(Sum-&gt;)3]]-Table1[[#This Row],[Total Volume
tidak dapat dipasang]],0)</f>
        <v>0</v>
      </c>
      <c r="CK110" s="42"/>
      <c r="CL110" s="113"/>
      <c r="CM110" s="35"/>
      <c r="CN110" s="113"/>
      <c r="CO110" s="113"/>
      <c r="CP1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0" s="61">
        <f>IFERROR(Table1[[#This Row],[Progres Keg. Umum
(%)]]*Table1[[#This Row],[Nilai RAB Jaringan
(file pa aji)]],0)</f>
        <v>0</v>
      </c>
      <c r="CR110" s="61">
        <f>IFERROR(Table1[[#This Row],[Progres MOS
(%)]]*Table1[[#This Row],[Nilai RAB Jaringan
(file pa aji)]],0)</f>
        <v>0</v>
      </c>
      <c r="CS110" s="61">
        <f>IFERROR(Table1[[#This Row],[Progres Pemasangan
(%)]]*Table1[[#This Row],[Nilai RAB Jaringan
(file pa aji)]],0)</f>
        <v>0</v>
      </c>
      <c r="CT110" s="61">
        <f>IFERROR(Table1[[#This Row],[Progres Perizinan
(%)]]*Table1[[#This Row],[Nilai RAB Jaringan
(file pa aji)]],0)</f>
        <v>0</v>
      </c>
      <c r="CU110" s="789">
        <v>539602184</v>
      </c>
      <c r="CV110" s="299">
        <v>539602184</v>
      </c>
      <c r="CW110" s="552">
        <v>539602184</v>
      </c>
      <c r="CX110" s="789">
        <f>_xlfn.XLOOKUP(Table1[[#This Row],[Kode Program]],'[1]Breakdown VOWD Greenfield'!$E:$E,'[1]Breakdown VOWD Greenfield'!$AT:$AT)</f>
        <v>539602184</v>
      </c>
      <c r="CY110" s="42"/>
      <c r="CZ110" s="300">
        <v>45530</v>
      </c>
      <c r="DA110" s="300">
        <v>45543</v>
      </c>
      <c r="DB110" s="301"/>
      <c r="DC110" s="286"/>
      <c r="DD110" s="62"/>
      <c r="DE1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0" s="301"/>
      <c r="DG110" s="286"/>
      <c r="DH110" s="62"/>
      <c r="DI1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0" s="300">
        <v>45544</v>
      </c>
      <c r="DK110" s="300">
        <v>45592</v>
      </c>
      <c r="DL110" s="301">
        <v>45540</v>
      </c>
      <c r="DM110" s="395" t="s">
        <v>788</v>
      </c>
      <c r="DN1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0" s="301">
        <v>45593</v>
      </c>
      <c r="DP110" s="396" t="s">
        <v>789</v>
      </c>
      <c r="DQ110" s="308" t="s">
        <v>783</v>
      </c>
      <c r="DR1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0" s="300">
        <v>45544</v>
      </c>
      <c r="DT110" s="300" t="e">
        <v>#N/A</v>
      </c>
      <c r="DU110" s="300">
        <v>45571</v>
      </c>
      <c r="DV110" s="300" t="e">
        <v>#N/A</v>
      </c>
      <c r="DW110" s="301"/>
      <c r="DX110" s="286"/>
      <c r="DY110" s="304"/>
      <c r="DZ110" s="304"/>
      <c r="EA1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0" s="301"/>
      <c r="EC110" s="302"/>
      <c r="ED110" s="302"/>
      <c r="EE110" s="300"/>
      <c r="EF110" s="35">
        <v>1</v>
      </c>
      <c r="EG110" s="307">
        <v>1</v>
      </c>
      <c r="EH110" s="286" t="str">
        <f>IF(Table1[[#This Row],[PO Material Aktual 
(%)]]&gt;=100%,"Selesai PO = 100%",IF(Table1[[#This Row],[PO Material Aktual 
(%)]]&gt;=50%,"Proses PO &gt; 100%",IF(Table1[[#This Row],[PO Material Aktual 
(%)]]&gt;0%,"Proses PO &gt; 50%",IF(Table1[[#This Row],[PO Material Aktual 
(%)]]=0,"Belum PO = 0%"))))</f>
        <v>Selesai PO = 100%</v>
      </c>
      <c r="EI1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0" s="300">
        <v>45572</v>
      </c>
      <c r="EK110" s="300" t="e">
        <v>#N/A</v>
      </c>
      <c r="EL110" s="300">
        <v>45620</v>
      </c>
      <c r="EM110" s="300" t="e">
        <v>#N/A</v>
      </c>
      <c r="EN110" s="301">
        <v>45680</v>
      </c>
      <c r="EO110" s="302"/>
      <c r="EP110" s="302"/>
      <c r="EQ110" s="82">
        <v>1</v>
      </c>
      <c r="ER110" s="82">
        <v>1</v>
      </c>
      <c r="ES110" s="286" t="str">
        <f>IF(Table1[[#This Row],[Progres MOS]]&gt;=100%,"Selesai MOS = 100%",IF(Table1[[#This Row],[Progres MOS]]&gt;=50%,"Proses MOS &gt; 100%",IF(Table1[[#This Row],[Progres MOS]]&gt;0%,"Proses MOS &gt; 50%",IF(Table1[[#This Row],[Progres MOS]]=0,"Belum MOS = 0%"))))</f>
        <v>Selesai MOS = 100%</v>
      </c>
      <c r="ET1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0" s="42"/>
      <c r="EV110" s="300">
        <v>45544</v>
      </c>
      <c r="EW110" s="300" t="e">
        <v>#N/A</v>
      </c>
      <c r="EX110" s="300">
        <v>45620</v>
      </c>
      <c r="EY110" s="300" t="e">
        <v>#N/A</v>
      </c>
      <c r="EZ110" s="322" t="s">
        <v>298</v>
      </c>
      <c r="FA110" s="306" t="s">
        <v>259</v>
      </c>
      <c r="FB110" s="300" t="s">
        <v>260</v>
      </c>
      <c r="FC110" s="300">
        <v>45799</v>
      </c>
      <c r="FD110" s="300" t="s">
        <v>260</v>
      </c>
      <c r="FE110" s="300">
        <v>45875</v>
      </c>
      <c r="FF110" s="300">
        <v>45929</v>
      </c>
      <c r="FG110" s="300" t="s">
        <v>260</v>
      </c>
      <c r="FH110" s="300" t="s">
        <v>260</v>
      </c>
      <c r="FI110" s="300">
        <v>46021</v>
      </c>
      <c r="FJ110" s="300" t="s">
        <v>260</v>
      </c>
      <c r="FK110" s="300">
        <v>46087</v>
      </c>
      <c r="FL110" s="306" t="s">
        <v>298</v>
      </c>
      <c r="FM110" s="306">
        <v>45799</v>
      </c>
      <c r="FN110" s="284">
        <f>IF(Table1[[#This Row],[Tanggal Pengajuan Dokumen]]="","",Table1[[#This Row],[PLAN PERMIT
start]]-Table1[[#This Row],[Tanggal Pengajuan Dokumen]])</f>
        <v>-255</v>
      </c>
      <c r="FO110" s="306"/>
      <c r="FP110" s="286"/>
      <c r="FQ110" s="308"/>
      <c r="FR110" s="322"/>
      <c r="FS110" s="308" t="str">
        <f t="shared" si="8"/>
        <v>Sudah Terbit</v>
      </c>
      <c r="FT1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0" s="314">
        <f ca="1">IF(Table1[[#This Row],[Status Izin]]="Selesai",Table1[[#This Row],[PLAN PERMIT
finish]]-Table1[[#This Row],[Tanggal Terbit/ Target Izin Terbit]],ROUNDUP(Table1[[#This Row],[PLAN PERMIT
finish]]-NOW(),0))</f>
        <v>45620</v>
      </c>
      <c r="FV1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0" s="314"/>
      <c r="FX110" s="42"/>
      <c r="FY110" s="310"/>
      <c r="FZ110" s="311"/>
      <c r="GA1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0" s="300">
        <v>45594</v>
      </c>
      <c r="GC110" s="322">
        <v>45610</v>
      </c>
      <c r="GD1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0" s="300">
        <v>45601</v>
      </c>
      <c r="GF110" s="322">
        <v>45610</v>
      </c>
      <c r="GG1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0" s="300">
        <v>45607</v>
      </c>
      <c r="GI110" s="300">
        <v>45613</v>
      </c>
      <c r="GJ110" s="322">
        <v>45553</v>
      </c>
      <c r="GK1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0" s="300">
        <v>45621</v>
      </c>
      <c r="GM110" s="300" t="e">
        <v>#N/A</v>
      </c>
      <c r="GN110" s="300">
        <v>45641</v>
      </c>
      <c r="GO110" s="300" t="e">
        <v>#N/A</v>
      </c>
      <c r="GP110" s="286"/>
      <c r="GQ1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0" s="300" t="s">
        <v>261</v>
      </c>
      <c r="GS110" s="391" t="s">
        <v>261</v>
      </c>
      <c r="GT110" s="397">
        <v>45912</v>
      </c>
      <c r="GU110" s="393" t="str">
        <f>IF(Table1[[#This Row],[Hydro Tes Actual
(tanggal)]]&lt;&gt;"","Sudah","Belum")</f>
        <v>Sudah</v>
      </c>
      <c r="GV110" s="300" t="s">
        <v>261</v>
      </c>
      <c r="GW110" s="300" t="s">
        <v>261</v>
      </c>
      <c r="GX110" s="301"/>
      <c r="GY110" s="314" t="str">
        <f>IF(Table1[[#This Row],[Interkoneksi Actual
(tanggal)]]&lt;&gt;"","Sudah","Belum")</f>
        <v>Belum</v>
      </c>
      <c r="GZ110" s="300" t="s">
        <v>261</v>
      </c>
      <c r="HA110" s="391" t="s">
        <v>261</v>
      </c>
      <c r="HB110" s="394">
        <v>45922</v>
      </c>
      <c r="HC110" s="314" t="str">
        <f>IF(Table1[[#This Row],[Flushing Actual
(tanggal)]]&lt;&gt;"","Sudah","Belum")</f>
        <v>Sudah</v>
      </c>
      <c r="HD110" s="300">
        <v>45628</v>
      </c>
      <c r="HE110" s="300" t="e">
        <v>#N/A</v>
      </c>
      <c r="HF110" s="300">
        <v>45634</v>
      </c>
      <c r="HG110" s="322">
        <v>45924</v>
      </c>
      <c r="HH1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0" s="300" t="s">
        <v>261</v>
      </c>
      <c r="HJ110" s="300" t="s">
        <v>261</v>
      </c>
      <c r="HK110" s="301"/>
      <c r="HL110" s="286"/>
      <c r="HM110" s="300">
        <v>45646</v>
      </c>
      <c r="HN110" s="300">
        <v>45646</v>
      </c>
      <c r="HO110" s="300" t="e">
        <v>#N/A</v>
      </c>
      <c r="HP110" s="300"/>
      <c r="HQ110" s="301">
        <v>45929</v>
      </c>
      <c r="HR1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0" s="300">
        <v>45653</v>
      </c>
      <c r="HT110" s="300"/>
      <c r="HU110" s="300">
        <v>45653</v>
      </c>
      <c r="HV110" s="497"/>
      <c r="HW110" s="300">
        <v>45981</v>
      </c>
      <c r="HX1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0" s="42"/>
      <c r="HZ110" s="322"/>
      <c r="IA110" s="306"/>
      <c r="IC110" s="585">
        <f>IFERROR(ROUND((Table1[[#This Row],[PLAN TC
finish]]-Table1[[#This Row],[PLAN MC-0
start]])/30,2),"")</f>
        <v>0.9</v>
      </c>
      <c r="ID110">
        <f>DATEDIF(Table1[[#This Row],[PLAN MC-0
start]],Table1[[#This Row],[PLAN TC
finish]],"m")</f>
        <v>0</v>
      </c>
    </row>
    <row r="111" spans="2:238" s="4" customFormat="1" ht="15" customHeight="1" x14ac:dyDescent="0.25">
      <c r="B111" s="281">
        <f>SUBTOTAL(3,$D$5:D111)</f>
        <v>107</v>
      </c>
      <c r="C111" s="318">
        <v>107</v>
      </c>
      <c r="D111" s="285" t="s">
        <v>673</v>
      </c>
      <c r="E111" s="285" t="s">
        <v>790</v>
      </c>
      <c r="F111" s="285" t="s">
        <v>791</v>
      </c>
      <c r="G111" s="319">
        <v>45752</v>
      </c>
      <c r="H111" s="284" t="s">
        <v>247</v>
      </c>
      <c r="I111" s="285" t="s">
        <v>278</v>
      </c>
      <c r="J111" s="285"/>
      <c r="K111" s="308" t="s">
        <v>676</v>
      </c>
      <c r="L111" s="286" t="s">
        <v>250</v>
      </c>
      <c r="M111" s="286" t="s">
        <v>269</v>
      </c>
      <c r="N111" s="94">
        <v>69</v>
      </c>
      <c r="O111" s="31" t="s">
        <v>252</v>
      </c>
      <c r="P11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1" s="82" t="e">
        <v>#N/A</v>
      </c>
      <c r="S111" s="82">
        <v>1</v>
      </c>
      <c r="T111" s="35">
        <f>Table1[[#This Row],[Progres Total Aktual
(%)]]</f>
        <v>1</v>
      </c>
      <c r="U111" s="106">
        <f>Table1[[#This Row],[Progres Aktual
(%)]]-Table1[[#This Row],[Target Progres
(%)]]</f>
        <v>0</v>
      </c>
      <c r="V111" s="320">
        <f>Table1[[#This Row],["Volume
BA MC-0"]]</f>
        <v>72</v>
      </c>
      <c r="W111" s="321">
        <f>Table1[[#This Row],[Total Panjang Pipa Aktual
(Sum-&gt;)3]]</f>
        <v>75</v>
      </c>
      <c r="X111" s="42"/>
      <c r="Y111" s="62" t="s">
        <v>792</v>
      </c>
      <c r="Z111" s="62">
        <v>188079614</v>
      </c>
      <c r="AA111" s="62">
        <f>ROUND((Table1[[#This Row],[Nilai RAB Jaringan
(Exclude Ppn)]]-Table1[[#This Row],[RAB Perizinan]])*1.11+Table1[[#This Row],[RAB Perizinan]],0)</f>
        <v>0</v>
      </c>
      <c r="AB111" s="290">
        <f>SUM(Table1[[#This Row],[RAB Kegiatan Umum]:[RAB Perizinan]])</f>
        <v>0</v>
      </c>
      <c r="AC111" s="290"/>
      <c r="AD111" s="290"/>
      <c r="AE111" s="290"/>
      <c r="AF111" s="290"/>
      <c r="AG111" s="290">
        <v>12297890</v>
      </c>
      <c r="AH111" s="35" t="e">
        <f>SUM(Table1[[#This Row],[Bobot Keg Umum]:[Bobot Perizinan]])</f>
        <v>#DIV/0!</v>
      </c>
      <c r="AI111" s="35" t="e">
        <f>Table1[[#This Row],[RAB Kegiatan Umum]]/Table1[[#This Row],[Nilai RAB Jaringan
(Exclude Ppn)]]</f>
        <v>#DIV/0!</v>
      </c>
      <c r="AJ111" s="35" t="e">
        <f>Table1[[#This Row],[RAB Pemasangan]]/Table1[[#This Row],[Nilai RAB Jaringan
(Exclude Ppn)]]</f>
        <v>#DIV/0!</v>
      </c>
      <c r="AK111" s="35" t="e">
        <f>Table1[[#This Row],[RAB Pengadaan]]/Table1[[#This Row],[Nilai RAB Jaringan
(Exclude Ppn)]]</f>
        <v>#DIV/0!</v>
      </c>
      <c r="AL111" s="35" t="e">
        <f>Table1[[#This Row],[RAB Perizinan]]/Table1[[#This Row],[Nilai RAB Jaringan
(Exclude Ppn)]]</f>
        <v>#DIV/0!</v>
      </c>
      <c r="AM111" s="42"/>
      <c r="AN111" s="256">
        <v>72</v>
      </c>
      <c r="AO111" s="256">
        <f>SUM(Table1[[#This Row],[Pipa 63 mm]:[Pipa 1,800 mm]])</f>
        <v>0</v>
      </c>
      <c r="AP111" s="256"/>
      <c r="AQ111" s="256"/>
      <c r="AR111" s="256"/>
      <c r="AS111" s="256"/>
      <c r="AT111" s="256"/>
      <c r="AU111" s="256"/>
      <c r="AV111" s="256"/>
      <c r="AW111" s="256"/>
      <c r="AX111" s="256"/>
      <c r="AY111" s="256"/>
      <c r="AZ111" s="256"/>
      <c r="BA111" s="256"/>
      <c r="BB111" s="256"/>
      <c r="BC111" s="256"/>
      <c r="BD111" s="256"/>
      <c r="BE111" s="256"/>
      <c r="BF111" s="256"/>
      <c r="BG111" s="256"/>
      <c r="BH111" s="256"/>
      <c r="BI111" s="256"/>
      <c r="BJ111" s="36">
        <f>SUM(Table1[[#This Row],[Pipa 63 mm2]:[Pipa 1,800 mm21]])</f>
        <v>75</v>
      </c>
      <c r="BK111" s="32">
        <v>75</v>
      </c>
      <c r="BL111" s="32"/>
      <c r="BM111" s="32"/>
      <c r="BN111" s="32"/>
      <c r="BO111" s="32"/>
      <c r="BP111" s="32"/>
      <c r="BQ111" s="32"/>
      <c r="BR111" s="32"/>
      <c r="BS111" s="32"/>
      <c r="BT111" s="32"/>
      <c r="BU111" s="32"/>
      <c r="BV111" s="32"/>
      <c r="BW111" s="32"/>
      <c r="BX111" s="32"/>
      <c r="BY111" s="32"/>
      <c r="BZ111" s="32"/>
      <c r="CA111" s="32"/>
      <c r="CB111" s="32"/>
      <c r="CC111" s="32"/>
      <c r="CD111" s="32"/>
      <c r="CE111" s="32">
        <v>0</v>
      </c>
      <c r="CF111" s="32"/>
      <c r="CG111" s="32"/>
      <c r="CH111" s="32"/>
      <c r="CI111" s="32">
        <f t="shared" si="6"/>
        <v>0</v>
      </c>
      <c r="CJ111" s="60">
        <f>IF((Table1[[#This Row],["Volume
BA MC-0"]]-Table1[[#This Row],[Total Panjang Pipa Aktual
(Sum-&gt;)3]]-Table1[[#This Row],[Total Volume
tidak dapat dipasang]])&gt;=0,Table1[[#This Row],["Volume
BA MC-0"]]-Table1[[#This Row],[Total Panjang Pipa Aktual
(Sum-&gt;)3]]-Table1[[#This Row],[Total Volume
tidak dapat dipasang]],0)</f>
        <v>0</v>
      </c>
      <c r="CK111" s="42"/>
      <c r="CL111" s="113"/>
      <c r="CM111" s="35"/>
      <c r="CN111" s="113"/>
      <c r="CO111" s="113"/>
      <c r="CP1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1" s="61">
        <f>IFERROR(Table1[[#This Row],[Progres Keg. Umum
(%)]]*Table1[[#This Row],[Nilai RAB Jaringan
(file pa aji)]],0)</f>
        <v>0</v>
      </c>
      <c r="CR111" s="61">
        <f>IFERROR(Table1[[#This Row],[Progres MOS
(%)]]*Table1[[#This Row],[Nilai RAB Jaringan
(file pa aji)]],0)</f>
        <v>0</v>
      </c>
      <c r="CS111" s="61">
        <f>IFERROR(Table1[[#This Row],[Progres Pemasangan
(%)]]*Table1[[#This Row],[Nilai RAB Jaringan
(file pa aji)]],0)</f>
        <v>0</v>
      </c>
      <c r="CT111" s="61">
        <f>IFERROR(Table1[[#This Row],[Progres Perizinan
(%)]]*Table1[[#This Row],[Nilai RAB Jaringan
(file pa aji)]],0)</f>
        <v>0</v>
      </c>
      <c r="CU111" s="789">
        <v>157319977</v>
      </c>
      <c r="CV111" s="299">
        <v>157319977</v>
      </c>
      <c r="CW111" s="552">
        <v>157319977</v>
      </c>
      <c r="CX111" s="789">
        <f>_xlfn.XLOOKUP(Table1[[#This Row],[Kode Program]],'[1]Breakdown VOWD Greenfield'!$E:$E,'[1]Breakdown VOWD Greenfield'!$AT:$AT)</f>
        <v>157319977</v>
      </c>
      <c r="CY111" s="42"/>
      <c r="CZ111" s="300">
        <v>45530</v>
      </c>
      <c r="DA111" s="300">
        <v>45543</v>
      </c>
      <c r="DB111" s="301"/>
      <c r="DC111" s="286"/>
      <c r="DD111" s="62"/>
      <c r="DE1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1" s="301"/>
      <c r="DG111" s="286"/>
      <c r="DH111" s="62"/>
      <c r="DI1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1" s="300">
        <v>45544</v>
      </c>
      <c r="DK111" s="300">
        <v>45592</v>
      </c>
      <c r="DL111" s="301">
        <v>45540</v>
      </c>
      <c r="DM111" s="395" t="s">
        <v>793</v>
      </c>
      <c r="DN1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1" s="301">
        <v>45586</v>
      </c>
      <c r="DP111" s="396" t="s">
        <v>794</v>
      </c>
      <c r="DQ111" s="308" t="s">
        <v>501</v>
      </c>
      <c r="DR1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1" s="300">
        <v>45544</v>
      </c>
      <c r="DT111" s="300" t="e">
        <v>#N/A</v>
      </c>
      <c r="DU111" s="300">
        <v>45571</v>
      </c>
      <c r="DV111" s="300" t="e">
        <v>#N/A</v>
      </c>
      <c r="DW111" s="301"/>
      <c r="DX111" s="286"/>
      <c r="DY111" s="304"/>
      <c r="DZ111" s="304"/>
      <c r="EA1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1" s="301"/>
      <c r="EC111" s="302"/>
      <c r="ED111" s="302"/>
      <c r="EE111" s="300"/>
      <c r="EF111" s="35">
        <v>1</v>
      </c>
      <c r="EG111" s="307">
        <v>1</v>
      </c>
      <c r="EH111" s="286" t="str">
        <f>IF(Table1[[#This Row],[PO Material Aktual 
(%)]]&gt;=100%,"Selesai PO = 100%",IF(Table1[[#This Row],[PO Material Aktual 
(%)]]&gt;=50%,"Proses PO &gt; 100%",IF(Table1[[#This Row],[PO Material Aktual 
(%)]]&gt;0%,"Proses PO &gt; 50%",IF(Table1[[#This Row],[PO Material Aktual 
(%)]]=0,"Belum PO = 0%"))))</f>
        <v>Selesai PO = 100%</v>
      </c>
      <c r="EI1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1" s="300">
        <v>45572</v>
      </c>
      <c r="EK111" s="300" t="e">
        <v>#N/A</v>
      </c>
      <c r="EL111" s="300">
        <v>45620</v>
      </c>
      <c r="EM111" s="300" t="e">
        <v>#N/A</v>
      </c>
      <c r="EN111" s="301">
        <v>45679</v>
      </c>
      <c r="EO111" s="302"/>
      <c r="EP111" s="302"/>
      <c r="EQ111" s="82">
        <v>1</v>
      </c>
      <c r="ER111" s="82">
        <v>1</v>
      </c>
      <c r="ES111" s="286" t="str">
        <f>IF(Table1[[#This Row],[Progres MOS]]&gt;=100%,"Selesai MOS = 100%",IF(Table1[[#This Row],[Progres MOS]]&gt;=50%,"Proses MOS &gt; 100%",IF(Table1[[#This Row],[Progres MOS]]&gt;0%,"Proses MOS &gt; 50%",IF(Table1[[#This Row],[Progres MOS]]=0,"Belum MOS = 0%"))))</f>
        <v>Selesai MOS = 100%</v>
      </c>
      <c r="ET1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1" s="42"/>
      <c r="EV111" s="300">
        <v>45544</v>
      </c>
      <c r="EW111" s="300" t="e">
        <v>#N/A</v>
      </c>
      <c r="EX111" s="300">
        <v>45620</v>
      </c>
      <c r="EY111" s="300" t="e">
        <v>#N/A</v>
      </c>
      <c r="EZ111" s="322" t="s">
        <v>298</v>
      </c>
      <c r="FA111" s="306" t="s">
        <v>259</v>
      </c>
      <c r="FB111" s="300" t="s">
        <v>260</v>
      </c>
      <c r="FC111" s="300">
        <v>45799</v>
      </c>
      <c r="FD111" s="300" t="s">
        <v>260</v>
      </c>
      <c r="FE111" s="300">
        <v>45875</v>
      </c>
      <c r="FF111" s="300">
        <v>45929</v>
      </c>
      <c r="FG111" s="300" t="s">
        <v>260</v>
      </c>
      <c r="FH111" s="300" t="s">
        <v>260</v>
      </c>
      <c r="FI111" s="300">
        <v>46021</v>
      </c>
      <c r="FJ111" s="300" t="s">
        <v>260</v>
      </c>
      <c r="FK111" s="300">
        <v>46087</v>
      </c>
      <c r="FL111" s="306" t="s">
        <v>298</v>
      </c>
      <c r="FM111" s="306">
        <v>45799</v>
      </c>
      <c r="FN111" s="284">
        <f>IF(Table1[[#This Row],[Tanggal Pengajuan Dokumen]]="","",Table1[[#This Row],[PLAN PERMIT
start]]-Table1[[#This Row],[Tanggal Pengajuan Dokumen]])</f>
        <v>-255</v>
      </c>
      <c r="FO111" s="306"/>
      <c r="FP111" s="286"/>
      <c r="FQ111" s="308"/>
      <c r="FR111" s="322"/>
      <c r="FS111" s="308" t="str">
        <f t="shared" si="8"/>
        <v>Sudah Terbit</v>
      </c>
      <c r="FT1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1" s="314">
        <f ca="1">IF(Table1[[#This Row],[Status Izin]]="Selesai",Table1[[#This Row],[PLAN PERMIT
finish]]-Table1[[#This Row],[Tanggal Terbit/ Target Izin Terbit]],ROUNDUP(Table1[[#This Row],[PLAN PERMIT
finish]]-NOW(),0))</f>
        <v>45620</v>
      </c>
      <c r="FV1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1" s="314"/>
      <c r="FX111" s="42"/>
      <c r="FY111" s="310"/>
      <c r="FZ111" s="311"/>
      <c r="GA1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1" s="300">
        <v>45594</v>
      </c>
      <c r="GC111" s="322">
        <v>45610</v>
      </c>
      <c r="GD1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1" s="300">
        <v>45601</v>
      </c>
      <c r="GF111" s="322">
        <v>45610</v>
      </c>
      <c r="GG1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1" s="300">
        <v>45607</v>
      </c>
      <c r="GI111" s="300">
        <v>45613</v>
      </c>
      <c r="GJ111" s="322">
        <v>45554</v>
      </c>
      <c r="GK1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1" s="300">
        <v>45621</v>
      </c>
      <c r="GM111" s="300" t="e">
        <v>#N/A</v>
      </c>
      <c r="GN111" s="300">
        <v>45641</v>
      </c>
      <c r="GO111" s="300" t="e">
        <v>#N/A</v>
      </c>
      <c r="GP111" s="286"/>
      <c r="GQ1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1" s="300" t="s">
        <v>261</v>
      </c>
      <c r="GS111" s="391" t="s">
        <v>261</v>
      </c>
      <c r="GT111" s="397">
        <v>45660</v>
      </c>
      <c r="GU111" s="393" t="str">
        <f>IF(Table1[[#This Row],[Hydro Tes Actual
(tanggal)]]&lt;&gt;"","Sudah","Belum")</f>
        <v>Sudah</v>
      </c>
      <c r="GV111" s="300" t="s">
        <v>261</v>
      </c>
      <c r="GW111" s="300" t="s">
        <v>261</v>
      </c>
      <c r="GX111" s="301"/>
      <c r="GY111" s="314" t="str">
        <f>IF(Table1[[#This Row],[Interkoneksi Actual
(tanggal)]]&lt;&gt;"","Sudah","Belum")</f>
        <v>Belum</v>
      </c>
      <c r="GZ111" s="300" t="s">
        <v>261</v>
      </c>
      <c r="HA111" s="391" t="s">
        <v>261</v>
      </c>
      <c r="HB111" s="394">
        <v>45704</v>
      </c>
      <c r="HC111" s="314" t="str">
        <f>IF(Table1[[#This Row],[Flushing Actual
(tanggal)]]&lt;&gt;"","Sudah","Belum")</f>
        <v>Sudah</v>
      </c>
      <c r="HD111" s="300">
        <v>45628</v>
      </c>
      <c r="HE111" s="300" t="e">
        <v>#N/A</v>
      </c>
      <c r="HF111" s="300">
        <v>45634</v>
      </c>
      <c r="HG111" s="322">
        <v>45719</v>
      </c>
      <c r="HH1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1" s="300" t="s">
        <v>261</v>
      </c>
      <c r="HJ111" s="300" t="s">
        <v>261</v>
      </c>
      <c r="HK111" s="301"/>
      <c r="HL111" s="286"/>
      <c r="HM111" s="300">
        <v>45646</v>
      </c>
      <c r="HN111" s="300">
        <v>45646</v>
      </c>
      <c r="HO111" s="300" t="e">
        <v>#N/A</v>
      </c>
      <c r="HP111" s="300"/>
      <c r="HQ111" s="301">
        <v>45734</v>
      </c>
      <c r="HR1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1" s="300">
        <v>45653</v>
      </c>
      <c r="HT111" s="300"/>
      <c r="HU111" s="300">
        <v>45653</v>
      </c>
      <c r="HV111" s="497"/>
      <c r="HW111" s="300">
        <v>45745</v>
      </c>
      <c r="HX1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1" s="42"/>
      <c r="HZ111" s="322"/>
      <c r="IA111" s="306"/>
      <c r="IC111" s="585">
        <f>IFERROR(ROUND((Table1[[#This Row],[PLAN TC
finish]]-Table1[[#This Row],[PLAN MC-0
start]])/30,2),"")</f>
        <v>0.9</v>
      </c>
      <c r="ID111">
        <f>DATEDIF(Table1[[#This Row],[PLAN MC-0
start]],Table1[[#This Row],[PLAN TC
finish]],"m")</f>
        <v>0</v>
      </c>
    </row>
    <row r="112" spans="2:238" s="4" customFormat="1" ht="15" customHeight="1" x14ac:dyDescent="0.25">
      <c r="B112" s="281">
        <f>SUBTOTAL(3,$D$5:D112)</f>
        <v>108</v>
      </c>
      <c r="C112" s="318">
        <v>108</v>
      </c>
      <c r="D112" s="285" t="s">
        <v>673</v>
      </c>
      <c r="E112" s="285" t="s">
        <v>795</v>
      </c>
      <c r="F112" s="285" t="s">
        <v>796</v>
      </c>
      <c r="G112" s="319">
        <v>45752</v>
      </c>
      <c r="H112" s="284" t="s">
        <v>247</v>
      </c>
      <c r="I112" s="285" t="s">
        <v>278</v>
      </c>
      <c r="J112" s="285"/>
      <c r="K112" s="308" t="s">
        <v>676</v>
      </c>
      <c r="L112" s="286" t="s">
        <v>250</v>
      </c>
      <c r="M112" s="286" t="s">
        <v>269</v>
      </c>
      <c r="N112" s="94">
        <v>41</v>
      </c>
      <c r="O112" s="31" t="s">
        <v>252</v>
      </c>
      <c r="P11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2" s="82" t="e">
        <v>#N/A</v>
      </c>
      <c r="S112" s="82">
        <v>1</v>
      </c>
      <c r="T112" s="35">
        <f>Table1[[#This Row],[Progres Total Aktual
(%)]]</f>
        <v>1</v>
      </c>
      <c r="U112" s="106">
        <f>Table1[[#This Row],[Progres Aktual
(%)]]-Table1[[#This Row],[Target Progres
(%)]]</f>
        <v>0</v>
      </c>
      <c r="V112" s="320">
        <f>Table1[[#This Row],["Volume
BA MC-0"]]</f>
        <v>47</v>
      </c>
      <c r="W112" s="321">
        <f>Table1[[#This Row],[Total Panjang Pipa Aktual
(Sum-&gt;)3]]</f>
        <v>47</v>
      </c>
      <c r="X112" s="42"/>
      <c r="Y112" s="62" t="s">
        <v>797</v>
      </c>
      <c r="Z112" s="62">
        <v>100016622</v>
      </c>
      <c r="AA112" s="62">
        <f>ROUND((Table1[[#This Row],[Nilai RAB Jaringan
(Exclude Ppn)]]-Table1[[#This Row],[RAB Perizinan]])*1.11+Table1[[#This Row],[RAB Perizinan]],0)</f>
        <v>0</v>
      </c>
      <c r="AB112" s="290">
        <f>SUM(Table1[[#This Row],[RAB Kegiatan Umum]:[RAB Perizinan]])</f>
        <v>0</v>
      </c>
      <c r="AC112" s="290"/>
      <c r="AD112" s="290"/>
      <c r="AE112" s="290"/>
      <c r="AF112" s="290"/>
      <c r="AG112" s="290">
        <v>6148945</v>
      </c>
      <c r="AH112" s="35" t="e">
        <f>SUM(Table1[[#This Row],[Bobot Keg Umum]:[Bobot Perizinan]])</f>
        <v>#DIV/0!</v>
      </c>
      <c r="AI112" s="35" t="e">
        <f>Table1[[#This Row],[RAB Kegiatan Umum]]/Table1[[#This Row],[Nilai RAB Jaringan
(Exclude Ppn)]]</f>
        <v>#DIV/0!</v>
      </c>
      <c r="AJ112" s="35" t="e">
        <f>Table1[[#This Row],[RAB Pemasangan]]/Table1[[#This Row],[Nilai RAB Jaringan
(Exclude Ppn)]]</f>
        <v>#DIV/0!</v>
      </c>
      <c r="AK112" s="35" t="e">
        <f>Table1[[#This Row],[RAB Pengadaan]]/Table1[[#This Row],[Nilai RAB Jaringan
(Exclude Ppn)]]</f>
        <v>#DIV/0!</v>
      </c>
      <c r="AL112" s="35" t="e">
        <f>Table1[[#This Row],[RAB Perizinan]]/Table1[[#This Row],[Nilai RAB Jaringan
(Exclude Ppn)]]</f>
        <v>#DIV/0!</v>
      </c>
      <c r="AM112" s="42"/>
      <c r="AN112" s="256">
        <v>47</v>
      </c>
      <c r="AO112" s="256">
        <f>SUM(Table1[[#This Row],[Pipa 63 mm]:[Pipa 1,800 mm]])</f>
        <v>0</v>
      </c>
      <c r="AP112" s="256"/>
      <c r="AQ112" s="256"/>
      <c r="AR112" s="256"/>
      <c r="AS112" s="256"/>
      <c r="AT112" s="256"/>
      <c r="AU112" s="256"/>
      <c r="AV112" s="256"/>
      <c r="AW112" s="256"/>
      <c r="AX112" s="256"/>
      <c r="AY112" s="256"/>
      <c r="AZ112" s="256"/>
      <c r="BA112" s="256"/>
      <c r="BB112" s="256"/>
      <c r="BC112" s="256"/>
      <c r="BD112" s="256"/>
      <c r="BE112" s="256"/>
      <c r="BF112" s="256"/>
      <c r="BG112" s="256"/>
      <c r="BH112" s="256"/>
      <c r="BI112" s="256"/>
      <c r="BJ112" s="36">
        <f>SUM(Table1[[#This Row],[Pipa 63 mm2]:[Pipa 1,800 mm21]])</f>
        <v>47</v>
      </c>
      <c r="BK112" s="32">
        <v>47</v>
      </c>
      <c r="BL112" s="32"/>
      <c r="BM112" s="32"/>
      <c r="BN112" s="32"/>
      <c r="BO112" s="32"/>
      <c r="BP112" s="32"/>
      <c r="BQ112" s="32"/>
      <c r="BR112" s="32"/>
      <c r="BS112" s="32"/>
      <c r="BT112" s="32"/>
      <c r="BU112" s="32"/>
      <c r="BV112" s="32"/>
      <c r="BW112" s="32"/>
      <c r="BX112" s="32"/>
      <c r="BY112" s="32"/>
      <c r="BZ112" s="32"/>
      <c r="CA112" s="32"/>
      <c r="CB112" s="32"/>
      <c r="CC112" s="32"/>
      <c r="CD112" s="32"/>
      <c r="CE112" s="32">
        <v>0</v>
      </c>
      <c r="CF112" s="32"/>
      <c r="CG112" s="32"/>
      <c r="CH112" s="32"/>
      <c r="CI112" s="32">
        <f t="shared" si="6"/>
        <v>0</v>
      </c>
      <c r="CJ112" s="60">
        <f>IF((Table1[[#This Row],["Volume
BA MC-0"]]-Table1[[#This Row],[Total Panjang Pipa Aktual
(Sum-&gt;)3]]-Table1[[#This Row],[Total Volume
tidak dapat dipasang]])&gt;=0,Table1[[#This Row],["Volume
BA MC-0"]]-Table1[[#This Row],[Total Panjang Pipa Aktual
(Sum-&gt;)3]]-Table1[[#This Row],[Total Volume
tidak dapat dipasang]],0)</f>
        <v>0</v>
      </c>
      <c r="CK112" s="42"/>
      <c r="CL112" s="113"/>
      <c r="CM112" s="35"/>
      <c r="CN112" s="113"/>
      <c r="CO112" s="113"/>
      <c r="CP1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2" s="61">
        <f>IFERROR(Table1[[#This Row],[Progres Keg. Umum
(%)]]*Table1[[#This Row],[Nilai RAB Jaringan
(file pa aji)]],0)</f>
        <v>0</v>
      </c>
      <c r="CR112" s="61">
        <f>IFERROR(Table1[[#This Row],[Progres MOS
(%)]]*Table1[[#This Row],[Nilai RAB Jaringan
(file pa aji)]],0)</f>
        <v>0</v>
      </c>
      <c r="CS112" s="61">
        <f>IFERROR(Table1[[#This Row],[Progres Pemasangan
(%)]]*Table1[[#This Row],[Nilai RAB Jaringan
(file pa aji)]],0)</f>
        <v>0</v>
      </c>
      <c r="CT112" s="61">
        <f>IFERROR(Table1[[#This Row],[Progres Perizinan
(%)]]*Table1[[#This Row],[Nilai RAB Jaringan
(file pa aji)]],0)</f>
        <v>0</v>
      </c>
      <c r="CU112" s="789">
        <v>106303542</v>
      </c>
      <c r="CV112" s="299">
        <v>106303542</v>
      </c>
      <c r="CW112" s="552">
        <v>106303542</v>
      </c>
      <c r="CX112" s="789">
        <f>_xlfn.XLOOKUP(Table1[[#This Row],[Kode Program]],'[1]Breakdown VOWD Greenfield'!$E:$E,'[1]Breakdown VOWD Greenfield'!$AT:$AT)</f>
        <v>106303542</v>
      </c>
      <c r="CY112" s="42"/>
      <c r="CZ112" s="300">
        <v>45439</v>
      </c>
      <c r="DA112" s="300">
        <v>45466</v>
      </c>
      <c r="DB112" s="301"/>
      <c r="DC112" s="286"/>
      <c r="DD112" s="62"/>
      <c r="DE1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2" s="301"/>
      <c r="DG112" s="286"/>
      <c r="DH112" s="62"/>
      <c r="DI1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2" s="300">
        <v>45467</v>
      </c>
      <c r="DK112" s="300">
        <v>45508</v>
      </c>
      <c r="DL112" s="301">
        <v>45542</v>
      </c>
      <c r="DM112" s="395" t="s">
        <v>798</v>
      </c>
      <c r="DN1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2" s="301">
        <v>45586</v>
      </c>
      <c r="DP112" s="396" t="s">
        <v>799</v>
      </c>
      <c r="DQ112" s="308" t="s">
        <v>344</v>
      </c>
      <c r="DR1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2" s="300">
        <v>45467</v>
      </c>
      <c r="DT112" s="300" t="e">
        <v>#N/A</v>
      </c>
      <c r="DU112" s="300">
        <v>45508</v>
      </c>
      <c r="DV112" s="300" t="e">
        <v>#N/A</v>
      </c>
      <c r="DW112" s="301"/>
      <c r="DX112" s="286"/>
      <c r="DY112" s="304"/>
      <c r="DZ112" s="304"/>
      <c r="EA1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2" s="301"/>
      <c r="EC112" s="302"/>
      <c r="ED112" s="302"/>
      <c r="EE112" s="300"/>
      <c r="EF112" s="35">
        <v>1</v>
      </c>
      <c r="EG112" s="307">
        <v>1</v>
      </c>
      <c r="EH112" s="286" t="str">
        <f>IF(Table1[[#This Row],[PO Material Aktual 
(%)]]&gt;=100%,"Selesai PO = 100%",IF(Table1[[#This Row],[PO Material Aktual 
(%)]]&gt;=50%,"Proses PO &gt; 100%",IF(Table1[[#This Row],[PO Material Aktual 
(%)]]&gt;0%,"Proses PO &gt; 50%",IF(Table1[[#This Row],[PO Material Aktual 
(%)]]=0,"Belum PO = 0%"))))</f>
        <v>Selesai PO = 100%</v>
      </c>
      <c r="EI1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2" s="300">
        <v>45509</v>
      </c>
      <c r="EK112" s="300" t="e">
        <v>#N/A</v>
      </c>
      <c r="EL112" s="300">
        <v>45599</v>
      </c>
      <c r="EM112" s="300" t="e">
        <v>#N/A</v>
      </c>
      <c r="EN112" s="301">
        <v>45764</v>
      </c>
      <c r="EO112" s="302"/>
      <c r="EP112" s="302"/>
      <c r="EQ112" s="82">
        <v>1</v>
      </c>
      <c r="ER112" s="82">
        <v>1</v>
      </c>
      <c r="ES112" s="286" t="str">
        <f>IF(Table1[[#This Row],[Progres MOS]]&gt;=100%,"Selesai MOS = 100%",IF(Table1[[#This Row],[Progres MOS]]&gt;=50%,"Proses MOS &gt; 100%",IF(Table1[[#This Row],[Progres MOS]]&gt;0%,"Proses MOS &gt; 50%",IF(Table1[[#This Row],[Progres MOS]]=0,"Belum MOS = 0%"))))</f>
        <v>Selesai MOS = 100%</v>
      </c>
      <c r="ET1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2" s="42"/>
      <c r="EV112" s="300">
        <v>45467</v>
      </c>
      <c r="EW112" s="300" t="e">
        <v>#N/A</v>
      </c>
      <c r="EX112" s="300">
        <v>45564</v>
      </c>
      <c r="EY112" s="300" t="e">
        <v>#N/A</v>
      </c>
      <c r="EZ112" s="322" t="s">
        <v>298</v>
      </c>
      <c r="FA112" s="306" t="s">
        <v>259</v>
      </c>
      <c r="FB112" s="300" t="s">
        <v>260</v>
      </c>
      <c r="FC112" s="300">
        <v>45799</v>
      </c>
      <c r="FD112" s="300" t="s">
        <v>260</v>
      </c>
      <c r="FE112" s="300">
        <v>45875</v>
      </c>
      <c r="FF112" s="300">
        <v>45929</v>
      </c>
      <c r="FG112" s="300" t="s">
        <v>260</v>
      </c>
      <c r="FH112" s="300" t="s">
        <v>260</v>
      </c>
      <c r="FI112" s="300">
        <v>46021</v>
      </c>
      <c r="FJ112" s="300" t="s">
        <v>260</v>
      </c>
      <c r="FK112" s="300">
        <v>46087</v>
      </c>
      <c r="FL112" s="306" t="s">
        <v>298</v>
      </c>
      <c r="FM112" s="306">
        <v>45799</v>
      </c>
      <c r="FN112" s="284">
        <f>IF(Table1[[#This Row],[Tanggal Pengajuan Dokumen]]="","",Table1[[#This Row],[PLAN PERMIT
start]]-Table1[[#This Row],[Tanggal Pengajuan Dokumen]])</f>
        <v>-332</v>
      </c>
      <c r="FO112" s="306"/>
      <c r="FP112" s="286"/>
      <c r="FQ112" s="308"/>
      <c r="FR112" s="322"/>
      <c r="FS112" s="308" t="str">
        <f t="shared" si="8"/>
        <v>Sudah Terbit</v>
      </c>
      <c r="FT1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2" s="314">
        <f ca="1">IF(Table1[[#This Row],[Status Izin]]="Selesai",Table1[[#This Row],[PLAN PERMIT
finish]]-Table1[[#This Row],[Tanggal Terbit/ Target Izin Terbit]],ROUNDUP(Table1[[#This Row],[PLAN PERMIT
finish]]-NOW(),0))</f>
        <v>45564</v>
      </c>
      <c r="FV1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2" s="314"/>
      <c r="FX112" s="42"/>
      <c r="FY112" s="310"/>
      <c r="FZ112" s="311"/>
      <c r="GA1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2" s="300">
        <v>45538</v>
      </c>
      <c r="GC112" s="322">
        <v>45610</v>
      </c>
      <c r="GD1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2" s="300">
        <v>45545</v>
      </c>
      <c r="GF112" s="322">
        <v>45610</v>
      </c>
      <c r="GG1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2" s="300">
        <v>45551</v>
      </c>
      <c r="GI112" s="300">
        <v>45557</v>
      </c>
      <c r="GJ112" s="322">
        <v>45554</v>
      </c>
      <c r="GK1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2" s="300">
        <v>45565</v>
      </c>
      <c r="GM112" s="300" t="e">
        <v>#N/A</v>
      </c>
      <c r="GN112" s="300">
        <v>45641</v>
      </c>
      <c r="GO112" s="300" t="e">
        <v>#N/A</v>
      </c>
      <c r="GP112" s="286"/>
      <c r="GQ1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2" s="300" t="s">
        <v>261</v>
      </c>
      <c r="GS112" s="391" t="s">
        <v>261</v>
      </c>
      <c r="GT112" s="397">
        <v>45645</v>
      </c>
      <c r="GU112" s="393" t="str">
        <f>IF(Table1[[#This Row],[Hydro Tes Actual
(tanggal)]]&lt;&gt;"","Sudah","Belum")</f>
        <v>Sudah</v>
      </c>
      <c r="GV112" s="300" t="s">
        <v>261</v>
      </c>
      <c r="GW112" s="300" t="s">
        <v>261</v>
      </c>
      <c r="GX112" s="301"/>
      <c r="GY112" s="314" t="str">
        <f>IF(Table1[[#This Row],[Interkoneksi Actual
(tanggal)]]&lt;&gt;"","Sudah","Belum")</f>
        <v>Belum</v>
      </c>
      <c r="GZ112" s="300" t="s">
        <v>261</v>
      </c>
      <c r="HA112" s="391" t="s">
        <v>261</v>
      </c>
      <c r="HB112" s="394">
        <v>45719</v>
      </c>
      <c r="HC112" s="314" t="str">
        <f>IF(Table1[[#This Row],[Flushing Actual
(tanggal)]]&lt;&gt;"","Sudah","Belum")</f>
        <v>Sudah</v>
      </c>
      <c r="HD112" s="300">
        <v>45621</v>
      </c>
      <c r="HE112" s="300" t="e">
        <v>#N/A</v>
      </c>
      <c r="HF112" s="300">
        <v>45623</v>
      </c>
      <c r="HG112" s="322">
        <v>45671</v>
      </c>
      <c r="HH1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2" s="300" t="s">
        <v>261</v>
      </c>
      <c r="HJ112" s="300" t="s">
        <v>261</v>
      </c>
      <c r="HK112" s="301"/>
      <c r="HL112" s="286"/>
      <c r="HM112" s="300">
        <v>45646</v>
      </c>
      <c r="HN112" s="300">
        <v>45646</v>
      </c>
      <c r="HO112" s="300" t="e">
        <v>#N/A</v>
      </c>
      <c r="HP112" s="300"/>
      <c r="HQ112" s="301">
        <v>45733</v>
      </c>
      <c r="HR1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2" s="300">
        <v>45653</v>
      </c>
      <c r="HT112" s="300"/>
      <c r="HU112" s="300">
        <v>45653</v>
      </c>
      <c r="HV112" s="497"/>
      <c r="HW112" s="300">
        <v>45745</v>
      </c>
      <c r="HX1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2" s="42"/>
      <c r="HZ112" s="322"/>
      <c r="IA112" s="306"/>
      <c r="IC112" s="585">
        <f>IFERROR(ROUND((Table1[[#This Row],[PLAN TC
finish]]-Table1[[#This Row],[PLAN MC-0
start]])/30,2),"")</f>
        <v>2.4</v>
      </c>
      <c r="ID112">
        <f>DATEDIF(Table1[[#This Row],[PLAN MC-0
start]],Table1[[#This Row],[PLAN TC
finish]],"m")</f>
        <v>2</v>
      </c>
    </row>
    <row r="113" spans="1:238" s="4" customFormat="1" ht="15" customHeight="1" x14ac:dyDescent="0.25">
      <c r="B113" s="281">
        <f>SUBTOTAL(3,$D$5:D113)</f>
        <v>109</v>
      </c>
      <c r="C113" s="318">
        <v>109</v>
      </c>
      <c r="D113" s="285" t="s">
        <v>673</v>
      </c>
      <c r="E113" s="285" t="s">
        <v>800</v>
      </c>
      <c r="F113" s="285" t="s">
        <v>801</v>
      </c>
      <c r="G113" s="319">
        <v>45752</v>
      </c>
      <c r="H113" s="284" t="s">
        <v>247</v>
      </c>
      <c r="I113" s="285" t="s">
        <v>278</v>
      </c>
      <c r="J113" s="285"/>
      <c r="K113" s="308" t="s">
        <v>676</v>
      </c>
      <c r="L113" s="286" t="s">
        <v>250</v>
      </c>
      <c r="M113" s="286" t="s">
        <v>269</v>
      </c>
      <c r="N113" s="94">
        <v>302</v>
      </c>
      <c r="O113" s="31" t="s">
        <v>252</v>
      </c>
      <c r="P11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3" s="82" t="e">
        <v>#N/A</v>
      </c>
      <c r="S113" s="82">
        <v>1</v>
      </c>
      <c r="T113" s="35">
        <f>Table1[[#This Row],[Progres Total Aktual
(%)]]</f>
        <v>1</v>
      </c>
      <c r="U113" s="106">
        <f>Table1[[#This Row],[Progres Aktual
(%)]]-Table1[[#This Row],[Target Progres
(%)]]</f>
        <v>0</v>
      </c>
      <c r="V113" s="320">
        <f>Table1[[#This Row],["Volume
BA MC-0"]]</f>
        <v>327</v>
      </c>
      <c r="W113" s="321">
        <f>Table1[[#This Row],[Total Panjang Pipa Aktual
(Sum-&gt;)3]]</f>
        <v>302</v>
      </c>
      <c r="X113" s="42"/>
      <c r="Y113" s="62" t="s">
        <v>802</v>
      </c>
      <c r="Z113" s="62">
        <v>453940186</v>
      </c>
      <c r="AA113" s="62">
        <f>ROUND((Table1[[#This Row],[Nilai RAB Jaringan
(Exclude Ppn)]]-Table1[[#This Row],[RAB Perizinan]])*1.11+Table1[[#This Row],[RAB Perizinan]],0)</f>
        <v>0</v>
      </c>
      <c r="AB113" s="290">
        <f>SUM(Table1[[#This Row],[RAB Kegiatan Umum]:[RAB Perizinan]])</f>
        <v>0</v>
      </c>
      <c r="AC113" s="290"/>
      <c r="AD113" s="290"/>
      <c r="AE113" s="290"/>
      <c r="AF113" s="290"/>
      <c r="AG113" s="290">
        <v>73787339</v>
      </c>
      <c r="AH113" s="35" t="e">
        <f>SUM(Table1[[#This Row],[Bobot Keg Umum]:[Bobot Perizinan]])</f>
        <v>#DIV/0!</v>
      </c>
      <c r="AI113" s="35" t="e">
        <f>Table1[[#This Row],[RAB Kegiatan Umum]]/Table1[[#This Row],[Nilai RAB Jaringan
(Exclude Ppn)]]</f>
        <v>#DIV/0!</v>
      </c>
      <c r="AJ113" s="35" t="e">
        <f>Table1[[#This Row],[RAB Pemasangan]]/Table1[[#This Row],[Nilai RAB Jaringan
(Exclude Ppn)]]</f>
        <v>#DIV/0!</v>
      </c>
      <c r="AK113" s="35" t="e">
        <f>Table1[[#This Row],[RAB Pengadaan]]/Table1[[#This Row],[Nilai RAB Jaringan
(Exclude Ppn)]]</f>
        <v>#DIV/0!</v>
      </c>
      <c r="AL113" s="35" t="e">
        <f>Table1[[#This Row],[RAB Perizinan]]/Table1[[#This Row],[Nilai RAB Jaringan
(Exclude Ppn)]]</f>
        <v>#DIV/0!</v>
      </c>
      <c r="AM113" s="42"/>
      <c r="AN113" s="256">
        <v>327</v>
      </c>
      <c r="AO113" s="256">
        <f>SUM(Table1[[#This Row],[Pipa 63 mm]:[Pipa 1,800 mm]])</f>
        <v>0</v>
      </c>
      <c r="AP113" s="256"/>
      <c r="AQ113" s="256"/>
      <c r="AR113" s="256"/>
      <c r="AS113" s="256"/>
      <c r="AT113" s="256"/>
      <c r="AU113" s="256"/>
      <c r="AV113" s="256"/>
      <c r="AW113" s="256"/>
      <c r="AX113" s="256"/>
      <c r="AY113" s="256"/>
      <c r="AZ113" s="256"/>
      <c r="BA113" s="256"/>
      <c r="BB113" s="256"/>
      <c r="BC113" s="256"/>
      <c r="BD113" s="256"/>
      <c r="BE113" s="256"/>
      <c r="BF113" s="256"/>
      <c r="BG113" s="256"/>
      <c r="BH113" s="256"/>
      <c r="BI113" s="256"/>
      <c r="BJ113" s="36">
        <f>SUM(Table1[[#This Row],[Pipa 63 mm2]:[Pipa 1,800 mm21]])</f>
        <v>302</v>
      </c>
      <c r="BK113" s="32">
        <v>302</v>
      </c>
      <c r="BL113" s="32"/>
      <c r="BM113" s="32"/>
      <c r="BN113" s="32"/>
      <c r="BO113" s="32"/>
      <c r="BP113" s="32"/>
      <c r="BQ113" s="32"/>
      <c r="BR113" s="32"/>
      <c r="BS113" s="32"/>
      <c r="BT113" s="32"/>
      <c r="BU113" s="32"/>
      <c r="BV113" s="32"/>
      <c r="BW113" s="32"/>
      <c r="BX113" s="32"/>
      <c r="BY113" s="32"/>
      <c r="BZ113" s="32"/>
      <c r="CA113" s="32"/>
      <c r="CB113" s="32"/>
      <c r="CC113" s="32"/>
      <c r="CD113" s="32"/>
      <c r="CE113" s="32">
        <v>0</v>
      </c>
      <c r="CF113" s="32"/>
      <c r="CG113" s="32"/>
      <c r="CH113" s="32"/>
      <c r="CI113" s="32">
        <f t="shared" si="6"/>
        <v>0</v>
      </c>
      <c r="CJ113" s="60">
        <f>IF((Table1[[#This Row],["Volume
BA MC-0"]]-Table1[[#This Row],[Total Panjang Pipa Aktual
(Sum-&gt;)3]]-Table1[[#This Row],[Total Volume
tidak dapat dipasang]])&gt;=0,Table1[[#This Row],["Volume
BA MC-0"]]-Table1[[#This Row],[Total Panjang Pipa Aktual
(Sum-&gt;)3]]-Table1[[#This Row],[Total Volume
tidak dapat dipasang]],0)</f>
        <v>25</v>
      </c>
      <c r="CK113" s="42"/>
      <c r="CL113" s="113"/>
      <c r="CM113" s="35"/>
      <c r="CN113" s="113"/>
      <c r="CO113" s="113"/>
      <c r="CP1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3" s="61">
        <f>IFERROR(Table1[[#This Row],[Progres Keg. Umum
(%)]]*Table1[[#This Row],[Nilai RAB Jaringan
(file pa aji)]],0)</f>
        <v>0</v>
      </c>
      <c r="CR113" s="61">
        <f>IFERROR(Table1[[#This Row],[Progres MOS
(%)]]*Table1[[#This Row],[Nilai RAB Jaringan
(file pa aji)]],0)</f>
        <v>0</v>
      </c>
      <c r="CS113" s="61">
        <f>IFERROR(Table1[[#This Row],[Progres Pemasangan
(%)]]*Table1[[#This Row],[Nilai RAB Jaringan
(file pa aji)]],0)</f>
        <v>0</v>
      </c>
      <c r="CT113" s="61">
        <f>IFERROR(Table1[[#This Row],[Progres Perizinan
(%)]]*Table1[[#This Row],[Nilai RAB Jaringan
(file pa aji)]],0)</f>
        <v>0</v>
      </c>
      <c r="CU113" s="789">
        <v>421364902</v>
      </c>
      <c r="CV113" s="299">
        <v>421364902</v>
      </c>
      <c r="CW113" s="552">
        <v>421364902</v>
      </c>
      <c r="CX113" s="789">
        <f>_xlfn.XLOOKUP(Table1[[#This Row],[Kode Program]],'[1]Breakdown VOWD Greenfield'!$E:$E,'[1]Breakdown VOWD Greenfield'!$AT:$AT)</f>
        <v>421364902</v>
      </c>
      <c r="CY113" s="42"/>
      <c r="CZ113" s="300">
        <v>45530</v>
      </c>
      <c r="DA113" s="300">
        <v>45543</v>
      </c>
      <c r="DB113" s="301"/>
      <c r="DC113" s="286"/>
      <c r="DD113" s="62"/>
      <c r="DE1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3" s="301"/>
      <c r="DG113" s="286"/>
      <c r="DH113" s="62"/>
      <c r="DI1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3" s="300">
        <v>45544</v>
      </c>
      <c r="DK113" s="300">
        <v>45592</v>
      </c>
      <c r="DL113" s="301">
        <v>45549</v>
      </c>
      <c r="DM113" s="395" t="s">
        <v>803</v>
      </c>
      <c r="DN1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3" s="301">
        <v>45586</v>
      </c>
      <c r="DP113" s="396" t="s">
        <v>804</v>
      </c>
      <c r="DQ113" s="308" t="s">
        <v>344</v>
      </c>
      <c r="DR1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3" s="300">
        <v>45544</v>
      </c>
      <c r="DT113" s="300" t="e">
        <v>#N/A</v>
      </c>
      <c r="DU113" s="300">
        <v>45571</v>
      </c>
      <c r="DV113" s="300" t="e">
        <v>#N/A</v>
      </c>
      <c r="DW113" s="301"/>
      <c r="DX113" s="286"/>
      <c r="DY113" s="304"/>
      <c r="DZ113" s="304"/>
      <c r="EA1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3" s="301"/>
      <c r="EC113" s="302"/>
      <c r="ED113" s="302"/>
      <c r="EE113" s="300"/>
      <c r="EF113" s="35">
        <v>1</v>
      </c>
      <c r="EG113" s="307">
        <v>1</v>
      </c>
      <c r="EH113" s="286" t="str">
        <f>IF(Table1[[#This Row],[PO Material Aktual 
(%)]]&gt;=100%,"Selesai PO = 100%",IF(Table1[[#This Row],[PO Material Aktual 
(%)]]&gt;=50%,"Proses PO &gt; 100%",IF(Table1[[#This Row],[PO Material Aktual 
(%)]]&gt;0%,"Proses PO &gt; 50%",IF(Table1[[#This Row],[PO Material Aktual 
(%)]]=0,"Belum PO = 0%"))))</f>
        <v>Selesai PO = 100%</v>
      </c>
      <c r="EI1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3" s="300">
        <v>45572</v>
      </c>
      <c r="EK113" s="300" t="e">
        <v>#N/A</v>
      </c>
      <c r="EL113" s="300">
        <v>45620</v>
      </c>
      <c r="EM113" s="300" t="e">
        <v>#N/A</v>
      </c>
      <c r="EN113" s="301">
        <v>45680</v>
      </c>
      <c r="EO113" s="302"/>
      <c r="EP113" s="302"/>
      <c r="EQ113" s="82">
        <v>1</v>
      </c>
      <c r="ER113" s="82">
        <v>1</v>
      </c>
      <c r="ES113" s="286" t="str">
        <f>IF(Table1[[#This Row],[Progres MOS]]&gt;=100%,"Selesai MOS = 100%",IF(Table1[[#This Row],[Progres MOS]]&gt;=50%,"Proses MOS &gt; 100%",IF(Table1[[#This Row],[Progres MOS]]&gt;0%,"Proses MOS &gt; 50%",IF(Table1[[#This Row],[Progres MOS]]=0,"Belum MOS = 0%"))))</f>
        <v>Selesai MOS = 100%</v>
      </c>
      <c r="ET1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3" s="42"/>
      <c r="EV113" s="300">
        <v>45544</v>
      </c>
      <c r="EW113" s="300" t="e">
        <v>#N/A</v>
      </c>
      <c r="EX113" s="300">
        <v>45620</v>
      </c>
      <c r="EY113" s="300" t="e">
        <v>#N/A</v>
      </c>
      <c r="EZ113" s="322" t="s">
        <v>298</v>
      </c>
      <c r="FA113" s="306" t="s">
        <v>259</v>
      </c>
      <c r="FB113" s="300" t="s">
        <v>260</v>
      </c>
      <c r="FC113" s="300">
        <v>45799</v>
      </c>
      <c r="FD113" s="300" t="s">
        <v>260</v>
      </c>
      <c r="FE113" s="300">
        <v>45875</v>
      </c>
      <c r="FF113" s="300">
        <v>45929</v>
      </c>
      <c r="FG113" s="300" t="s">
        <v>260</v>
      </c>
      <c r="FH113" s="300" t="s">
        <v>260</v>
      </c>
      <c r="FI113" s="300">
        <v>46021</v>
      </c>
      <c r="FJ113" s="300" t="s">
        <v>260</v>
      </c>
      <c r="FK113" s="300">
        <v>46087</v>
      </c>
      <c r="FL113" s="306" t="s">
        <v>298</v>
      </c>
      <c r="FM113" s="306">
        <v>45799</v>
      </c>
      <c r="FN113" s="284">
        <f>IF(Table1[[#This Row],[Tanggal Pengajuan Dokumen]]="","",Table1[[#This Row],[PLAN PERMIT
start]]-Table1[[#This Row],[Tanggal Pengajuan Dokumen]])</f>
        <v>-255</v>
      </c>
      <c r="FO113" s="306"/>
      <c r="FP113" s="286"/>
      <c r="FQ113" s="308"/>
      <c r="FR113" s="322"/>
      <c r="FS113" s="308" t="str">
        <f t="shared" si="8"/>
        <v>Sudah Terbit</v>
      </c>
      <c r="FT1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3" s="314">
        <f ca="1">IF(Table1[[#This Row],[Status Izin]]="Selesai",Table1[[#This Row],[PLAN PERMIT
finish]]-Table1[[#This Row],[Tanggal Terbit/ Target Izin Terbit]],ROUNDUP(Table1[[#This Row],[PLAN PERMIT
finish]]-NOW(),0))</f>
        <v>45620</v>
      </c>
      <c r="FV1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3" s="314"/>
      <c r="FX113" s="42"/>
      <c r="FY113" s="310"/>
      <c r="FZ113" s="311"/>
      <c r="GA1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3" s="300">
        <v>45594</v>
      </c>
      <c r="GC113" s="322">
        <v>45610</v>
      </c>
      <c r="GD1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3" s="300">
        <v>45601</v>
      </c>
      <c r="GF113" s="322">
        <v>45610</v>
      </c>
      <c r="GG1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3" s="300">
        <v>45607</v>
      </c>
      <c r="GI113" s="300">
        <v>45613</v>
      </c>
      <c r="GJ113" s="322">
        <v>45552</v>
      </c>
      <c r="GK1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3" s="300">
        <v>45621</v>
      </c>
      <c r="GM113" s="300" t="e">
        <v>#N/A</v>
      </c>
      <c r="GN113" s="300">
        <v>45641</v>
      </c>
      <c r="GO113" s="300" t="e">
        <v>#N/A</v>
      </c>
      <c r="GP113" s="286"/>
      <c r="GQ1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3" s="300" t="s">
        <v>261</v>
      </c>
      <c r="GS113" s="391" t="s">
        <v>261</v>
      </c>
      <c r="GT113" s="397">
        <v>45638</v>
      </c>
      <c r="GU113" s="393" t="str">
        <f>IF(Table1[[#This Row],[Hydro Tes Actual
(tanggal)]]&lt;&gt;"","Sudah","Belum")</f>
        <v>Sudah</v>
      </c>
      <c r="GV113" s="300" t="s">
        <v>261</v>
      </c>
      <c r="GW113" s="300" t="s">
        <v>261</v>
      </c>
      <c r="GX113" s="301"/>
      <c r="GY113" s="314" t="str">
        <f>IF(Table1[[#This Row],[Interkoneksi Actual
(tanggal)]]&lt;&gt;"","Sudah","Belum")</f>
        <v>Belum</v>
      </c>
      <c r="GZ113" s="300" t="s">
        <v>261</v>
      </c>
      <c r="HA113" s="391" t="s">
        <v>261</v>
      </c>
      <c r="HB113" s="394">
        <v>45670</v>
      </c>
      <c r="HC113" s="314" t="str">
        <f>IF(Table1[[#This Row],[Flushing Actual
(tanggal)]]&lt;&gt;"","Sudah","Belum")</f>
        <v>Sudah</v>
      </c>
      <c r="HD113" s="300">
        <v>45628</v>
      </c>
      <c r="HE113" s="300" t="e">
        <v>#N/A</v>
      </c>
      <c r="HF113" s="300">
        <v>45634</v>
      </c>
      <c r="HG113" s="322">
        <v>45671</v>
      </c>
      <c r="HH1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3" s="300" t="s">
        <v>261</v>
      </c>
      <c r="HJ113" s="300" t="s">
        <v>261</v>
      </c>
      <c r="HK113" s="301"/>
      <c r="HL113" s="286"/>
      <c r="HM113" s="300">
        <v>45646</v>
      </c>
      <c r="HN113" s="300">
        <v>45646</v>
      </c>
      <c r="HO113" s="300" t="e">
        <v>#N/A</v>
      </c>
      <c r="HP113" s="300"/>
      <c r="HQ113" s="301">
        <v>45734</v>
      </c>
      <c r="HR1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3" s="300">
        <v>45653</v>
      </c>
      <c r="HT113" s="300"/>
      <c r="HU113" s="300">
        <v>45653</v>
      </c>
      <c r="HV113" s="497"/>
      <c r="HW113" s="300">
        <v>45745</v>
      </c>
      <c r="HX1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3" s="42"/>
      <c r="HZ113" s="322"/>
      <c r="IA113" s="306"/>
      <c r="IC113" s="585">
        <f>IFERROR(ROUND((Table1[[#This Row],[PLAN TC
finish]]-Table1[[#This Row],[PLAN MC-0
start]])/30,2),"")</f>
        <v>0.9</v>
      </c>
      <c r="ID113">
        <f>DATEDIF(Table1[[#This Row],[PLAN MC-0
start]],Table1[[#This Row],[PLAN TC
finish]],"m")</f>
        <v>0</v>
      </c>
    </row>
    <row r="114" spans="1:238" s="4" customFormat="1" ht="15" customHeight="1" x14ac:dyDescent="0.25">
      <c r="B114" s="281">
        <f>SUBTOTAL(3,$D$5:D114)</f>
        <v>110</v>
      </c>
      <c r="C114" s="318">
        <v>110</v>
      </c>
      <c r="D114" s="285" t="s">
        <v>673</v>
      </c>
      <c r="E114" s="285" t="s">
        <v>805</v>
      </c>
      <c r="F114" s="285" t="s">
        <v>806</v>
      </c>
      <c r="G114" s="319">
        <v>45752</v>
      </c>
      <c r="H114" s="284" t="s">
        <v>247</v>
      </c>
      <c r="I114" s="285" t="s">
        <v>278</v>
      </c>
      <c r="J114" s="285"/>
      <c r="K114" s="308" t="s">
        <v>676</v>
      </c>
      <c r="L114" s="286" t="s">
        <v>250</v>
      </c>
      <c r="M114" s="286" t="s">
        <v>269</v>
      </c>
      <c r="N114" s="94">
        <v>117</v>
      </c>
      <c r="O114" s="31" t="s">
        <v>252</v>
      </c>
      <c r="P11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4" s="82" t="e">
        <v>#N/A</v>
      </c>
      <c r="S114" s="82">
        <v>1</v>
      </c>
      <c r="T114" s="35">
        <f>Table1[[#This Row],[Progres Total Aktual
(%)]]</f>
        <v>1</v>
      </c>
      <c r="U114" s="106">
        <f>Table1[[#This Row],[Progres Aktual
(%)]]-Table1[[#This Row],[Target Progres
(%)]]</f>
        <v>0</v>
      </c>
      <c r="V114" s="320">
        <f>Table1[[#This Row],["Volume
BA MC-0"]]</f>
        <v>123</v>
      </c>
      <c r="W114" s="321">
        <f>Table1[[#This Row],[Total Panjang Pipa Aktual
(Sum-&gt;)3]]</f>
        <v>123</v>
      </c>
      <c r="X114" s="42"/>
      <c r="Y114" s="62" t="s">
        <v>807</v>
      </c>
      <c r="Z114" s="62">
        <v>188539553</v>
      </c>
      <c r="AA114" s="62">
        <f>ROUND((Table1[[#This Row],[Nilai RAB Jaringan
(Exclude Ppn)]]-Table1[[#This Row],[RAB Perizinan]])*1.11+Table1[[#This Row],[RAB Perizinan]],0)</f>
        <v>0</v>
      </c>
      <c r="AB114" s="290">
        <f>SUM(Table1[[#This Row],[RAB Kegiatan Umum]:[RAB Perizinan]])</f>
        <v>0</v>
      </c>
      <c r="AC114" s="290"/>
      <c r="AD114" s="290"/>
      <c r="AE114" s="290"/>
      <c r="AF114" s="290"/>
      <c r="AG114" s="290">
        <v>8198594</v>
      </c>
      <c r="AH114" s="35" t="e">
        <f>SUM(Table1[[#This Row],[Bobot Keg Umum]:[Bobot Perizinan]])</f>
        <v>#DIV/0!</v>
      </c>
      <c r="AI114" s="35" t="e">
        <f>Table1[[#This Row],[RAB Kegiatan Umum]]/Table1[[#This Row],[Nilai RAB Jaringan
(Exclude Ppn)]]</f>
        <v>#DIV/0!</v>
      </c>
      <c r="AJ114" s="35" t="e">
        <f>Table1[[#This Row],[RAB Pemasangan]]/Table1[[#This Row],[Nilai RAB Jaringan
(Exclude Ppn)]]</f>
        <v>#DIV/0!</v>
      </c>
      <c r="AK114" s="35" t="e">
        <f>Table1[[#This Row],[RAB Pengadaan]]/Table1[[#This Row],[Nilai RAB Jaringan
(Exclude Ppn)]]</f>
        <v>#DIV/0!</v>
      </c>
      <c r="AL114" s="35" t="e">
        <f>Table1[[#This Row],[RAB Perizinan]]/Table1[[#This Row],[Nilai RAB Jaringan
(Exclude Ppn)]]</f>
        <v>#DIV/0!</v>
      </c>
      <c r="AM114" s="42"/>
      <c r="AN114" s="256">
        <v>123</v>
      </c>
      <c r="AO114" s="256">
        <f>SUM(Table1[[#This Row],[Pipa 63 mm]:[Pipa 1,800 mm]])</f>
        <v>0</v>
      </c>
      <c r="AP114" s="256"/>
      <c r="AQ114" s="256"/>
      <c r="AR114" s="256"/>
      <c r="AS114" s="256"/>
      <c r="AT114" s="256"/>
      <c r="AU114" s="256"/>
      <c r="AV114" s="256"/>
      <c r="AW114" s="256"/>
      <c r="AX114" s="256"/>
      <c r="AY114" s="256"/>
      <c r="AZ114" s="256"/>
      <c r="BA114" s="256"/>
      <c r="BB114" s="256"/>
      <c r="BC114" s="256"/>
      <c r="BD114" s="256"/>
      <c r="BE114" s="256"/>
      <c r="BF114" s="256"/>
      <c r="BG114" s="256"/>
      <c r="BH114" s="256"/>
      <c r="BI114" s="256"/>
      <c r="BJ114" s="36">
        <f>SUM(Table1[[#This Row],[Pipa 63 mm2]:[Pipa 1,800 mm21]])</f>
        <v>123</v>
      </c>
      <c r="BK114" s="32">
        <v>123</v>
      </c>
      <c r="BL114" s="32"/>
      <c r="BM114" s="32"/>
      <c r="BN114" s="32"/>
      <c r="BO114" s="32"/>
      <c r="BP114" s="32"/>
      <c r="BQ114" s="32"/>
      <c r="BR114" s="32"/>
      <c r="BS114" s="32"/>
      <c r="BT114" s="32"/>
      <c r="BU114" s="32"/>
      <c r="BV114" s="32"/>
      <c r="BW114" s="32"/>
      <c r="BX114" s="32"/>
      <c r="BY114" s="32"/>
      <c r="BZ114" s="32"/>
      <c r="CA114" s="32"/>
      <c r="CB114" s="32"/>
      <c r="CC114" s="32"/>
      <c r="CD114" s="32"/>
      <c r="CE114" s="32">
        <v>0</v>
      </c>
      <c r="CF114" s="32"/>
      <c r="CG114" s="32"/>
      <c r="CH114" s="32"/>
      <c r="CI114" s="32">
        <f t="shared" si="6"/>
        <v>0</v>
      </c>
      <c r="CJ114" s="60">
        <f>IF((Table1[[#This Row],["Volume
BA MC-0"]]-Table1[[#This Row],[Total Panjang Pipa Aktual
(Sum-&gt;)3]]-Table1[[#This Row],[Total Volume
tidak dapat dipasang]])&gt;=0,Table1[[#This Row],["Volume
BA MC-0"]]-Table1[[#This Row],[Total Panjang Pipa Aktual
(Sum-&gt;)3]]-Table1[[#This Row],[Total Volume
tidak dapat dipasang]],0)</f>
        <v>0</v>
      </c>
      <c r="CK114" s="42"/>
      <c r="CL114" s="113"/>
      <c r="CM114" s="35"/>
      <c r="CN114" s="113"/>
      <c r="CO114" s="113"/>
      <c r="CP1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4" s="61">
        <f>IFERROR(Table1[[#This Row],[Progres Keg. Umum
(%)]]*Table1[[#This Row],[Nilai RAB Jaringan
(file pa aji)]],0)</f>
        <v>0</v>
      </c>
      <c r="CR114" s="61">
        <f>IFERROR(Table1[[#This Row],[Progres MOS
(%)]]*Table1[[#This Row],[Nilai RAB Jaringan
(file pa aji)]],0)</f>
        <v>0</v>
      </c>
      <c r="CS114" s="61">
        <f>IFERROR(Table1[[#This Row],[Progres Pemasangan
(%)]]*Table1[[#This Row],[Nilai RAB Jaringan
(file pa aji)]],0)</f>
        <v>0</v>
      </c>
      <c r="CT114" s="61">
        <f>IFERROR(Table1[[#This Row],[Progres Perizinan
(%)]]*Table1[[#This Row],[Nilai RAB Jaringan
(file pa aji)]],0)</f>
        <v>0</v>
      </c>
      <c r="CU114" s="789">
        <v>194651224</v>
      </c>
      <c r="CV114" s="299">
        <v>194651224</v>
      </c>
      <c r="CW114" s="552">
        <v>194651224</v>
      </c>
      <c r="CX114" s="789">
        <f>_xlfn.XLOOKUP(Table1[[#This Row],[Kode Program]],'[1]Breakdown VOWD Greenfield'!$E:$E,'[1]Breakdown VOWD Greenfield'!$AT:$AT)</f>
        <v>194651224</v>
      </c>
      <c r="CY114" s="42"/>
      <c r="CZ114" s="300">
        <v>45530</v>
      </c>
      <c r="DA114" s="300">
        <v>45543</v>
      </c>
      <c r="DB114" s="301"/>
      <c r="DC114" s="286"/>
      <c r="DD114" s="62"/>
      <c r="DE1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4" s="301"/>
      <c r="DG114" s="286"/>
      <c r="DH114" s="62"/>
      <c r="DI1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4" s="300">
        <v>45544</v>
      </c>
      <c r="DK114" s="300">
        <v>45592</v>
      </c>
      <c r="DL114" s="301">
        <v>45540</v>
      </c>
      <c r="DM114" s="395" t="s">
        <v>808</v>
      </c>
      <c r="DN1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4" s="301">
        <v>45586</v>
      </c>
      <c r="DP114" s="396" t="s">
        <v>809</v>
      </c>
      <c r="DQ114" s="308" t="s">
        <v>344</v>
      </c>
      <c r="DR1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4" s="300">
        <v>45544</v>
      </c>
      <c r="DT114" s="300" t="e">
        <v>#N/A</v>
      </c>
      <c r="DU114" s="300">
        <v>45571</v>
      </c>
      <c r="DV114" s="300" t="e">
        <v>#N/A</v>
      </c>
      <c r="DW114" s="301"/>
      <c r="DX114" s="286"/>
      <c r="DY114" s="304"/>
      <c r="DZ114" s="304"/>
      <c r="EA1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4" s="301"/>
      <c r="EC114" s="302"/>
      <c r="ED114" s="302"/>
      <c r="EE114" s="300"/>
      <c r="EF114" s="35">
        <v>1</v>
      </c>
      <c r="EG114" s="307">
        <v>1</v>
      </c>
      <c r="EH114" s="286" t="str">
        <f>IF(Table1[[#This Row],[PO Material Aktual 
(%)]]&gt;=100%,"Selesai PO = 100%",IF(Table1[[#This Row],[PO Material Aktual 
(%)]]&gt;=50%,"Proses PO &gt; 100%",IF(Table1[[#This Row],[PO Material Aktual 
(%)]]&gt;0%,"Proses PO &gt; 50%",IF(Table1[[#This Row],[PO Material Aktual 
(%)]]=0,"Belum PO = 0%"))))</f>
        <v>Selesai PO = 100%</v>
      </c>
      <c r="EI1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4" s="300">
        <v>45572</v>
      </c>
      <c r="EK114" s="300" t="e">
        <v>#N/A</v>
      </c>
      <c r="EL114" s="300">
        <v>45620</v>
      </c>
      <c r="EM114" s="300" t="e">
        <v>#N/A</v>
      </c>
      <c r="EN114" s="301">
        <v>45786</v>
      </c>
      <c r="EO114" s="302"/>
      <c r="EP114" s="302"/>
      <c r="EQ114" s="82">
        <v>1</v>
      </c>
      <c r="ER114" s="82">
        <v>1</v>
      </c>
      <c r="ES114" s="286" t="str">
        <f>IF(Table1[[#This Row],[Progres MOS]]&gt;=100%,"Selesai MOS = 100%",IF(Table1[[#This Row],[Progres MOS]]&gt;=50%,"Proses MOS &gt; 100%",IF(Table1[[#This Row],[Progres MOS]]&gt;0%,"Proses MOS &gt; 50%",IF(Table1[[#This Row],[Progres MOS]]=0,"Belum MOS = 0%"))))</f>
        <v>Selesai MOS = 100%</v>
      </c>
      <c r="ET1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4" s="42"/>
      <c r="EV114" s="300">
        <v>45544</v>
      </c>
      <c r="EW114" s="300" t="e">
        <v>#N/A</v>
      </c>
      <c r="EX114" s="300">
        <v>45620</v>
      </c>
      <c r="EY114" s="300" t="e">
        <v>#N/A</v>
      </c>
      <c r="EZ114" s="322" t="s">
        <v>298</v>
      </c>
      <c r="FA114" s="306" t="s">
        <v>259</v>
      </c>
      <c r="FB114" s="300" t="s">
        <v>260</v>
      </c>
      <c r="FC114" s="300">
        <v>45799</v>
      </c>
      <c r="FD114" s="300" t="s">
        <v>260</v>
      </c>
      <c r="FE114" s="300">
        <v>45875</v>
      </c>
      <c r="FF114" s="300">
        <v>45929</v>
      </c>
      <c r="FG114" s="300" t="s">
        <v>260</v>
      </c>
      <c r="FH114" s="300" t="s">
        <v>260</v>
      </c>
      <c r="FI114" s="300">
        <v>46021</v>
      </c>
      <c r="FJ114" s="300" t="s">
        <v>260</v>
      </c>
      <c r="FK114" s="300">
        <v>46087</v>
      </c>
      <c r="FL114" s="306" t="s">
        <v>298</v>
      </c>
      <c r="FM114" s="306">
        <v>45799</v>
      </c>
      <c r="FN114" s="284">
        <f>IF(Table1[[#This Row],[Tanggal Pengajuan Dokumen]]="","",Table1[[#This Row],[PLAN PERMIT
start]]-Table1[[#This Row],[Tanggal Pengajuan Dokumen]])</f>
        <v>-255</v>
      </c>
      <c r="FO114" s="306"/>
      <c r="FP114" s="286"/>
      <c r="FQ114" s="308"/>
      <c r="FR114" s="322"/>
      <c r="FS114" s="308" t="str">
        <f t="shared" si="8"/>
        <v>Sudah Terbit</v>
      </c>
      <c r="FT1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4" s="314">
        <f ca="1">IF(Table1[[#This Row],[Status Izin]]="Selesai",Table1[[#This Row],[PLAN PERMIT
finish]]-Table1[[#This Row],[Tanggal Terbit/ Target Izin Terbit]],ROUNDUP(Table1[[#This Row],[PLAN PERMIT
finish]]-NOW(),0))</f>
        <v>45620</v>
      </c>
      <c r="FV1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4" s="314"/>
      <c r="FX114" s="42"/>
      <c r="FY114" s="310"/>
      <c r="FZ114" s="311"/>
      <c r="GA1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4" s="300">
        <v>45594</v>
      </c>
      <c r="GC114" s="322">
        <v>45610</v>
      </c>
      <c r="GD1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4" s="300">
        <v>45601</v>
      </c>
      <c r="GF114" s="322">
        <v>45610</v>
      </c>
      <c r="GG1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4" s="300">
        <v>45607</v>
      </c>
      <c r="GI114" s="300">
        <v>45613</v>
      </c>
      <c r="GJ114" s="322">
        <v>45554</v>
      </c>
      <c r="GK1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4" s="300">
        <v>45621</v>
      </c>
      <c r="GM114" s="300" t="e">
        <v>#N/A</v>
      </c>
      <c r="GN114" s="300">
        <v>45641</v>
      </c>
      <c r="GO114" s="300" t="e">
        <v>#N/A</v>
      </c>
      <c r="GP114" s="286"/>
      <c r="GQ1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4" s="300" t="s">
        <v>261</v>
      </c>
      <c r="GS114" s="391" t="s">
        <v>261</v>
      </c>
      <c r="GT114" s="397">
        <v>46003</v>
      </c>
      <c r="GU114" s="393" t="str">
        <f>IF(Table1[[#This Row],[Hydro Tes Actual
(tanggal)]]&lt;&gt;"","Sudah","Belum")</f>
        <v>Sudah</v>
      </c>
      <c r="GV114" s="300" t="s">
        <v>261</v>
      </c>
      <c r="GW114" s="300" t="s">
        <v>261</v>
      </c>
      <c r="GX114" s="301"/>
      <c r="GY114" s="314" t="str">
        <f>IF(Table1[[#This Row],[Interkoneksi Actual
(tanggal)]]&lt;&gt;"","Sudah","Belum")</f>
        <v>Belum</v>
      </c>
      <c r="GZ114" s="300" t="s">
        <v>261</v>
      </c>
      <c r="HA114" s="391" t="s">
        <v>261</v>
      </c>
      <c r="HB114" s="394">
        <v>45687</v>
      </c>
      <c r="HC114" s="314" t="str">
        <f>IF(Table1[[#This Row],[Flushing Actual
(tanggal)]]&lt;&gt;"","Sudah","Belum")</f>
        <v>Sudah</v>
      </c>
      <c r="HD114" s="300">
        <v>45628</v>
      </c>
      <c r="HE114" s="300" t="e">
        <v>#N/A</v>
      </c>
      <c r="HF114" s="300">
        <v>45634</v>
      </c>
      <c r="HG114" s="322">
        <v>45671</v>
      </c>
      <c r="HH1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4" s="300" t="s">
        <v>261</v>
      </c>
      <c r="HJ114" s="300" t="s">
        <v>261</v>
      </c>
      <c r="HK114" s="301"/>
      <c r="HL114" s="286"/>
      <c r="HM114" s="300">
        <v>45646</v>
      </c>
      <c r="HN114" s="300">
        <v>45646</v>
      </c>
      <c r="HO114" s="300" t="e">
        <v>#N/A</v>
      </c>
      <c r="HP114" s="300"/>
      <c r="HQ114" s="301">
        <v>45733</v>
      </c>
      <c r="HR1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4" s="300">
        <v>45653</v>
      </c>
      <c r="HT114" s="300"/>
      <c r="HU114" s="300">
        <v>45653</v>
      </c>
      <c r="HV114" s="497"/>
      <c r="HW114" s="300">
        <v>45745</v>
      </c>
      <c r="HX1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4" s="42"/>
      <c r="HZ114" s="322"/>
      <c r="IA114" s="306"/>
      <c r="IC114" s="585">
        <f>IFERROR(ROUND((Table1[[#This Row],[PLAN TC
finish]]-Table1[[#This Row],[PLAN MC-0
start]])/30,2),"")</f>
        <v>0.9</v>
      </c>
      <c r="ID114">
        <f>DATEDIF(Table1[[#This Row],[PLAN MC-0
start]],Table1[[#This Row],[PLAN TC
finish]],"m")</f>
        <v>0</v>
      </c>
    </row>
    <row r="115" spans="1:238" s="4" customFormat="1" ht="15" customHeight="1" x14ac:dyDescent="0.25">
      <c r="B115" s="281">
        <f>SUBTOTAL(3,$D$5:D115)</f>
        <v>111</v>
      </c>
      <c r="C115" s="318">
        <v>111</v>
      </c>
      <c r="D115" s="285" t="s">
        <v>673</v>
      </c>
      <c r="E115" s="285" t="s">
        <v>810</v>
      </c>
      <c r="F115" s="285" t="s">
        <v>811</v>
      </c>
      <c r="G115" s="319">
        <v>45752</v>
      </c>
      <c r="H115" s="284" t="s">
        <v>247</v>
      </c>
      <c r="I115" s="285" t="s">
        <v>278</v>
      </c>
      <c r="J115" s="285"/>
      <c r="K115" s="308" t="s">
        <v>676</v>
      </c>
      <c r="L115" s="286" t="s">
        <v>250</v>
      </c>
      <c r="M115" s="286" t="s">
        <v>269</v>
      </c>
      <c r="N115" s="94">
        <v>59</v>
      </c>
      <c r="O115" s="31" t="s">
        <v>252</v>
      </c>
      <c r="P11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5" s="82" t="e">
        <v>#N/A</v>
      </c>
      <c r="S115" s="82">
        <v>1</v>
      </c>
      <c r="T115" s="35">
        <f>Table1[[#This Row],[Progres Total Aktual
(%)]]</f>
        <v>1</v>
      </c>
      <c r="U115" s="106">
        <f>Table1[[#This Row],[Progres Aktual
(%)]]-Table1[[#This Row],[Target Progres
(%)]]</f>
        <v>0</v>
      </c>
      <c r="V115" s="320">
        <f>Table1[[#This Row],["Volume
BA MC-0"]]</f>
        <v>79</v>
      </c>
      <c r="W115" s="321">
        <f>Table1[[#This Row],[Total Panjang Pipa Aktual
(Sum-&gt;)3]]</f>
        <v>64</v>
      </c>
      <c r="X115" s="42"/>
      <c r="Y115" s="62" t="s">
        <v>812</v>
      </c>
      <c r="Z115" s="62">
        <v>174060149</v>
      </c>
      <c r="AA115" s="62">
        <f>ROUND((Table1[[#This Row],[Nilai RAB Jaringan
(Exclude Ppn)]]-Table1[[#This Row],[RAB Perizinan]])*1.11+Table1[[#This Row],[RAB Perizinan]],0)</f>
        <v>0</v>
      </c>
      <c r="AB115" s="290">
        <f>SUM(Table1[[#This Row],[RAB Kegiatan Umum]:[RAB Perizinan]])</f>
        <v>0</v>
      </c>
      <c r="AC115" s="290"/>
      <c r="AD115" s="290"/>
      <c r="AE115" s="290"/>
      <c r="AF115" s="290"/>
      <c r="AG115" s="290">
        <v>16397187</v>
      </c>
      <c r="AH115" s="35" t="e">
        <f>SUM(Table1[[#This Row],[Bobot Keg Umum]:[Bobot Perizinan]])</f>
        <v>#DIV/0!</v>
      </c>
      <c r="AI115" s="35" t="e">
        <f>Table1[[#This Row],[RAB Kegiatan Umum]]/Table1[[#This Row],[Nilai RAB Jaringan
(Exclude Ppn)]]</f>
        <v>#DIV/0!</v>
      </c>
      <c r="AJ115" s="35" t="e">
        <f>Table1[[#This Row],[RAB Pemasangan]]/Table1[[#This Row],[Nilai RAB Jaringan
(Exclude Ppn)]]</f>
        <v>#DIV/0!</v>
      </c>
      <c r="AK115" s="35" t="e">
        <f>Table1[[#This Row],[RAB Pengadaan]]/Table1[[#This Row],[Nilai RAB Jaringan
(Exclude Ppn)]]</f>
        <v>#DIV/0!</v>
      </c>
      <c r="AL115" s="35" t="e">
        <f>Table1[[#This Row],[RAB Perizinan]]/Table1[[#This Row],[Nilai RAB Jaringan
(Exclude Ppn)]]</f>
        <v>#DIV/0!</v>
      </c>
      <c r="AM115" s="42"/>
      <c r="AN115" s="256">
        <v>79</v>
      </c>
      <c r="AO115" s="256">
        <f>SUM(Table1[[#This Row],[Pipa 63 mm]:[Pipa 1,800 mm]])</f>
        <v>0</v>
      </c>
      <c r="AP115" s="256"/>
      <c r="AQ115" s="256"/>
      <c r="AR115" s="256"/>
      <c r="AS115" s="256"/>
      <c r="AT115" s="256"/>
      <c r="AU115" s="256"/>
      <c r="AV115" s="256"/>
      <c r="AW115" s="256"/>
      <c r="AX115" s="256"/>
      <c r="AY115" s="256"/>
      <c r="AZ115" s="256"/>
      <c r="BA115" s="256"/>
      <c r="BB115" s="256"/>
      <c r="BC115" s="256"/>
      <c r="BD115" s="256"/>
      <c r="BE115" s="256"/>
      <c r="BF115" s="256"/>
      <c r="BG115" s="256"/>
      <c r="BH115" s="256"/>
      <c r="BI115" s="256"/>
      <c r="BJ115" s="36">
        <f>SUM(Table1[[#This Row],[Pipa 63 mm2]:[Pipa 1,800 mm21]])</f>
        <v>64</v>
      </c>
      <c r="BK115" s="32"/>
      <c r="BL115" s="32">
        <v>64</v>
      </c>
      <c r="BM115" s="32"/>
      <c r="BN115" s="32"/>
      <c r="BO115" s="32"/>
      <c r="BP115" s="32"/>
      <c r="BQ115" s="32"/>
      <c r="BR115" s="32"/>
      <c r="BS115" s="32"/>
      <c r="BT115" s="32"/>
      <c r="BU115" s="32"/>
      <c r="BV115" s="32"/>
      <c r="BW115" s="32"/>
      <c r="BX115" s="32"/>
      <c r="BY115" s="32"/>
      <c r="BZ115" s="32"/>
      <c r="CA115" s="32"/>
      <c r="CB115" s="32"/>
      <c r="CC115" s="32"/>
      <c r="CD115" s="32"/>
      <c r="CE115" s="32">
        <v>0</v>
      </c>
      <c r="CF115" s="32"/>
      <c r="CG115" s="32"/>
      <c r="CH115" s="32"/>
      <c r="CI115" s="32">
        <f t="shared" si="6"/>
        <v>0</v>
      </c>
      <c r="CJ115" s="60">
        <f>IF((Table1[[#This Row],["Volume
BA MC-0"]]-Table1[[#This Row],[Total Panjang Pipa Aktual
(Sum-&gt;)3]]-Table1[[#This Row],[Total Volume
tidak dapat dipasang]])&gt;=0,Table1[[#This Row],["Volume
BA MC-0"]]-Table1[[#This Row],[Total Panjang Pipa Aktual
(Sum-&gt;)3]]-Table1[[#This Row],[Total Volume
tidak dapat dipasang]],0)</f>
        <v>15</v>
      </c>
      <c r="CK115" s="42"/>
      <c r="CL115" s="113"/>
      <c r="CM115" s="35"/>
      <c r="CN115" s="113"/>
      <c r="CO115" s="113"/>
      <c r="CP1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5" s="61">
        <f>IFERROR(Table1[[#This Row],[Progres Keg. Umum
(%)]]*Table1[[#This Row],[Nilai RAB Jaringan
(file pa aji)]],0)</f>
        <v>0</v>
      </c>
      <c r="CR115" s="61">
        <f>IFERROR(Table1[[#This Row],[Progres MOS
(%)]]*Table1[[#This Row],[Nilai RAB Jaringan
(file pa aji)]],0)</f>
        <v>0</v>
      </c>
      <c r="CS115" s="61">
        <f>IFERROR(Table1[[#This Row],[Progres Pemasangan
(%)]]*Table1[[#This Row],[Nilai RAB Jaringan
(file pa aji)]],0)</f>
        <v>0</v>
      </c>
      <c r="CT115" s="61">
        <f>IFERROR(Table1[[#This Row],[Progres Perizinan
(%)]]*Table1[[#This Row],[Nilai RAB Jaringan
(file pa aji)]],0)</f>
        <v>0</v>
      </c>
      <c r="CU115" s="789">
        <v>186691002</v>
      </c>
      <c r="CV115" s="299">
        <v>186691002</v>
      </c>
      <c r="CW115" s="552">
        <v>186691002</v>
      </c>
      <c r="CX115" s="789">
        <f>_xlfn.XLOOKUP(Table1[[#This Row],[Kode Program]],'[1]Breakdown VOWD Greenfield'!$E:$E,'[1]Breakdown VOWD Greenfield'!$AT:$AT)</f>
        <v>186691002</v>
      </c>
      <c r="CY115" s="42"/>
      <c r="CZ115" s="300">
        <v>45530</v>
      </c>
      <c r="DA115" s="300">
        <v>45543</v>
      </c>
      <c r="DB115" s="301"/>
      <c r="DC115" s="286"/>
      <c r="DD115" s="62"/>
      <c r="DE1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5" s="301"/>
      <c r="DG115" s="286"/>
      <c r="DH115" s="62"/>
      <c r="DI1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5" s="300">
        <v>45544</v>
      </c>
      <c r="DK115" s="300">
        <v>45592</v>
      </c>
      <c r="DL115" s="301">
        <v>45542</v>
      </c>
      <c r="DM115" s="395" t="s">
        <v>813</v>
      </c>
      <c r="DN1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5" s="301">
        <v>45593</v>
      </c>
      <c r="DP115" s="396" t="s">
        <v>814</v>
      </c>
      <c r="DQ115" s="308" t="s">
        <v>762</v>
      </c>
      <c r="DR1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5" s="300">
        <v>45544</v>
      </c>
      <c r="DT115" s="300" t="e">
        <v>#N/A</v>
      </c>
      <c r="DU115" s="300">
        <v>45571</v>
      </c>
      <c r="DV115" s="300" t="e">
        <v>#N/A</v>
      </c>
      <c r="DW115" s="301"/>
      <c r="DX115" s="286"/>
      <c r="DY115" s="304"/>
      <c r="DZ115" s="304"/>
      <c r="EA1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5" s="301"/>
      <c r="EC115" s="302"/>
      <c r="ED115" s="302"/>
      <c r="EE115" s="300"/>
      <c r="EF115" s="35">
        <v>1</v>
      </c>
      <c r="EG115" s="307">
        <v>1</v>
      </c>
      <c r="EH115" s="286" t="str">
        <f>IF(Table1[[#This Row],[PO Material Aktual 
(%)]]&gt;=100%,"Selesai PO = 100%",IF(Table1[[#This Row],[PO Material Aktual 
(%)]]&gt;=50%,"Proses PO &gt; 100%",IF(Table1[[#This Row],[PO Material Aktual 
(%)]]&gt;0%,"Proses PO &gt; 50%",IF(Table1[[#This Row],[PO Material Aktual 
(%)]]=0,"Belum PO = 0%"))))</f>
        <v>Selesai PO = 100%</v>
      </c>
      <c r="EI1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5" s="300">
        <v>45572</v>
      </c>
      <c r="EK115" s="300" t="e">
        <v>#N/A</v>
      </c>
      <c r="EL115" s="300">
        <v>45620</v>
      </c>
      <c r="EM115" s="300" t="e">
        <v>#N/A</v>
      </c>
      <c r="EN115" s="301">
        <v>45814</v>
      </c>
      <c r="EO115" s="302"/>
      <c r="EP115" s="302"/>
      <c r="EQ115" s="82">
        <v>1</v>
      </c>
      <c r="ER115" s="82">
        <v>1</v>
      </c>
      <c r="ES115" s="286" t="str">
        <f>IF(Table1[[#This Row],[Progres MOS]]&gt;=100%,"Selesai MOS = 100%",IF(Table1[[#This Row],[Progres MOS]]&gt;=50%,"Proses MOS &gt; 100%",IF(Table1[[#This Row],[Progres MOS]]&gt;0%,"Proses MOS &gt; 50%",IF(Table1[[#This Row],[Progres MOS]]=0,"Belum MOS = 0%"))))</f>
        <v>Selesai MOS = 100%</v>
      </c>
      <c r="ET1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5" s="42"/>
      <c r="EV115" s="300">
        <v>45544</v>
      </c>
      <c r="EW115" s="300" t="e">
        <v>#N/A</v>
      </c>
      <c r="EX115" s="300">
        <v>45620</v>
      </c>
      <c r="EY115" s="300" t="e">
        <v>#N/A</v>
      </c>
      <c r="EZ115" s="322" t="s">
        <v>298</v>
      </c>
      <c r="FA115" s="306" t="s">
        <v>259</v>
      </c>
      <c r="FB115" s="300" t="s">
        <v>260</v>
      </c>
      <c r="FC115" s="300">
        <v>45799</v>
      </c>
      <c r="FD115" s="300" t="s">
        <v>260</v>
      </c>
      <c r="FE115" s="300">
        <v>45875</v>
      </c>
      <c r="FF115" s="300">
        <v>45929</v>
      </c>
      <c r="FG115" s="300" t="s">
        <v>260</v>
      </c>
      <c r="FH115" s="300" t="s">
        <v>260</v>
      </c>
      <c r="FI115" s="300">
        <v>46021</v>
      </c>
      <c r="FJ115" s="300" t="s">
        <v>260</v>
      </c>
      <c r="FK115" s="300">
        <v>46087</v>
      </c>
      <c r="FL115" s="306" t="s">
        <v>298</v>
      </c>
      <c r="FM115" s="306">
        <v>45799</v>
      </c>
      <c r="FN115" s="284">
        <f>IF(Table1[[#This Row],[Tanggal Pengajuan Dokumen]]="","",Table1[[#This Row],[PLAN PERMIT
start]]-Table1[[#This Row],[Tanggal Pengajuan Dokumen]])</f>
        <v>-255</v>
      </c>
      <c r="FO115" s="306"/>
      <c r="FP115" s="286"/>
      <c r="FQ115" s="308"/>
      <c r="FR115" s="322"/>
      <c r="FS115" s="308" t="str">
        <f t="shared" si="8"/>
        <v>Sudah Terbit</v>
      </c>
      <c r="FT1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5" s="314">
        <f ca="1">IF(Table1[[#This Row],[Status Izin]]="Selesai",Table1[[#This Row],[PLAN PERMIT
finish]]-Table1[[#This Row],[Tanggal Terbit/ Target Izin Terbit]],ROUNDUP(Table1[[#This Row],[PLAN PERMIT
finish]]-NOW(),0))</f>
        <v>45620</v>
      </c>
      <c r="FV1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5" s="314"/>
      <c r="FX115" s="42"/>
      <c r="FY115" s="310"/>
      <c r="FZ115" s="311"/>
      <c r="GA1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5" s="300">
        <v>45594</v>
      </c>
      <c r="GC115" s="322">
        <v>45610</v>
      </c>
      <c r="GD1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5" s="300">
        <v>45601</v>
      </c>
      <c r="GF115" s="322">
        <v>45610</v>
      </c>
      <c r="GG1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5" s="300">
        <v>45607</v>
      </c>
      <c r="GI115" s="300">
        <v>45613</v>
      </c>
      <c r="GJ115" s="322">
        <v>45552</v>
      </c>
      <c r="GK1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5" s="300">
        <v>45621</v>
      </c>
      <c r="GM115" s="300" t="e">
        <v>#N/A</v>
      </c>
      <c r="GN115" s="300">
        <v>45641</v>
      </c>
      <c r="GO115" s="300" t="e">
        <v>#N/A</v>
      </c>
      <c r="GP115" s="286"/>
      <c r="GQ1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5" s="300" t="s">
        <v>261</v>
      </c>
      <c r="GS115" s="391" t="s">
        <v>261</v>
      </c>
      <c r="GT115" s="397">
        <v>45635</v>
      </c>
      <c r="GU115" s="393" t="str">
        <f>IF(Table1[[#This Row],[Hydro Tes Actual
(tanggal)]]&lt;&gt;"","Sudah","Belum")</f>
        <v>Sudah</v>
      </c>
      <c r="GV115" s="300" t="s">
        <v>261</v>
      </c>
      <c r="GW115" s="300" t="s">
        <v>261</v>
      </c>
      <c r="GX115" s="301"/>
      <c r="GY115" s="314" t="str">
        <f>IF(Table1[[#This Row],[Interkoneksi Actual
(tanggal)]]&lt;&gt;"","Sudah","Belum")</f>
        <v>Belum</v>
      </c>
      <c r="GZ115" s="300" t="s">
        <v>261</v>
      </c>
      <c r="HA115" s="391" t="s">
        <v>261</v>
      </c>
      <c r="HB115" s="394">
        <v>45652</v>
      </c>
      <c r="HC115" s="314" t="str">
        <f>IF(Table1[[#This Row],[Flushing Actual
(tanggal)]]&lt;&gt;"","Sudah","Belum")</f>
        <v>Sudah</v>
      </c>
      <c r="HD115" s="300">
        <v>45628</v>
      </c>
      <c r="HE115" s="300" t="e">
        <v>#N/A</v>
      </c>
      <c r="HF115" s="300">
        <v>45634</v>
      </c>
      <c r="HG115" s="322">
        <v>45670</v>
      </c>
      <c r="HH1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5" s="300" t="s">
        <v>261</v>
      </c>
      <c r="HJ115" s="300" t="s">
        <v>261</v>
      </c>
      <c r="HK115" s="301"/>
      <c r="HL115" s="286"/>
      <c r="HM115" s="300">
        <v>45646</v>
      </c>
      <c r="HN115" s="300">
        <v>45646</v>
      </c>
      <c r="HO115" s="300" t="e">
        <v>#N/A</v>
      </c>
      <c r="HP115" s="300"/>
      <c r="HQ115" s="301">
        <v>45734</v>
      </c>
      <c r="HR1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5" s="300">
        <v>45653</v>
      </c>
      <c r="HT115" s="300"/>
      <c r="HU115" s="300">
        <v>45653</v>
      </c>
      <c r="HV115" s="497"/>
      <c r="HW115" s="300">
        <v>45745</v>
      </c>
      <c r="HX1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5" s="42"/>
      <c r="HZ115" s="322"/>
      <c r="IA115" s="306"/>
      <c r="IC115" s="585">
        <f>IFERROR(ROUND((Table1[[#This Row],[PLAN TC
finish]]-Table1[[#This Row],[PLAN MC-0
start]])/30,2),"")</f>
        <v>0.9</v>
      </c>
      <c r="ID115">
        <f>DATEDIF(Table1[[#This Row],[PLAN MC-0
start]],Table1[[#This Row],[PLAN TC
finish]],"m")</f>
        <v>0</v>
      </c>
    </row>
    <row r="116" spans="1:238" s="4" customFormat="1" ht="15" customHeight="1" x14ac:dyDescent="0.25">
      <c r="B116" s="281">
        <f>SUBTOTAL(3,$D$5:D116)</f>
        <v>112</v>
      </c>
      <c r="C116" s="318">
        <v>112</v>
      </c>
      <c r="D116" s="285" t="s">
        <v>673</v>
      </c>
      <c r="E116" s="285" t="s">
        <v>815</v>
      </c>
      <c r="F116" s="285" t="s">
        <v>816</v>
      </c>
      <c r="G116" s="319">
        <v>45752</v>
      </c>
      <c r="H116" s="284" t="s">
        <v>247</v>
      </c>
      <c r="I116" s="285" t="s">
        <v>278</v>
      </c>
      <c r="J116" s="285"/>
      <c r="K116" s="308" t="s">
        <v>676</v>
      </c>
      <c r="L116" s="286" t="s">
        <v>250</v>
      </c>
      <c r="M116" s="286" t="s">
        <v>269</v>
      </c>
      <c r="N116" s="94">
        <v>192</v>
      </c>
      <c r="O116" s="31" t="s">
        <v>252</v>
      </c>
      <c r="P11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6" s="82" t="e">
        <v>#N/A</v>
      </c>
      <c r="S116" s="82">
        <v>1</v>
      </c>
      <c r="T116" s="35">
        <f>Table1[[#This Row],[Progres Total Aktual
(%)]]</f>
        <v>1</v>
      </c>
      <c r="U116" s="106">
        <f>Table1[[#This Row],[Progres Aktual
(%)]]-Table1[[#This Row],[Target Progres
(%)]]</f>
        <v>0</v>
      </c>
      <c r="V116" s="320">
        <f>Table1[[#This Row],["Volume
BA MC-0"]]</f>
        <v>192</v>
      </c>
      <c r="W116" s="321">
        <f>Table1[[#This Row],[Total Panjang Pipa Aktual
(Sum-&gt;)3]]</f>
        <v>192</v>
      </c>
      <c r="X116" s="42"/>
      <c r="Y116" s="62" t="s">
        <v>817</v>
      </c>
      <c r="Z116" s="62">
        <v>364346947</v>
      </c>
      <c r="AA116" s="62">
        <f>ROUND((Table1[[#This Row],[Nilai RAB Jaringan
(Exclude Ppn)]]-Table1[[#This Row],[RAB Perizinan]])*1.11+Table1[[#This Row],[RAB Perizinan]],0)</f>
        <v>0</v>
      </c>
      <c r="AB116" s="290">
        <f>SUM(Table1[[#This Row],[RAB Kegiatan Umum]:[RAB Perizinan]])</f>
        <v>0</v>
      </c>
      <c r="AC116" s="290"/>
      <c r="AD116" s="290"/>
      <c r="AE116" s="290"/>
      <c r="AF116" s="290"/>
      <c r="AG116" s="290">
        <v>30744725</v>
      </c>
      <c r="AH116" s="35" t="e">
        <f>SUM(Table1[[#This Row],[Bobot Keg Umum]:[Bobot Perizinan]])</f>
        <v>#DIV/0!</v>
      </c>
      <c r="AI116" s="35" t="e">
        <f>Table1[[#This Row],[RAB Kegiatan Umum]]/Table1[[#This Row],[Nilai RAB Jaringan
(Exclude Ppn)]]</f>
        <v>#DIV/0!</v>
      </c>
      <c r="AJ116" s="35" t="e">
        <f>Table1[[#This Row],[RAB Pemasangan]]/Table1[[#This Row],[Nilai RAB Jaringan
(Exclude Ppn)]]</f>
        <v>#DIV/0!</v>
      </c>
      <c r="AK116" s="35" t="e">
        <f>Table1[[#This Row],[RAB Pengadaan]]/Table1[[#This Row],[Nilai RAB Jaringan
(Exclude Ppn)]]</f>
        <v>#DIV/0!</v>
      </c>
      <c r="AL116" s="35" t="e">
        <f>Table1[[#This Row],[RAB Perizinan]]/Table1[[#This Row],[Nilai RAB Jaringan
(Exclude Ppn)]]</f>
        <v>#DIV/0!</v>
      </c>
      <c r="AM116" s="42"/>
      <c r="AN116" s="256">
        <v>192</v>
      </c>
      <c r="AO116" s="256">
        <f>SUM(Table1[[#This Row],[Pipa 63 mm]:[Pipa 1,800 mm]])</f>
        <v>0</v>
      </c>
      <c r="AP116" s="256"/>
      <c r="AQ116" s="256"/>
      <c r="AR116" s="256"/>
      <c r="AS116" s="256"/>
      <c r="AT116" s="256"/>
      <c r="AU116" s="256"/>
      <c r="AV116" s="256"/>
      <c r="AW116" s="256"/>
      <c r="AX116" s="256"/>
      <c r="AY116" s="256"/>
      <c r="AZ116" s="256"/>
      <c r="BA116" s="256"/>
      <c r="BB116" s="256"/>
      <c r="BC116" s="256"/>
      <c r="BD116" s="256"/>
      <c r="BE116" s="256"/>
      <c r="BF116" s="256"/>
      <c r="BG116" s="256"/>
      <c r="BH116" s="256"/>
      <c r="BI116" s="256"/>
      <c r="BJ116" s="36">
        <f>SUM(Table1[[#This Row],[Pipa 63 mm2]:[Pipa 1,800 mm21]])</f>
        <v>192</v>
      </c>
      <c r="BK116" s="32">
        <v>192</v>
      </c>
      <c r="BL116" s="32"/>
      <c r="BM116" s="32"/>
      <c r="BN116" s="32"/>
      <c r="BO116" s="32"/>
      <c r="BP116" s="32"/>
      <c r="BQ116" s="32"/>
      <c r="BR116" s="32"/>
      <c r="BS116" s="32"/>
      <c r="BT116" s="32"/>
      <c r="BU116" s="32"/>
      <c r="BV116" s="32"/>
      <c r="BW116" s="32"/>
      <c r="BX116" s="32"/>
      <c r="BY116" s="32"/>
      <c r="BZ116" s="32"/>
      <c r="CA116" s="32"/>
      <c r="CB116" s="32"/>
      <c r="CC116" s="32"/>
      <c r="CD116" s="32"/>
      <c r="CE116" s="32">
        <v>0</v>
      </c>
      <c r="CF116" s="32"/>
      <c r="CG116" s="32"/>
      <c r="CH116" s="32"/>
      <c r="CI116" s="32">
        <f t="shared" si="6"/>
        <v>0</v>
      </c>
      <c r="CJ116" s="60">
        <f>IF((Table1[[#This Row],["Volume
BA MC-0"]]-Table1[[#This Row],[Total Panjang Pipa Aktual
(Sum-&gt;)3]]-Table1[[#This Row],[Total Volume
tidak dapat dipasang]])&gt;=0,Table1[[#This Row],["Volume
BA MC-0"]]-Table1[[#This Row],[Total Panjang Pipa Aktual
(Sum-&gt;)3]]-Table1[[#This Row],[Total Volume
tidak dapat dipasang]],0)</f>
        <v>0</v>
      </c>
      <c r="CK116" s="42"/>
      <c r="CL116" s="113"/>
      <c r="CM116" s="35"/>
      <c r="CN116" s="113"/>
      <c r="CO116" s="113"/>
      <c r="CP1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6" s="61">
        <f>IFERROR(Table1[[#This Row],[Progres Keg. Umum
(%)]]*Table1[[#This Row],[Nilai RAB Jaringan
(file pa aji)]],0)</f>
        <v>0</v>
      </c>
      <c r="CR116" s="61">
        <f>IFERROR(Table1[[#This Row],[Progres MOS
(%)]]*Table1[[#This Row],[Nilai RAB Jaringan
(file pa aji)]],0)</f>
        <v>0</v>
      </c>
      <c r="CS116" s="61">
        <f>IFERROR(Table1[[#This Row],[Progres Pemasangan
(%)]]*Table1[[#This Row],[Nilai RAB Jaringan
(file pa aji)]],0)</f>
        <v>0</v>
      </c>
      <c r="CT116" s="61">
        <f>IFERROR(Table1[[#This Row],[Progres Perizinan
(%)]]*Table1[[#This Row],[Nilai RAB Jaringan
(file pa aji)]],0)</f>
        <v>0</v>
      </c>
      <c r="CU116" s="789">
        <v>334627771</v>
      </c>
      <c r="CV116" s="299">
        <v>334627771</v>
      </c>
      <c r="CW116" s="552">
        <v>334627771</v>
      </c>
      <c r="CX116" s="789">
        <f>_xlfn.XLOOKUP(Table1[[#This Row],[Kode Program]],'[1]Breakdown VOWD Greenfield'!$E:$E,'[1]Breakdown VOWD Greenfield'!$AT:$AT)</f>
        <v>334627771</v>
      </c>
      <c r="CY116" s="42"/>
      <c r="CZ116" s="300">
        <v>45530</v>
      </c>
      <c r="DA116" s="300">
        <v>45543</v>
      </c>
      <c r="DB116" s="301"/>
      <c r="DC116" s="286"/>
      <c r="DD116" s="62"/>
      <c r="DE1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6" s="301"/>
      <c r="DG116" s="286"/>
      <c r="DH116" s="62"/>
      <c r="DI1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6" s="300">
        <v>45544</v>
      </c>
      <c r="DK116" s="300">
        <v>45592</v>
      </c>
      <c r="DL116" s="301">
        <v>45542</v>
      </c>
      <c r="DM116" s="395" t="s">
        <v>818</v>
      </c>
      <c r="DN1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6" s="301">
        <v>45586</v>
      </c>
      <c r="DP116" s="396" t="s">
        <v>819</v>
      </c>
      <c r="DQ116" s="308" t="s">
        <v>344</v>
      </c>
      <c r="DR1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16" s="300">
        <v>45544</v>
      </c>
      <c r="DT116" s="300" t="e">
        <v>#N/A</v>
      </c>
      <c r="DU116" s="300">
        <v>45571</v>
      </c>
      <c r="DV116" s="300" t="e">
        <v>#N/A</v>
      </c>
      <c r="DW116" s="301"/>
      <c r="DX116" s="286"/>
      <c r="DY116" s="304"/>
      <c r="DZ116" s="304"/>
      <c r="EA1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6" s="301"/>
      <c r="EC116" s="302"/>
      <c r="ED116" s="302"/>
      <c r="EE116" s="300"/>
      <c r="EF116" s="35">
        <v>1</v>
      </c>
      <c r="EG116" s="307">
        <v>1</v>
      </c>
      <c r="EH116" s="286" t="str">
        <f>IF(Table1[[#This Row],[PO Material Aktual 
(%)]]&gt;=100%,"Selesai PO = 100%",IF(Table1[[#This Row],[PO Material Aktual 
(%)]]&gt;=50%,"Proses PO &gt; 100%",IF(Table1[[#This Row],[PO Material Aktual 
(%)]]&gt;0%,"Proses PO &gt; 50%",IF(Table1[[#This Row],[PO Material Aktual 
(%)]]=0,"Belum PO = 0%"))))</f>
        <v>Selesai PO = 100%</v>
      </c>
      <c r="EI1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6" s="300">
        <v>45572</v>
      </c>
      <c r="EK116" s="300" t="e">
        <v>#N/A</v>
      </c>
      <c r="EL116" s="300">
        <v>45620</v>
      </c>
      <c r="EM116" s="300" t="e">
        <v>#N/A</v>
      </c>
      <c r="EN116" s="301">
        <v>45680</v>
      </c>
      <c r="EO116" s="302"/>
      <c r="EP116" s="302"/>
      <c r="EQ116" s="82">
        <v>1</v>
      </c>
      <c r="ER116" s="82">
        <v>1</v>
      </c>
      <c r="ES116" s="286" t="str">
        <f>IF(Table1[[#This Row],[Progres MOS]]&gt;=100%,"Selesai MOS = 100%",IF(Table1[[#This Row],[Progres MOS]]&gt;=50%,"Proses MOS &gt; 100%",IF(Table1[[#This Row],[Progres MOS]]&gt;0%,"Proses MOS &gt; 50%",IF(Table1[[#This Row],[Progres MOS]]=0,"Belum MOS = 0%"))))</f>
        <v>Selesai MOS = 100%</v>
      </c>
      <c r="ET1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6" s="42"/>
      <c r="EV116" s="300">
        <v>45544</v>
      </c>
      <c r="EW116" s="300" t="e">
        <v>#N/A</v>
      </c>
      <c r="EX116" s="300">
        <v>45620</v>
      </c>
      <c r="EY116" s="300" t="e">
        <v>#N/A</v>
      </c>
      <c r="EZ116" s="322" t="s">
        <v>298</v>
      </c>
      <c r="FA116" s="306" t="s">
        <v>259</v>
      </c>
      <c r="FB116" s="300" t="s">
        <v>260</v>
      </c>
      <c r="FC116" s="300">
        <v>45799</v>
      </c>
      <c r="FD116" s="300" t="s">
        <v>260</v>
      </c>
      <c r="FE116" s="300">
        <v>45875</v>
      </c>
      <c r="FF116" s="300">
        <v>45929</v>
      </c>
      <c r="FG116" s="300" t="s">
        <v>260</v>
      </c>
      <c r="FH116" s="300" t="s">
        <v>260</v>
      </c>
      <c r="FI116" s="300">
        <v>46021</v>
      </c>
      <c r="FJ116" s="300" t="s">
        <v>260</v>
      </c>
      <c r="FK116" s="300">
        <v>46087</v>
      </c>
      <c r="FL116" s="306" t="s">
        <v>298</v>
      </c>
      <c r="FM116" s="306">
        <v>45799</v>
      </c>
      <c r="FN116" s="284">
        <f>IF(Table1[[#This Row],[Tanggal Pengajuan Dokumen]]="","",Table1[[#This Row],[PLAN PERMIT
start]]-Table1[[#This Row],[Tanggal Pengajuan Dokumen]])</f>
        <v>-255</v>
      </c>
      <c r="FO116" s="306"/>
      <c r="FP116" s="286"/>
      <c r="FQ116" s="308"/>
      <c r="FR116" s="322"/>
      <c r="FS116" s="308" t="str">
        <f t="shared" si="8"/>
        <v>Sudah Terbit</v>
      </c>
      <c r="FT1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6" s="314">
        <f ca="1">IF(Table1[[#This Row],[Status Izin]]="Selesai",Table1[[#This Row],[PLAN PERMIT
finish]]-Table1[[#This Row],[Tanggal Terbit/ Target Izin Terbit]],ROUNDUP(Table1[[#This Row],[PLAN PERMIT
finish]]-NOW(),0))</f>
        <v>45620</v>
      </c>
      <c r="FV1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6" s="314"/>
      <c r="FX116" s="42"/>
      <c r="FY116" s="310"/>
      <c r="FZ116" s="311"/>
      <c r="GA1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6" s="300">
        <v>45594</v>
      </c>
      <c r="GC116" s="322">
        <v>45610</v>
      </c>
      <c r="GD1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6" s="300">
        <v>45601</v>
      </c>
      <c r="GF116" s="322">
        <v>45610</v>
      </c>
      <c r="GG1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6" s="300">
        <v>45607</v>
      </c>
      <c r="GI116" s="300">
        <v>45613</v>
      </c>
      <c r="GJ116" s="322">
        <v>45553</v>
      </c>
      <c r="GK1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6" s="300">
        <v>45621</v>
      </c>
      <c r="GM116" s="300" t="e">
        <v>#N/A</v>
      </c>
      <c r="GN116" s="300">
        <v>45641</v>
      </c>
      <c r="GO116" s="300" t="e">
        <v>#N/A</v>
      </c>
      <c r="GP116" s="286"/>
      <c r="GQ1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6" s="300" t="s">
        <v>261</v>
      </c>
      <c r="GS116" s="391" t="s">
        <v>261</v>
      </c>
      <c r="GT116" s="397">
        <v>45642</v>
      </c>
      <c r="GU116" s="393" t="str">
        <f>IF(Table1[[#This Row],[Hydro Tes Actual
(tanggal)]]&lt;&gt;"","Sudah","Belum")</f>
        <v>Sudah</v>
      </c>
      <c r="GV116" s="300" t="s">
        <v>261</v>
      </c>
      <c r="GW116" s="300" t="s">
        <v>261</v>
      </c>
      <c r="GX116" s="301"/>
      <c r="GY116" s="314" t="str">
        <f>IF(Table1[[#This Row],[Interkoneksi Actual
(tanggal)]]&lt;&gt;"","Sudah","Belum")</f>
        <v>Belum</v>
      </c>
      <c r="GZ116" s="300" t="s">
        <v>261</v>
      </c>
      <c r="HA116" s="391" t="s">
        <v>261</v>
      </c>
      <c r="HB116" s="394">
        <v>45666</v>
      </c>
      <c r="HC116" s="314" t="str">
        <f>IF(Table1[[#This Row],[Flushing Actual
(tanggal)]]&lt;&gt;"","Sudah","Belum")</f>
        <v>Sudah</v>
      </c>
      <c r="HD116" s="300">
        <v>45628</v>
      </c>
      <c r="HE116" s="300" t="e">
        <v>#N/A</v>
      </c>
      <c r="HF116" s="300">
        <v>45634</v>
      </c>
      <c r="HG116" s="322">
        <v>45824</v>
      </c>
      <c r="HH1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6" s="300" t="s">
        <v>261</v>
      </c>
      <c r="HJ116" s="300" t="s">
        <v>261</v>
      </c>
      <c r="HK116" s="301"/>
      <c r="HL116" s="286"/>
      <c r="HM116" s="300">
        <v>45646</v>
      </c>
      <c r="HN116" s="300">
        <v>45646</v>
      </c>
      <c r="HO116" s="300" t="e">
        <v>#N/A</v>
      </c>
      <c r="HP116" s="300"/>
      <c r="HQ116" s="301">
        <v>45733</v>
      </c>
      <c r="HR1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6" s="300">
        <v>45653</v>
      </c>
      <c r="HT116" s="300"/>
      <c r="HU116" s="300">
        <v>45653</v>
      </c>
      <c r="HV116" s="497"/>
      <c r="HW116" s="300">
        <v>45745</v>
      </c>
      <c r="HX11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6" s="42"/>
      <c r="HZ116" s="322"/>
      <c r="IA116" s="306"/>
      <c r="IC116" s="585">
        <f>IFERROR(ROUND((Table1[[#This Row],[PLAN TC
finish]]-Table1[[#This Row],[PLAN MC-0
start]])/30,2),"")</f>
        <v>0.9</v>
      </c>
      <c r="ID116">
        <f>DATEDIF(Table1[[#This Row],[PLAN MC-0
start]],Table1[[#This Row],[PLAN TC
finish]],"m")</f>
        <v>0</v>
      </c>
    </row>
    <row r="117" spans="1:238" s="4" customFormat="1" ht="15" customHeight="1" x14ac:dyDescent="0.25">
      <c r="B117" s="281">
        <f>SUBTOTAL(3,$D$5:D117)</f>
        <v>113</v>
      </c>
      <c r="C117" s="318">
        <v>113</v>
      </c>
      <c r="D117" s="285" t="s">
        <v>673</v>
      </c>
      <c r="E117" s="285" t="s">
        <v>820</v>
      </c>
      <c r="F117" s="285" t="s">
        <v>821</v>
      </c>
      <c r="G117" s="319">
        <v>45752</v>
      </c>
      <c r="H117" s="284" t="s">
        <v>247</v>
      </c>
      <c r="I117" s="285" t="s">
        <v>278</v>
      </c>
      <c r="J117" s="285"/>
      <c r="K117" s="308" t="s">
        <v>676</v>
      </c>
      <c r="L117" s="286" t="s">
        <v>250</v>
      </c>
      <c r="M117" s="286" t="s">
        <v>269</v>
      </c>
      <c r="N117" s="94">
        <v>972</v>
      </c>
      <c r="O117" s="31" t="s">
        <v>252</v>
      </c>
      <c r="P117"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7" s="82" t="e">
        <v>#N/A</v>
      </c>
      <c r="S117" s="82">
        <v>1</v>
      </c>
      <c r="T117" s="35">
        <f>Table1[[#This Row],[Progres Total Aktual
(%)]]</f>
        <v>1</v>
      </c>
      <c r="U117" s="106">
        <f>Table1[[#This Row],[Progres Aktual
(%)]]-Table1[[#This Row],[Target Progres
(%)]]</f>
        <v>0</v>
      </c>
      <c r="V117" s="320">
        <f>Table1[[#This Row],["Volume
BA MC-0"]]</f>
        <v>1006</v>
      </c>
      <c r="W117" s="321">
        <f>Table1[[#This Row],[Total Panjang Pipa Aktual
(Sum-&gt;)3]]</f>
        <v>1140</v>
      </c>
      <c r="X117" s="42"/>
      <c r="Y117" s="62" t="s">
        <v>822</v>
      </c>
      <c r="Z117" s="62">
        <v>1546679252</v>
      </c>
      <c r="AA117" s="62">
        <f>ROUND((Table1[[#This Row],[Nilai RAB Jaringan
(Exclude Ppn)]]-Table1[[#This Row],[RAB Perizinan]])*1.11+Table1[[#This Row],[RAB Perizinan]],0)</f>
        <v>0</v>
      </c>
      <c r="AB117" s="290">
        <f>SUM(Table1[[#This Row],[RAB Kegiatan Umum]:[RAB Perizinan]])</f>
        <v>0</v>
      </c>
      <c r="AC117" s="290"/>
      <c r="AD117" s="290"/>
      <c r="AE117" s="290"/>
      <c r="AF117" s="290"/>
      <c r="AG117" s="290">
        <v>61489449</v>
      </c>
      <c r="AH117" s="35" t="e">
        <f>SUM(Table1[[#This Row],[Bobot Keg Umum]:[Bobot Perizinan]])</f>
        <v>#DIV/0!</v>
      </c>
      <c r="AI117" s="35" t="e">
        <f>Table1[[#This Row],[RAB Kegiatan Umum]]/Table1[[#This Row],[Nilai RAB Jaringan
(Exclude Ppn)]]</f>
        <v>#DIV/0!</v>
      </c>
      <c r="AJ117" s="35" t="e">
        <f>Table1[[#This Row],[RAB Pemasangan]]/Table1[[#This Row],[Nilai RAB Jaringan
(Exclude Ppn)]]</f>
        <v>#DIV/0!</v>
      </c>
      <c r="AK117" s="35" t="e">
        <f>Table1[[#This Row],[RAB Pengadaan]]/Table1[[#This Row],[Nilai RAB Jaringan
(Exclude Ppn)]]</f>
        <v>#DIV/0!</v>
      </c>
      <c r="AL117" s="35" t="e">
        <f>Table1[[#This Row],[RAB Perizinan]]/Table1[[#This Row],[Nilai RAB Jaringan
(Exclude Ppn)]]</f>
        <v>#DIV/0!</v>
      </c>
      <c r="AM117" s="42"/>
      <c r="AN117" s="256">
        <v>1006</v>
      </c>
      <c r="AO117" s="256">
        <f>SUM(Table1[[#This Row],[Pipa 63 mm]:[Pipa 1,800 mm]])</f>
        <v>0</v>
      </c>
      <c r="AP117" s="256"/>
      <c r="AQ117" s="256"/>
      <c r="AR117" s="256"/>
      <c r="AS117" s="256"/>
      <c r="AT117" s="256"/>
      <c r="AU117" s="256"/>
      <c r="AV117" s="256"/>
      <c r="AW117" s="256"/>
      <c r="AX117" s="256"/>
      <c r="AY117" s="256"/>
      <c r="AZ117" s="256"/>
      <c r="BA117" s="256"/>
      <c r="BB117" s="256"/>
      <c r="BC117" s="256"/>
      <c r="BD117" s="256"/>
      <c r="BE117" s="256"/>
      <c r="BF117" s="256"/>
      <c r="BG117" s="256"/>
      <c r="BH117" s="256"/>
      <c r="BI117" s="256"/>
      <c r="BJ117" s="36">
        <f>SUM(Table1[[#This Row],[Pipa 63 mm2]:[Pipa 1,800 mm21]])</f>
        <v>1140</v>
      </c>
      <c r="BK117" s="32">
        <v>905</v>
      </c>
      <c r="BL117" s="32">
        <v>235</v>
      </c>
      <c r="BM117" s="32"/>
      <c r="BN117" s="32"/>
      <c r="BO117" s="32"/>
      <c r="BP117" s="32"/>
      <c r="BQ117" s="32"/>
      <c r="BR117" s="32"/>
      <c r="BS117" s="32"/>
      <c r="BT117" s="32"/>
      <c r="BU117" s="32"/>
      <c r="BV117" s="32"/>
      <c r="BW117" s="32"/>
      <c r="BX117" s="32"/>
      <c r="BY117" s="32"/>
      <c r="BZ117" s="32"/>
      <c r="CA117" s="32"/>
      <c r="CB117" s="32"/>
      <c r="CC117" s="32"/>
      <c r="CD117" s="32"/>
      <c r="CE117" s="32">
        <v>0</v>
      </c>
      <c r="CF117" s="32"/>
      <c r="CG117" s="32"/>
      <c r="CH117" s="32"/>
      <c r="CI117" s="32">
        <f t="shared" si="6"/>
        <v>0</v>
      </c>
      <c r="CJ117" s="60">
        <f>IF((Table1[[#This Row],["Volume
BA MC-0"]]-Table1[[#This Row],[Total Panjang Pipa Aktual
(Sum-&gt;)3]]-Table1[[#This Row],[Total Volume
tidak dapat dipasang]])&gt;=0,Table1[[#This Row],["Volume
BA MC-0"]]-Table1[[#This Row],[Total Panjang Pipa Aktual
(Sum-&gt;)3]]-Table1[[#This Row],[Total Volume
tidak dapat dipasang]],0)</f>
        <v>0</v>
      </c>
      <c r="CK117" s="42"/>
      <c r="CL117" s="113"/>
      <c r="CM117" s="35"/>
      <c r="CN117" s="113"/>
      <c r="CO117" s="113"/>
      <c r="CP1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7" s="61">
        <f>IFERROR(Table1[[#This Row],[Progres Keg. Umum
(%)]]*Table1[[#This Row],[Nilai RAB Jaringan
(file pa aji)]],0)</f>
        <v>0</v>
      </c>
      <c r="CR117" s="61">
        <f>IFERROR(Table1[[#This Row],[Progres MOS
(%)]]*Table1[[#This Row],[Nilai RAB Jaringan
(file pa aji)]],0)</f>
        <v>0</v>
      </c>
      <c r="CS117" s="61">
        <f>IFERROR(Table1[[#This Row],[Progres Pemasangan
(%)]]*Table1[[#This Row],[Nilai RAB Jaringan
(file pa aji)]],0)</f>
        <v>0</v>
      </c>
      <c r="CT117" s="61">
        <f>IFERROR(Table1[[#This Row],[Progres Perizinan
(%)]]*Table1[[#This Row],[Nilai RAB Jaringan
(file pa aji)]],0)</f>
        <v>0</v>
      </c>
      <c r="CU117" s="789">
        <v>1733609548</v>
      </c>
      <c r="CV117" s="299">
        <v>1733609548</v>
      </c>
      <c r="CW117" s="552">
        <v>1733609548</v>
      </c>
      <c r="CX117" s="789">
        <f>_xlfn.XLOOKUP(Table1[[#This Row],[Kode Program]],'[1]Breakdown VOWD Greenfield'!$E:$E,'[1]Breakdown VOWD Greenfield'!$AT:$AT)</f>
        <v>1733609548</v>
      </c>
      <c r="CY117" s="42"/>
      <c r="CZ117" s="300">
        <v>45530</v>
      </c>
      <c r="DA117" s="300">
        <v>45543</v>
      </c>
      <c r="DB117" s="301"/>
      <c r="DC117" s="286"/>
      <c r="DD117" s="62"/>
      <c r="DE1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7" s="301"/>
      <c r="DG117" s="286"/>
      <c r="DH117" s="62"/>
      <c r="DI1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7" s="300">
        <v>45544</v>
      </c>
      <c r="DK117" s="300">
        <v>45592</v>
      </c>
      <c r="DL117" s="301">
        <v>45542</v>
      </c>
      <c r="DM117" s="395" t="s">
        <v>823</v>
      </c>
      <c r="DN1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7" s="301">
        <v>45593</v>
      </c>
      <c r="DP117" s="396" t="s">
        <v>824</v>
      </c>
      <c r="DQ117" s="308" t="s">
        <v>762</v>
      </c>
      <c r="DR1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7" s="300">
        <v>45544</v>
      </c>
      <c r="DT117" s="300" t="e">
        <v>#N/A</v>
      </c>
      <c r="DU117" s="300">
        <v>45571</v>
      </c>
      <c r="DV117" s="300" t="e">
        <v>#N/A</v>
      </c>
      <c r="DW117" s="301"/>
      <c r="DX117" s="286"/>
      <c r="DY117" s="304"/>
      <c r="DZ117" s="304"/>
      <c r="EA1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7" s="301"/>
      <c r="EC117" s="302"/>
      <c r="ED117" s="302"/>
      <c r="EE117" s="300"/>
      <c r="EF117" s="35">
        <v>1</v>
      </c>
      <c r="EG117" s="307">
        <v>1</v>
      </c>
      <c r="EH117" s="286" t="str">
        <f>IF(Table1[[#This Row],[PO Material Aktual 
(%)]]&gt;=100%,"Selesai PO = 100%",IF(Table1[[#This Row],[PO Material Aktual 
(%)]]&gt;=50%,"Proses PO &gt; 100%",IF(Table1[[#This Row],[PO Material Aktual 
(%)]]&gt;0%,"Proses PO &gt; 50%",IF(Table1[[#This Row],[PO Material Aktual 
(%)]]=0,"Belum PO = 0%"))))</f>
        <v>Selesai PO = 100%</v>
      </c>
      <c r="EI1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7" s="300">
        <v>45572</v>
      </c>
      <c r="EK117" s="300" t="e">
        <v>#N/A</v>
      </c>
      <c r="EL117" s="300">
        <v>45620</v>
      </c>
      <c r="EM117" s="300" t="e">
        <v>#N/A</v>
      </c>
      <c r="EN117" s="301">
        <v>45764</v>
      </c>
      <c r="EO117" s="302"/>
      <c r="EP117" s="302"/>
      <c r="EQ117" s="82">
        <v>1</v>
      </c>
      <c r="ER117" s="82">
        <v>1</v>
      </c>
      <c r="ES117" s="286" t="str">
        <f>IF(Table1[[#This Row],[Progres MOS]]&gt;=100%,"Selesai MOS = 100%",IF(Table1[[#This Row],[Progres MOS]]&gt;=50%,"Proses MOS &gt; 100%",IF(Table1[[#This Row],[Progres MOS]]&gt;0%,"Proses MOS &gt; 50%",IF(Table1[[#This Row],[Progres MOS]]=0,"Belum MOS = 0%"))))</f>
        <v>Selesai MOS = 100%</v>
      </c>
      <c r="ET1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7" s="42"/>
      <c r="EV117" s="300">
        <v>45544</v>
      </c>
      <c r="EW117" s="300" t="e">
        <v>#N/A</v>
      </c>
      <c r="EX117" s="300">
        <v>45620</v>
      </c>
      <c r="EY117" s="300" t="e">
        <v>#N/A</v>
      </c>
      <c r="EZ117" s="322" t="s">
        <v>298</v>
      </c>
      <c r="FA117" s="306" t="s">
        <v>259</v>
      </c>
      <c r="FB117" s="300" t="s">
        <v>260</v>
      </c>
      <c r="FC117" s="300">
        <v>45799</v>
      </c>
      <c r="FD117" s="300" t="s">
        <v>260</v>
      </c>
      <c r="FE117" s="300">
        <v>45875</v>
      </c>
      <c r="FF117" s="300">
        <v>45929</v>
      </c>
      <c r="FG117" s="300" t="s">
        <v>260</v>
      </c>
      <c r="FH117" s="300" t="s">
        <v>260</v>
      </c>
      <c r="FI117" s="300">
        <v>46021</v>
      </c>
      <c r="FJ117" s="300" t="s">
        <v>260</v>
      </c>
      <c r="FK117" s="300">
        <v>46087</v>
      </c>
      <c r="FL117" s="306" t="s">
        <v>298</v>
      </c>
      <c r="FM117" s="306">
        <v>45799</v>
      </c>
      <c r="FN117" s="284">
        <f>IF(Table1[[#This Row],[Tanggal Pengajuan Dokumen]]="","",Table1[[#This Row],[PLAN PERMIT
start]]-Table1[[#This Row],[Tanggal Pengajuan Dokumen]])</f>
        <v>-255</v>
      </c>
      <c r="FO117" s="306"/>
      <c r="FP117" s="286"/>
      <c r="FQ117" s="308"/>
      <c r="FR117" s="322"/>
      <c r="FS117" s="308" t="str">
        <f t="shared" si="8"/>
        <v>Sudah Terbit</v>
      </c>
      <c r="FT1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7" s="314">
        <f ca="1">IF(Table1[[#This Row],[Status Izin]]="Selesai",Table1[[#This Row],[PLAN PERMIT
finish]]-Table1[[#This Row],[Tanggal Terbit/ Target Izin Terbit]],ROUNDUP(Table1[[#This Row],[PLAN PERMIT
finish]]-NOW(),0))</f>
        <v>45620</v>
      </c>
      <c r="FV1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7" s="314"/>
      <c r="FX117" s="42"/>
      <c r="FY117" s="310"/>
      <c r="FZ117" s="311"/>
      <c r="GA1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7" s="300">
        <v>45594</v>
      </c>
      <c r="GC117" s="322">
        <v>45610</v>
      </c>
      <c r="GD1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7" s="300">
        <v>45601</v>
      </c>
      <c r="GF117" s="322">
        <v>45610</v>
      </c>
      <c r="GG1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7" s="300">
        <v>45607</v>
      </c>
      <c r="GI117" s="300">
        <v>45613</v>
      </c>
      <c r="GJ117" s="322">
        <v>45552</v>
      </c>
      <c r="GK1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7" s="300">
        <v>45621</v>
      </c>
      <c r="GM117" s="300" t="e">
        <v>#N/A</v>
      </c>
      <c r="GN117" s="300">
        <v>45641</v>
      </c>
      <c r="GO117" s="300" t="e">
        <v>#N/A</v>
      </c>
      <c r="GP117" s="286"/>
      <c r="GQ1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7" s="300" t="s">
        <v>261</v>
      </c>
      <c r="GS117" s="391" t="s">
        <v>261</v>
      </c>
      <c r="GT117" s="397" t="s">
        <v>825</v>
      </c>
      <c r="GU117" s="393" t="str">
        <f>IF(Table1[[#This Row],[Hydro Tes Actual
(tanggal)]]&lt;&gt;"","Sudah","Belum")</f>
        <v>Sudah</v>
      </c>
      <c r="GV117" s="300" t="s">
        <v>261</v>
      </c>
      <c r="GW117" s="300" t="s">
        <v>261</v>
      </c>
      <c r="GX117" s="301"/>
      <c r="GY117" s="314" t="str">
        <f>IF(Table1[[#This Row],[Interkoneksi Actual
(tanggal)]]&lt;&gt;"","Sudah","Belum")</f>
        <v>Belum</v>
      </c>
      <c r="GZ117" s="300" t="s">
        <v>261</v>
      </c>
      <c r="HA117" s="391" t="s">
        <v>261</v>
      </c>
      <c r="HB117" s="394">
        <v>45643</v>
      </c>
      <c r="HC117" s="314" t="str">
        <f>IF(Table1[[#This Row],[Flushing Actual
(tanggal)]]&lt;&gt;"","Sudah","Belum")</f>
        <v>Sudah</v>
      </c>
      <c r="HD117" s="300">
        <v>45628</v>
      </c>
      <c r="HE117" s="300" t="e">
        <v>#N/A</v>
      </c>
      <c r="HF117" s="300">
        <v>45634</v>
      </c>
      <c r="HG117" s="322">
        <v>45670</v>
      </c>
      <c r="HH1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7" s="300" t="s">
        <v>261</v>
      </c>
      <c r="HJ117" s="300" t="s">
        <v>261</v>
      </c>
      <c r="HK117" s="301"/>
      <c r="HL117" s="286"/>
      <c r="HM117" s="300">
        <v>45646</v>
      </c>
      <c r="HN117" s="300">
        <v>45646</v>
      </c>
      <c r="HO117" s="300" t="e">
        <v>#N/A</v>
      </c>
      <c r="HP117" s="300"/>
      <c r="HQ117" s="301">
        <v>45734</v>
      </c>
      <c r="HR1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7" s="300">
        <v>45653</v>
      </c>
      <c r="HT117" s="300"/>
      <c r="HU117" s="300">
        <v>45653</v>
      </c>
      <c r="HV117" s="497"/>
      <c r="HW117" s="300">
        <v>45745</v>
      </c>
      <c r="HX1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7" s="42"/>
      <c r="HZ117" s="322"/>
      <c r="IA117" s="306"/>
      <c r="IC117" s="585">
        <f>IFERROR(ROUND((Table1[[#This Row],[PLAN TC
finish]]-Table1[[#This Row],[PLAN MC-0
start]])/30,2),"")</f>
        <v>0.9</v>
      </c>
      <c r="ID117">
        <f>DATEDIF(Table1[[#This Row],[PLAN MC-0
start]],Table1[[#This Row],[PLAN TC
finish]],"m")</f>
        <v>0</v>
      </c>
    </row>
    <row r="118" spans="1:238" s="4" customFormat="1" ht="15" customHeight="1" x14ac:dyDescent="0.25">
      <c r="B118" s="281">
        <f>SUBTOTAL(3,$D$5:D118)</f>
        <v>114</v>
      </c>
      <c r="C118" s="318">
        <v>114</v>
      </c>
      <c r="D118" s="285" t="s">
        <v>673</v>
      </c>
      <c r="E118" s="285" t="s">
        <v>826</v>
      </c>
      <c r="F118" s="285" t="s">
        <v>827</v>
      </c>
      <c r="G118" s="319">
        <v>45752</v>
      </c>
      <c r="H118" s="284" t="s">
        <v>247</v>
      </c>
      <c r="I118" s="285" t="s">
        <v>278</v>
      </c>
      <c r="J118" s="285"/>
      <c r="K118" s="308" t="s">
        <v>676</v>
      </c>
      <c r="L118" s="286" t="s">
        <v>250</v>
      </c>
      <c r="M118" s="286" t="s">
        <v>269</v>
      </c>
      <c r="N118" s="94">
        <v>263</v>
      </c>
      <c r="O118" s="31" t="s">
        <v>252</v>
      </c>
      <c r="P11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8" s="82" t="e">
        <v>#N/A</v>
      </c>
      <c r="S118" s="82">
        <v>1</v>
      </c>
      <c r="T118" s="35">
        <f>Table1[[#This Row],[Progres Total Aktual
(%)]]</f>
        <v>1</v>
      </c>
      <c r="U118" s="106">
        <f>Table1[[#This Row],[Progres Aktual
(%)]]-Table1[[#This Row],[Target Progres
(%)]]</f>
        <v>0</v>
      </c>
      <c r="V118" s="320">
        <f>Table1[[#This Row],["Volume
BA MC-0"]]</f>
        <v>212</v>
      </c>
      <c r="W118" s="321">
        <f>Table1[[#This Row],[Total Panjang Pipa Aktual
(Sum-&gt;)3]]</f>
        <v>212</v>
      </c>
      <c r="X118" s="42"/>
      <c r="Y118" s="62" t="s">
        <v>828</v>
      </c>
      <c r="Z118" s="62">
        <v>499957113</v>
      </c>
      <c r="AA118" s="62">
        <f>ROUND((Table1[[#This Row],[Nilai RAB Jaringan
(Exclude Ppn)]]-Table1[[#This Row],[RAB Perizinan]])*1.11+Table1[[#This Row],[RAB Perizinan]],0)</f>
        <v>0</v>
      </c>
      <c r="AB118" s="290">
        <f>SUM(Table1[[#This Row],[RAB Kegiatan Umum]:[RAB Perizinan]])</f>
        <v>0</v>
      </c>
      <c r="AC118" s="290"/>
      <c r="AD118" s="290"/>
      <c r="AE118" s="290"/>
      <c r="AF118" s="290"/>
      <c r="AG118" s="290">
        <v>18446835</v>
      </c>
      <c r="AH118" s="35" t="e">
        <f>SUM(Table1[[#This Row],[Bobot Keg Umum]:[Bobot Perizinan]])</f>
        <v>#DIV/0!</v>
      </c>
      <c r="AI118" s="35" t="e">
        <f>Table1[[#This Row],[RAB Kegiatan Umum]]/Table1[[#This Row],[Nilai RAB Jaringan
(Exclude Ppn)]]</f>
        <v>#DIV/0!</v>
      </c>
      <c r="AJ118" s="35" t="e">
        <f>Table1[[#This Row],[RAB Pemasangan]]/Table1[[#This Row],[Nilai RAB Jaringan
(Exclude Ppn)]]</f>
        <v>#DIV/0!</v>
      </c>
      <c r="AK118" s="35" t="e">
        <f>Table1[[#This Row],[RAB Pengadaan]]/Table1[[#This Row],[Nilai RAB Jaringan
(Exclude Ppn)]]</f>
        <v>#DIV/0!</v>
      </c>
      <c r="AL118" s="35" t="e">
        <f>Table1[[#This Row],[RAB Perizinan]]/Table1[[#This Row],[Nilai RAB Jaringan
(Exclude Ppn)]]</f>
        <v>#DIV/0!</v>
      </c>
      <c r="AM118" s="42"/>
      <c r="AN118" s="256">
        <v>212</v>
      </c>
      <c r="AO118" s="256">
        <f>SUM(Table1[[#This Row],[Pipa 63 mm]:[Pipa 1,800 mm]])</f>
        <v>0</v>
      </c>
      <c r="AP118" s="256"/>
      <c r="AQ118" s="256"/>
      <c r="AR118" s="256"/>
      <c r="AS118" s="256"/>
      <c r="AT118" s="256"/>
      <c r="AU118" s="256"/>
      <c r="AV118" s="256"/>
      <c r="AW118" s="256"/>
      <c r="AX118" s="256"/>
      <c r="AY118" s="256"/>
      <c r="AZ118" s="256"/>
      <c r="BA118" s="256"/>
      <c r="BB118" s="256"/>
      <c r="BC118" s="256"/>
      <c r="BD118" s="256"/>
      <c r="BE118" s="256"/>
      <c r="BF118" s="256"/>
      <c r="BG118" s="256"/>
      <c r="BH118" s="256"/>
      <c r="BI118" s="256"/>
      <c r="BJ118" s="36">
        <f>SUM(Table1[[#This Row],[Pipa 63 mm2]:[Pipa 1,800 mm21]])</f>
        <v>212</v>
      </c>
      <c r="BK118" s="32">
        <v>212</v>
      </c>
      <c r="BL118" s="32"/>
      <c r="BM118" s="32"/>
      <c r="BN118" s="32"/>
      <c r="BO118" s="32"/>
      <c r="BP118" s="32"/>
      <c r="BQ118" s="32"/>
      <c r="BR118" s="32"/>
      <c r="BS118" s="32"/>
      <c r="BT118" s="32"/>
      <c r="BU118" s="32"/>
      <c r="BV118" s="32"/>
      <c r="BW118" s="32"/>
      <c r="BX118" s="32"/>
      <c r="BY118" s="32"/>
      <c r="BZ118" s="32"/>
      <c r="CA118" s="32"/>
      <c r="CB118" s="32"/>
      <c r="CC118" s="32"/>
      <c r="CD118" s="32"/>
      <c r="CE118" s="32">
        <v>0</v>
      </c>
      <c r="CF118" s="32"/>
      <c r="CG118" s="32"/>
      <c r="CH118" s="32"/>
      <c r="CI118" s="32">
        <f t="shared" si="6"/>
        <v>0</v>
      </c>
      <c r="CJ118" s="60">
        <f>IF((Table1[[#This Row],["Volume
BA MC-0"]]-Table1[[#This Row],[Total Panjang Pipa Aktual
(Sum-&gt;)3]]-Table1[[#This Row],[Total Volume
tidak dapat dipasang]])&gt;=0,Table1[[#This Row],["Volume
BA MC-0"]]-Table1[[#This Row],[Total Panjang Pipa Aktual
(Sum-&gt;)3]]-Table1[[#This Row],[Total Volume
tidak dapat dipasang]],0)</f>
        <v>0</v>
      </c>
      <c r="CK118" s="42"/>
      <c r="CL118" s="113"/>
      <c r="CM118" s="35"/>
      <c r="CN118" s="113"/>
      <c r="CO118" s="113"/>
      <c r="CP1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8" s="61">
        <f>IFERROR(Table1[[#This Row],[Progres Keg. Umum
(%)]]*Table1[[#This Row],[Nilai RAB Jaringan
(file pa aji)]],0)</f>
        <v>0</v>
      </c>
      <c r="CR118" s="61">
        <f>IFERROR(Table1[[#This Row],[Progres MOS
(%)]]*Table1[[#This Row],[Nilai RAB Jaringan
(file pa aji)]],0)</f>
        <v>0</v>
      </c>
      <c r="CS118" s="61">
        <f>IFERROR(Table1[[#This Row],[Progres Pemasangan
(%)]]*Table1[[#This Row],[Nilai RAB Jaringan
(file pa aji)]],0)</f>
        <v>0</v>
      </c>
      <c r="CT118" s="61">
        <f>IFERROR(Table1[[#This Row],[Progres Perizinan
(%)]]*Table1[[#This Row],[Nilai RAB Jaringan
(file pa aji)]],0)</f>
        <v>0</v>
      </c>
      <c r="CU118" s="789">
        <v>541719069</v>
      </c>
      <c r="CV118" s="299">
        <v>541719069</v>
      </c>
      <c r="CW118" s="552">
        <v>541719069</v>
      </c>
      <c r="CX118" s="789">
        <f>_xlfn.XLOOKUP(Table1[[#This Row],[Kode Program]],'[1]Breakdown VOWD Greenfield'!$E:$E,'[1]Breakdown VOWD Greenfield'!$AT:$AT)</f>
        <v>541719069</v>
      </c>
      <c r="CY118" s="42"/>
      <c r="CZ118" s="300">
        <v>45530</v>
      </c>
      <c r="DA118" s="300">
        <v>45543</v>
      </c>
      <c r="DB118" s="301"/>
      <c r="DC118" s="286"/>
      <c r="DD118" s="62"/>
      <c r="DE1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8" s="301"/>
      <c r="DG118" s="286"/>
      <c r="DH118" s="62"/>
      <c r="DI1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8" s="300">
        <v>45544</v>
      </c>
      <c r="DK118" s="300">
        <v>45592</v>
      </c>
      <c r="DL118" s="301">
        <v>45542</v>
      </c>
      <c r="DM118" s="395" t="s">
        <v>829</v>
      </c>
      <c r="DN1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18" s="301">
        <v>45985</v>
      </c>
      <c r="DP118" s="396" t="s">
        <v>830</v>
      </c>
      <c r="DQ118" s="308" t="s">
        <v>344</v>
      </c>
      <c r="DR1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18" s="300">
        <v>45544</v>
      </c>
      <c r="DT118" s="300" t="e">
        <v>#N/A</v>
      </c>
      <c r="DU118" s="300">
        <v>45571</v>
      </c>
      <c r="DV118" s="300" t="e">
        <v>#N/A</v>
      </c>
      <c r="DW118" s="301"/>
      <c r="DX118" s="286"/>
      <c r="DY118" s="304"/>
      <c r="DZ118" s="304"/>
      <c r="EA1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8" s="301"/>
      <c r="EC118" s="302"/>
      <c r="ED118" s="302"/>
      <c r="EE118" s="300"/>
      <c r="EF118" s="35">
        <v>1</v>
      </c>
      <c r="EG118" s="307">
        <v>1</v>
      </c>
      <c r="EH118" s="286" t="str">
        <f>IF(Table1[[#This Row],[PO Material Aktual 
(%)]]&gt;=100%,"Selesai PO = 100%",IF(Table1[[#This Row],[PO Material Aktual 
(%)]]&gt;=50%,"Proses PO &gt; 100%",IF(Table1[[#This Row],[PO Material Aktual 
(%)]]&gt;0%,"Proses PO &gt; 50%",IF(Table1[[#This Row],[PO Material Aktual 
(%)]]=0,"Belum PO = 0%"))))</f>
        <v>Selesai PO = 100%</v>
      </c>
      <c r="EI1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8" s="300">
        <v>45572</v>
      </c>
      <c r="EK118" s="300" t="e">
        <v>#N/A</v>
      </c>
      <c r="EL118" s="300">
        <v>45620</v>
      </c>
      <c r="EM118" s="300" t="e">
        <v>#N/A</v>
      </c>
      <c r="EN118" s="301">
        <v>45786</v>
      </c>
      <c r="EO118" s="302"/>
      <c r="EP118" s="302"/>
      <c r="EQ118" s="82">
        <v>1</v>
      </c>
      <c r="ER118" s="82">
        <v>1</v>
      </c>
      <c r="ES118" s="286" t="str">
        <f>IF(Table1[[#This Row],[Progres MOS]]&gt;=100%,"Selesai MOS = 100%",IF(Table1[[#This Row],[Progres MOS]]&gt;=50%,"Proses MOS &gt; 100%",IF(Table1[[#This Row],[Progres MOS]]&gt;0%,"Proses MOS &gt; 50%",IF(Table1[[#This Row],[Progres MOS]]=0,"Belum MOS = 0%"))))</f>
        <v>Selesai MOS = 100%</v>
      </c>
      <c r="ET1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8" s="42"/>
      <c r="EV118" s="300">
        <v>45544</v>
      </c>
      <c r="EW118" s="300" t="e">
        <v>#N/A</v>
      </c>
      <c r="EX118" s="300">
        <v>45620</v>
      </c>
      <c r="EY118" s="300" t="e">
        <v>#N/A</v>
      </c>
      <c r="EZ118" s="322" t="s">
        <v>298</v>
      </c>
      <c r="FA118" s="306" t="s">
        <v>259</v>
      </c>
      <c r="FB118" s="300" t="s">
        <v>260</v>
      </c>
      <c r="FC118" s="300">
        <v>45799</v>
      </c>
      <c r="FD118" s="300" t="s">
        <v>260</v>
      </c>
      <c r="FE118" s="300">
        <v>45875</v>
      </c>
      <c r="FF118" s="300">
        <v>45929</v>
      </c>
      <c r="FG118" s="300" t="s">
        <v>260</v>
      </c>
      <c r="FH118" s="300" t="s">
        <v>260</v>
      </c>
      <c r="FI118" s="300">
        <v>46021</v>
      </c>
      <c r="FJ118" s="300" t="s">
        <v>260</v>
      </c>
      <c r="FK118" s="300">
        <v>46087</v>
      </c>
      <c r="FL118" s="306" t="s">
        <v>298</v>
      </c>
      <c r="FM118" s="306">
        <v>45799</v>
      </c>
      <c r="FN118" s="284">
        <f>IF(Table1[[#This Row],[Tanggal Pengajuan Dokumen]]="","",Table1[[#This Row],[PLAN PERMIT
start]]-Table1[[#This Row],[Tanggal Pengajuan Dokumen]])</f>
        <v>-255</v>
      </c>
      <c r="FO118" s="306"/>
      <c r="FP118" s="286"/>
      <c r="FQ118" s="308"/>
      <c r="FR118" s="322"/>
      <c r="FS118" s="308" t="str">
        <f t="shared" si="8"/>
        <v>Sudah Terbit</v>
      </c>
      <c r="FT1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8" s="314">
        <f ca="1">IF(Table1[[#This Row],[Status Izin]]="Selesai",Table1[[#This Row],[PLAN PERMIT
finish]]-Table1[[#This Row],[Tanggal Terbit/ Target Izin Terbit]],ROUNDUP(Table1[[#This Row],[PLAN PERMIT
finish]]-NOW(),0))</f>
        <v>45620</v>
      </c>
      <c r="FV1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8" s="314"/>
      <c r="FX118" s="42"/>
      <c r="FY118" s="310"/>
      <c r="FZ118" s="311"/>
      <c r="GA1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8" s="300">
        <v>45594</v>
      </c>
      <c r="GC118" s="322">
        <v>45610</v>
      </c>
      <c r="GD1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8" s="300">
        <v>45601</v>
      </c>
      <c r="GF118" s="322">
        <v>45610</v>
      </c>
      <c r="GG1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8" s="300">
        <v>45607</v>
      </c>
      <c r="GI118" s="300">
        <v>45613</v>
      </c>
      <c r="GJ118" s="322">
        <v>45553</v>
      </c>
      <c r="GK1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8" s="300">
        <v>45621</v>
      </c>
      <c r="GM118" s="300" t="e">
        <v>#N/A</v>
      </c>
      <c r="GN118" s="300">
        <v>45641</v>
      </c>
      <c r="GO118" s="300" t="e">
        <v>#N/A</v>
      </c>
      <c r="GP118" s="286"/>
      <c r="GQ1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8" s="300" t="s">
        <v>261</v>
      </c>
      <c r="GS118" s="391" t="s">
        <v>261</v>
      </c>
      <c r="GT118" s="397" t="s">
        <v>831</v>
      </c>
      <c r="GU118" s="393" t="str">
        <f>IF(Table1[[#This Row],[Hydro Tes Actual
(tanggal)]]&lt;&gt;"","Sudah","Belum")</f>
        <v>Sudah</v>
      </c>
      <c r="GV118" s="300" t="s">
        <v>261</v>
      </c>
      <c r="GW118" s="300" t="s">
        <v>261</v>
      </c>
      <c r="GX118" s="301"/>
      <c r="GY118" s="314" t="str">
        <f>IF(Table1[[#This Row],[Interkoneksi Actual
(tanggal)]]&lt;&gt;"","Sudah","Belum")</f>
        <v>Belum</v>
      </c>
      <c r="GZ118" s="300" t="s">
        <v>261</v>
      </c>
      <c r="HA118" s="391" t="s">
        <v>261</v>
      </c>
      <c r="HB118" s="394">
        <v>45666</v>
      </c>
      <c r="HC118" s="314" t="str">
        <f>IF(Table1[[#This Row],[Flushing Actual
(tanggal)]]&lt;&gt;"","Sudah","Belum")</f>
        <v>Sudah</v>
      </c>
      <c r="HD118" s="300">
        <v>45628</v>
      </c>
      <c r="HE118" s="300" t="e">
        <v>#N/A</v>
      </c>
      <c r="HF118" s="300">
        <v>45634</v>
      </c>
      <c r="HG118" s="322">
        <v>45671</v>
      </c>
      <c r="HH1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8" s="300" t="s">
        <v>261</v>
      </c>
      <c r="HJ118" s="300" t="s">
        <v>261</v>
      </c>
      <c r="HK118" s="301"/>
      <c r="HL118" s="286"/>
      <c r="HM118" s="300">
        <v>45646</v>
      </c>
      <c r="HN118" s="300">
        <v>45646</v>
      </c>
      <c r="HO118" s="300" t="e">
        <v>#N/A</v>
      </c>
      <c r="HP118" s="300"/>
      <c r="HQ118" s="301">
        <v>45733</v>
      </c>
      <c r="HR1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8" s="300">
        <v>45653</v>
      </c>
      <c r="HT118" s="300"/>
      <c r="HU118" s="300">
        <v>45653</v>
      </c>
      <c r="HV118" s="497"/>
      <c r="HW118" s="300">
        <v>45745</v>
      </c>
      <c r="HX1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8" s="42"/>
      <c r="HZ118" s="322"/>
      <c r="IA118" s="306"/>
      <c r="IC118" s="585">
        <f>IFERROR(ROUND((Table1[[#This Row],[PLAN TC
finish]]-Table1[[#This Row],[PLAN MC-0
start]])/30,2),"")</f>
        <v>0.9</v>
      </c>
      <c r="ID118">
        <f>DATEDIF(Table1[[#This Row],[PLAN MC-0
start]],Table1[[#This Row],[PLAN TC
finish]],"m")</f>
        <v>0</v>
      </c>
    </row>
    <row r="119" spans="1:238" s="4" customFormat="1" ht="15" customHeight="1" x14ac:dyDescent="0.25">
      <c r="B119" s="281">
        <f>SUBTOTAL(3,$D$5:D119)</f>
        <v>115</v>
      </c>
      <c r="C119" s="318">
        <v>115</v>
      </c>
      <c r="D119" s="285" t="s">
        <v>673</v>
      </c>
      <c r="E119" s="285" t="s">
        <v>832</v>
      </c>
      <c r="F119" s="285" t="s">
        <v>833</v>
      </c>
      <c r="G119" s="319">
        <v>45752</v>
      </c>
      <c r="H119" s="284" t="s">
        <v>247</v>
      </c>
      <c r="I119" s="285" t="s">
        <v>278</v>
      </c>
      <c r="J119" s="285"/>
      <c r="K119" s="308" t="s">
        <v>676</v>
      </c>
      <c r="L119" s="286" t="s">
        <v>250</v>
      </c>
      <c r="M119" s="286" t="s">
        <v>269</v>
      </c>
      <c r="N119" s="94">
        <v>225</v>
      </c>
      <c r="O119" s="31" t="s">
        <v>252</v>
      </c>
      <c r="P119"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19" s="82" t="e">
        <v>#N/A</v>
      </c>
      <c r="S119" s="82">
        <v>1</v>
      </c>
      <c r="T119" s="35">
        <f>Table1[[#This Row],[Progres Total Aktual
(%)]]</f>
        <v>1</v>
      </c>
      <c r="U119" s="106">
        <f>Table1[[#This Row],[Progres Aktual
(%)]]-Table1[[#This Row],[Target Progres
(%)]]</f>
        <v>0</v>
      </c>
      <c r="V119" s="320">
        <f>Table1[[#This Row],["Volume
BA MC-0"]]</f>
        <v>200</v>
      </c>
      <c r="W119" s="321">
        <f>Table1[[#This Row],[Total Panjang Pipa Aktual
(Sum-&gt;)3]]</f>
        <v>127</v>
      </c>
      <c r="X119" s="42"/>
      <c r="Y119" s="62" t="s">
        <v>834</v>
      </c>
      <c r="Z119" s="62">
        <v>391263647</v>
      </c>
      <c r="AA119" s="62">
        <f>ROUND((Table1[[#This Row],[Nilai RAB Jaringan
(Exclude Ppn)]]-Table1[[#This Row],[RAB Perizinan]])*1.11+Table1[[#This Row],[RAB Perizinan]],0)</f>
        <v>0</v>
      </c>
      <c r="AB119" s="290">
        <f>SUM(Table1[[#This Row],[RAB Kegiatan Umum]:[RAB Perizinan]])</f>
        <v>0</v>
      </c>
      <c r="AC119" s="290"/>
      <c r="AD119" s="290"/>
      <c r="AE119" s="290"/>
      <c r="AF119" s="290"/>
      <c r="AG119" s="290">
        <v>8198594</v>
      </c>
      <c r="AH119" s="35" t="e">
        <f>SUM(Table1[[#This Row],[Bobot Keg Umum]:[Bobot Perizinan]])</f>
        <v>#DIV/0!</v>
      </c>
      <c r="AI119" s="35" t="e">
        <f>Table1[[#This Row],[RAB Kegiatan Umum]]/Table1[[#This Row],[Nilai RAB Jaringan
(Exclude Ppn)]]</f>
        <v>#DIV/0!</v>
      </c>
      <c r="AJ119" s="35" t="e">
        <f>Table1[[#This Row],[RAB Pemasangan]]/Table1[[#This Row],[Nilai RAB Jaringan
(Exclude Ppn)]]</f>
        <v>#DIV/0!</v>
      </c>
      <c r="AK119" s="35" t="e">
        <f>Table1[[#This Row],[RAB Pengadaan]]/Table1[[#This Row],[Nilai RAB Jaringan
(Exclude Ppn)]]</f>
        <v>#DIV/0!</v>
      </c>
      <c r="AL119" s="35" t="e">
        <f>Table1[[#This Row],[RAB Perizinan]]/Table1[[#This Row],[Nilai RAB Jaringan
(Exclude Ppn)]]</f>
        <v>#DIV/0!</v>
      </c>
      <c r="AM119" s="42"/>
      <c r="AN119" s="256">
        <v>200</v>
      </c>
      <c r="AO119" s="256">
        <f>SUM(Table1[[#This Row],[Pipa 63 mm]:[Pipa 1,800 mm]])</f>
        <v>0</v>
      </c>
      <c r="AP119" s="256"/>
      <c r="AQ119" s="256"/>
      <c r="AR119" s="256"/>
      <c r="AS119" s="256"/>
      <c r="AT119" s="256"/>
      <c r="AU119" s="256"/>
      <c r="AV119" s="256"/>
      <c r="AW119" s="256"/>
      <c r="AX119" s="256"/>
      <c r="AY119" s="256"/>
      <c r="AZ119" s="256"/>
      <c r="BA119" s="256"/>
      <c r="BB119" s="256"/>
      <c r="BC119" s="256"/>
      <c r="BD119" s="256"/>
      <c r="BE119" s="256"/>
      <c r="BF119" s="256"/>
      <c r="BG119" s="256"/>
      <c r="BH119" s="256"/>
      <c r="BI119" s="256"/>
      <c r="BJ119" s="36">
        <f>SUM(Table1[[#This Row],[Pipa 63 mm2]:[Pipa 1,800 mm21]])</f>
        <v>127</v>
      </c>
      <c r="BK119" s="32">
        <v>127</v>
      </c>
      <c r="BL119" s="32"/>
      <c r="BM119" s="32"/>
      <c r="BN119" s="32"/>
      <c r="BO119" s="32"/>
      <c r="BP119" s="32"/>
      <c r="BQ119" s="32"/>
      <c r="BR119" s="32"/>
      <c r="BS119" s="32"/>
      <c r="BT119" s="32"/>
      <c r="BU119" s="32"/>
      <c r="BV119" s="32"/>
      <c r="BW119" s="32"/>
      <c r="BX119" s="32"/>
      <c r="BY119" s="32"/>
      <c r="BZ119" s="32"/>
      <c r="CA119" s="32"/>
      <c r="CB119" s="32"/>
      <c r="CC119" s="32"/>
      <c r="CD119" s="32"/>
      <c r="CE119" s="32">
        <v>0</v>
      </c>
      <c r="CF119" s="32"/>
      <c r="CG119" s="32"/>
      <c r="CH119" s="32"/>
      <c r="CI119" s="32">
        <f t="shared" si="6"/>
        <v>0</v>
      </c>
      <c r="CJ119" s="60">
        <f>IF((Table1[[#This Row],["Volume
BA MC-0"]]-Table1[[#This Row],[Total Panjang Pipa Aktual
(Sum-&gt;)3]]-Table1[[#This Row],[Total Volume
tidak dapat dipasang]])&gt;=0,Table1[[#This Row],["Volume
BA MC-0"]]-Table1[[#This Row],[Total Panjang Pipa Aktual
(Sum-&gt;)3]]-Table1[[#This Row],[Total Volume
tidak dapat dipasang]],0)</f>
        <v>73</v>
      </c>
      <c r="CK119" s="42"/>
      <c r="CL119" s="113"/>
      <c r="CM119" s="35"/>
      <c r="CN119" s="113"/>
      <c r="CO119" s="113"/>
      <c r="CP1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19" s="61">
        <f>IFERROR(Table1[[#This Row],[Progres Keg. Umum
(%)]]*Table1[[#This Row],[Nilai RAB Jaringan
(file pa aji)]],0)</f>
        <v>0</v>
      </c>
      <c r="CR119" s="61">
        <f>IFERROR(Table1[[#This Row],[Progres MOS
(%)]]*Table1[[#This Row],[Nilai RAB Jaringan
(file pa aji)]],0)</f>
        <v>0</v>
      </c>
      <c r="CS119" s="61">
        <f>IFERROR(Table1[[#This Row],[Progres Pemasangan
(%)]]*Table1[[#This Row],[Nilai RAB Jaringan
(file pa aji)]],0)</f>
        <v>0</v>
      </c>
      <c r="CT119" s="61">
        <f>IFERROR(Table1[[#This Row],[Progres Perizinan
(%)]]*Table1[[#This Row],[Nilai RAB Jaringan
(file pa aji)]],0)</f>
        <v>0</v>
      </c>
      <c r="CU119" s="789">
        <v>223427870</v>
      </c>
      <c r="CV119" s="299">
        <v>223427870</v>
      </c>
      <c r="CW119" s="552">
        <v>223427870</v>
      </c>
      <c r="CX119" s="789">
        <f>_xlfn.XLOOKUP(Table1[[#This Row],[Kode Program]],'[1]Breakdown VOWD Greenfield'!$E:$E,'[1]Breakdown VOWD Greenfield'!$AT:$AT)</f>
        <v>223427870</v>
      </c>
      <c r="CY119" s="42"/>
      <c r="CZ119" s="300">
        <v>45530</v>
      </c>
      <c r="DA119" s="300">
        <v>45543</v>
      </c>
      <c r="DB119" s="301"/>
      <c r="DC119" s="286"/>
      <c r="DD119" s="62"/>
      <c r="DE1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19" s="301"/>
      <c r="DG119" s="286"/>
      <c r="DH119" s="62"/>
      <c r="DI1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19" s="300">
        <v>45544</v>
      </c>
      <c r="DK119" s="300">
        <v>45592</v>
      </c>
      <c r="DL119" s="301">
        <v>45918</v>
      </c>
      <c r="DM119" s="395" t="s">
        <v>835</v>
      </c>
      <c r="DN1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19" s="301"/>
      <c r="DP119" s="286"/>
      <c r="DQ119" s="308" t="s">
        <v>783</v>
      </c>
      <c r="DR1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19" s="300">
        <v>45544</v>
      </c>
      <c r="DT119" s="300" t="e">
        <v>#N/A</v>
      </c>
      <c r="DU119" s="300">
        <v>45571</v>
      </c>
      <c r="DV119" s="300" t="e">
        <v>#N/A</v>
      </c>
      <c r="DW119" s="301"/>
      <c r="DX119" s="286"/>
      <c r="DY119" s="304"/>
      <c r="DZ119" s="304"/>
      <c r="EA1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19" s="301"/>
      <c r="EC119" s="302"/>
      <c r="ED119" s="302"/>
      <c r="EE119" s="300"/>
      <c r="EF119" s="35">
        <v>1</v>
      </c>
      <c r="EG119" s="307">
        <v>1</v>
      </c>
      <c r="EH119" s="286" t="str">
        <f>IF(Table1[[#This Row],[PO Material Aktual 
(%)]]&gt;=100%,"Selesai PO = 100%",IF(Table1[[#This Row],[PO Material Aktual 
(%)]]&gt;=50%,"Proses PO &gt; 100%",IF(Table1[[#This Row],[PO Material Aktual 
(%)]]&gt;0%,"Proses PO &gt; 50%",IF(Table1[[#This Row],[PO Material Aktual 
(%)]]=0,"Belum PO = 0%"))))</f>
        <v>Selesai PO = 100%</v>
      </c>
      <c r="EI1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19" s="300">
        <v>45572</v>
      </c>
      <c r="EK119" s="300" t="e">
        <v>#N/A</v>
      </c>
      <c r="EL119" s="300">
        <v>45620</v>
      </c>
      <c r="EM119" s="300" t="e">
        <v>#N/A</v>
      </c>
      <c r="EN119" s="301">
        <v>45682</v>
      </c>
      <c r="EO119" s="302"/>
      <c r="EP119" s="302"/>
      <c r="EQ119" s="82">
        <v>1</v>
      </c>
      <c r="ER119" s="82">
        <v>1</v>
      </c>
      <c r="ES119" s="286" t="str">
        <f>IF(Table1[[#This Row],[Progres MOS]]&gt;=100%,"Selesai MOS = 100%",IF(Table1[[#This Row],[Progres MOS]]&gt;=50%,"Proses MOS &gt; 100%",IF(Table1[[#This Row],[Progres MOS]]&gt;0%,"Proses MOS &gt; 50%",IF(Table1[[#This Row],[Progres MOS]]=0,"Belum MOS = 0%"))))</f>
        <v>Selesai MOS = 100%</v>
      </c>
      <c r="ET1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19" s="42"/>
      <c r="EV119" s="300">
        <v>45544</v>
      </c>
      <c r="EW119" s="300" t="e">
        <v>#N/A</v>
      </c>
      <c r="EX119" s="300">
        <v>45620</v>
      </c>
      <c r="EY119" s="300" t="e">
        <v>#N/A</v>
      </c>
      <c r="EZ119" s="322" t="s">
        <v>298</v>
      </c>
      <c r="FA119" s="306" t="s">
        <v>259</v>
      </c>
      <c r="FB119" s="300" t="s">
        <v>260</v>
      </c>
      <c r="FC119" s="300">
        <v>45799</v>
      </c>
      <c r="FD119" s="300" t="s">
        <v>260</v>
      </c>
      <c r="FE119" s="300">
        <v>45875</v>
      </c>
      <c r="FF119" s="300">
        <v>45929</v>
      </c>
      <c r="FG119" s="300" t="s">
        <v>260</v>
      </c>
      <c r="FH119" s="300" t="s">
        <v>260</v>
      </c>
      <c r="FI119" s="300">
        <v>46021</v>
      </c>
      <c r="FJ119" s="300" t="s">
        <v>260</v>
      </c>
      <c r="FK119" s="300">
        <v>46087</v>
      </c>
      <c r="FL119" s="306" t="s">
        <v>298</v>
      </c>
      <c r="FM119" s="306">
        <v>45799</v>
      </c>
      <c r="FN119" s="284">
        <f>IF(Table1[[#This Row],[Tanggal Pengajuan Dokumen]]="","",Table1[[#This Row],[PLAN PERMIT
start]]-Table1[[#This Row],[Tanggal Pengajuan Dokumen]])</f>
        <v>-255</v>
      </c>
      <c r="FO119" s="306"/>
      <c r="FP119" s="286"/>
      <c r="FQ119" s="308"/>
      <c r="FR119" s="322"/>
      <c r="FS119" s="308" t="str">
        <f t="shared" si="8"/>
        <v>Sudah Terbit</v>
      </c>
      <c r="FT1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19" s="314">
        <f ca="1">IF(Table1[[#This Row],[Status Izin]]="Selesai",Table1[[#This Row],[PLAN PERMIT
finish]]-Table1[[#This Row],[Tanggal Terbit/ Target Izin Terbit]],ROUNDUP(Table1[[#This Row],[PLAN PERMIT
finish]]-NOW(),0))</f>
        <v>45620</v>
      </c>
      <c r="FV1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19" s="314"/>
      <c r="FX119" s="42"/>
      <c r="FY119" s="310"/>
      <c r="FZ119" s="311"/>
      <c r="GA1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19" s="300">
        <v>45594</v>
      </c>
      <c r="GC119" s="322">
        <v>45610</v>
      </c>
      <c r="GD1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19" s="300">
        <v>45601</v>
      </c>
      <c r="GF119" s="322">
        <v>45610</v>
      </c>
      <c r="GG1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19" s="300">
        <v>45607</v>
      </c>
      <c r="GI119" s="300">
        <v>45613</v>
      </c>
      <c r="GJ119" s="322">
        <v>45553</v>
      </c>
      <c r="GK1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19" s="300">
        <v>45621</v>
      </c>
      <c r="GM119" s="300" t="e">
        <v>#N/A</v>
      </c>
      <c r="GN119" s="300">
        <v>45641</v>
      </c>
      <c r="GO119" s="300" t="e">
        <v>#N/A</v>
      </c>
      <c r="GP119" s="286"/>
      <c r="GQ1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19" s="300" t="s">
        <v>261</v>
      </c>
      <c r="GS119" s="391" t="s">
        <v>261</v>
      </c>
      <c r="GT119" s="397">
        <v>45635</v>
      </c>
      <c r="GU119" s="393" t="str">
        <f>IF(Table1[[#This Row],[Hydro Tes Actual
(tanggal)]]&lt;&gt;"","Sudah","Belum")</f>
        <v>Sudah</v>
      </c>
      <c r="GV119" s="300" t="s">
        <v>261</v>
      </c>
      <c r="GW119" s="300" t="s">
        <v>261</v>
      </c>
      <c r="GX119" s="301"/>
      <c r="GY119" s="314" t="str">
        <f>IF(Table1[[#This Row],[Interkoneksi Actual
(tanggal)]]&lt;&gt;"","Sudah","Belum")</f>
        <v>Belum</v>
      </c>
      <c r="GZ119" s="300" t="s">
        <v>261</v>
      </c>
      <c r="HA119" s="391" t="s">
        <v>261</v>
      </c>
      <c r="HB119" s="394">
        <v>45708</v>
      </c>
      <c r="HC119" s="314" t="str">
        <f>IF(Table1[[#This Row],[Flushing Actual
(tanggal)]]&lt;&gt;"","Sudah","Belum")</f>
        <v>Sudah</v>
      </c>
      <c r="HD119" s="300">
        <v>45628</v>
      </c>
      <c r="HE119" s="300" t="e">
        <v>#N/A</v>
      </c>
      <c r="HF119" s="300">
        <v>45634</v>
      </c>
      <c r="HG119" s="322">
        <v>45909</v>
      </c>
      <c r="HH1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19" s="300" t="s">
        <v>261</v>
      </c>
      <c r="HJ119" s="300" t="s">
        <v>261</v>
      </c>
      <c r="HK119" s="301"/>
      <c r="HL119" s="286"/>
      <c r="HM119" s="300">
        <v>45646</v>
      </c>
      <c r="HN119" s="300">
        <v>45646</v>
      </c>
      <c r="HO119" s="300" t="e">
        <v>#N/A</v>
      </c>
      <c r="HP119" s="300"/>
      <c r="HQ119" s="301">
        <v>45735</v>
      </c>
      <c r="HR1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19" s="300">
        <v>45653</v>
      </c>
      <c r="HT119" s="300"/>
      <c r="HU119" s="300">
        <v>45653</v>
      </c>
      <c r="HV119" s="497"/>
      <c r="HW119" s="300">
        <v>45745</v>
      </c>
      <c r="HX1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19" s="42"/>
      <c r="HZ119" s="322"/>
      <c r="IA119" s="306"/>
      <c r="IC119" s="585">
        <f>IFERROR(ROUND((Table1[[#This Row],[PLAN TC
finish]]-Table1[[#This Row],[PLAN MC-0
start]])/30,2),"")</f>
        <v>0.9</v>
      </c>
      <c r="ID119">
        <f>DATEDIF(Table1[[#This Row],[PLAN MC-0
start]],Table1[[#This Row],[PLAN TC
finish]],"m")</f>
        <v>0</v>
      </c>
    </row>
    <row r="120" spans="1:238" s="4" customFormat="1" ht="15" customHeight="1" x14ac:dyDescent="0.25">
      <c r="B120" s="281">
        <f>SUBTOTAL(3,$D$5:D120)</f>
        <v>116</v>
      </c>
      <c r="C120" s="318">
        <v>116</v>
      </c>
      <c r="D120" s="285" t="s">
        <v>673</v>
      </c>
      <c r="E120" s="285" t="s">
        <v>836</v>
      </c>
      <c r="F120" s="285" t="s">
        <v>837</v>
      </c>
      <c r="G120" s="319">
        <v>45752</v>
      </c>
      <c r="H120" s="284" t="s">
        <v>247</v>
      </c>
      <c r="I120" s="285" t="s">
        <v>278</v>
      </c>
      <c r="J120" s="285"/>
      <c r="K120" s="308" t="s">
        <v>676</v>
      </c>
      <c r="L120" s="286" t="s">
        <v>250</v>
      </c>
      <c r="M120" s="286" t="s">
        <v>269</v>
      </c>
      <c r="N120" s="94">
        <v>392</v>
      </c>
      <c r="O120" s="31" t="s">
        <v>252</v>
      </c>
      <c r="P120"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0" s="82" t="e">
        <v>#N/A</v>
      </c>
      <c r="S120" s="82">
        <v>1</v>
      </c>
      <c r="T120" s="35">
        <f>Table1[[#This Row],[Progres Total Aktual
(%)]]</f>
        <v>1</v>
      </c>
      <c r="U120" s="106">
        <f>Table1[[#This Row],[Progres Aktual
(%)]]-Table1[[#This Row],[Target Progres
(%)]]</f>
        <v>0</v>
      </c>
      <c r="V120" s="320">
        <f>Table1[[#This Row],["Volume
BA MC-0"]]</f>
        <v>382</v>
      </c>
      <c r="W120" s="321">
        <f>Table1[[#This Row],[Total Panjang Pipa Aktual
(Sum-&gt;)3]]</f>
        <v>348</v>
      </c>
      <c r="X120" s="42"/>
      <c r="Y120" s="62" t="s">
        <v>812</v>
      </c>
      <c r="Z120" s="62">
        <v>693319565</v>
      </c>
      <c r="AA120" s="62">
        <f>ROUND((Table1[[#This Row],[Nilai RAB Jaringan
(Exclude Ppn)]]-Table1[[#This Row],[RAB Perizinan]])*1.11+Table1[[#This Row],[RAB Perizinan]],0)</f>
        <v>0</v>
      </c>
      <c r="AB120" s="290">
        <f>SUM(Table1[[#This Row],[RAB Kegiatan Umum]:[RAB Perizinan]])</f>
        <v>0</v>
      </c>
      <c r="AC120" s="290"/>
      <c r="AD120" s="290"/>
      <c r="AE120" s="290"/>
      <c r="AF120" s="290"/>
      <c r="AG120" s="290">
        <v>2049649</v>
      </c>
      <c r="AH120" s="35" t="e">
        <f>SUM(Table1[[#This Row],[Bobot Keg Umum]:[Bobot Perizinan]])</f>
        <v>#DIV/0!</v>
      </c>
      <c r="AI120" s="35" t="e">
        <f>Table1[[#This Row],[RAB Kegiatan Umum]]/Table1[[#This Row],[Nilai RAB Jaringan
(Exclude Ppn)]]</f>
        <v>#DIV/0!</v>
      </c>
      <c r="AJ120" s="35" t="e">
        <f>Table1[[#This Row],[RAB Pemasangan]]/Table1[[#This Row],[Nilai RAB Jaringan
(Exclude Ppn)]]</f>
        <v>#DIV/0!</v>
      </c>
      <c r="AK120" s="35" t="e">
        <f>Table1[[#This Row],[RAB Pengadaan]]/Table1[[#This Row],[Nilai RAB Jaringan
(Exclude Ppn)]]</f>
        <v>#DIV/0!</v>
      </c>
      <c r="AL120" s="35" t="e">
        <f>Table1[[#This Row],[RAB Perizinan]]/Table1[[#This Row],[Nilai RAB Jaringan
(Exclude Ppn)]]</f>
        <v>#DIV/0!</v>
      </c>
      <c r="AM120" s="42"/>
      <c r="AN120" s="256">
        <v>382</v>
      </c>
      <c r="AO120" s="256">
        <f>SUM(Table1[[#This Row],[Pipa 63 mm]:[Pipa 1,800 mm]])</f>
        <v>0</v>
      </c>
      <c r="AP120" s="256"/>
      <c r="AQ120" s="256"/>
      <c r="AR120" s="256"/>
      <c r="AS120" s="256"/>
      <c r="AT120" s="256"/>
      <c r="AU120" s="256"/>
      <c r="AV120" s="256"/>
      <c r="AW120" s="256"/>
      <c r="AX120" s="256"/>
      <c r="AY120" s="256"/>
      <c r="AZ120" s="256"/>
      <c r="BA120" s="256"/>
      <c r="BB120" s="256"/>
      <c r="BC120" s="256"/>
      <c r="BD120" s="256"/>
      <c r="BE120" s="256"/>
      <c r="BF120" s="256"/>
      <c r="BG120" s="256"/>
      <c r="BH120" s="256"/>
      <c r="BI120" s="256"/>
      <c r="BJ120" s="36">
        <f>SUM(Table1[[#This Row],[Pipa 63 mm2]:[Pipa 1,800 mm21]])</f>
        <v>348</v>
      </c>
      <c r="BK120" s="32">
        <v>348</v>
      </c>
      <c r="BL120" s="32"/>
      <c r="BM120" s="32"/>
      <c r="BN120" s="32"/>
      <c r="BO120" s="32"/>
      <c r="BP120" s="32"/>
      <c r="BQ120" s="32"/>
      <c r="BR120" s="32"/>
      <c r="BS120" s="32"/>
      <c r="BT120" s="32"/>
      <c r="BU120" s="32"/>
      <c r="BV120" s="32"/>
      <c r="BW120" s="32"/>
      <c r="BX120" s="32"/>
      <c r="BY120" s="32"/>
      <c r="BZ120" s="32"/>
      <c r="CA120" s="32"/>
      <c r="CB120" s="32"/>
      <c r="CC120" s="32"/>
      <c r="CD120" s="32"/>
      <c r="CE120" s="32">
        <v>0</v>
      </c>
      <c r="CF120" s="32"/>
      <c r="CG120" s="32"/>
      <c r="CH120" s="32"/>
      <c r="CI120" s="32">
        <f t="shared" si="6"/>
        <v>0</v>
      </c>
      <c r="CJ120" s="60">
        <f>IF((Table1[[#This Row],["Volume
BA MC-0"]]-Table1[[#This Row],[Total Panjang Pipa Aktual
(Sum-&gt;)3]]-Table1[[#This Row],[Total Volume
tidak dapat dipasang]])&gt;=0,Table1[[#This Row],["Volume
BA MC-0"]]-Table1[[#This Row],[Total Panjang Pipa Aktual
(Sum-&gt;)3]]-Table1[[#This Row],[Total Volume
tidak dapat dipasang]],0)</f>
        <v>34</v>
      </c>
      <c r="CK120" s="42"/>
      <c r="CL120" s="113"/>
      <c r="CM120" s="35"/>
      <c r="CN120" s="113"/>
      <c r="CO120" s="113"/>
      <c r="CP1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0" s="61">
        <f>IFERROR(Table1[[#This Row],[Progres Keg. Umum
(%)]]*Table1[[#This Row],[Nilai RAB Jaringan
(file pa aji)]],0)</f>
        <v>0</v>
      </c>
      <c r="CR120" s="61">
        <f>IFERROR(Table1[[#This Row],[Progres MOS
(%)]]*Table1[[#This Row],[Nilai RAB Jaringan
(file pa aji)]],0)</f>
        <v>0</v>
      </c>
      <c r="CS120" s="61">
        <f>IFERROR(Table1[[#This Row],[Progres Pemasangan
(%)]]*Table1[[#This Row],[Nilai RAB Jaringan
(file pa aji)]],0)</f>
        <v>0</v>
      </c>
      <c r="CT120" s="61">
        <f>IFERROR(Table1[[#This Row],[Progres Perizinan
(%)]]*Table1[[#This Row],[Nilai RAB Jaringan
(file pa aji)]],0)</f>
        <v>0</v>
      </c>
      <c r="CU120" s="789">
        <v>620452381</v>
      </c>
      <c r="CV120" s="299">
        <v>620452381</v>
      </c>
      <c r="CW120" s="552">
        <v>620452381</v>
      </c>
      <c r="CX120" s="789">
        <f>_xlfn.XLOOKUP(Table1[[#This Row],[Kode Program]],'[1]Breakdown VOWD Greenfield'!$E:$E,'[1]Breakdown VOWD Greenfield'!$AT:$AT)</f>
        <v>620452381</v>
      </c>
      <c r="CY120" s="42"/>
      <c r="CZ120" s="300">
        <v>45530</v>
      </c>
      <c r="DA120" s="300">
        <v>45543</v>
      </c>
      <c r="DB120" s="301"/>
      <c r="DC120" s="286"/>
      <c r="DD120" s="62"/>
      <c r="DE1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0" s="301"/>
      <c r="DG120" s="286"/>
      <c r="DH120" s="62"/>
      <c r="DI1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0" s="300">
        <v>45544</v>
      </c>
      <c r="DK120" s="300">
        <v>45592</v>
      </c>
      <c r="DL120" s="301">
        <v>45542</v>
      </c>
      <c r="DM120" s="395" t="s">
        <v>838</v>
      </c>
      <c r="DN1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0" s="301">
        <v>45593</v>
      </c>
      <c r="DP120" s="396" t="s">
        <v>839</v>
      </c>
      <c r="DQ120" s="308" t="s">
        <v>762</v>
      </c>
      <c r="DR1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0" s="300">
        <v>45544</v>
      </c>
      <c r="DT120" s="300" t="e">
        <v>#N/A</v>
      </c>
      <c r="DU120" s="300">
        <v>45571</v>
      </c>
      <c r="DV120" s="300" t="e">
        <v>#N/A</v>
      </c>
      <c r="DW120" s="301"/>
      <c r="DX120" s="286"/>
      <c r="DY120" s="304"/>
      <c r="DZ120" s="304"/>
      <c r="EA1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0" s="301"/>
      <c r="EC120" s="302"/>
      <c r="ED120" s="302"/>
      <c r="EE120" s="300"/>
      <c r="EF120" s="35">
        <v>1</v>
      </c>
      <c r="EG120" s="307">
        <v>1</v>
      </c>
      <c r="EH120" s="286" t="str">
        <f>IF(Table1[[#This Row],[PO Material Aktual 
(%)]]&gt;=100%,"Selesai PO = 100%",IF(Table1[[#This Row],[PO Material Aktual 
(%)]]&gt;=50%,"Proses PO &gt; 100%",IF(Table1[[#This Row],[PO Material Aktual 
(%)]]&gt;0%,"Proses PO &gt; 50%",IF(Table1[[#This Row],[PO Material Aktual 
(%)]]=0,"Belum PO = 0%"))))</f>
        <v>Selesai PO = 100%</v>
      </c>
      <c r="EI1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0" s="300">
        <v>45572</v>
      </c>
      <c r="EK120" s="300" t="e">
        <v>#N/A</v>
      </c>
      <c r="EL120" s="300">
        <v>45620</v>
      </c>
      <c r="EM120" s="300" t="e">
        <v>#N/A</v>
      </c>
      <c r="EN120" s="301">
        <v>45764</v>
      </c>
      <c r="EO120" s="302"/>
      <c r="EP120" s="302"/>
      <c r="EQ120" s="82">
        <v>1</v>
      </c>
      <c r="ER120" s="82">
        <v>1</v>
      </c>
      <c r="ES120" s="286" t="str">
        <f>IF(Table1[[#This Row],[Progres MOS]]&gt;=100%,"Selesai MOS = 100%",IF(Table1[[#This Row],[Progres MOS]]&gt;=50%,"Proses MOS &gt; 100%",IF(Table1[[#This Row],[Progres MOS]]&gt;0%,"Proses MOS &gt; 50%",IF(Table1[[#This Row],[Progres MOS]]=0,"Belum MOS = 0%"))))</f>
        <v>Selesai MOS = 100%</v>
      </c>
      <c r="ET1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0" s="42"/>
      <c r="EV120" s="300">
        <v>45544</v>
      </c>
      <c r="EW120" s="300" t="e">
        <v>#N/A</v>
      </c>
      <c r="EX120" s="300">
        <v>45620</v>
      </c>
      <c r="EY120" s="300" t="e">
        <v>#N/A</v>
      </c>
      <c r="EZ120" s="322" t="s">
        <v>298</v>
      </c>
      <c r="FA120" s="306" t="s">
        <v>259</v>
      </c>
      <c r="FB120" s="300" t="s">
        <v>260</v>
      </c>
      <c r="FC120" s="300">
        <v>45799</v>
      </c>
      <c r="FD120" s="300" t="s">
        <v>260</v>
      </c>
      <c r="FE120" s="300">
        <v>45875</v>
      </c>
      <c r="FF120" s="300">
        <v>45929</v>
      </c>
      <c r="FG120" s="300" t="s">
        <v>260</v>
      </c>
      <c r="FH120" s="300" t="s">
        <v>260</v>
      </c>
      <c r="FI120" s="300">
        <v>46021</v>
      </c>
      <c r="FJ120" s="300" t="s">
        <v>260</v>
      </c>
      <c r="FK120" s="300">
        <v>46087</v>
      </c>
      <c r="FL120" s="306" t="s">
        <v>298</v>
      </c>
      <c r="FM120" s="306">
        <v>45799</v>
      </c>
      <c r="FN120" s="284">
        <f>IF(Table1[[#This Row],[Tanggal Pengajuan Dokumen]]="","",Table1[[#This Row],[PLAN PERMIT
start]]-Table1[[#This Row],[Tanggal Pengajuan Dokumen]])</f>
        <v>-255</v>
      </c>
      <c r="FO120" s="306"/>
      <c r="FP120" s="286"/>
      <c r="FQ120" s="308"/>
      <c r="FR120" s="322"/>
      <c r="FS120" s="308" t="str">
        <f t="shared" si="8"/>
        <v>Sudah Terbit</v>
      </c>
      <c r="FT1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0" s="314">
        <f ca="1">IF(Table1[[#This Row],[Status Izin]]="Selesai",Table1[[#This Row],[PLAN PERMIT
finish]]-Table1[[#This Row],[Tanggal Terbit/ Target Izin Terbit]],ROUNDUP(Table1[[#This Row],[PLAN PERMIT
finish]]-NOW(),0))</f>
        <v>45620</v>
      </c>
      <c r="FV1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0" s="314"/>
      <c r="FX120" s="42"/>
      <c r="FY120" s="310"/>
      <c r="FZ120" s="311"/>
      <c r="GA1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0" s="300">
        <v>45594</v>
      </c>
      <c r="GC120" s="322">
        <v>45610</v>
      </c>
      <c r="GD1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0" s="300">
        <v>45601</v>
      </c>
      <c r="GF120" s="322">
        <v>45610</v>
      </c>
      <c r="GG1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0" s="300">
        <v>45607</v>
      </c>
      <c r="GI120" s="300">
        <v>45613</v>
      </c>
      <c r="GJ120" s="322">
        <v>45552</v>
      </c>
      <c r="GK1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0" s="300">
        <v>45621</v>
      </c>
      <c r="GM120" s="300" t="e">
        <v>#N/A</v>
      </c>
      <c r="GN120" s="300">
        <v>45641</v>
      </c>
      <c r="GO120" s="300" t="e">
        <v>#N/A</v>
      </c>
      <c r="GP120" s="286"/>
      <c r="GQ1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0" s="300" t="s">
        <v>261</v>
      </c>
      <c r="GS120" s="391" t="s">
        <v>261</v>
      </c>
      <c r="GT120" s="397">
        <v>45667</v>
      </c>
      <c r="GU120" s="393" t="str">
        <f>IF(Table1[[#This Row],[Hydro Tes Actual
(tanggal)]]&lt;&gt;"","Sudah","Belum")</f>
        <v>Sudah</v>
      </c>
      <c r="GV120" s="300" t="s">
        <v>261</v>
      </c>
      <c r="GW120" s="300" t="s">
        <v>261</v>
      </c>
      <c r="GX120" s="301"/>
      <c r="GY120" s="314" t="str">
        <f>IF(Table1[[#This Row],[Interkoneksi Actual
(tanggal)]]&lt;&gt;"","Sudah","Belum")</f>
        <v>Belum</v>
      </c>
      <c r="GZ120" s="300" t="s">
        <v>261</v>
      </c>
      <c r="HA120" s="391" t="s">
        <v>261</v>
      </c>
      <c r="HB120" s="394">
        <v>45668</v>
      </c>
      <c r="HC120" s="314" t="str">
        <f>IF(Table1[[#This Row],[Flushing Actual
(tanggal)]]&lt;&gt;"","Sudah","Belum")</f>
        <v>Sudah</v>
      </c>
      <c r="HD120" s="300">
        <v>45628</v>
      </c>
      <c r="HE120" s="300" t="e">
        <v>#N/A</v>
      </c>
      <c r="HF120" s="300">
        <v>45634</v>
      </c>
      <c r="HG120" s="322">
        <v>45824</v>
      </c>
      <c r="HH1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0" s="300" t="s">
        <v>261</v>
      </c>
      <c r="HJ120" s="300" t="s">
        <v>261</v>
      </c>
      <c r="HK120" s="301"/>
      <c r="HL120" s="286"/>
      <c r="HM120" s="300">
        <v>45646</v>
      </c>
      <c r="HN120" s="300">
        <v>45646</v>
      </c>
      <c r="HO120" s="300" t="e">
        <v>#N/A</v>
      </c>
      <c r="HP120" s="300"/>
      <c r="HQ120" s="301">
        <v>45734</v>
      </c>
      <c r="HR1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0" s="300">
        <v>45653</v>
      </c>
      <c r="HT120" s="300"/>
      <c r="HU120" s="300">
        <v>45653</v>
      </c>
      <c r="HV120" s="497"/>
      <c r="HW120" s="300">
        <v>45745</v>
      </c>
      <c r="HX1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0" s="42"/>
      <c r="HZ120" s="322"/>
      <c r="IA120" s="306"/>
      <c r="IC120" s="585">
        <f>IFERROR(ROUND((Table1[[#This Row],[PLAN TC
finish]]-Table1[[#This Row],[PLAN MC-0
start]])/30,2),"")</f>
        <v>0.9</v>
      </c>
      <c r="ID120">
        <f>DATEDIF(Table1[[#This Row],[PLAN MC-0
start]],Table1[[#This Row],[PLAN TC
finish]],"m")</f>
        <v>0</v>
      </c>
    </row>
    <row r="121" spans="1:238" s="4" customFormat="1" ht="15" customHeight="1" x14ac:dyDescent="0.25">
      <c r="B121" s="281">
        <f>SUBTOTAL(3,$D$5:D121)</f>
        <v>117</v>
      </c>
      <c r="C121" s="318">
        <v>117</v>
      </c>
      <c r="D121" s="285" t="s">
        <v>673</v>
      </c>
      <c r="E121" s="285" t="s">
        <v>840</v>
      </c>
      <c r="F121" s="285" t="s">
        <v>841</v>
      </c>
      <c r="G121" s="319">
        <v>45752</v>
      </c>
      <c r="H121" s="284" t="s">
        <v>247</v>
      </c>
      <c r="I121" s="285" t="s">
        <v>278</v>
      </c>
      <c r="J121" s="388"/>
      <c r="K121" s="308" t="s">
        <v>676</v>
      </c>
      <c r="L121" s="286" t="s">
        <v>250</v>
      </c>
      <c r="M121" s="286" t="s">
        <v>269</v>
      </c>
      <c r="N121" s="94">
        <v>1558</v>
      </c>
      <c r="O121" s="31" t="s">
        <v>252</v>
      </c>
      <c r="P121"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1" s="82" t="e">
        <v>#N/A</v>
      </c>
      <c r="S121" s="82">
        <v>1</v>
      </c>
      <c r="T121" s="35">
        <f>Table1[[#This Row],[Progres Total Aktual
(%)]]</f>
        <v>1</v>
      </c>
      <c r="U121" s="106">
        <f>Table1[[#This Row],[Progres Aktual
(%)]]-Table1[[#This Row],[Target Progres
(%)]]</f>
        <v>0</v>
      </c>
      <c r="V121" s="320">
        <f>Table1[[#This Row],["Volume
BA MC-0"]]</f>
        <v>1471</v>
      </c>
      <c r="W121" s="321">
        <f>Table1[[#This Row],[Total Panjang Pipa Aktual
(Sum-&gt;)3]]</f>
        <v>1280</v>
      </c>
      <c r="X121" s="42"/>
      <c r="Y121" s="62" t="s">
        <v>842</v>
      </c>
      <c r="Z121" s="62">
        <v>6322734382</v>
      </c>
      <c r="AA121" s="62">
        <f>ROUND((Table1[[#This Row],[Nilai RAB Jaringan
(Exclude Ppn)]]-Table1[[#This Row],[RAB Perizinan]])*1.11+Table1[[#This Row],[RAB Perizinan]],0)</f>
        <v>0</v>
      </c>
      <c r="AB121" s="290">
        <f>SUM(Table1[[#This Row],[RAB Kegiatan Umum]:[RAB Perizinan]])</f>
        <v>0</v>
      </c>
      <c r="AC121" s="290"/>
      <c r="AD121" s="290"/>
      <c r="AE121" s="290"/>
      <c r="AF121" s="290"/>
      <c r="AG121" s="290">
        <v>0</v>
      </c>
      <c r="AH121" s="35" t="e">
        <f>SUM(Table1[[#This Row],[Bobot Keg Umum]:[Bobot Perizinan]])</f>
        <v>#DIV/0!</v>
      </c>
      <c r="AI121" s="35" t="e">
        <f>Table1[[#This Row],[RAB Kegiatan Umum]]/Table1[[#This Row],[Nilai RAB Jaringan
(Exclude Ppn)]]</f>
        <v>#DIV/0!</v>
      </c>
      <c r="AJ121" s="35" t="e">
        <f>Table1[[#This Row],[RAB Pemasangan]]/Table1[[#This Row],[Nilai RAB Jaringan
(Exclude Ppn)]]</f>
        <v>#DIV/0!</v>
      </c>
      <c r="AK121" s="35" t="e">
        <f>Table1[[#This Row],[RAB Pengadaan]]/Table1[[#This Row],[Nilai RAB Jaringan
(Exclude Ppn)]]</f>
        <v>#DIV/0!</v>
      </c>
      <c r="AL121" s="35" t="e">
        <f>Table1[[#This Row],[RAB Perizinan]]/Table1[[#This Row],[Nilai RAB Jaringan
(Exclude Ppn)]]</f>
        <v>#DIV/0!</v>
      </c>
      <c r="AM121" s="42"/>
      <c r="AN121" s="256">
        <v>1471</v>
      </c>
      <c r="AO121" s="256">
        <f>SUM(Table1[[#This Row],[Pipa 63 mm]:[Pipa 1,800 mm]])</f>
        <v>0</v>
      </c>
      <c r="AP121" s="256"/>
      <c r="AQ121" s="256"/>
      <c r="AR121" s="256"/>
      <c r="AS121" s="256"/>
      <c r="AT121" s="256"/>
      <c r="AU121" s="256"/>
      <c r="AV121" s="256"/>
      <c r="AW121" s="256"/>
      <c r="AX121" s="256"/>
      <c r="AY121" s="256"/>
      <c r="AZ121" s="256"/>
      <c r="BA121" s="256"/>
      <c r="BB121" s="256"/>
      <c r="BC121" s="256"/>
      <c r="BD121" s="256"/>
      <c r="BE121" s="256"/>
      <c r="BF121" s="256"/>
      <c r="BG121" s="256"/>
      <c r="BH121" s="256"/>
      <c r="BI121" s="256"/>
      <c r="BJ121" s="36">
        <f>SUM(Table1[[#This Row],[Pipa 63 mm2]:[Pipa 1,800 mm21]])</f>
        <v>1280</v>
      </c>
      <c r="BK121" s="32"/>
      <c r="BL121" s="32"/>
      <c r="BM121" s="32"/>
      <c r="BN121" s="32">
        <v>160</v>
      </c>
      <c r="BO121" s="32"/>
      <c r="BP121" s="32">
        <f>1020+100</f>
        <v>1120</v>
      </c>
      <c r="BQ121" s="32"/>
      <c r="BR121" s="32"/>
      <c r="BS121" s="32"/>
      <c r="BT121" s="32"/>
      <c r="BU121" s="32"/>
      <c r="BV121" s="32"/>
      <c r="BW121" s="32"/>
      <c r="BX121" s="32"/>
      <c r="BY121" s="32"/>
      <c r="BZ121" s="32"/>
      <c r="CA121" s="32"/>
      <c r="CB121" s="32"/>
      <c r="CC121" s="32"/>
      <c r="CD121" s="32"/>
      <c r="CE121" s="32">
        <v>1471</v>
      </c>
      <c r="CF121" s="32"/>
      <c r="CG121" s="32"/>
      <c r="CH121" s="32"/>
      <c r="CI121" s="32">
        <f t="shared" si="6"/>
        <v>1471</v>
      </c>
      <c r="CJ121" s="60">
        <f>IF((Table1[[#This Row],["Volume
BA MC-0"]]-Table1[[#This Row],[Total Panjang Pipa Aktual
(Sum-&gt;)3]]-Table1[[#This Row],[Total Volume
tidak dapat dipasang]])&gt;=0,Table1[[#This Row],["Volume
BA MC-0"]]-Table1[[#This Row],[Total Panjang Pipa Aktual
(Sum-&gt;)3]]-Table1[[#This Row],[Total Volume
tidak dapat dipasang]],0)</f>
        <v>0</v>
      </c>
      <c r="CK121" s="42"/>
      <c r="CL121" s="113"/>
      <c r="CM121" s="35"/>
      <c r="CN121" s="113"/>
      <c r="CO121" s="113"/>
      <c r="CP1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1" s="61">
        <f>IFERROR(Table1[[#This Row],[Progres Keg. Umum
(%)]]*Table1[[#This Row],[Nilai RAB Jaringan
(file pa aji)]],0)</f>
        <v>0</v>
      </c>
      <c r="CR121" s="61">
        <f>IFERROR(Table1[[#This Row],[Progres MOS
(%)]]*Table1[[#This Row],[Nilai RAB Jaringan
(file pa aji)]],0)</f>
        <v>0</v>
      </c>
      <c r="CS121" s="61">
        <f>IFERROR(Table1[[#This Row],[Progres Pemasangan
(%)]]*Table1[[#This Row],[Nilai RAB Jaringan
(file pa aji)]],0)</f>
        <v>0</v>
      </c>
      <c r="CT121" s="61">
        <f>IFERROR(Table1[[#This Row],[Progres Perizinan
(%)]]*Table1[[#This Row],[Nilai RAB Jaringan
(file pa aji)]],0)</f>
        <v>0</v>
      </c>
      <c r="CU121" s="789">
        <v>5070043864</v>
      </c>
      <c r="CV121" s="299">
        <v>5070043864</v>
      </c>
      <c r="CW121" s="552">
        <v>5070043864</v>
      </c>
      <c r="CX121" s="789">
        <f>_xlfn.XLOOKUP(Table1[[#This Row],[Kode Program]],'[1]Breakdown VOWD Greenfield'!$E:$E,'[1]Breakdown VOWD Greenfield'!$AT:$AT)</f>
        <v>5070043864</v>
      </c>
      <c r="CY121" s="42"/>
      <c r="CZ121" s="300">
        <v>45474</v>
      </c>
      <c r="DA121" s="300">
        <v>45487</v>
      </c>
      <c r="DB121" s="301"/>
      <c r="DC121" s="286"/>
      <c r="DD121" s="62"/>
      <c r="DE1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1" s="301"/>
      <c r="DG121" s="286"/>
      <c r="DH121" s="62"/>
      <c r="DI1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1" s="300">
        <v>45488</v>
      </c>
      <c r="DK121" s="300">
        <v>45536</v>
      </c>
      <c r="DL121" s="301">
        <v>45530</v>
      </c>
      <c r="DM121" s="395" t="s">
        <v>843</v>
      </c>
      <c r="DN1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1" s="301">
        <v>45616</v>
      </c>
      <c r="DP121" s="396" t="s">
        <v>844</v>
      </c>
      <c r="DQ121" s="308" t="s">
        <v>297</v>
      </c>
      <c r="DR1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1" s="300">
        <v>45488</v>
      </c>
      <c r="DT121" s="300" t="e">
        <v>#N/A</v>
      </c>
      <c r="DU121" s="300">
        <v>45515</v>
      </c>
      <c r="DV121" s="300" t="e">
        <v>#N/A</v>
      </c>
      <c r="DW121" s="301"/>
      <c r="DX121" s="286"/>
      <c r="DY121" s="304"/>
      <c r="DZ121" s="304"/>
      <c r="EA1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1" s="301"/>
      <c r="EC121" s="302"/>
      <c r="ED121" s="302"/>
      <c r="EE121" s="300"/>
      <c r="EF121" s="35">
        <v>1</v>
      </c>
      <c r="EG121" s="307">
        <v>1</v>
      </c>
      <c r="EH121" s="286" t="str">
        <f>IF(Table1[[#This Row],[PO Material Aktual 
(%)]]&gt;=100%,"Selesai PO = 100%",IF(Table1[[#This Row],[PO Material Aktual 
(%)]]&gt;=50%,"Proses PO &gt; 100%",IF(Table1[[#This Row],[PO Material Aktual 
(%)]]&gt;0%,"Proses PO &gt; 50%",IF(Table1[[#This Row],[PO Material Aktual 
(%)]]=0,"Belum PO = 0%"))))</f>
        <v>Selesai PO = 100%</v>
      </c>
      <c r="EI1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1" s="300">
        <v>45516</v>
      </c>
      <c r="EK121" s="300" t="e">
        <v>#N/A</v>
      </c>
      <c r="EL121" s="300">
        <v>45571</v>
      </c>
      <c r="EM121" s="300" t="e">
        <v>#N/A</v>
      </c>
      <c r="EN121" s="301">
        <v>46149</v>
      </c>
      <c r="EO121" s="302"/>
      <c r="EP121" s="302"/>
      <c r="EQ121" s="82">
        <v>1</v>
      </c>
      <c r="ER121" s="82">
        <v>1</v>
      </c>
      <c r="ES121" s="286" t="str">
        <f>IF(Table1[[#This Row],[Progres MOS]]&gt;=100%,"Selesai MOS = 100%",IF(Table1[[#This Row],[Progres MOS]]&gt;=50%,"Proses MOS &gt; 100%",IF(Table1[[#This Row],[Progres MOS]]&gt;0%,"Proses MOS &gt; 50%",IF(Table1[[#This Row],[Progres MOS]]=0,"Belum MOS = 0%"))))</f>
        <v>Selesai MOS = 100%</v>
      </c>
      <c r="ET1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1" s="42"/>
      <c r="EV121" s="300">
        <v>45488</v>
      </c>
      <c r="EW121" s="300" t="e">
        <v>#N/A</v>
      </c>
      <c r="EX121" s="300">
        <v>45564</v>
      </c>
      <c r="EY121" s="300" t="e">
        <v>#N/A</v>
      </c>
      <c r="EZ121" s="322" t="s">
        <v>259</v>
      </c>
      <c r="FA121" s="306" t="s">
        <v>259</v>
      </c>
      <c r="FB121" s="300" t="s">
        <v>260</v>
      </c>
      <c r="FC121" s="300">
        <v>45114</v>
      </c>
      <c r="FD121" s="300" t="s">
        <v>260</v>
      </c>
      <c r="FE121" s="300"/>
      <c r="FF121" s="300">
        <v>45139</v>
      </c>
      <c r="FG121" s="300" t="s">
        <v>260</v>
      </c>
      <c r="FH121" s="300" t="s">
        <v>260</v>
      </c>
      <c r="FI121" s="300">
        <v>45189</v>
      </c>
      <c r="FJ121" s="300" t="s">
        <v>260</v>
      </c>
      <c r="FK121" s="300">
        <v>45349</v>
      </c>
      <c r="FL121" s="306" t="s">
        <v>259</v>
      </c>
      <c r="FM121" s="306">
        <v>45114</v>
      </c>
      <c r="FN121" s="284">
        <f>IF(Table1[[#This Row],[Tanggal Pengajuan Dokumen]]="","",Table1[[#This Row],[PLAN PERMIT
start]]-Table1[[#This Row],[Tanggal Pengajuan Dokumen]])</f>
        <v>374</v>
      </c>
      <c r="FO121" s="306">
        <v>45349</v>
      </c>
      <c r="FP121" s="286"/>
      <c r="FQ121" s="308"/>
      <c r="FR121" s="322"/>
      <c r="FS121" s="308" t="str">
        <f t="shared" si="8"/>
        <v>Sudah Terbit</v>
      </c>
      <c r="FT1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1" s="314">
        <f ca="1">IF(Table1[[#This Row],[Status Izin]]="Selesai",Table1[[#This Row],[PLAN PERMIT
finish]]-Table1[[#This Row],[Tanggal Terbit/ Target Izin Terbit]],ROUNDUP(Table1[[#This Row],[PLAN PERMIT
finish]]-NOW(),0))</f>
        <v>215</v>
      </c>
      <c r="FV1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1" s="314"/>
      <c r="FX121" s="42"/>
      <c r="FY121" s="310"/>
      <c r="FZ121" s="311"/>
      <c r="GA1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1" s="300">
        <v>45538</v>
      </c>
      <c r="GC121" s="322">
        <v>45260</v>
      </c>
      <c r="GD1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1" s="300">
        <v>45545</v>
      </c>
      <c r="GF121" s="322">
        <v>45260</v>
      </c>
      <c r="GG1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1" s="300">
        <v>45551</v>
      </c>
      <c r="GI121" s="300">
        <v>45557</v>
      </c>
      <c r="GJ121" s="322">
        <v>45266</v>
      </c>
      <c r="GK1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1" s="300">
        <v>45565</v>
      </c>
      <c r="GM121" s="300" t="e">
        <v>#N/A</v>
      </c>
      <c r="GN121" s="300">
        <v>45641</v>
      </c>
      <c r="GO121" s="300" t="e">
        <v>#N/A</v>
      </c>
      <c r="GP121" s="286"/>
      <c r="GQ1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1" s="300" t="s">
        <v>261</v>
      </c>
      <c r="GS121" s="391" t="s">
        <v>261</v>
      </c>
      <c r="GT121" s="397" t="s">
        <v>845</v>
      </c>
      <c r="GU121" s="393" t="str">
        <f>IF(Table1[[#This Row],[Hydro Tes Actual
(tanggal)]]&lt;&gt;"","Sudah","Belum")</f>
        <v>Sudah</v>
      </c>
      <c r="GV121" s="300" t="s">
        <v>261</v>
      </c>
      <c r="GW121" s="300" t="s">
        <v>261</v>
      </c>
      <c r="GX121" s="301"/>
      <c r="GY121" s="314" t="str">
        <f>IF(Table1[[#This Row],[Interkoneksi Actual
(tanggal)]]&lt;&gt;"","Sudah","Belum")</f>
        <v>Belum</v>
      </c>
      <c r="GZ121" s="300" t="s">
        <v>261</v>
      </c>
      <c r="HA121" s="391" t="s">
        <v>261</v>
      </c>
      <c r="HB121" s="394">
        <v>45627</v>
      </c>
      <c r="HC121" s="314" t="str">
        <f>IF(Table1[[#This Row],[Flushing Actual
(tanggal)]]&lt;&gt;"","Sudah","Belum")</f>
        <v>Sudah</v>
      </c>
      <c r="HD121" s="300">
        <v>45621</v>
      </c>
      <c r="HE121" s="300" t="e">
        <v>#N/A</v>
      </c>
      <c r="HF121" s="300">
        <v>45627</v>
      </c>
      <c r="HG121" s="322">
        <v>45908</v>
      </c>
      <c r="HH1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1" s="300" t="s">
        <v>261</v>
      </c>
      <c r="HJ121" s="300" t="s">
        <v>261</v>
      </c>
      <c r="HK121" s="301"/>
      <c r="HL121" s="286"/>
      <c r="HM121" s="300">
        <v>45646</v>
      </c>
      <c r="HN121" s="300">
        <v>45646</v>
      </c>
      <c r="HO121" s="300" t="e">
        <v>#N/A</v>
      </c>
      <c r="HP121" s="300"/>
      <c r="HQ121" s="301">
        <v>45929</v>
      </c>
      <c r="HR1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1" s="300">
        <v>45653</v>
      </c>
      <c r="HT121" s="300"/>
      <c r="HU121" s="300">
        <v>45653</v>
      </c>
      <c r="HV121" s="497"/>
      <c r="HW121" s="300">
        <v>45981</v>
      </c>
      <c r="HX1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1" s="42"/>
      <c r="HZ121" s="322"/>
      <c r="IA121" s="306"/>
      <c r="IC121" s="585">
        <f>IFERROR(ROUND((Table1[[#This Row],[PLAN TC
finish]]-Table1[[#This Row],[PLAN MC-0
start]])/30,2),"")</f>
        <v>2.5299999999999998</v>
      </c>
      <c r="ID121">
        <f>DATEDIF(Table1[[#This Row],[PLAN MC-0
start]],Table1[[#This Row],[PLAN TC
finish]],"m")</f>
        <v>2</v>
      </c>
    </row>
    <row r="122" spans="1:238" s="4" customFormat="1" ht="15" customHeight="1" x14ac:dyDescent="0.25">
      <c r="B122" s="281">
        <f>SUBTOTAL(3,$D$5:D122)</f>
        <v>118</v>
      </c>
      <c r="C122" s="318">
        <v>118</v>
      </c>
      <c r="D122" s="285" t="s">
        <v>673</v>
      </c>
      <c r="E122" s="285" t="s">
        <v>846</v>
      </c>
      <c r="F122" s="285" t="s">
        <v>847</v>
      </c>
      <c r="G122" s="319">
        <v>45752</v>
      </c>
      <c r="H122" s="284" t="s">
        <v>247</v>
      </c>
      <c r="I122" s="285" t="s">
        <v>278</v>
      </c>
      <c r="J122" s="285"/>
      <c r="K122" s="308" t="s">
        <v>676</v>
      </c>
      <c r="L122" s="286" t="s">
        <v>250</v>
      </c>
      <c r="M122" s="286" t="s">
        <v>269</v>
      </c>
      <c r="N122" s="94">
        <v>69</v>
      </c>
      <c r="O122" s="31" t="s">
        <v>252</v>
      </c>
      <c r="P122"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2" s="82" t="e">
        <v>#N/A</v>
      </c>
      <c r="S122" s="82">
        <v>1</v>
      </c>
      <c r="T122" s="35">
        <f>Table1[[#This Row],[Progres Total Aktual
(%)]]</f>
        <v>1</v>
      </c>
      <c r="U122" s="106">
        <f>Table1[[#This Row],[Progres Aktual
(%)]]-Table1[[#This Row],[Target Progres
(%)]]</f>
        <v>0</v>
      </c>
      <c r="V122" s="320">
        <f>Table1[[#This Row],["Volume
BA MC-0"]]</f>
        <v>82</v>
      </c>
      <c r="W122" s="321">
        <f>Table1[[#This Row],[Total Panjang Pipa Aktual
(Sum-&gt;)3]]</f>
        <v>82</v>
      </c>
      <c r="X122" s="42"/>
      <c r="Y122" s="62" t="s">
        <v>848</v>
      </c>
      <c r="Z122" s="62">
        <v>131179494</v>
      </c>
      <c r="AA122" s="62">
        <f>ROUND((Table1[[#This Row],[Nilai RAB Jaringan
(Exclude Ppn)]]-Table1[[#This Row],[RAB Perizinan]])*1.11+Table1[[#This Row],[RAB Perizinan]],0)</f>
        <v>0</v>
      </c>
      <c r="AB122" s="290">
        <f>SUM(Table1[[#This Row],[RAB Kegiatan Umum]:[RAB Perizinan]])</f>
        <v>0</v>
      </c>
      <c r="AC122" s="290"/>
      <c r="AD122" s="290"/>
      <c r="AE122" s="290"/>
      <c r="AF122" s="290"/>
      <c r="AG122" s="290">
        <v>20496483</v>
      </c>
      <c r="AH122" s="35" t="e">
        <f>SUM(Table1[[#This Row],[Bobot Keg Umum]:[Bobot Perizinan]])</f>
        <v>#DIV/0!</v>
      </c>
      <c r="AI122" s="35" t="e">
        <f>Table1[[#This Row],[RAB Kegiatan Umum]]/Table1[[#This Row],[Nilai RAB Jaringan
(Exclude Ppn)]]</f>
        <v>#DIV/0!</v>
      </c>
      <c r="AJ122" s="35" t="e">
        <f>Table1[[#This Row],[RAB Pemasangan]]/Table1[[#This Row],[Nilai RAB Jaringan
(Exclude Ppn)]]</f>
        <v>#DIV/0!</v>
      </c>
      <c r="AK122" s="35" t="e">
        <f>Table1[[#This Row],[RAB Pengadaan]]/Table1[[#This Row],[Nilai RAB Jaringan
(Exclude Ppn)]]</f>
        <v>#DIV/0!</v>
      </c>
      <c r="AL122" s="35" t="e">
        <f>Table1[[#This Row],[RAB Perizinan]]/Table1[[#This Row],[Nilai RAB Jaringan
(Exclude Ppn)]]</f>
        <v>#DIV/0!</v>
      </c>
      <c r="AM122" s="42"/>
      <c r="AN122" s="256">
        <v>82</v>
      </c>
      <c r="AO122" s="256">
        <f>SUM(Table1[[#This Row],[Pipa 63 mm]:[Pipa 1,800 mm]])</f>
        <v>0</v>
      </c>
      <c r="AP122" s="256"/>
      <c r="AQ122" s="256"/>
      <c r="AR122" s="256"/>
      <c r="AS122" s="256"/>
      <c r="AT122" s="256"/>
      <c r="AU122" s="256"/>
      <c r="AV122" s="256"/>
      <c r="AW122" s="256"/>
      <c r="AX122" s="256"/>
      <c r="AY122" s="256"/>
      <c r="AZ122" s="256"/>
      <c r="BA122" s="256"/>
      <c r="BB122" s="256"/>
      <c r="BC122" s="256"/>
      <c r="BD122" s="256"/>
      <c r="BE122" s="256"/>
      <c r="BF122" s="256"/>
      <c r="BG122" s="256"/>
      <c r="BH122" s="256"/>
      <c r="BI122" s="256"/>
      <c r="BJ122" s="36">
        <f>SUM(Table1[[#This Row],[Pipa 63 mm2]:[Pipa 1,800 mm21]])</f>
        <v>82</v>
      </c>
      <c r="BK122" s="32">
        <v>82</v>
      </c>
      <c r="BL122" s="32"/>
      <c r="BM122" s="32"/>
      <c r="BN122" s="32"/>
      <c r="BO122" s="32"/>
      <c r="BP122" s="32"/>
      <c r="BQ122" s="32"/>
      <c r="BR122" s="32"/>
      <c r="BS122" s="32"/>
      <c r="BT122" s="32"/>
      <c r="BU122" s="32"/>
      <c r="BV122" s="32"/>
      <c r="BW122" s="32"/>
      <c r="BX122" s="32"/>
      <c r="BY122" s="32"/>
      <c r="BZ122" s="32"/>
      <c r="CA122" s="32"/>
      <c r="CB122" s="32"/>
      <c r="CC122" s="32"/>
      <c r="CD122" s="32"/>
      <c r="CE122" s="32">
        <v>0</v>
      </c>
      <c r="CF122" s="32"/>
      <c r="CG122" s="32"/>
      <c r="CH122" s="32"/>
      <c r="CI122" s="32">
        <f t="shared" si="6"/>
        <v>0</v>
      </c>
      <c r="CJ122" s="60">
        <f>IF((Table1[[#This Row],["Volume
BA MC-0"]]-Table1[[#This Row],[Total Panjang Pipa Aktual
(Sum-&gt;)3]]-Table1[[#This Row],[Total Volume
tidak dapat dipasang]])&gt;=0,Table1[[#This Row],["Volume
BA MC-0"]]-Table1[[#This Row],[Total Panjang Pipa Aktual
(Sum-&gt;)3]]-Table1[[#This Row],[Total Volume
tidak dapat dipasang]],0)</f>
        <v>0</v>
      </c>
      <c r="CK122" s="42"/>
      <c r="CL122" s="113"/>
      <c r="CM122" s="35"/>
      <c r="CN122" s="113"/>
      <c r="CO122" s="113"/>
      <c r="CP1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2" s="61">
        <f>IFERROR(Table1[[#This Row],[Progres Keg. Umum
(%)]]*Table1[[#This Row],[Nilai RAB Jaringan
(file pa aji)]],0)</f>
        <v>0</v>
      </c>
      <c r="CR122" s="61">
        <f>IFERROR(Table1[[#This Row],[Progres MOS
(%)]]*Table1[[#This Row],[Nilai RAB Jaringan
(file pa aji)]],0)</f>
        <v>0</v>
      </c>
      <c r="CS122" s="61">
        <f>IFERROR(Table1[[#This Row],[Progres Pemasangan
(%)]]*Table1[[#This Row],[Nilai RAB Jaringan
(file pa aji)]],0)</f>
        <v>0</v>
      </c>
      <c r="CT122" s="61">
        <f>IFERROR(Table1[[#This Row],[Progres Perizinan
(%)]]*Table1[[#This Row],[Nilai RAB Jaringan
(file pa aji)]],0)</f>
        <v>0</v>
      </c>
      <c r="CU122" s="789">
        <v>152212411</v>
      </c>
      <c r="CV122" s="299">
        <v>152212411</v>
      </c>
      <c r="CW122" s="552">
        <v>152212411</v>
      </c>
      <c r="CX122" s="789">
        <f>_xlfn.XLOOKUP(Table1[[#This Row],[Kode Program]],'[1]Breakdown VOWD Greenfield'!$E:$E,'[1]Breakdown VOWD Greenfield'!$AT:$AT)</f>
        <v>152212411</v>
      </c>
      <c r="CY122" s="42"/>
      <c r="CZ122" s="300">
        <v>45530</v>
      </c>
      <c r="DA122" s="300">
        <v>45543</v>
      </c>
      <c r="DB122" s="301"/>
      <c r="DC122" s="286"/>
      <c r="DD122" s="62"/>
      <c r="DE1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2" s="301"/>
      <c r="DG122" s="286"/>
      <c r="DH122" s="62"/>
      <c r="DI1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2" s="300">
        <v>45544</v>
      </c>
      <c r="DK122" s="300">
        <v>45592</v>
      </c>
      <c r="DL122" s="301">
        <v>45540</v>
      </c>
      <c r="DM122" s="395" t="s">
        <v>849</v>
      </c>
      <c r="DN1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2" s="301">
        <v>45586</v>
      </c>
      <c r="DP122" s="396" t="s">
        <v>850</v>
      </c>
      <c r="DQ122" s="308" t="s">
        <v>344</v>
      </c>
      <c r="DR1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2" s="300">
        <v>45544</v>
      </c>
      <c r="DT122" s="300" t="e">
        <v>#N/A</v>
      </c>
      <c r="DU122" s="300">
        <v>45571</v>
      </c>
      <c r="DV122" s="300" t="e">
        <v>#N/A</v>
      </c>
      <c r="DW122" s="301"/>
      <c r="DX122" s="286"/>
      <c r="DY122" s="304"/>
      <c r="DZ122" s="304"/>
      <c r="EA1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2" s="301"/>
      <c r="EC122" s="302"/>
      <c r="ED122" s="302"/>
      <c r="EE122" s="300"/>
      <c r="EF122" s="35">
        <v>1</v>
      </c>
      <c r="EG122" s="307">
        <v>1</v>
      </c>
      <c r="EH122" s="286" t="str">
        <f>IF(Table1[[#This Row],[PO Material Aktual 
(%)]]&gt;=100%,"Selesai PO = 100%",IF(Table1[[#This Row],[PO Material Aktual 
(%)]]&gt;=50%,"Proses PO &gt; 100%",IF(Table1[[#This Row],[PO Material Aktual 
(%)]]&gt;0%,"Proses PO &gt; 50%",IF(Table1[[#This Row],[PO Material Aktual 
(%)]]=0,"Belum PO = 0%"))))</f>
        <v>Selesai PO = 100%</v>
      </c>
      <c r="EI1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2" s="300">
        <v>45572</v>
      </c>
      <c r="EK122" s="300" t="e">
        <v>#N/A</v>
      </c>
      <c r="EL122" s="300">
        <v>45620</v>
      </c>
      <c r="EM122" s="300" t="e">
        <v>#N/A</v>
      </c>
      <c r="EN122" s="301">
        <v>45680</v>
      </c>
      <c r="EO122" s="302"/>
      <c r="EP122" s="302"/>
      <c r="EQ122" s="82">
        <v>1</v>
      </c>
      <c r="ER122" s="82">
        <v>1</v>
      </c>
      <c r="ES122" s="286" t="str">
        <f>IF(Table1[[#This Row],[Progres MOS]]&gt;=100%,"Selesai MOS = 100%",IF(Table1[[#This Row],[Progres MOS]]&gt;=50%,"Proses MOS &gt; 100%",IF(Table1[[#This Row],[Progres MOS]]&gt;0%,"Proses MOS &gt; 50%",IF(Table1[[#This Row],[Progres MOS]]=0,"Belum MOS = 0%"))))</f>
        <v>Selesai MOS = 100%</v>
      </c>
      <c r="ET1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2" s="42"/>
      <c r="EV122" s="300">
        <v>45544</v>
      </c>
      <c r="EW122" s="300" t="e">
        <v>#N/A</v>
      </c>
      <c r="EX122" s="300">
        <v>45620</v>
      </c>
      <c r="EY122" s="300" t="e">
        <v>#N/A</v>
      </c>
      <c r="EZ122" s="322" t="s">
        <v>298</v>
      </c>
      <c r="FA122" s="306" t="s">
        <v>259</v>
      </c>
      <c r="FB122" s="300" t="s">
        <v>260</v>
      </c>
      <c r="FC122" s="300">
        <v>45799</v>
      </c>
      <c r="FD122" s="300" t="s">
        <v>260</v>
      </c>
      <c r="FE122" s="300">
        <v>45875</v>
      </c>
      <c r="FF122" s="300">
        <v>45929</v>
      </c>
      <c r="FG122" s="300" t="s">
        <v>260</v>
      </c>
      <c r="FH122" s="300" t="s">
        <v>260</v>
      </c>
      <c r="FI122" s="300">
        <v>46021</v>
      </c>
      <c r="FJ122" s="300" t="s">
        <v>260</v>
      </c>
      <c r="FK122" s="300">
        <v>46087</v>
      </c>
      <c r="FL122" s="306" t="s">
        <v>298</v>
      </c>
      <c r="FM122" s="306">
        <v>45799</v>
      </c>
      <c r="FN122" s="284">
        <f>IF(Table1[[#This Row],[Tanggal Pengajuan Dokumen]]="","",Table1[[#This Row],[PLAN PERMIT
start]]-Table1[[#This Row],[Tanggal Pengajuan Dokumen]])</f>
        <v>-255</v>
      </c>
      <c r="FO122" s="306"/>
      <c r="FP122" s="286"/>
      <c r="FQ122" s="308"/>
      <c r="FR122" s="322"/>
      <c r="FS122" s="308" t="str">
        <f t="shared" si="8"/>
        <v>Sudah Terbit</v>
      </c>
      <c r="FT1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2" s="314">
        <f ca="1">IF(Table1[[#This Row],[Status Izin]]="Selesai",Table1[[#This Row],[PLAN PERMIT
finish]]-Table1[[#This Row],[Tanggal Terbit/ Target Izin Terbit]],ROUNDUP(Table1[[#This Row],[PLAN PERMIT
finish]]-NOW(),0))</f>
        <v>45620</v>
      </c>
      <c r="FV1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2" s="314"/>
      <c r="FX122" s="42"/>
      <c r="FY122" s="310"/>
      <c r="FZ122" s="311"/>
      <c r="GA1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2" s="300">
        <v>45594</v>
      </c>
      <c r="GC122" s="322">
        <v>45610</v>
      </c>
      <c r="GD1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2" s="300">
        <v>45601</v>
      </c>
      <c r="GF122" s="322">
        <v>45610</v>
      </c>
      <c r="GG1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2" s="300">
        <v>45607</v>
      </c>
      <c r="GI122" s="300">
        <v>45613</v>
      </c>
      <c r="GJ122" s="322">
        <v>45554</v>
      </c>
      <c r="GK1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2" s="300">
        <v>45621</v>
      </c>
      <c r="GM122" s="300" t="e">
        <v>#N/A</v>
      </c>
      <c r="GN122" s="300">
        <v>45641</v>
      </c>
      <c r="GO122" s="300" t="e">
        <v>#N/A</v>
      </c>
      <c r="GP122" s="286"/>
      <c r="GQ1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2" s="300" t="s">
        <v>261</v>
      </c>
      <c r="GS122" s="391" t="s">
        <v>261</v>
      </c>
      <c r="GT122" s="397">
        <v>45653</v>
      </c>
      <c r="GU122" s="393" t="str">
        <f>IF(Table1[[#This Row],[Hydro Tes Actual
(tanggal)]]&lt;&gt;"","Sudah","Belum")</f>
        <v>Sudah</v>
      </c>
      <c r="GV122" s="300" t="s">
        <v>261</v>
      </c>
      <c r="GW122" s="300" t="s">
        <v>261</v>
      </c>
      <c r="GX122" s="301"/>
      <c r="GY122" s="314" t="str">
        <f>IF(Table1[[#This Row],[Interkoneksi Actual
(tanggal)]]&lt;&gt;"","Sudah","Belum")</f>
        <v>Belum</v>
      </c>
      <c r="GZ122" s="300" t="s">
        <v>261</v>
      </c>
      <c r="HA122" s="391" t="s">
        <v>261</v>
      </c>
      <c r="HB122" s="394">
        <v>45668</v>
      </c>
      <c r="HC122" s="314" t="str">
        <f>IF(Table1[[#This Row],[Flushing Actual
(tanggal)]]&lt;&gt;"","Sudah","Belum")</f>
        <v>Sudah</v>
      </c>
      <c r="HD122" s="300">
        <v>45628</v>
      </c>
      <c r="HE122" s="300" t="e">
        <v>#N/A</v>
      </c>
      <c r="HF122" s="300">
        <v>45634</v>
      </c>
      <c r="HG122" s="322">
        <v>45671</v>
      </c>
      <c r="HH1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2" s="300" t="s">
        <v>261</v>
      </c>
      <c r="HJ122" s="300" t="s">
        <v>261</v>
      </c>
      <c r="HK122" s="301"/>
      <c r="HL122" s="286"/>
      <c r="HM122" s="300">
        <v>45646</v>
      </c>
      <c r="HN122" s="300">
        <v>45646</v>
      </c>
      <c r="HO122" s="300" t="e">
        <v>#N/A</v>
      </c>
      <c r="HP122" s="300"/>
      <c r="HQ122" s="301">
        <v>45733</v>
      </c>
      <c r="HR1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2" s="300">
        <v>45653</v>
      </c>
      <c r="HT122" s="300"/>
      <c r="HU122" s="300">
        <v>45653</v>
      </c>
      <c r="HV122" s="497"/>
      <c r="HW122" s="300">
        <v>45745</v>
      </c>
      <c r="HX1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2" s="42"/>
      <c r="HZ122" s="322"/>
      <c r="IA122" s="306"/>
      <c r="IC122" s="585">
        <f>IFERROR(ROUND((Table1[[#This Row],[PLAN TC
finish]]-Table1[[#This Row],[PLAN MC-0
start]])/30,2),"")</f>
        <v>0.9</v>
      </c>
      <c r="ID122">
        <f>DATEDIF(Table1[[#This Row],[PLAN MC-0
start]],Table1[[#This Row],[PLAN TC
finish]],"m")</f>
        <v>0</v>
      </c>
    </row>
    <row r="123" spans="1:238" s="4" customFormat="1" ht="15" customHeight="1" x14ac:dyDescent="0.25">
      <c r="B123" s="281">
        <f>SUBTOTAL(3,$D$5:D123)</f>
        <v>119</v>
      </c>
      <c r="C123" s="318">
        <v>119</v>
      </c>
      <c r="D123" s="285" t="s">
        <v>673</v>
      </c>
      <c r="E123" s="285" t="s">
        <v>851</v>
      </c>
      <c r="F123" s="285" t="s">
        <v>852</v>
      </c>
      <c r="G123" s="319">
        <v>45752</v>
      </c>
      <c r="H123" s="284" t="s">
        <v>247</v>
      </c>
      <c r="I123" s="285" t="s">
        <v>278</v>
      </c>
      <c r="J123" s="285"/>
      <c r="K123" s="308" t="s">
        <v>676</v>
      </c>
      <c r="L123" s="286" t="s">
        <v>250</v>
      </c>
      <c r="M123" s="286" t="s">
        <v>269</v>
      </c>
      <c r="N123" s="94">
        <v>468</v>
      </c>
      <c r="O123" s="31" t="s">
        <v>252</v>
      </c>
      <c r="P123"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3" s="82" t="e">
        <v>#N/A</v>
      </c>
      <c r="S123" s="82">
        <v>1</v>
      </c>
      <c r="T123" s="35">
        <f>Table1[[#This Row],[Progres Total Aktual
(%)]]</f>
        <v>1</v>
      </c>
      <c r="U123" s="106">
        <f>Table1[[#This Row],[Progres Aktual
(%)]]-Table1[[#This Row],[Target Progres
(%)]]</f>
        <v>0</v>
      </c>
      <c r="V123" s="320">
        <f>Table1[[#This Row],["Volume
BA MC-0"]]</f>
        <v>477</v>
      </c>
      <c r="W123" s="321">
        <f>Table1[[#This Row],[Total Panjang Pipa Aktual
(Sum-&gt;)3]]</f>
        <v>477</v>
      </c>
      <c r="X123" s="42"/>
      <c r="Y123" s="62" t="s">
        <v>853</v>
      </c>
      <c r="Z123" s="62">
        <v>886062734</v>
      </c>
      <c r="AA123" s="62">
        <f>ROUND((Table1[[#This Row],[Nilai RAB Jaringan
(Exclude Ppn)]]-Table1[[#This Row],[RAB Perizinan]])*1.11+Table1[[#This Row],[RAB Perizinan]],0)</f>
        <v>0</v>
      </c>
      <c r="AB123" s="290">
        <f>SUM(Table1[[#This Row],[RAB Kegiatan Umum]:[RAB Perizinan]])</f>
        <v>0</v>
      </c>
      <c r="AC123" s="290"/>
      <c r="AD123" s="290"/>
      <c r="AE123" s="290"/>
      <c r="AF123" s="290"/>
      <c r="AG123" s="290">
        <v>38943318</v>
      </c>
      <c r="AH123" s="35" t="e">
        <f>SUM(Table1[[#This Row],[Bobot Keg Umum]:[Bobot Perizinan]])</f>
        <v>#DIV/0!</v>
      </c>
      <c r="AI123" s="35" t="e">
        <f>Table1[[#This Row],[RAB Kegiatan Umum]]/Table1[[#This Row],[Nilai RAB Jaringan
(Exclude Ppn)]]</f>
        <v>#DIV/0!</v>
      </c>
      <c r="AJ123" s="35" t="e">
        <f>Table1[[#This Row],[RAB Pemasangan]]/Table1[[#This Row],[Nilai RAB Jaringan
(Exclude Ppn)]]</f>
        <v>#DIV/0!</v>
      </c>
      <c r="AK123" s="35" t="e">
        <f>Table1[[#This Row],[RAB Pengadaan]]/Table1[[#This Row],[Nilai RAB Jaringan
(Exclude Ppn)]]</f>
        <v>#DIV/0!</v>
      </c>
      <c r="AL123" s="35" t="e">
        <f>Table1[[#This Row],[RAB Perizinan]]/Table1[[#This Row],[Nilai RAB Jaringan
(Exclude Ppn)]]</f>
        <v>#DIV/0!</v>
      </c>
      <c r="AM123" s="42"/>
      <c r="AN123" s="256">
        <v>477</v>
      </c>
      <c r="AO123" s="256">
        <f>SUM(Table1[[#This Row],[Pipa 63 mm]:[Pipa 1,800 mm]])</f>
        <v>0</v>
      </c>
      <c r="AP123" s="256"/>
      <c r="AQ123" s="256"/>
      <c r="AR123" s="256"/>
      <c r="AS123" s="256"/>
      <c r="AT123" s="256"/>
      <c r="AU123" s="256"/>
      <c r="AV123" s="256"/>
      <c r="AW123" s="256"/>
      <c r="AX123" s="256"/>
      <c r="AY123" s="256"/>
      <c r="AZ123" s="256"/>
      <c r="BA123" s="256"/>
      <c r="BB123" s="256"/>
      <c r="BC123" s="256"/>
      <c r="BD123" s="256"/>
      <c r="BE123" s="256"/>
      <c r="BF123" s="256"/>
      <c r="BG123" s="256"/>
      <c r="BH123" s="256"/>
      <c r="BI123" s="256"/>
      <c r="BJ123" s="36">
        <f>SUM(Table1[[#This Row],[Pipa 63 mm2]:[Pipa 1,800 mm21]])</f>
        <v>477</v>
      </c>
      <c r="BK123" s="32">
        <v>477</v>
      </c>
      <c r="BL123" s="32"/>
      <c r="BM123" s="32"/>
      <c r="BN123" s="32"/>
      <c r="BO123" s="32"/>
      <c r="BP123" s="32"/>
      <c r="BQ123" s="32"/>
      <c r="BR123" s="32"/>
      <c r="BS123" s="32"/>
      <c r="BT123" s="32"/>
      <c r="BU123" s="32"/>
      <c r="BV123" s="32"/>
      <c r="BW123" s="32"/>
      <c r="BX123" s="32"/>
      <c r="BY123" s="32"/>
      <c r="BZ123" s="32"/>
      <c r="CA123" s="32"/>
      <c r="CB123" s="32"/>
      <c r="CC123" s="32"/>
      <c r="CD123" s="32"/>
      <c r="CE123" s="32">
        <v>0</v>
      </c>
      <c r="CF123" s="32"/>
      <c r="CG123" s="32"/>
      <c r="CH123" s="32"/>
      <c r="CI123" s="32">
        <f t="shared" si="6"/>
        <v>0</v>
      </c>
      <c r="CJ123" s="60">
        <f>IF((Table1[[#This Row],["Volume
BA MC-0"]]-Table1[[#This Row],[Total Panjang Pipa Aktual
(Sum-&gt;)3]]-Table1[[#This Row],[Total Volume
tidak dapat dipasang]])&gt;=0,Table1[[#This Row],["Volume
BA MC-0"]]-Table1[[#This Row],[Total Panjang Pipa Aktual
(Sum-&gt;)3]]-Table1[[#This Row],[Total Volume
tidak dapat dipasang]],0)</f>
        <v>0</v>
      </c>
      <c r="CK123" s="42"/>
      <c r="CL123" s="113"/>
      <c r="CM123" s="35"/>
      <c r="CN123" s="113"/>
      <c r="CO123" s="113"/>
      <c r="CP1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3" s="61">
        <f>IFERROR(Table1[[#This Row],[Progres Keg. Umum
(%)]]*Table1[[#This Row],[Nilai RAB Jaringan
(file pa aji)]],0)</f>
        <v>0</v>
      </c>
      <c r="CR123" s="61">
        <f>IFERROR(Table1[[#This Row],[Progres MOS
(%)]]*Table1[[#This Row],[Nilai RAB Jaringan
(file pa aji)]],0)</f>
        <v>0</v>
      </c>
      <c r="CS123" s="61">
        <f>IFERROR(Table1[[#This Row],[Progres Pemasangan
(%)]]*Table1[[#This Row],[Nilai RAB Jaringan
(file pa aji)]],0)</f>
        <v>0</v>
      </c>
      <c r="CT123" s="61">
        <f>IFERROR(Table1[[#This Row],[Progres Perizinan
(%)]]*Table1[[#This Row],[Nilai RAB Jaringan
(file pa aji)]],0)</f>
        <v>0</v>
      </c>
      <c r="CU123" s="789">
        <v>731830067</v>
      </c>
      <c r="CV123" s="299">
        <v>731830067</v>
      </c>
      <c r="CW123" s="552">
        <v>731830067</v>
      </c>
      <c r="CX123" s="789">
        <f>_xlfn.XLOOKUP(Table1[[#This Row],[Kode Program]],'[1]Breakdown VOWD Greenfield'!$E:$E,'[1]Breakdown VOWD Greenfield'!$AT:$AT)</f>
        <v>731830067</v>
      </c>
      <c r="CY123" s="42"/>
      <c r="CZ123" s="300">
        <v>45530</v>
      </c>
      <c r="DA123" s="300">
        <v>45543</v>
      </c>
      <c r="DB123" s="301"/>
      <c r="DC123" s="286"/>
      <c r="DD123" s="62"/>
      <c r="DE1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3" s="301"/>
      <c r="DG123" s="286"/>
      <c r="DH123" s="62"/>
      <c r="DI1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3" s="300">
        <v>45544</v>
      </c>
      <c r="DK123" s="300">
        <v>45592</v>
      </c>
      <c r="DL123" s="301">
        <v>45542</v>
      </c>
      <c r="DM123" s="395" t="s">
        <v>854</v>
      </c>
      <c r="DN1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3" s="301">
        <v>45586</v>
      </c>
      <c r="DP123" s="396" t="s">
        <v>855</v>
      </c>
      <c r="DQ123" s="308" t="s">
        <v>856</v>
      </c>
      <c r="DR1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3" s="300">
        <v>45544</v>
      </c>
      <c r="DT123" s="300" t="e">
        <v>#N/A</v>
      </c>
      <c r="DU123" s="300">
        <v>45571</v>
      </c>
      <c r="DV123" s="300" t="e">
        <v>#N/A</v>
      </c>
      <c r="DW123" s="301"/>
      <c r="DX123" s="286"/>
      <c r="DY123" s="304"/>
      <c r="DZ123" s="304"/>
      <c r="EA1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3" s="301"/>
      <c r="EC123" s="302"/>
      <c r="ED123" s="302"/>
      <c r="EE123" s="300"/>
      <c r="EF123" s="35">
        <v>1</v>
      </c>
      <c r="EG123" s="307">
        <v>1</v>
      </c>
      <c r="EH123" s="286" t="str">
        <f>IF(Table1[[#This Row],[PO Material Aktual 
(%)]]&gt;=100%,"Selesai PO = 100%",IF(Table1[[#This Row],[PO Material Aktual 
(%)]]&gt;=50%,"Proses PO &gt; 100%",IF(Table1[[#This Row],[PO Material Aktual 
(%)]]&gt;0%,"Proses PO &gt; 50%",IF(Table1[[#This Row],[PO Material Aktual 
(%)]]=0,"Belum PO = 0%"))))</f>
        <v>Selesai PO = 100%</v>
      </c>
      <c r="EI1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3" s="300">
        <v>45572</v>
      </c>
      <c r="EK123" s="300" t="e">
        <v>#N/A</v>
      </c>
      <c r="EL123" s="300">
        <v>45620</v>
      </c>
      <c r="EM123" s="300" t="e">
        <v>#N/A</v>
      </c>
      <c r="EN123" s="301">
        <v>45764</v>
      </c>
      <c r="EO123" s="302"/>
      <c r="EP123" s="302"/>
      <c r="EQ123" s="82">
        <v>1</v>
      </c>
      <c r="ER123" s="82">
        <v>1</v>
      </c>
      <c r="ES123" s="286" t="str">
        <f>IF(Table1[[#This Row],[Progres MOS]]&gt;=100%,"Selesai MOS = 100%",IF(Table1[[#This Row],[Progres MOS]]&gt;=50%,"Proses MOS &gt; 100%",IF(Table1[[#This Row],[Progres MOS]]&gt;0%,"Proses MOS &gt; 50%",IF(Table1[[#This Row],[Progres MOS]]=0,"Belum MOS = 0%"))))</f>
        <v>Selesai MOS = 100%</v>
      </c>
      <c r="ET1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3" s="42"/>
      <c r="EV123" s="300">
        <v>45544</v>
      </c>
      <c r="EW123" s="300" t="e">
        <v>#N/A</v>
      </c>
      <c r="EX123" s="300">
        <v>45620</v>
      </c>
      <c r="EY123" s="300" t="e">
        <v>#N/A</v>
      </c>
      <c r="EZ123" s="322" t="s">
        <v>298</v>
      </c>
      <c r="FA123" s="306" t="s">
        <v>259</v>
      </c>
      <c r="FB123" s="300" t="s">
        <v>260</v>
      </c>
      <c r="FC123" s="300">
        <v>45799</v>
      </c>
      <c r="FD123" s="300" t="s">
        <v>260</v>
      </c>
      <c r="FE123" s="300">
        <v>45875</v>
      </c>
      <c r="FF123" s="300">
        <v>45929</v>
      </c>
      <c r="FG123" s="300" t="s">
        <v>260</v>
      </c>
      <c r="FH123" s="300" t="s">
        <v>260</v>
      </c>
      <c r="FI123" s="300">
        <v>46021</v>
      </c>
      <c r="FJ123" s="300" t="s">
        <v>260</v>
      </c>
      <c r="FK123" s="300">
        <v>46087</v>
      </c>
      <c r="FL123" s="306" t="s">
        <v>298</v>
      </c>
      <c r="FM123" s="306">
        <v>45799</v>
      </c>
      <c r="FN123" s="284">
        <f>IF(Table1[[#This Row],[Tanggal Pengajuan Dokumen]]="","",Table1[[#This Row],[PLAN PERMIT
start]]-Table1[[#This Row],[Tanggal Pengajuan Dokumen]])</f>
        <v>-255</v>
      </c>
      <c r="FO123" s="306"/>
      <c r="FP123" s="286"/>
      <c r="FQ123" s="308"/>
      <c r="FR123" s="322"/>
      <c r="FS123" s="308" t="str">
        <f t="shared" si="8"/>
        <v>Sudah Terbit</v>
      </c>
      <c r="FT1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3" s="314">
        <f ca="1">IF(Table1[[#This Row],[Status Izin]]="Selesai",Table1[[#This Row],[PLAN PERMIT
finish]]-Table1[[#This Row],[Tanggal Terbit/ Target Izin Terbit]],ROUNDUP(Table1[[#This Row],[PLAN PERMIT
finish]]-NOW(),0))</f>
        <v>45620</v>
      </c>
      <c r="FV1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3" s="314"/>
      <c r="FX123" s="42"/>
      <c r="FY123" s="310"/>
      <c r="FZ123" s="311"/>
      <c r="GA1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3" s="300">
        <v>45594</v>
      </c>
      <c r="GC123" s="322">
        <v>45610</v>
      </c>
      <c r="GD1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3" s="300">
        <v>45601</v>
      </c>
      <c r="GF123" s="322">
        <v>45610</v>
      </c>
      <c r="GG1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3" s="300">
        <v>45607</v>
      </c>
      <c r="GI123" s="300">
        <v>45613</v>
      </c>
      <c r="GJ123" s="322">
        <v>45553</v>
      </c>
      <c r="GK1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3" s="300">
        <v>45621</v>
      </c>
      <c r="GM123" s="300" t="e">
        <v>#N/A</v>
      </c>
      <c r="GN123" s="300">
        <v>45641</v>
      </c>
      <c r="GO123" s="300" t="e">
        <v>#N/A</v>
      </c>
      <c r="GP123" s="286"/>
      <c r="GQ1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3" s="300" t="s">
        <v>261</v>
      </c>
      <c r="GS123" s="391" t="s">
        <v>261</v>
      </c>
      <c r="GT123" s="397">
        <v>45642</v>
      </c>
      <c r="GU123" s="393" t="str">
        <f>IF(Table1[[#This Row],[Hydro Tes Actual
(tanggal)]]&lt;&gt;"","Sudah","Belum")</f>
        <v>Sudah</v>
      </c>
      <c r="GV123" s="300" t="s">
        <v>261</v>
      </c>
      <c r="GW123" s="300" t="s">
        <v>261</v>
      </c>
      <c r="GX123" s="301"/>
      <c r="GY123" s="314" t="str">
        <f>IF(Table1[[#This Row],[Interkoneksi Actual
(tanggal)]]&lt;&gt;"","Sudah","Belum")</f>
        <v>Belum</v>
      </c>
      <c r="GZ123" s="300" t="s">
        <v>261</v>
      </c>
      <c r="HA123" s="391" t="s">
        <v>261</v>
      </c>
      <c r="HB123" s="394">
        <v>45668</v>
      </c>
      <c r="HC123" s="314" t="str">
        <f>IF(Table1[[#This Row],[Flushing Actual
(tanggal)]]&lt;&gt;"","Sudah","Belum")</f>
        <v>Sudah</v>
      </c>
      <c r="HD123" s="300">
        <v>45628</v>
      </c>
      <c r="HE123" s="300" t="e">
        <v>#N/A</v>
      </c>
      <c r="HF123" s="300">
        <v>45634</v>
      </c>
      <c r="HG123" s="322">
        <v>45671</v>
      </c>
      <c r="HH1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3" s="300" t="s">
        <v>261</v>
      </c>
      <c r="HJ123" s="300" t="s">
        <v>261</v>
      </c>
      <c r="HK123" s="301"/>
      <c r="HL123" s="286"/>
      <c r="HM123" s="300">
        <v>45646</v>
      </c>
      <c r="HN123" s="300">
        <v>45646</v>
      </c>
      <c r="HO123" s="300" t="e">
        <v>#N/A</v>
      </c>
      <c r="HP123" s="300"/>
      <c r="HQ123" s="301">
        <v>45733</v>
      </c>
      <c r="HR1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3" s="300">
        <v>45653</v>
      </c>
      <c r="HT123" s="300"/>
      <c r="HU123" s="300">
        <v>45653</v>
      </c>
      <c r="HV123" s="497"/>
      <c r="HW123" s="300">
        <v>45745</v>
      </c>
      <c r="HX1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3" s="42"/>
      <c r="HZ123" s="322"/>
      <c r="IA123" s="306"/>
      <c r="IC123" s="585">
        <f>IFERROR(ROUND((Table1[[#This Row],[PLAN TC
finish]]-Table1[[#This Row],[PLAN MC-0
start]])/30,2),"")</f>
        <v>0.9</v>
      </c>
      <c r="ID123">
        <f>DATEDIF(Table1[[#This Row],[PLAN MC-0
start]],Table1[[#This Row],[PLAN TC
finish]],"m")</f>
        <v>0</v>
      </c>
    </row>
    <row r="124" spans="1:238" s="4" customFormat="1" ht="15" customHeight="1" x14ac:dyDescent="0.25">
      <c r="B124" s="281">
        <f>SUBTOTAL(3,$D$5:D124)</f>
        <v>120</v>
      </c>
      <c r="C124" s="318">
        <v>120</v>
      </c>
      <c r="D124" s="285" t="s">
        <v>673</v>
      </c>
      <c r="E124" s="285" t="s">
        <v>857</v>
      </c>
      <c r="F124" s="285" t="s">
        <v>858</v>
      </c>
      <c r="G124" s="319">
        <v>45752</v>
      </c>
      <c r="H124" s="308" t="s">
        <v>681</v>
      </c>
      <c r="I124" s="285" t="s">
        <v>278</v>
      </c>
      <c r="J124" s="285"/>
      <c r="K124" s="308" t="s">
        <v>676</v>
      </c>
      <c r="L124" s="286" t="s">
        <v>250</v>
      </c>
      <c r="M124" s="286" t="s">
        <v>269</v>
      </c>
      <c r="N124" s="94">
        <v>21</v>
      </c>
      <c r="O124" s="31" t="s">
        <v>252</v>
      </c>
      <c r="P124"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4" s="82" t="e">
        <v>#N/A</v>
      </c>
      <c r="S124" s="82">
        <v>1</v>
      </c>
      <c r="T124" s="35">
        <f>Table1[[#This Row],[Progres Total Aktual
(%)]]</f>
        <v>1</v>
      </c>
      <c r="U124" s="106">
        <f>Table1[[#This Row],[Progres Aktual
(%)]]-Table1[[#This Row],[Target Progres
(%)]]</f>
        <v>0</v>
      </c>
      <c r="V124" s="320">
        <f>Table1[[#This Row],["Volume
BA MC-0"]]</f>
        <v>12</v>
      </c>
      <c r="W124" s="321">
        <f>Table1[[#This Row],[Total Panjang Pipa Aktual
(Sum-&gt;)3]]</f>
        <v>12</v>
      </c>
      <c r="X124" s="42"/>
      <c r="Y124" s="62" t="s">
        <v>859</v>
      </c>
      <c r="Z124" s="62">
        <v>163355494</v>
      </c>
      <c r="AA124" s="62">
        <f>ROUND((Table1[[#This Row],[Nilai RAB Jaringan
(Exclude Ppn)]]-Table1[[#This Row],[RAB Perizinan]])*1.11+Table1[[#This Row],[RAB Perizinan]],0)</f>
        <v>0</v>
      </c>
      <c r="AB124" s="290">
        <f>SUM(Table1[[#This Row],[RAB Kegiatan Umum]:[RAB Perizinan]])</f>
        <v>0</v>
      </c>
      <c r="AC124" s="290"/>
      <c r="AD124" s="290"/>
      <c r="AE124" s="290"/>
      <c r="AF124" s="290"/>
      <c r="AG124" s="290">
        <v>0</v>
      </c>
      <c r="AH124" s="35" t="e">
        <f>SUM(Table1[[#This Row],[Bobot Keg Umum]:[Bobot Perizinan]])</f>
        <v>#DIV/0!</v>
      </c>
      <c r="AI124" s="35" t="e">
        <f>Table1[[#This Row],[RAB Kegiatan Umum]]/Table1[[#This Row],[Nilai RAB Jaringan
(Exclude Ppn)]]</f>
        <v>#DIV/0!</v>
      </c>
      <c r="AJ124" s="35" t="e">
        <f>Table1[[#This Row],[RAB Pemasangan]]/Table1[[#This Row],[Nilai RAB Jaringan
(Exclude Ppn)]]</f>
        <v>#DIV/0!</v>
      </c>
      <c r="AK124" s="35" t="e">
        <f>Table1[[#This Row],[RAB Pengadaan]]/Table1[[#This Row],[Nilai RAB Jaringan
(Exclude Ppn)]]</f>
        <v>#DIV/0!</v>
      </c>
      <c r="AL124" s="35" t="e">
        <f>Table1[[#This Row],[RAB Perizinan]]/Table1[[#This Row],[Nilai RAB Jaringan
(Exclude Ppn)]]</f>
        <v>#DIV/0!</v>
      </c>
      <c r="AM124" s="42"/>
      <c r="AN124" s="256">
        <v>12</v>
      </c>
      <c r="AO124" s="256">
        <f>SUM(Table1[[#This Row],[Pipa 63 mm]:[Pipa 1,800 mm]])</f>
        <v>0</v>
      </c>
      <c r="AP124" s="256"/>
      <c r="AQ124" s="256"/>
      <c r="AR124" s="256"/>
      <c r="AS124" s="256"/>
      <c r="AT124" s="256"/>
      <c r="AU124" s="256"/>
      <c r="AV124" s="256"/>
      <c r="AW124" s="256"/>
      <c r="AX124" s="256"/>
      <c r="AY124" s="256"/>
      <c r="AZ124" s="256"/>
      <c r="BA124" s="256"/>
      <c r="BB124" s="256"/>
      <c r="BC124" s="256"/>
      <c r="BD124" s="256"/>
      <c r="BE124" s="256"/>
      <c r="BF124" s="256"/>
      <c r="BG124" s="256"/>
      <c r="BH124" s="256"/>
      <c r="BI124" s="256"/>
      <c r="BJ124" s="36">
        <f>SUM(Table1[[#This Row],[Pipa 63 mm2]:[Pipa 1,800 mm21]])</f>
        <v>12</v>
      </c>
      <c r="BK124" s="32"/>
      <c r="BL124" s="32"/>
      <c r="BM124" s="32"/>
      <c r="BN124" s="32">
        <v>12</v>
      </c>
      <c r="BO124" s="32"/>
      <c r="BP124" s="32"/>
      <c r="BQ124" s="32"/>
      <c r="BR124" s="32"/>
      <c r="BS124" s="32"/>
      <c r="BT124" s="32"/>
      <c r="BU124" s="32"/>
      <c r="BV124" s="32"/>
      <c r="BW124" s="32"/>
      <c r="BX124" s="32"/>
      <c r="BY124" s="32"/>
      <c r="BZ124" s="32"/>
      <c r="CA124" s="32"/>
      <c r="CB124" s="32"/>
      <c r="CC124" s="32"/>
      <c r="CD124" s="32"/>
      <c r="CE124" s="32">
        <v>0</v>
      </c>
      <c r="CF124" s="32"/>
      <c r="CG124" s="32"/>
      <c r="CH124" s="32"/>
      <c r="CI124" s="32">
        <f t="shared" si="6"/>
        <v>0</v>
      </c>
      <c r="CJ124" s="60">
        <f>IF((Table1[[#This Row],["Volume
BA MC-0"]]-Table1[[#This Row],[Total Panjang Pipa Aktual
(Sum-&gt;)3]]-Table1[[#This Row],[Total Volume
tidak dapat dipasang]])&gt;=0,Table1[[#This Row],["Volume
BA MC-0"]]-Table1[[#This Row],[Total Panjang Pipa Aktual
(Sum-&gt;)3]]-Table1[[#This Row],[Total Volume
tidak dapat dipasang]],0)</f>
        <v>0</v>
      </c>
      <c r="CK124" s="42"/>
      <c r="CL124" s="113"/>
      <c r="CM124" s="35"/>
      <c r="CN124" s="113"/>
      <c r="CO124" s="113"/>
      <c r="CP1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4" s="61">
        <f>IFERROR(Table1[[#This Row],[Progres Keg. Umum
(%)]]*Table1[[#This Row],[Nilai RAB Jaringan
(file pa aji)]],0)</f>
        <v>0</v>
      </c>
      <c r="CR124" s="61">
        <f>IFERROR(Table1[[#This Row],[Progres MOS
(%)]]*Table1[[#This Row],[Nilai RAB Jaringan
(file pa aji)]],0)</f>
        <v>0</v>
      </c>
      <c r="CS124" s="61">
        <f>IFERROR(Table1[[#This Row],[Progres Pemasangan
(%)]]*Table1[[#This Row],[Nilai RAB Jaringan
(file pa aji)]],0)</f>
        <v>0</v>
      </c>
      <c r="CT124" s="61">
        <f>IFERROR(Table1[[#This Row],[Progres Perizinan
(%)]]*Table1[[#This Row],[Nilai RAB Jaringan
(file pa aji)]],0)</f>
        <v>0</v>
      </c>
      <c r="CU124" s="789">
        <v>97188035</v>
      </c>
      <c r="CV124" s="299">
        <v>97188035</v>
      </c>
      <c r="CW124" s="552">
        <v>97188035</v>
      </c>
      <c r="CX124" s="789">
        <f>_xlfn.XLOOKUP(Table1[[#This Row],[Kode Program]],'[1]Breakdown VOWD Greenfield'!$E:$E,'[1]Breakdown VOWD Greenfield'!$AT:$AT)</f>
        <v>97188035</v>
      </c>
      <c r="CY124" s="42"/>
      <c r="CZ124" s="300">
        <v>45530</v>
      </c>
      <c r="DA124" s="300">
        <v>45550</v>
      </c>
      <c r="DB124" s="301"/>
      <c r="DC124" s="286"/>
      <c r="DD124" s="62"/>
      <c r="DE1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4" s="301"/>
      <c r="DG124" s="286"/>
      <c r="DH124" s="62"/>
      <c r="DI1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4" s="300">
        <v>45551</v>
      </c>
      <c r="DK124" s="300">
        <v>45592</v>
      </c>
      <c r="DL124" s="301">
        <v>45357</v>
      </c>
      <c r="DM124" s="395" t="s">
        <v>860</v>
      </c>
      <c r="DN1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4" s="301">
        <v>45369</v>
      </c>
      <c r="DP124" s="396" t="s">
        <v>684</v>
      </c>
      <c r="DQ124" s="308" t="s">
        <v>685</v>
      </c>
      <c r="DR1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24" s="300">
        <v>45551</v>
      </c>
      <c r="DT124" s="300" t="e">
        <v>#N/A</v>
      </c>
      <c r="DU124" s="300">
        <v>45585</v>
      </c>
      <c r="DV124" s="300" t="e">
        <v>#N/A</v>
      </c>
      <c r="DW124" s="301"/>
      <c r="DX124" s="286"/>
      <c r="DY124" s="304"/>
      <c r="DZ124" s="304"/>
      <c r="EA1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4" s="301"/>
      <c r="EC124" s="302"/>
      <c r="ED124" s="302"/>
      <c r="EE124" s="300"/>
      <c r="EF124" s="35">
        <v>1</v>
      </c>
      <c r="EG124" s="307">
        <v>1</v>
      </c>
      <c r="EH124" s="286" t="str">
        <f>IF(Table1[[#This Row],[PO Material Aktual 
(%)]]&gt;=100%,"Selesai PO = 100%",IF(Table1[[#This Row],[PO Material Aktual 
(%)]]&gt;=50%,"Proses PO &gt; 100%",IF(Table1[[#This Row],[PO Material Aktual 
(%)]]&gt;0%,"Proses PO &gt; 50%",IF(Table1[[#This Row],[PO Material Aktual 
(%)]]=0,"Belum PO = 0%"))))</f>
        <v>Selesai PO = 100%</v>
      </c>
      <c r="EI1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4" s="300">
        <v>45586</v>
      </c>
      <c r="EK124" s="300" t="e">
        <v>#N/A</v>
      </c>
      <c r="EL124" s="300">
        <v>45634</v>
      </c>
      <c r="EM124" s="300" t="e">
        <v>#N/A</v>
      </c>
      <c r="EN124" s="301">
        <v>45911</v>
      </c>
      <c r="EO124" s="302"/>
      <c r="EP124" s="302"/>
      <c r="EQ124" s="82">
        <v>1</v>
      </c>
      <c r="ER124" s="82">
        <v>1</v>
      </c>
      <c r="ES124" s="286" t="str">
        <f>IF(Table1[[#This Row],[Progres MOS]]&gt;=100%,"Selesai MOS = 100%",IF(Table1[[#This Row],[Progres MOS]]&gt;=50%,"Proses MOS &gt; 100%",IF(Table1[[#This Row],[Progres MOS]]&gt;0%,"Proses MOS &gt; 50%",IF(Table1[[#This Row],[Progres MOS]]=0,"Belum MOS = 0%"))))</f>
        <v>Selesai MOS = 100%</v>
      </c>
      <c r="ET1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4" s="42"/>
      <c r="EV124" s="300">
        <v>45551</v>
      </c>
      <c r="EW124" s="300" t="e">
        <v>#N/A</v>
      </c>
      <c r="EX124" s="300">
        <v>45620</v>
      </c>
      <c r="EY124" s="300" t="e">
        <v>#N/A</v>
      </c>
      <c r="EZ124" s="322" t="s">
        <v>259</v>
      </c>
      <c r="FA124" s="306" t="s">
        <v>259</v>
      </c>
      <c r="FB124" s="300" t="s">
        <v>260</v>
      </c>
      <c r="FC124" s="300">
        <v>45820</v>
      </c>
      <c r="FD124" s="300" t="s">
        <v>260</v>
      </c>
      <c r="FE124" s="300"/>
      <c r="FF124" s="300">
        <v>45846</v>
      </c>
      <c r="FG124" s="300" t="s">
        <v>260</v>
      </c>
      <c r="FH124" s="300" t="s">
        <v>260</v>
      </c>
      <c r="FI124" s="300"/>
      <c r="FJ124" s="300" t="s">
        <v>260</v>
      </c>
      <c r="FK124" s="300">
        <v>45946</v>
      </c>
      <c r="FL124" s="306" t="s">
        <v>259</v>
      </c>
      <c r="FM124" s="306">
        <v>45820</v>
      </c>
      <c r="FN124" s="284">
        <f>IF(Table1[[#This Row],[Tanggal Pengajuan Dokumen]]="","",Table1[[#This Row],[PLAN PERMIT
start]]-Table1[[#This Row],[Tanggal Pengajuan Dokumen]])</f>
        <v>-269</v>
      </c>
      <c r="FO124" s="306">
        <v>45946</v>
      </c>
      <c r="FP124" s="286"/>
      <c r="FQ124" s="308"/>
      <c r="FR124" s="322"/>
      <c r="FS124" s="308" t="str">
        <f t="shared" si="8"/>
        <v>Sudah Terbit</v>
      </c>
      <c r="FT1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4" s="314">
        <f ca="1">IF(Table1[[#This Row],[Status Izin]]="Selesai",Table1[[#This Row],[PLAN PERMIT
finish]]-Table1[[#This Row],[Tanggal Terbit/ Target Izin Terbit]],ROUNDUP(Table1[[#This Row],[PLAN PERMIT
finish]]-NOW(),0))</f>
        <v>-326</v>
      </c>
      <c r="FV1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4" s="314"/>
      <c r="FX124" s="42"/>
      <c r="FY124" s="310"/>
      <c r="FZ124" s="311"/>
      <c r="GA1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4" s="300">
        <v>45594</v>
      </c>
      <c r="GC124" s="322">
        <v>45322</v>
      </c>
      <c r="GD1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4" s="300">
        <v>45601</v>
      </c>
      <c r="GF124" s="322">
        <v>45322</v>
      </c>
      <c r="GG1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4" s="300">
        <v>45607</v>
      </c>
      <c r="GI124" s="300">
        <v>45613</v>
      </c>
      <c r="GJ124" s="322">
        <v>45338</v>
      </c>
      <c r="GK1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4" s="300">
        <v>45621</v>
      </c>
      <c r="GM124" s="300" t="e">
        <v>#N/A</v>
      </c>
      <c r="GN124" s="300">
        <v>45662</v>
      </c>
      <c r="GO124" s="300" t="e">
        <v>#N/A</v>
      </c>
      <c r="GP124" s="286"/>
      <c r="GQ1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4" s="300" t="s">
        <v>261</v>
      </c>
      <c r="GS124" s="391" t="s">
        <v>261</v>
      </c>
      <c r="GT124" s="401">
        <v>45425</v>
      </c>
      <c r="GU124" s="393" t="str">
        <f>IF(Table1[[#This Row],[Hydro Tes Actual
(tanggal)]]&lt;&gt;"","Sudah","Belum")</f>
        <v>Sudah</v>
      </c>
      <c r="GV124" s="300" t="s">
        <v>261</v>
      </c>
      <c r="GW124" s="300" t="s">
        <v>261</v>
      </c>
      <c r="GX124" s="301"/>
      <c r="GY124" s="314" t="str">
        <f>IF(Table1[[#This Row],[Interkoneksi Actual
(tanggal)]]&lt;&gt;"","Sudah","Belum")</f>
        <v>Belum</v>
      </c>
      <c r="GZ124" s="300" t="s">
        <v>261</v>
      </c>
      <c r="HA124" s="391" t="s">
        <v>261</v>
      </c>
      <c r="HB124" s="402">
        <v>45468</v>
      </c>
      <c r="HC124" s="314" t="str">
        <f>IF(Table1[[#This Row],[Flushing Actual
(tanggal)]]&lt;&gt;"","Sudah","Belum")</f>
        <v>Sudah</v>
      </c>
      <c r="HD124" s="300">
        <v>45649</v>
      </c>
      <c r="HE124" s="300" t="e">
        <v>#N/A</v>
      </c>
      <c r="HF124" s="300">
        <v>45655</v>
      </c>
      <c r="HG124" s="322">
        <v>45559</v>
      </c>
      <c r="HH1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24" s="300" t="s">
        <v>261</v>
      </c>
      <c r="HJ124" s="300" t="s">
        <v>261</v>
      </c>
      <c r="HK124" s="301"/>
      <c r="HL124" s="286"/>
      <c r="HM124" s="300">
        <v>45674</v>
      </c>
      <c r="HN124" s="300">
        <v>45674</v>
      </c>
      <c r="HO124" s="300" t="e">
        <v>#N/A</v>
      </c>
      <c r="HP124" s="300"/>
      <c r="HQ124" s="301">
        <v>45735</v>
      </c>
      <c r="HR1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4" s="300">
        <v>45681</v>
      </c>
      <c r="HT124" s="300"/>
      <c r="HU124" s="300">
        <v>45681</v>
      </c>
      <c r="HV124" s="497"/>
      <c r="HW124" s="300">
        <v>45745</v>
      </c>
      <c r="HX1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4" s="42"/>
      <c r="HZ124" s="322"/>
      <c r="IA124" s="306"/>
      <c r="IC124" s="585">
        <f>IFERROR(ROUND((Table1[[#This Row],[PLAN TC
finish]]-Table1[[#This Row],[PLAN MC-0
start]])/30,2),"")</f>
        <v>1.6</v>
      </c>
      <c r="ID124">
        <f>DATEDIF(Table1[[#This Row],[PLAN MC-0
start]],Table1[[#This Row],[PLAN TC
finish]],"m")</f>
        <v>1</v>
      </c>
    </row>
    <row r="125" spans="1:238" s="4" customFormat="1" ht="15" customHeight="1" x14ac:dyDescent="0.25">
      <c r="B125" s="281">
        <f>SUBTOTAL(3,$D$5:D125)</f>
        <v>121</v>
      </c>
      <c r="C125" s="318">
        <v>121</v>
      </c>
      <c r="D125" s="285" t="s">
        <v>673</v>
      </c>
      <c r="E125" s="285" t="s">
        <v>861</v>
      </c>
      <c r="F125" s="285" t="s">
        <v>862</v>
      </c>
      <c r="G125" s="319">
        <v>45752</v>
      </c>
      <c r="H125" s="284" t="s">
        <v>247</v>
      </c>
      <c r="I125" s="285" t="s">
        <v>278</v>
      </c>
      <c r="J125" s="285"/>
      <c r="K125" s="308" t="s">
        <v>676</v>
      </c>
      <c r="L125" s="286" t="s">
        <v>250</v>
      </c>
      <c r="M125" s="286" t="s">
        <v>269</v>
      </c>
      <c r="N125" s="94">
        <v>1123</v>
      </c>
      <c r="O125" s="31" t="s">
        <v>252</v>
      </c>
      <c r="P125"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5" s="82" t="e">
        <v>#N/A</v>
      </c>
      <c r="S125" s="82">
        <v>1</v>
      </c>
      <c r="T125" s="35">
        <f>Table1[[#This Row],[Progres Total Aktual
(%)]]</f>
        <v>1</v>
      </c>
      <c r="U125" s="106">
        <f>Table1[[#This Row],[Progres Aktual
(%)]]-Table1[[#This Row],[Target Progres
(%)]]</f>
        <v>0</v>
      </c>
      <c r="V125" s="320">
        <f>Table1[[#This Row],["Volume
BA MC-0"]]</f>
        <v>1131</v>
      </c>
      <c r="W125" s="321">
        <f>Table1[[#This Row],[Total Panjang Pipa Aktual
(Sum-&gt;)3]]</f>
        <v>1128</v>
      </c>
      <c r="X125" s="42"/>
      <c r="Y125" s="62" t="s">
        <v>863</v>
      </c>
      <c r="Z125" s="62">
        <v>1477826505</v>
      </c>
      <c r="AA125" s="62">
        <f>ROUND((Table1[[#This Row],[Nilai RAB Jaringan
(Exclude Ppn)]]-Table1[[#This Row],[RAB Perizinan]])*1.11+Table1[[#This Row],[RAB Perizinan]],0)</f>
        <v>0</v>
      </c>
      <c r="AB125" s="290">
        <f>SUM(Table1[[#This Row],[RAB Kegiatan Umum]:[RAB Perizinan]])</f>
        <v>0</v>
      </c>
      <c r="AC125" s="290"/>
      <c r="AD125" s="290"/>
      <c r="AE125" s="290"/>
      <c r="AF125" s="290"/>
      <c r="AG125" s="290">
        <v>147574678</v>
      </c>
      <c r="AH125" s="35" t="e">
        <f>SUM(Table1[[#This Row],[Bobot Keg Umum]:[Bobot Perizinan]])</f>
        <v>#DIV/0!</v>
      </c>
      <c r="AI125" s="35" t="e">
        <f>Table1[[#This Row],[RAB Kegiatan Umum]]/Table1[[#This Row],[Nilai RAB Jaringan
(Exclude Ppn)]]</f>
        <v>#DIV/0!</v>
      </c>
      <c r="AJ125" s="35" t="e">
        <f>Table1[[#This Row],[RAB Pemasangan]]/Table1[[#This Row],[Nilai RAB Jaringan
(Exclude Ppn)]]</f>
        <v>#DIV/0!</v>
      </c>
      <c r="AK125" s="35" t="e">
        <f>Table1[[#This Row],[RAB Pengadaan]]/Table1[[#This Row],[Nilai RAB Jaringan
(Exclude Ppn)]]</f>
        <v>#DIV/0!</v>
      </c>
      <c r="AL125" s="35" t="e">
        <f>Table1[[#This Row],[RAB Perizinan]]/Table1[[#This Row],[Nilai RAB Jaringan
(Exclude Ppn)]]</f>
        <v>#DIV/0!</v>
      </c>
      <c r="AM125" s="42"/>
      <c r="AN125" s="256">
        <v>1131</v>
      </c>
      <c r="AO125" s="256">
        <f>SUM(Table1[[#This Row],[Pipa 63 mm]:[Pipa 1,800 mm]])</f>
        <v>0</v>
      </c>
      <c r="AP125" s="256"/>
      <c r="AQ125" s="256"/>
      <c r="AR125" s="256"/>
      <c r="AS125" s="256"/>
      <c r="AT125" s="256"/>
      <c r="AU125" s="256"/>
      <c r="AV125" s="256"/>
      <c r="AW125" s="256"/>
      <c r="AX125" s="256"/>
      <c r="AY125" s="256"/>
      <c r="AZ125" s="256"/>
      <c r="BA125" s="256"/>
      <c r="BB125" s="256"/>
      <c r="BC125" s="256"/>
      <c r="BD125" s="256"/>
      <c r="BE125" s="256"/>
      <c r="BF125" s="256"/>
      <c r="BG125" s="256"/>
      <c r="BH125" s="256"/>
      <c r="BI125" s="256"/>
      <c r="BJ125" s="36">
        <f>SUM(Table1[[#This Row],[Pipa 63 mm2]:[Pipa 1,800 mm21]])</f>
        <v>1128</v>
      </c>
      <c r="BK125" s="32">
        <v>1128</v>
      </c>
      <c r="BL125" s="32"/>
      <c r="BM125" s="32"/>
      <c r="BN125" s="32"/>
      <c r="BO125" s="32"/>
      <c r="BP125" s="32"/>
      <c r="BQ125" s="32"/>
      <c r="BR125" s="32"/>
      <c r="BS125" s="32"/>
      <c r="BT125" s="32"/>
      <c r="BU125" s="32"/>
      <c r="BV125" s="32"/>
      <c r="BW125" s="32"/>
      <c r="BX125" s="32"/>
      <c r="BY125" s="32"/>
      <c r="BZ125" s="32"/>
      <c r="CA125" s="32"/>
      <c r="CB125" s="32"/>
      <c r="CC125" s="32"/>
      <c r="CD125" s="32"/>
      <c r="CE125" s="32">
        <v>0</v>
      </c>
      <c r="CF125" s="32"/>
      <c r="CG125" s="32"/>
      <c r="CH125" s="32"/>
      <c r="CI125" s="32">
        <f t="shared" si="6"/>
        <v>0</v>
      </c>
      <c r="CJ125" s="60">
        <f>IF((Table1[[#This Row],["Volume
BA MC-0"]]-Table1[[#This Row],[Total Panjang Pipa Aktual
(Sum-&gt;)3]]-Table1[[#This Row],[Total Volume
tidak dapat dipasang]])&gt;=0,Table1[[#This Row],["Volume
BA MC-0"]]-Table1[[#This Row],[Total Panjang Pipa Aktual
(Sum-&gt;)3]]-Table1[[#This Row],[Total Volume
tidak dapat dipasang]],0)</f>
        <v>3</v>
      </c>
      <c r="CK125" s="42"/>
      <c r="CL125" s="113"/>
      <c r="CM125" s="35"/>
      <c r="CN125" s="113"/>
      <c r="CO125" s="113"/>
      <c r="CP1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5" s="61">
        <f>IFERROR(Table1[[#This Row],[Progres Keg. Umum
(%)]]*Table1[[#This Row],[Nilai RAB Jaringan
(file pa aji)]],0)</f>
        <v>0</v>
      </c>
      <c r="CR125" s="61">
        <f>IFERROR(Table1[[#This Row],[Progres MOS
(%)]]*Table1[[#This Row],[Nilai RAB Jaringan
(file pa aji)]],0)</f>
        <v>0</v>
      </c>
      <c r="CS125" s="61">
        <f>IFERROR(Table1[[#This Row],[Progres Pemasangan
(%)]]*Table1[[#This Row],[Nilai RAB Jaringan
(file pa aji)]],0)</f>
        <v>0</v>
      </c>
      <c r="CT125" s="61">
        <f>IFERROR(Table1[[#This Row],[Progres Perizinan
(%)]]*Table1[[#This Row],[Nilai RAB Jaringan
(file pa aji)]],0)</f>
        <v>0</v>
      </c>
      <c r="CU125" s="789">
        <v>1486837155</v>
      </c>
      <c r="CV125" s="299">
        <v>1486837155</v>
      </c>
      <c r="CW125" s="552">
        <v>1486837155</v>
      </c>
      <c r="CX125" s="789">
        <f>_xlfn.XLOOKUP(Table1[[#This Row],[Kode Program]],'[1]Breakdown VOWD Greenfield'!$E:$E,'[1]Breakdown VOWD Greenfield'!$AT:$AT)</f>
        <v>1486837155</v>
      </c>
      <c r="CY125" s="42"/>
      <c r="CZ125" s="300">
        <v>45530</v>
      </c>
      <c r="DA125" s="300">
        <v>45543</v>
      </c>
      <c r="DB125" s="301"/>
      <c r="DC125" s="286"/>
      <c r="DD125" s="62"/>
      <c r="DE1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5" s="301"/>
      <c r="DG125" s="286"/>
      <c r="DH125" s="62"/>
      <c r="DI1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5" s="300">
        <v>45544</v>
      </c>
      <c r="DK125" s="300">
        <v>45592</v>
      </c>
      <c r="DL125" s="301">
        <v>45542</v>
      </c>
      <c r="DM125" s="395" t="s">
        <v>864</v>
      </c>
      <c r="DN1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5" s="301">
        <v>45736</v>
      </c>
      <c r="DP125" s="396" t="s">
        <v>865</v>
      </c>
      <c r="DQ125" s="308" t="s">
        <v>501</v>
      </c>
      <c r="DR1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5" s="300">
        <v>45544</v>
      </c>
      <c r="DT125" s="300" t="e">
        <v>#N/A</v>
      </c>
      <c r="DU125" s="300">
        <v>45571</v>
      </c>
      <c r="DV125" s="300" t="e">
        <v>#N/A</v>
      </c>
      <c r="DW125" s="301"/>
      <c r="DX125" s="286"/>
      <c r="DY125" s="304"/>
      <c r="DZ125" s="304"/>
      <c r="EA1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5" s="301"/>
      <c r="EC125" s="302"/>
      <c r="ED125" s="302"/>
      <c r="EE125" s="300"/>
      <c r="EF125" s="35">
        <v>1</v>
      </c>
      <c r="EG125" s="307">
        <v>1</v>
      </c>
      <c r="EH125" s="286" t="str">
        <f>IF(Table1[[#This Row],[PO Material Aktual 
(%)]]&gt;=100%,"Selesai PO = 100%",IF(Table1[[#This Row],[PO Material Aktual 
(%)]]&gt;=50%,"Proses PO &gt; 100%",IF(Table1[[#This Row],[PO Material Aktual 
(%)]]&gt;0%,"Proses PO &gt; 50%",IF(Table1[[#This Row],[PO Material Aktual 
(%)]]=0,"Belum PO = 0%"))))</f>
        <v>Selesai PO = 100%</v>
      </c>
      <c r="EI1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5" s="300">
        <v>45572</v>
      </c>
      <c r="EK125" s="300" t="e">
        <v>#N/A</v>
      </c>
      <c r="EL125" s="300">
        <v>45620</v>
      </c>
      <c r="EM125" s="300" t="e">
        <v>#N/A</v>
      </c>
      <c r="EN125" s="301">
        <v>45759</v>
      </c>
      <c r="EO125" s="302"/>
      <c r="EP125" s="302"/>
      <c r="EQ125" s="82">
        <v>1</v>
      </c>
      <c r="ER125" s="82">
        <v>1</v>
      </c>
      <c r="ES125" s="286" t="str">
        <f>IF(Table1[[#This Row],[Progres MOS]]&gt;=100%,"Selesai MOS = 100%",IF(Table1[[#This Row],[Progres MOS]]&gt;=50%,"Proses MOS &gt; 100%",IF(Table1[[#This Row],[Progres MOS]]&gt;0%,"Proses MOS &gt; 50%",IF(Table1[[#This Row],[Progres MOS]]=0,"Belum MOS = 0%"))))</f>
        <v>Selesai MOS = 100%</v>
      </c>
      <c r="ET1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5" s="42"/>
      <c r="EV125" s="300">
        <v>45544</v>
      </c>
      <c r="EW125" s="300" t="e">
        <v>#N/A</v>
      </c>
      <c r="EX125" s="300">
        <v>45620</v>
      </c>
      <c r="EY125" s="300" t="e">
        <v>#N/A</v>
      </c>
      <c r="EZ125" s="322" t="s">
        <v>298</v>
      </c>
      <c r="FA125" s="306" t="s">
        <v>259</v>
      </c>
      <c r="FB125" s="300" t="s">
        <v>260</v>
      </c>
      <c r="FC125" s="300">
        <v>45799</v>
      </c>
      <c r="FD125" s="300" t="s">
        <v>260</v>
      </c>
      <c r="FE125" s="300">
        <v>45875</v>
      </c>
      <c r="FF125" s="300">
        <v>45929</v>
      </c>
      <c r="FG125" s="300" t="s">
        <v>260</v>
      </c>
      <c r="FH125" s="300" t="s">
        <v>260</v>
      </c>
      <c r="FI125" s="300">
        <v>46021</v>
      </c>
      <c r="FJ125" s="300" t="s">
        <v>260</v>
      </c>
      <c r="FK125" s="300">
        <v>46087</v>
      </c>
      <c r="FL125" s="306" t="s">
        <v>298</v>
      </c>
      <c r="FM125" s="306">
        <v>45799</v>
      </c>
      <c r="FN125" s="284">
        <f>IF(Table1[[#This Row],[Tanggal Pengajuan Dokumen]]="","",Table1[[#This Row],[PLAN PERMIT
start]]-Table1[[#This Row],[Tanggal Pengajuan Dokumen]])</f>
        <v>-255</v>
      </c>
      <c r="FO125" s="306"/>
      <c r="FP125" s="286"/>
      <c r="FQ125" s="308"/>
      <c r="FR125" s="322"/>
      <c r="FS125" s="308" t="str">
        <f t="shared" si="8"/>
        <v>Sudah Terbit</v>
      </c>
      <c r="FT1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5" s="314">
        <f ca="1">IF(Table1[[#This Row],[Status Izin]]="Selesai",Table1[[#This Row],[PLAN PERMIT
finish]]-Table1[[#This Row],[Tanggal Terbit/ Target Izin Terbit]],ROUNDUP(Table1[[#This Row],[PLAN PERMIT
finish]]-NOW(),0))</f>
        <v>45620</v>
      </c>
      <c r="FV1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5" s="314"/>
      <c r="FX125" s="42"/>
      <c r="FY125" s="310"/>
      <c r="FZ125" s="311"/>
      <c r="GA1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5" s="300">
        <v>45594</v>
      </c>
      <c r="GC125" s="322">
        <v>45610</v>
      </c>
      <c r="GD1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5" s="300">
        <v>45601</v>
      </c>
      <c r="GF125" s="322">
        <v>45610</v>
      </c>
      <c r="GG1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5" s="300">
        <v>45607</v>
      </c>
      <c r="GI125" s="300">
        <v>45613</v>
      </c>
      <c r="GJ125" s="322">
        <v>45554</v>
      </c>
      <c r="GK1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5" s="300">
        <v>45621</v>
      </c>
      <c r="GM125" s="300" t="e">
        <v>#N/A</v>
      </c>
      <c r="GN125" s="300">
        <v>45641</v>
      </c>
      <c r="GO125" s="300" t="e">
        <v>#N/A</v>
      </c>
      <c r="GP125" s="286"/>
      <c r="GQ1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5" s="300" t="s">
        <v>261</v>
      </c>
      <c r="GS125" s="391" t="s">
        <v>261</v>
      </c>
      <c r="GT125" s="403">
        <v>45695</v>
      </c>
      <c r="GU125" s="393" t="str">
        <f>IF(Table1[[#This Row],[Hydro Tes Actual
(tanggal)]]&lt;&gt;"","Sudah","Belum")</f>
        <v>Sudah</v>
      </c>
      <c r="GV125" s="300" t="s">
        <v>261</v>
      </c>
      <c r="GW125" s="300" t="s">
        <v>261</v>
      </c>
      <c r="GX125" s="301"/>
      <c r="GY125" s="314" t="str">
        <f>IF(Table1[[#This Row],[Interkoneksi Actual
(tanggal)]]&lt;&gt;"","Sudah","Belum")</f>
        <v>Belum</v>
      </c>
      <c r="GZ125" s="300" t="s">
        <v>261</v>
      </c>
      <c r="HA125" s="391" t="s">
        <v>261</v>
      </c>
      <c r="HB125" s="402">
        <v>45696</v>
      </c>
      <c r="HC125" s="314" t="str">
        <f>IF(Table1[[#This Row],[Flushing Actual
(tanggal)]]&lt;&gt;"","Sudah","Belum")</f>
        <v>Sudah</v>
      </c>
      <c r="HD125" s="300">
        <v>45628</v>
      </c>
      <c r="HE125" s="300" t="e">
        <v>#N/A</v>
      </c>
      <c r="HF125" s="300">
        <v>45634</v>
      </c>
      <c r="HG125" s="322">
        <v>45719</v>
      </c>
      <c r="HH1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5" s="300" t="s">
        <v>261</v>
      </c>
      <c r="HJ125" s="300" t="s">
        <v>261</v>
      </c>
      <c r="HK125" s="301"/>
      <c r="HL125" s="286"/>
      <c r="HM125" s="300">
        <v>45646</v>
      </c>
      <c r="HN125" s="300">
        <v>45646</v>
      </c>
      <c r="HO125" s="300" t="e">
        <v>#N/A</v>
      </c>
      <c r="HP125" s="300"/>
      <c r="HQ125" s="301">
        <v>45734</v>
      </c>
      <c r="HR1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5" s="300">
        <v>45653</v>
      </c>
      <c r="HT125" s="300"/>
      <c r="HU125" s="300">
        <v>45653</v>
      </c>
      <c r="HV125" s="497"/>
      <c r="HW125" s="300">
        <v>45745</v>
      </c>
      <c r="HX1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5" s="42"/>
      <c r="HZ125" s="322"/>
      <c r="IA125" s="306"/>
      <c r="IC125" s="585">
        <f>IFERROR(ROUND((Table1[[#This Row],[PLAN TC
finish]]-Table1[[#This Row],[PLAN MC-0
start]])/30,2),"")</f>
        <v>0.9</v>
      </c>
      <c r="ID125">
        <f>DATEDIF(Table1[[#This Row],[PLAN MC-0
start]],Table1[[#This Row],[PLAN TC
finish]],"m")</f>
        <v>0</v>
      </c>
    </row>
    <row r="126" spans="1:238" s="4" customFormat="1" ht="15" customHeight="1" x14ac:dyDescent="0.25">
      <c r="B126" s="281">
        <f>SUBTOTAL(3,$D$5:D126)</f>
        <v>122</v>
      </c>
      <c r="C126" s="318">
        <v>122</v>
      </c>
      <c r="D126" s="285" t="s">
        <v>673</v>
      </c>
      <c r="E126" s="285" t="s">
        <v>866</v>
      </c>
      <c r="F126" s="285" t="s">
        <v>867</v>
      </c>
      <c r="G126" s="319">
        <v>45752</v>
      </c>
      <c r="H126" s="284" t="s">
        <v>247</v>
      </c>
      <c r="I126" s="285" t="s">
        <v>278</v>
      </c>
      <c r="J126" s="388" t="s">
        <v>868</v>
      </c>
      <c r="K126" s="308" t="s">
        <v>676</v>
      </c>
      <c r="L126" s="286" t="s">
        <v>250</v>
      </c>
      <c r="M126" s="286" t="s">
        <v>269</v>
      </c>
      <c r="N126" s="94">
        <v>190</v>
      </c>
      <c r="O126" s="31" t="s">
        <v>252</v>
      </c>
      <c r="P126"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26" s="82" t="e">
        <v>#N/A</v>
      </c>
      <c r="S126" s="82">
        <v>1</v>
      </c>
      <c r="T126" s="35">
        <f>Table1[[#This Row],[Progres Total Aktual
(%)]]</f>
        <v>0</v>
      </c>
      <c r="U126" s="106">
        <f>Table1[[#This Row],[Progres Aktual
(%)]]-Table1[[#This Row],[Target Progres
(%)]]</f>
        <v>-1</v>
      </c>
      <c r="V126" s="320">
        <f>Table1[[#This Row],["Volume
BA MC-0"]]</f>
        <v>188</v>
      </c>
      <c r="W126" s="321">
        <f>Table1[[#This Row],[Total Panjang Pipa Aktual
(Sum-&gt;)3]]</f>
        <v>0</v>
      </c>
      <c r="X126" s="42"/>
      <c r="Y126" s="62" t="s">
        <v>869</v>
      </c>
      <c r="Z126" s="62">
        <v>425152292</v>
      </c>
      <c r="AA126" s="62">
        <f>ROUND((Table1[[#This Row],[Nilai RAB Jaringan
(Exclude Ppn)]]-Table1[[#This Row],[RAB Perizinan]])*1.11+Table1[[#This Row],[RAB Perizinan]],0)</f>
        <v>0</v>
      </c>
      <c r="AB126" s="290">
        <f>SUM(Table1[[#This Row],[RAB Kegiatan Umum]:[RAB Perizinan]])</f>
        <v>0</v>
      </c>
      <c r="AC126" s="290"/>
      <c r="AD126" s="290"/>
      <c r="AE126" s="290"/>
      <c r="AF126" s="290"/>
      <c r="AG126" s="290">
        <v>2049649</v>
      </c>
      <c r="AH126" s="35" t="e">
        <f>SUM(Table1[[#This Row],[Bobot Keg Umum]:[Bobot Perizinan]])</f>
        <v>#DIV/0!</v>
      </c>
      <c r="AI126" s="35" t="e">
        <f>Table1[[#This Row],[RAB Kegiatan Umum]]/Table1[[#This Row],[Nilai RAB Jaringan
(Exclude Ppn)]]</f>
        <v>#DIV/0!</v>
      </c>
      <c r="AJ126" s="35" t="e">
        <f>Table1[[#This Row],[RAB Pemasangan]]/Table1[[#This Row],[Nilai RAB Jaringan
(Exclude Ppn)]]</f>
        <v>#DIV/0!</v>
      </c>
      <c r="AK126" s="35" t="e">
        <f>Table1[[#This Row],[RAB Pengadaan]]/Table1[[#This Row],[Nilai RAB Jaringan
(Exclude Ppn)]]</f>
        <v>#DIV/0!</v>
      </c>
      <c r="AL126" s="35" t="e">
        <f>Table1[[#This Row],[RAB Perizinan]]/Table1[[#This Row],[Nilai RAB Jaringan
(Exclude Ppn)]]</f>
        <v>#DIV/0!</v>
      </c>
      <c r="AM126" s="42"/>
      <c r="AN126" s="256">
        <v>188</v>
      </c>
      <c r="AO126" s="256">
        <f>SUM(Table1[[#This Row],[Pipa 63 mm]:[Pipa 1,800 mm]])</f>
        <v>0</v>
      </c>
      <c r="AP126" s="256"/>
      <c r="AQ126" s="256"/>
      <c r="AR126" s="256"/>
      <c r="AS126" s="256"/>
      <c r="AT126" s="256"/>
      <c r="AU126" s="256"/>
      <c r="AV126" s="256"/>
      <c r="AW126" s="256"/>
      <c r="AX126" s="256"/>
      <c r="AY126" s="256"/>
      <c r="AZ126" s="256"/>
      <c r="BA126" s="256"/>
      <c r="BB126" s="256"/>
      <c r="BC126" s="256"/>
      <c r="BD126" s="256"/>
      <c r="BE126" s="256"/>
      <c r="BF126" s="256"/>
      <c r="BG126" s="256"/>
      <c r="BH126" s="256"/>
      <c r="BI126" s="256"/>
      <c r="BJ126" s="36">
        <f>SUM(Table1[[#This Row],[Pipa 63 mm2]:[Pipa 1,800 mm21]])</f>
        <v>0</v>
      </c>
      <c r="BK126" s="32"/>
      <c r="BL126" s="32"/>
      <c r="BM126" s="32"/>
      <c r="BN126" s="32"/>
      <c r="BO126" s="32"/>
      <c r="BP126" s="32"/>
      <c r="BQ126" s="32"/>
      <c r="BR126" s="32"/>
      <c r="BS126" s="32"/>
      <c r="BT126" s="32"/>
      <c r="BU126" s="32"/>
      <c r="BV126" s="32"/>
      <c r="BW126" s="32"/>
      <c r="BX126" s="32"/>
      <c r="BY126" s="32"/>
      <c r="BZ126" s="32"/>
      <c r="CA126" s="32"/>
      <c r="CB126" s="32"/>
      <c r="CC126" s="32"/>
      <c r="CD126" s="32"/>
      <c r="CE126" s="32">
        <v>188</v>
      </c>
      <c r="CF126" s="32"/>
      <c r="CG126" s="32"/>
      <c r="CH126" s="32"/>
      <c r="CI126" s="32">
        <f t="shared" si="6"/>
        <v>188</v>
      </c>
      <c r="CJ126" s="60">
        <f>IF((Table1[[#This Row],["Volume
BA MC-0"]]-Table1[[#This Row],[Total Panjang Pipa Aktual
(Sum-&gt;)3]]-Table1[[#This Row],[Total Volume
tidak dapat dipasang]])&gt;=0,Table1[[#This Row],["Volume
BA MC-0"]]-Table1[[#This Row],[Total Panjang Pipa Aktual
(Sum-&gt;)3]]-Table1[[#This Row],[Total Volume
tidak dapat dipasang]],0)</f>
        <v>0</v>
      </c>
      <c r="CK126" s="42"/>
      <c r="CL126" s="113"/>
      <c r="CM126" s="35"/>
      <c r="CN126" s="113"/>
      <c r="CO126" s="113"/>
      <c r="CP1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6" s="61">
        <f>IFERROR(Table1[[#This Row],[Progres Keg. Umum
(%)]]*Table1[[#This Row],[Nilai RAB Jaringan
(file pa aji)]],0)</f>
        <v>0</v>
      </c>
      <c r="CR126" s="61">
        <f>IFERROR(Table1[[#This Row],[Progres MOS
(%)]]*Table1[[#This Row],[Nilai RAB Jaringan
(file pa aji)]],0)</f>
        <v>0</v>
      </c>
      <c r="CS126" s="61">
        <f>IFERROR(Table1[[#This Row],[Progres Pemasangan
(%)]]*Table1[[#This Row],[Nilai RAB Jaringan
(file pa aji)]],0)</f>
        <v>0</v>
      </c>
      <c r="CT126" s="61">
        <f>IFERROR(Table1[[#This Row],[Progres Perizinan
(%)]]*Table1[[#This Row],[Nilai RAB Jaringan
(file pa aji)]],0)</f>
        <v>0</v>
      </c>
      <c r="CU126" s="789">
        <v>124647097.27600212</v>
      </c>
      <c r="CV126" s="299">
        <v>124647097.27600212</v>
      </c>
      <c r="CW126" s="552">
        <v>0</v>
      </c>
      <c r="CX126" s="789">
        <f>_xlfn.XLOOKUP(Table1[[#This Row],[Kode Program]],'[1]Breakdown VOWD Greenfield'!$E:$E,'[1]Breakdown VOWD Greenfield'!$AT:$AT)</f>
        <v>0</v>
      </c>
      <c r="CY126" s="42"/>
      <c r="CZ126" s="300">
        <v>45565</v>
      </c>
      <c r="DA126" s="300">
        <v>45585</v>
      </c>
      <c r="DB126" s="301"/>
      <c r="DC126" s="286"/>
      <c r="DD126" s="62"/>
      <c r="DE1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6" s="301"/>
      <c r="DG126" s="286"/>
      <c r="DH126" s="62"/>
      <c r="DI1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6" s="300">
        <v>45586</v>
      </c>
      <c r="DK126" s="300">
        <v>45627</v>
      </c>
      <c r="DL126" s="301">
        <v>45608</v>
      </c>
      <c r="DM126" s="395" t="s">
        <v>870</v>
      </c>
      <c r="DN1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6" s="301">
        <v>45656</v>
      </c>
      <c r="DP126" s="396" t="s">
        <v>871</v>
      </c>
      <c r="DQ126" s="396" t="s">
        <v>762</v>
      </c>
      <c r="DR1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6" s="300">
        <v>45586</v>
      </c>
      <c r="DT126" s="300" t="e">
        <v>#N/A</v>
      </c>
      <c r="DU126" s="300">
        <v>45620</v>
      </c>
      <c r="DV126" s="300" t="e">
        <v>#N/A</v>
      </c>
      <c r="DW126" s="301"/>
      <c r="DX126" s="286"/>
      <c r="DY126" s="304"/>
      <c r="DZ126" s="304"/>
      <c r="EA1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6" s="301"/>
      <c r="EC126" s="302"/>
      <c r="ED126" s="302"/>
      <c r="EE126" s="300"/>
      <c r="EF126" s="35">
        <v>1</v>
      </c>
      <c r="EG126" s="307">
        <v>1</v>
      </c>
      <c r="EH126" s="286" t="str">
        <f>IF(Table1[[#This Row],[PO Material Aktual 
(%)]]&gt;=100%,"Selesai PO = 100%",IF(Table1[[#This Row],[PO Material Aktual 
(%)]]&gt;=50%,"Proses PO &gt; 100%",IF(Table1[[#This Row],[PO Material Aktual 
(%)]]&gt;0%,"Proses PO &gt; 50%",IF(Table1[[#This Row],[PO Material Aktual 
(%)]]=0,"Belum PO = 0%"))))</f>
        <v>Selesai PO = 100%</v>
      </c>
      <c r="EI1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6" s="300">
        <v>45621</v>
      </c>
      <c r="EK126" s="300" t="e">
        <v>#N/A</v>
      </c>
      <c r="EL126" s="300">
        <v>45683</v>
      </c>
      <c r="EM126" s="300" t="e">
        <v>#N/A</v>
      </c>
      <c r="EN126" s="301"/>
      <c r="EO126" s="302"/>
      <c r="EP126" s="302"/>
      <c r="EQ126" s="82">
        <v>1</v>
      </c>
      <c r="ER126" s="82">
        <v>1</v>
      </c>
      <c r="ES126" s="286" t="str">
        <f>IF(Table1[[#This Row],[Progres MOS]]&gt;=100%,"Selesai MOS = 100%",IF(Table1[[#This Row],[Progres MOS]]&gt;=50%,"Proses MOS &gt; 100%",IF(Table1[[#This Row],[Progres MOS]]&gt;0%,"Proses MOS &gt; 50%",IF(Table1[[#This Row],[Progres MOS]]=0,"Belum MOS = 0%"))))</f>
        <v>Selesai MOS = 100%</v>
      </c>
      <c r="ET1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6" s="42"/>
      <c r="EV126" s="300">
        <v>45586</v>
      </c>
      <c r="EW126" s="300" t="e">
        <v>#N/A</v>
      </c>
      <c r="EX126" s="300">
        <v>45655</v>
      </c>
      <c r="EY126" s="300" t="e">
        <v>#N/A</v>
      </c>
      <c r="EZ126" s="322" t="s">
        <v>259</v>
      </c>
      <c r="FA126" s="306" t="s">
        <v>259</v>
      </c>
      <c r="FB126" s="300" t="s">
        <v>260</v>
      </c>
      <c r="FC126" s="300">
        <v>45799</v>
      </c>
      <c r="FD126" s="300" t="s">
        <v>260</v>
      </c>
      <c r="FE126" s="300">
        <v>45875</v>
      </c>
      <c r="FF126" s="300">
        <v>45929</v>
      </c>
      <c r="FG126" s="300" t="s">
        <v>260</v>
      </c>
      <c r="FH126" s="300" t="s">
        <v>260</v>
      </c>
      <c r="FI126" s="300">
        <v>46021</v>
      </c>
      <c r="FJ126" s="300" t="s">
        <v>260</v>
      </c>
      <c r="FK126" s="300">
        <v>45985</v>
      </c>
      <c r="FL126" s="306" t="s">
        <v>259</v>
      </c>
      <c r="FM126" s="306">
        <v>45799</v>
      </c>
      <c r="FN126" s="284">
        <f>IF(Table1[[#This Row],[Tanggal Pengajuan Dokumen]]="","",Table1[[#This Row],[PLAN PERMIT
start]]-Table1[[#This Row],[Tanggal Pengajuan Dokumen]])</f>
        <v>-213</v>
      </c>
      <c r="FO126" s="306">
        <v>45985</v>
      </c>
      <c r="FP126" s="286"/>
      <c r="FQ126" s="308"/>
      <c r="FR126" s="322"/>
      <c r="FS126" s="308" t="str">
        <f t="shared" si="8"/>
        <v>Sudah Terbit</v>
      </c>
      <c r="FT1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6" s="314">
        <f ca="1">IF(Table1[[#This Row],[Status Izin]]="Selesai",Table1[[#This Row],[PLAN PERMIT
finish]]-Table1[[#This Row],[Tanggal Terbit/ Target Izin Terbit]],ROUNDUP(Table1[[#This Row],[PLAN PERMIT
finish]]-NOW(),0))</f>
        <v>-330</v>
      </c>
      <c r="FV1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6" s="314"/>
      <c r="FX126" s="42"/>
      <c r="FY126" s="310"/>
      <c r="FZ126" s="311"/>
      <c r="GA1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6" s="300">
        <v>45629</v>
      </c>
      <c r="GC126" s="322">
        <v>45629</v>
      </c>
      <c r="GD1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6" s="300">
        <v>45636</v>
      </c>
      <c r="GF126" s="322">
        <v>45629</v>
      </c>
      <c r="GG1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26" s="300">
        <v>45642</v>
      </c>
      <c r="GI126" s="300">
        <v>45648</v>
      </c>
      <c r="GJ126" s="322">
        <v>45638</v>
      </c>
      <c r="GK1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6" s="300">
        <v>45656</v>
      </c>
      <c r="GM126" s="300" t="e">
        <v>#N/A</v>
      </c>
      <c r="GN126" s="300">
        <v>45697</v>
      </c>
      <c r="GO126" s="300" t="e">
        <v>#N/A</v>
      </c>
      <c r="GP126" s="286"/>
      <c r="GQ1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6" s="300" t="s">
        <v>261</v>
      </c>
      <c r="GS126" s="391">
        <v>46220</v>
      </c>
      <c r="GT126" s="324"/>
      <c r="GU126" s="393" t="str">
        <f>IF(Table1[[#This Row],[Hydro Tes Actual
(tanggal)]]&lt;&gt;"","Sudah","Belum")</f>
        <v>Belum</v>
      </c>
      <c r="GV126" s="300" t="s">
        <v>261</v>
      </c>
      <c r="GW126" s="300" t="s">
        <v>261</v>
      </c>
      <c r="GX126" s="301"/>
      <c r="GY126" s="314" t="str">
        <f>IF(Table1[[#This Row],[Interkoneksi Actual
(tanggal)]]&lt;&gt;"","Sudah","Belum")</f>
        <v>Belum</v>
      </c>
      <c r="GZ126" s="300" t="s">
        <v>261</v>
      </c>
      <c r="HA126" s="300">
        <v>46227</v>
      </c>
      <c r="HB126" s="300"/>
      <c r="HC126" s="314" t="str">
        <f>IF(Table1[[#This Row],[Flushing Actual
(tanggal)]]&lt;&gt;"","Sudah","Belum")</f>
        <v>Belum</v>
      </c>
      <c r="HD126" s="300">
        <v>45684</v>
      </c>
      <c r="HE126" s="300">
        <v>46234</v>
      </c>
      <c r="HF126" s="300">
        <v>45690</v>
      </c>
      <c r="HG126" s="322"/>
      <c r="HH1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6" s="300" t="s">
        <v>261</v>
      </c>
      <c r="HJ126" s="300" t="s">
        <v>261</v>
      </c>
      <c r="HK126" s="301"/>
      <c r="HL126" s="286"/>
      <c r="HM126" s="300">
        <v>45702</v>
      </c>
      <c r="HN126" s="300">
        <v>45702</v>
      </c>
      <c r="HO126" s="300">
        <v>46241</v>
      </c>
      <c r="HP126" s="300"/>
      <c r="HQ126" s="301"/>
      <c r="HR1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6" s="300">
        <v>45709</v>
      </c>
      <c r="HT126" s="300"/>
      <c r="HU126" s="300">
        <v>45709</v>
      </c>
      <c r="HV126" s="497">
        <v>46248</v>
      </c>
      <c r="HW126" s="300"/>
      <c r="HX1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6" s="42"/>
      <c r="HZ126" s="322"/>
      <c r="IA126" s="306"/>
      <c r="IC126" s="585">
        <f>IFERROR(ROUND((Table1[[#This Row],[PLAN TC
finish]]-Table1[[#This Row],[PLAN MC-0
start]])/30,2),"")</f>
        <v>1.6</v>
      </c>
      <c r="ID126">
        <f>DATEDIF(Table1[[#This Row],[PLAN MC-0
start]],Table1[[#This Row],[PLAN TC
finish]],"m")</f>
        <v>1</v>
      </c>
    </row>
    <row r="127" spans="1:238" s="30" customFormat="1" ht="15" customHeight="1" x14ac:dyDescent="0.25">
      <c r="A127" s="72"/>
      <c r="B127" s="281">
        <f>SUBTOTAL(3,$D$5:D127)</f>
        <v>123</v>
      </c>
      <c r="C127" s="332">
        <v>123</v>
      </c>
      <c r="D127" s="333" t="s">
        <v>673</v>
      </c>
      <c r="E127" s="333" t="s">
        <v>872</v>
      </c>
      <c r="F127" s="333" t="s">
        <v>873</v>
      </c>
      <c r="G127" s="334">
        <v>45752</v>
      </c>
      <c r="H127" s="335" t="s">
        <v>247</v>
      </c>
      <c r="I127" s="333" t="s">
        <v>278</v>
      </c>
      <c r="J127" s="333"/>
      <c r="K127" s="336" t="s">
        <v>676</v>
      </c>
      <c r="L127" s="337" t="s">
        <v>250</v>
      </c>
      <c r="M127" s="337" t="s">
        <v>269</v>
      </c>
      <c r="N127" s="338">
        <v>83</v>
      </c>
      <c r="O127" s="339" t="s">
        <v>252</v>
      </c>
      <c r="P127" s="34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7" s="340" t="s">
        <v>389</v>
      </c>
      <c r="R127" s="83" t="e">
        <v>#N/A</v>
      </c>
      <c r="S127" s="83">
        <v>1</v>
      </c>
      <c r="T127" s="341">
        <f>Table1[[#This Row],[Progres Total Aktual
(%)]]</f>
        <v>0</v>
      </c>
      <c r="U127" s="342">
        <f>Table1[[#This Row],[Progres Aktual
(%)]]-Table1[[#This Row],[Target Progres
(%)]]</f>
        <v>-1</v>
      </c>
      <c r="V127" s="343">
        <f>Table1[[#This Row],["Volume
BA MC-0"]]</f>
        <v>0</v>
      </c>
      <c r="W127" s="344">
        <f>Table1[[#This Row],[Total Panjang Pipa Aktual
(Sum-&gt;)3]]</f>
        <v>0</v>
      </c>
      <c r="X127" s="42"/>
      <c r="Y127" s="345" t="s">
        <v>874</v>
      </c>
      <c r="Z127" s="345">
        <v>309990778</v>
      </c>
      <c r="AA127" s="345">
        <f>ROUND((Table1[[#This Row],[Nilai RAB Jaringan
(Exclude Ppn)]]-Table1[[#This Row],[RAB Perizinan]])*1.11+Table1[[#This Row],[RAB Perizinan]],0)</f>
        <v>0</v>
      </c>
      <c r="AB127" s="340">
        <f>SUM(Table1[[#This Row],[RAB Kegiatan Umum]:[RAB Perizinan]])</f>
        <v>0</v>
      </c>
      <c r="AC127" s="340"/>
      <c r="AD127" s="340"/>
      <c r="AE127" s="340"/>
      <c r="AF127" s="340"/>
      <c r="AG127" s="340">
        <v>32794373</v>
      </c>
      <c r="AH127" s="341" t="e">
        <f>SUM(Table1[[#This Row],[Bobot Keg Umum]:[Bobot Perizinan]])</f>
        <v>#DIV/0!</v>
      </c>
      <c r="AI127" s="341" t="e">
        <f>Table1[[#This Row],[RAB Kegiatan Umum]]/Table1[[#This Row],[Nilai RAB Jaringan
(Exclude Ppn)]]</f>
        <v>#DIV/0!</v>
      </c>
      <c r="AJ127" s="341" t="e">
        <f>Table1[[#This Row],[RAB Pemasangan]]/Table1[[#This Row],[Nilai RAB Jaringan
(Exclude Ppn)]]</f>
        <v>#DIV/0!</v>
      </c>
      <c r="AK127" s="341" t="e">
        <f>Table1[[#This Row],[RAB Pengadaan]]/Table1[[#This Row],[Nilai RAB Jaringan
(Exclude Ppn)]]</f>
        <v>#DIV/0!</v>
      </c>
      <c r="AL127" s="341" t="e">
        <f>Table1[[#This Row],[RAB Perizinan]]/Table1[[#This Row],[Nilai RAB Jaringan
(Exclude Ppn)]]</f>
        <v>#DIV/0!</v>
      </c>
      <c r="AM127" s="42"/>
      <c r="AN127" s="346">
        <v>0</v>
      </c>
      <c r="AO127" s="346">
        <f>SUM(Table1[[#This Row],[Pipa 63 mm]:[Pipa 1,800 mm]])</f>
        <v>0</v>
      </c>
      <c r="AP127" s="346"/>
      <c r="AQ127" s="346"/>
      <c r="AR127" s="346"/>
      <c r="AS127" s="346"/>
      <c r="AT127" s="346"/>
      <c r="AU127" s="346"/>
      <c r="AV127" s="346"/>
      <c r="AW127" s="346"/>
      <c r="AX127" s="346"/>
      <c r="AY127" s="346"/>
      <c r="AZ127" s="346"/>
      <c r="BA127" s="346"/>
      <c r="BB127" s="346"/>
      <c r="BC127" s="346"/>
      <c r="BD127" s="346"/>
      <c r="BE127" s="346"/>
      <c r="BF127" s="346"/>
      <c r="BG127" s="346"/>
      <c r="BH127" s="346"/>
      <c r="BI127" s="346"/>
      <c r="BJ127" s="347">
        <f>SUM(Table1[[#This Row],[Pipa 63 mm2]:[Pipa 1,800 mm21]])</f>
        <v>0</v>
      </c>
      <c r="BK127" s="348"/>
      <c r="BL127" s="348"/>
      <c r="BM127" s="348"/>
      <c r="BN127" s="348"/>
      <c r="BO127" s="348"/>
      <c r="BP127" s="348"/>
      <c r="BQ127" s="348"/>
      <c r="BR127" s="348"/>
      <c r="BS127" s="348"/>
      <c r="BT127" s="348"/>
      <c r="BU127" s="348"/>
      <c r="BV127" s="348"/>
      <c r="BW127" s="348"/>
      <c r="BX127" s="348"/>
      <c r="BY127" s="348"/>
      <c r="BZ127" s="348"/>
      <c r="CA127" s="348"/>
      <c r="CB127" s="348"/>
      <c r="CC127" s="348"/>
      <c r="CD127" s="348"/>
      <c r="CE127" s="348">
        <v>83</v>
      </c>
      <c r="CF127" s="348"/>
      <c r="CG127" s="348"/>
      <c r="CH127" s="348"/>
      <c r="CI127" s="348">
        <f t="shared" si="6"/>
        <v>83</v>
      </c>
      <c r="CJ127" s="348">
        <f>IF((Table1[[#This Row],["Volume
BA MC-0"]]-Table1[[#This Row],[Total Panjang Pipa Aktual
(Sum-&gt;)3]]-Table1[[#This Row],[Total Volume
tidak dapat dipasang]])&gt;=0,Table1[[#This Row],["Volume
BA MC-0"]]-Table1[[#This Row],[Total Panjang Pipa Aktual
(Sum-&gt;)3]]-Table1[[#This Row],[Total Volume
tidak dapat dipasang]],0)</f>
        <v>0</v>
      </c>
      <c r="CK127" s="42"/>
      <c r="CL127" s="349"/>
      <c r="CM127" s="341"/>
      <c r="CN127" s="349"/>
      <c r="CO127" s="349"/>
      <c r="CP1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7" s="350">
        <f>IFERROR(Table1[[#This Row],[Progres Keg. Umum
(%)]]*Table1[[#This Row],[Nilai RAB Jaringan
(file pa aji)]],0)</f>
        <v>0</v>
      </c>
      <c r="CR127" s="350">
        <f>IFERROR(Table1[[#This Row],[Progres MOS
(%)]]*Table1[[#This Row],[Nilai RAB Jaringan
(file pa aji)]],0)</f>
        <v>0</v>
      </c>
      <c r="CS127" s="350">
        <f>IFERROR(Table1[[#This Row],[Progres Pemasangan
(%)]]*Table1[[#This Row],[Nilai RAB Jaringan
(file pa aji)]],0)</f>
        <v>0</v>
      </c>
      <c r="CT127" s="350">
        <f>IFERROR(Table1[[#This Row],[Progres Perizinan
(%)]]*Table1[[#This Row],[Nilai RAB Jaringan
(file pa aji)]],0)</f>
        <v>0</v>
      </c>
      <c r="CU127" s="789">
        <v>0</v>
      </c>
      <c r="CV127" s="299">
        <v>0</v>
      </c>
      <c r="CW127" s="551">
        <v>0</v>
      </c>
      <c r="CX127" s="789">
        <f>_xlfn.XLOOKUP(Table1[[#This Row],[Kode Program]],'[1]Breakdown VOWD Greenfield'!$E:$E,'[1]Breakdown VOWD Greenfield'!$AT:$AT)</f>
        <v>0</v>
      </c>
      <c r="CY127" s="42"/>
      <c r="CZ127" s="300">
        <v>45565</v>
      </c>
      <c r="DA127" s="300">
        <v>45592</v>
      </c>
      <c r="DB127" s="301"/>
      <c r="DC127" s="337"/>
      <c r="DD127" s="345"/>
      <c r="DE1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7" s="301"/>
      <c r="DG127" s="337"/>
      <c r="DH127" s="345"/>
      <c r="DI12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7" s="300">
        <v>45593</v>
      </c>
      <c r="DK127" s="300">
        <v>45641</v>
      </c>
      <c r="DL127" s="301"/>
      <c r="DM127" s="337"/>
      <c r="DN1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27" s="301"/>
      <c r="DP127" s="337"/>
      <c r="DQ127" s="336" t="s">
        <v>685</v>
      </c>
      <c r="DR1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27" s="300">
        <v>45593</v>
      </c>
      <c r="DT127" s="300" t="e">
        <v>#N/A</v>
      </c>
      <c r="DU127" s="300">
        <v>45634</v>
      </c>
      <c r="DV127" s="300" t="e">
        <v>#N/A</v>
      </c>
      <c r="DW127" s="301"/>
      <c r="DX127" s="337"/>
      <c r="DY127" s="352"/>
      <c r="DZ127" s="352"/>
      <c r="EA1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7" s="301"/>
      <c r="EC127" s="302"/>
      <c r="ED127" s="302"/>
      <c r="EE127" s="300"/>
      <c r="EF127" s="341" t="b">
        <v>0</v>
      </c>
      <c r="EG127" s="353" t="b">
        <v>0</v>
      </c>
      <c r="EH127" s="286" t="str">
        <f>IF(Table1[[#This Row],[PO Material Aktual 
(%)]]&gt;=100%,"Selesai PO = 100%",IF(Table1[[#This Row],[PO Material Aktual 
(%)]]&gt;=50%,"Proses PO &gt; 100%",IF(Table1[[#This Row],[PO Material Aktual 
(%)]]&gt;0%,"Proses PO &gt; 50%",IF(Table1[[#This Row],[PO Material Aktual 
(%)]]=0,"Belum PO = 0%"))))</f>
        <v>Selesai PO = 100%</v>
      </c>
      <c r="EI1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7" s="300">
        <v>45635</v>
      </c>
      <c r="EK127" s="300" t="e">
        <v>#N/A</v>
      </c>
      <c r="EL127" s="300">
        <v>45669</v>
      </c>
      <c r="EM127" s="300" t="e">
        <v>#N/A</v>
      </c>
      <c r="EN127" s="301"/>
      <c r="EO127" s="302"/>
      <c r="EP127" s="302"/>
      <c r="EQ127" s="83" t="b">
        <v>0</v>
      </c>
      <c r="ER127" s="83" t="b">
        <v>0</v>
      </c>
      <c r="ES127" s="286" t="str">
        <f>IF(Table1[[#This Row],[Progres MOS]]&gt;=100%,"Selesai MOS = 100%",IF(Table1[[#This Row],[Progres MOS]]&gt;=50%,"Proses MOS &gt; 100%",IF(Table1[[#This Row],[Progres MOS]]&gt;0%,"Proses MOS &gt; 50%",IF(Table1[[#This Row],[Progres MOS]]=0,"Belum MOS = 0%"))))</f>
        <v>Selesai MOS = 100%</v>
      </c>
      <c r="ET1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7" s="42"/>
      <c r="EV127" s="300">
        <v>45593</v>
      </c>
      <c r="EW127" s="300" t="e">
        <v>#N/A</v>
      </c>
      <c r="EX127" s="300">
        <v>45669</v>
      </c>
      <c r="EY127" s="300" t="e">
        <v>#N/A</v>
      </c>
      <c r="EZ127" s="354" t="s">
        <v>298</v>
      </c>
      <c r="FA127" s="355" t="s">
        <v>389</v>
      </c>
      <c r="FB127" s="356" t="s">
        <v>260</v>
      </c>
      <c r="FC127" s="300">
        <v>45799</v>
      </c>
      <c r="FD127" s="356" t="s">
        <v>260</v>
      </c>
      <c r="FE127" s="356">
        <v>45875</v>
      </c>
      <c r="FF127" s="356">
        <v>45929</v>
      </c>
      <c r="FG127" s="356" t="s">
        <v>260</v>
      </c>
      <c r="FH127" s="356" t="s">
        <v>260</v>
      </c>
      <c r="FI127" s="356">
        <v>46021</v>
      </c>
      <c r="FJ127" s="356" t="s">
        <v>260</v>
      </c>
      <c r="FK127" s="356"/>
      <c r="FL127" s="306" t="s">
        <v>298</v>
      </c>
      <c r="FM127" s="306">
        <v>45799</v>
      </c>
      <c r="FN127" s="284">
        <f>IF(Table1[[#This Row],[Tanggal Pengajuan Dokumen]]="","",Table1[[#This Row],[PLAN PERMIT
start]]-Table1[[#This Row],[Tanggal Pengajuan Dokumen]])</f>
        <v>-206</v>
      </c>
      <c r="FO127" s="306"/>
      <c r="FP127" s="337"/>
      <c r="FQ127" s="336"/>
      <c r="FR127" s="354"/>
      <c r="FS127" s="308" t="str">
        <f t="shared" si="8"/>
        <v>On Going</v>
      </c>
      <c r="FT12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7" s="357">
        <f ca="1">IF(Table1[[#This Row],[Status Izin]]="Selesai",Table1[[#This Row],[PLAN PERMIT
finish]]-Table1[[#This Row],[Tanggal Terbit/ Target Izin Terbit]],ROUNDUP(Table1[[#This Row],[PLAN PERMIT
finish]]-NOW(),0))</f>
        <v>-535</v>
      </c>
      <c r="FV12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7" s="357"/>
      <c r="FX127" s="42"/>
      <c r="FY127" s="310"/>
      <c r="FZ127" s="311"/>
      <c r="GA1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7" s="300">
        <v>45643</v>
      </c>
      <c r="GC127" s="354"/>
      <c r="GD12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27" s="300">
        <v>45650</v>
      </c>
      <c r="GF127" s="354"/>
      <c r="GG12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27" s="300">
        <v>45656</v>
      </c>
      <c r="GI127" s="300">
        <v>45662</v>
      </c>
      <c r="GJ127" s="354"/>
      <c r="GK12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7" s="300">
        <v>45670</v>
      </c>
      <c r="GM127" s="300" t="e">
        <v>#N/A</v>
      </c>
      <c r="GN127" s="300">
        <v>45697</v>
      </c>
      <c r="GO127" s="300" t="e">
        <v>#N/A</v>
      </c>
      <c r="GP127" s="337"/>
      <c r="GQ12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7" s="356" t="s">
        <v>261</v>
      </c>
      <c r="GS127" s="404" t="s">
        <v>261</v>
      </c>
      <c r="GT127" s="360"/>
      <c r="GU127" s="405" t="str">
        <f>IF(Table1[[#This Row],[Hydro Tes Actual
(tanggal)]]&lt;&gt;"","Sudah","Belum")</f>
        <v>Belum</v>
      </c>
      <c r="GV127" s="356" t="s">
        <v>261</v>
      </c>
      <c r="GW127" s="356" t="s">
        <v>261</v>
      </c>
      <c r="GX127" s="358"/>
      <c r="GY127" s="314" t="str">
        <f>IF(Table1[[#This Row],[Interkoneksi Actual
(tanggal)]]&lt;&gt;"","Sudah","Belum")</f>
        <v>Belum</v>
      </c>
      <c r="GZ127" s="356" t="s">
        <v>261</v>
      </c>
      <c r="HA127" s="356" t="s">
        <v>261</v>
      </c>
      <c r="HB127" s="358"/>
      <c r="HC127" s="314" t="str">
        <f>IF(Table1[[#This Row],[Flushing Actual
(tanggal)]]&lt;&gt;"","Sudah","Belum")</f>
        <v>Belum</v>
      </c>
      <c r="HD127" s="300">
        <v>45684</v>
      </c>
      <c r="HE127" s="300" t="e">
        <v>#N/A</v>
      </c>
      <c r="HF127" s="300">
        <v>45690</v>
      </c>
      <c r="HG127" s="354"/>
      <c r="HH12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7" s="356" t="s">
        <v>261</v>
      </c>
      <c r="HJ127" s="356" t="s">
        <v>261</v>
      </c>
      <c r="HK127" s="358"/>
      <c r="HL127" s="337"/>
      <c r="HM127" s="300">
        <v>45702</v>
      </c>
      <c r="HN127" s="300">
        <v>45702</v>
      </c>
      <c r="HO127" s="300" t="e">
        <v>#N/A</v>
      </c>
      <c r="HP127" s="300"/>
      <c r="HQ127" s="358"/>
      <c r="HR12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7" s="300">
        <v>45709</v>
      </c>
      <c r="HT127" s="300"/>
      <c r="HU127" s="300">
        <v>45709</v>
      </c>
      <c r="HV127" s="497"/>
      <c r="HW127" s="356"/>
      <c r="HX12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7" s="42"/>
      <c r="HZ127" s="354"/>
      <c r="IA127" s="306"/>
      <c r="IC127" s="585">
        <f>IFERROR(ROUND((Table1[[#This Row],[PLAN TC
finish]]-Table1[[#This Row],[PLAN MC-0
start]])/30,2),"")</f>
        <v>1.1299999999999999</v>
      </c>
      <c r="ID127">
        <f>DATEDIF(Table1[[#This Row],[PLAN MC-0
start]],Table1[[#This Row],[PLAN TC
finish]],"m")</f>
        <v>1</v>
      </c>
    </row>
    <row r="128" spans="1:238" s="4" customFormat="1" ht="15" customHeight="1" x14ac:dyDescent="0.25">
      <c r="B128" s="281">
        <f>SUBTOTAL(3,$D$5:D128)</f>
        <v>124</v>
      </c>
      <c r="C128" s="318">
        <v>124</v>
      </c>
      <c r="D128" s="285" t="s">
        <v>673</v>
      </c>
      <c r="E128" s="285" t="s">
        <v>875</v>
      </c>
      <c r="F128" s="285" t="s">
        <v>876</v>
      </c>
      <c r="G128" s="319">
        <v>45752</v>
      </c>
      <c r="H128" s="284" t="s">
        <v>247</v>
      </c>
      <c r="I128" s="285" t="s">
        <v>278</v>
      </c>
      <c r="J128" s="388" t="s">
        <v>868</v>
      </c>
      <c r="K128" s="308" t="s">
        <v>676</v>
      </c>
      <c r="L128" s="286" t="s">
        <v>250</v>
      </c>
      <c r="M128" s="286" t="s">
        <v>269</v>
      </c>
      <c r="N128" s="94">
        <v>450</v>
      </c>
      <c r="O128" s="31" t="s">
        <v>252</v>
      </c>
      <c r="P128" s="290"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128" s="82" t="e">
        <v>#N/A</v>
      </c>
      <c r="S128" s="82">
        <v>1</v>
      </c>
      <c r="T128" s="35">
        <f>Table1[[#This Row],[Progres Total Aktual
(%)]]</f>
        <v>0</v>
      </c>
      <c r="U128" s="106">
        <f>Table1[[#This Row],[Progres Aktual
(%)]]-Table1[[#This Row],[Target Progres
(%)]]</f>
        <v>-1</v>
      </c>
      <c r="V128" s="320">
        <f>Table1[[#This Row],["Volume
BA MC-0"]]</f>
        <v>445</v>
      </c>
      <c r="W128" s="321">
        <f>Table1[[#This Row],[Total Panjang Pipa Aktual
(Sum-&gt;)3]]</f>
        <v>0</v>
      </c>
      <c r="X128" s="42"/>
      <c r="Y128" s="62" t="s">
        <v>877</v>
      </c>
      <c r="Z128" s="62">
        <v>768397677</v>
      </c>
      <c r="AA128" s="62">
        <f>ROUND((Table1[[#This Row],[Nilai RAB Jaringan
(Exclude Ppn)]]-Table1[[#This Row],[RAB Perizinan]])*1.11+Table1[[#This Row],[RAB Perizinan]],0)</f>
        <v>0</v>
      </c>
      <c r="AB128" s="290">
        <f>SUM(Table1[[#This Row],[RAB Kegiatan Umum]:[RAB Perizinan]])</f>
        <v>0</v>
      </c>
      <c r="AC128" s="290"/>
      <c r="AD128" s="290"/>
      <c r="AE128" s="290"/>
      <c r="AF128" s="290"/>
      <c r="AG128" s="290">
        <v>4099297</v>
      </c>
      <c r="AH128" s="35" t="e">
        <f>SUM(Table1[[#This Row],[Bobot Keg Umum]:[Bobot Perizinan]])</f>
        <v>#DIV/0!</v>
      </c>
      <c r="AI128" s="35" t="e">
        <f>Table1[[#This Row],[RAB Kegiatan Umum]]/Table1[[#This Row],[Nilai RAB Jaringan
(Exclude Ppn)]]</f>
        <v>#DIV/0!</v>
      </c>
      <c r="AJ128" s="35" t="e">
        <f>Table1[[#This Row],[RAB Pemasangan]]/Table1[[#This Row],[Nilai RAB Jaringan
(Exclude Ppn)]]</f>
        <v>#DIV/0!</v>
      </c>
      <c r="AK128" s="35" t="e">
        <f>Table1[[#This Row],[RAB Pengadaan]]/Table1[[#This Row],[Nilai RAB Jaringan
(Exclude Ppn)]]</f>
        <v>#DIV/0!</v>
      </c>
      <c r="AL128" s="35" t="e">
        <f>Table1[[#This Row],[RAB Perizinan]]/Table1[[#This Row],[Nilai RAB Jaringan
(Exclude Ppn)]]</f>
        <v>#DIV/0!</v>
      </c>
      <c r="AM128" s="42"/>
      <c r="AN128" s="256">
        <v>445</v>
      </c>
      <c r="AO128" s="256">
        <f>SUM(Table1[[#This Row],[Pipa 63 mm]:[Pipa 1,800 mm]])</f>
        <v>0</v>
      </c>
      <c r="AP128" s="256"/>
      <c r="AQ128" s="256"/>
      <c r="AR128" s="256"/>
      <c r="AS128" s="256"/>
      <c r="AT128" s="256"/>
      <c r="AU128" s="256"/>
      <c r="AV128" s="256"/>
      <c r="AW128" s="256"/>
      <c r="AX128" s="256"/>
      <c r="AY128" s="256"/>
      <c r="AZ128" s="256"/>
      <c r="BA128" s="256"/>
      <c r="BB128" s="256"/>
      <c r="BC128" s="256"/>
      <c r="BD128" s="256"/>
      <c r="BE128" s="256"/>
      <c r="BF128" s="256"/>
      <c r="BG128" s="256"/>
      <c r="BH128" s="256"/>
      <c r="BI128" s="256"/>
      <c r="BJ128" s="36">
        <f>SUM(Table1[[#This Row],[Pipa 63 mm2]:[Pipa 1,800 mm21]])</f>
        <v>0</v>
      </c>
      <c r="BK128" s="32"/>
      <c r="BL128" s="32"/>
      <c r="BM128" s="32"/>
      <c r="BN128" s="32"/>
      <c r="BO128" s="32"/>
      <c r="BP128" s="32"/>
      <c r="BQ128" s="32"/>
      <c r="BR128" s="32"/>
      <c r="BS128" s="32"/>
      <c r="BT128" s="32"/>
      <c r="BU128" s="32"/>
      <c r="BV128" s="32"/>
      <c r="BW128" s="32"/>
      <c r="BX128" s="32"/>
      <c r="BY128" s="32"/>
      <c r="BZ128" s="32"/>
      <c r="CA128" s="32"/>
      <c r="CB128" s="32"/>
      <c r="CC128" s="32"/>
      <c r="CD128" s="32"/>
      <c r="CE128" s="32">
        <v>445</v>
      </c>
      <c r="CF128" s="32"/>
      <c r="CG128" s="32"/>
      <c r="CH128" s="32"/>
      <c r="CI128" s="32">
        <f t="shared" si="6"/>
        <v>445</v>
      </c>
      <c r="CJ128" s="60">
        <f>IF((Table1[[#This Row],["Volume
BA MC-0"]]-Table1[[#This Row],[Total Panjang Pipa Aktual
(Sum-&gt;)3]]-Table1[[#This Row],[Total Volume
tidak dapat dipasang]])&gt;=0,Table1[[#This Row],["Volume
BA MC-0"]]-Table1[[#This Row],[Total Panjang Pipa Aktual
(Sum-&gt;)3]]-Table1[[#This Row],[Total Volume
tidak dapat dipasang]],0)</f>
        <v>0</v>
      </c>
      <c r="CK128" s="42"/>
      <c r="CL128" s="113"/>
      <c r="CM128" s="35"/>
      <c r="CN128" s="113"/>
      <c r="CO128" s="113"/>
      <c r="CP1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28" s="61">
        <f>IFERROR(Table1[[#This Row],[Progres Keg. Umum
(%)]]*Table1[[#This Row],[Nilai RAB Jaringan
(file pa aji)]],0)</f>
        <v>0</v>
      </c>
      <c r="CR128" s="61">
        <f>IFERROR(Table1[[#This Row],[Progres MOS
(%)]]*Table1[[#This Row],[Nilai RAB Jaringan
(file pa aji)]],0)</f>
        <v>0</v>
      </c>
      <c r="CS128" s="61">
        <f>IFERROR(Table1[[#This Row],[Progres Pemasangan
(%)]]*Table1[[#This Row],[Nilai RAB Jaringan
(file pa aji)]],0)</f>
        <v>0</v>
      </c>
      <c r="CT128" s="61">
        <f>IFERROR(Table1[[#This Row],[Progres Perizinan
(%)]]*Table1[[#This Row],[Nilai RAB Jaringan
(file pa aji)]],0)</f>
        <v>0</v>
      </c>
      <c r="CU128" s="789">
        <v>143992290.21335998</v>
      </c>
      <c r="CV128" s="299">
        <v>143992290.21335998</v>
      </c>
      <c r="CW128" s="552">
        <v>0</v>
      </c>
      <c r="CX128" s="789">
        <f>_xlfn.XLOOKUP(Table1[[#This Row],[Kode Program]],'[1]Breakdown VOWD Greenfield'!$E:$E,'[1]Breakdown VOWD Greenfield'!$AT:$AT)</f>
        <v>0</v>
      </c>
      <c r="CY128" s="42"/>
      <c r="CZ128" s="300">
        <v>45530</v>
      </c>
      <c r="DA128" s="300">
        <v>45543</v>
      </c>
      <c r="DB128" s="301"/>
      <c r="DC128" s="286"/>
      <c r="DD128" s="62"/>
      <c r="DE1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28" s="301"/>
      <c r="DG128" s="286"/>
      <c r="DH128" s="62"/>
      <c r="DI1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28" s="300">
        <v>45544</v>
      </c>
      <c r="DK128" s="300">
        <v>45592</v>
      </c>
      <c r="DL128" s="301">
        <v>45542</v>
      </c>
      <c r="DM128" s="395" t="s">
        <v>878</v>
      </c>
      <c r="DN1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28" s="301">
        <v>46010</v>
      </c>
      <c r="DP128" s="396" t="s">
        <v>879</v>
      </c>
      <c r="DQ128" s="308" t="s">
        <v>344</v>
      </c>
      <c r="DR1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8" s="300">
        <v>45544</v>
      </c>
      <c r="DT128" s="300" t="e">
        <v>#N/A</v>
      </c>
      <c r="DU128" s="300">
        <v>45571</v>
      </c>
      <c r="DV128" s="300" t="e">
        <v>#N/A</v>
      </c>
      <c r="DW128" s="301"/>
      <c r="DX128" s="286"/>
      <c r="DY128" s="304"/>
      <c r="DZ128" s="304"/>
      <c r="EA1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28" s="301"/>
      <c r="EC128" s="302"/>
      <c r="ED128" s="302"/>
      <c r="EE128" s="300"/>
      <c r="EF128" s="35">
        <v>1</v>
      </c>
      <c r="EG128" s="307">
        <v>1</v>
      </c>
      <c r="EH128" s="286" t="str">
        <f>IF(Table1[[#This Row],[PO Material Aktual 
(%)]]&gt;=100%,"Selesai PO = 100%",IF(Table1[[#This Row],[PO Material Aktual 
(%)]]&gt;=50%,"Proses PO &gt; 100%",IF(Table1[[#This Row],[PO Material Aktual 
(%)]]&gt;0%,"Proses PO &gt; 50%",IF(Table1[[#This Row],[PO Material Aktual 
(%)]]=0,"Belum PO = 0%"))))</f>
        <v>Selesai PO = 100%</v>
      </c>
      <c r="EI1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28" s="300">
        <v>45572</v>
      </c>
      <c r="EK128" s="300" t="e">
        <v>#N/A</v>
      </c>
      <c r="EL128" s="300">
        <v>45620</v>
      </c>
      <c r="EM128" s="300" t="e">
        <v>#N/A</v>
      </c>
      <c r="EN128" s="301"/>
      <c r="EO128" s="302"/>
      <c r="EP128" s="302"/>
      <c r="EQ128" s="82">
        <v>1</v>
      </c>
      <c r="ER128" s="82">
        <v>1</v>
      </c>
      <c r="ES128" s="286" t="str">
        <f>IF(Table1[[#This Row],[Progres MOS]]&gt;=100%,"Selesai MOS = 100%",IF(Table1[[#This Row],[Progres MOS]]&gt;=50%,"Proses MOS &gt; 100%",IF(Table1[[#This Row],[Progres MOS]]&gt;0%,"Proses MOS &gt; 50%",IF(Table1[[#This Row],[Progres MOS]]=0,"Belum MOS = 0%"))))</f>
        <v>Selesai MOS = 100%</v>
      </c>
      <c r="ET1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28" s="42"/>
      <c r="EV128" s="300">
        <v>45544</v>
      </c>
      <c r="EW128" s="300" t="e">
        <v>#N/A</v>
      </c>
      <c r="EX128" s="300">
        <v>45620</v>
      </c>
      <c r="EY128" s="300" t="e">
        <v>#N/A</v>
      </c>
      <c r="EZ128" s="322" t="s">
        <v>259</v>
      </c>
      <c r="FA128" s="306" t="s">
        <v>259</v>
      </c>
      <c r="FB128" s="300" t="s">
        <v>260</v>
      </c>
      <c r="FC128" s="300">
        <v>45705</v>
      </c>
      <c r="FD128" s="300" t="s">
        <v>260</v>
      </c>
      <c r="FE128" s="300">
        <v>45726</v>
      </c>
      <c r="FF128" s="300">
        <v>45793</v>
      </c>
      <c r="FG128" s="300" t="s">
        <v>260</v>
      </c>
      <c r="FH128" s="300" t="s">
        <v>260</v>
      </c>
      <c r="FI128" s="300">
        <v>45923</v>
      </c>
      <c r="FJ128" s="300" t="s">
        <v>260</v>
      </c>
      <c r="FK128" s="300">
        <v>45985</v>
      </c>
      <c r="FL128" s="306" t="s">
        <v>259</v>
      </c>
      <c r="FM128" s="306">
        <v>45705</v>
      </c>
      <c r="FN128" s="284">
        <f>IF(Table1[[#This Row],[Tanggal Pengajuan Dokumen]]="","",Table1[[#This Row],[PLAN PERMIT
start]]-Table1[[#This Row],[Tanggal Pengajuan Dokumen]])</f>
        <v>-161</v>
      </c>
      <c r="FO128" s="306">
        <v>45985</v>
      </c>
      <c r="FP128" s="286"/>
      <c r="FQ128" s="308"/>
      <c r="FR128" s="322"/>
      <c r="FS128" s="308" t="str">
        <f t="shared" si="8"/>
        <v>Sudah Terbit</v>
      </c>
      <c r="FT1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28" s="314">
        <f ca="1">IF(Table1[[#This Row],[Status Izin]]="Selesai",Table1[[#This Row],[PLAN PERMIT
finish]]-Table1[[#This Row],[Tanggal Terbit/ Target Izin Terbit]],ROUNDUP(Table1[[#This Row],[PLAN PERMIT
finish]]-NOW(),0))</f>
        <v>-365</v>
      </c>
      <c r="FV1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28" s="314"/>
      <c r="FX128" s="42"/>
      <c r="FY128" s="310"/>
      <c r="FZ128" s="311"/>
      <c r="GA1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28" s="300">
        <v>45594</v>
      </c>
      <c r="GC128" s="322">
        <v>45610</v>
      </c>
      <c r="GD1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28" s="300">
        <v>45601</v>
      </c>
      <c r="GF128" s="322">
        <v>45610</v>
      </c>
      <c r="GG1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8" s="300">
        <v>45607</v>
      </c>
      <c r="GI128" s="300">
        <v>45613</v>
      </c>
      <c r="GJ128" s="322"/>
      <c r="GK1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28" s="300">
        <v>45621</v>
      </c>
      <c r="GM128" s="300" t="e">
        <v>#N/A</v>
      </c>
      <c r="GN128" s="300">
        <v>45641</v>
      </c>
      <c r="GO128" s="300" t="e">
        <v>#N/A</v>
      </c>
      <c r="GP128" s="286"/>
      <c r="GQ1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8" s="300" t="s">
        <v>261</v>
      </c>
      <c r="GS128" s="391">
        <v>46220</v>
      </c>
      <c r="GT128" s="324"/>
      <c r="GU128" s="393" t="str">
        <f>IF(Table1[[#This Row],[Hydro Tes Actual
(tanggal)]]&lt;&gt;"","Sudah","Belum")</f>
        <v>Belum</v>
      </c>
      <c r="GV128" s="300" t="s">
        <v>261</v>
      </c>
      <c r="GW128" s="300" t="s">
        <v>261</v>
      </c>
      <c r="GX128" s="301"/>
      <c r="GY128" s="314" t="str">
        <f>IF(Table1[[#This Row],[Interkoneksi Actual
(tanggal)]]&lt;&gt;"","Sudah","Belum")</f>
        <v>Belum</v>
      </c>
      <c r="GZ128" s="300" t="s">
        <v>261</v>
      </c>
      <c r="HA128" s="300">
        <v>46227</v>
      </c>
      <c r="HB128" s="301"/>
      <c r="HC128" s="314" t="str">
        <f>IF(Table1[[#This Row],[Flushing Actual
(tanggal)]]&lt;&gt;"","Sudah","Belum")</f>
        <v>Belum</v>
      </c>
      <c r="HD128" s="300">
        <v>45628</v>
      </c>
      <c r="HE128" s="300">
        <v>46234</v>
      </c>
      <c r="HF128" s="300">
        <v>45634</v>
      </c>
      <c r="HG128" s="322"/>
      <c r="HH1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28" s="300" t="s">
        <v>261</v>
      </c>
      <c r="HJ128" s="300" t="s">
        <v>261</v>
      </c>
      <c r="HK128" s="301"/>
      <c r="HL128" s="286"/>
      <c r="HM128" s="300">
        <v>45646</v>
      </c>
      <c r="HN128" s="300">
        <v>45646</v>
      </c>
      <c r="HO128" s="300">
        <v>46241</v>
      </c>
      <c r="HP128" s="300"/>
      <c r="HQ128" s="301"/>
      <c r="HR1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28" s="300">
        <v>45653</v>
      </c>
      <c r="HT128" s="300"/>
      <c r="HU128" s="300">
        <v>45653</v>
      </c>
      <c r="HV128" s="497">
        <v>46248</v>
      </c>
      <c r="HW128" s="300"/>
      <c r="HX1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28" s="42"/>
      <c r="HZ128" s="322"/>
      <c r="IA128" s="306"/>
      <c r="IC128" s="585">
        <f>IFERROR(ROUND((Table1[[#This Row],[PLAN TC
finish]]-Table1[[#This Row],[PLAN MC-0
start]])/30,2),"")</f>
        <v>0.9</v>
      </c>
      <c r="ID128">
        <f>DATEDIF(Table1[[#This Row],[PLAN MC-0
start]],Table1[[#This Row],[PLAN TC
finish]],"m")</f>
        <v>0</v>
      </c>
    </row>
    <row r="129" spans="2:238" s="4" customFormat="1" ht="15" customHeight="1" x14ac:dyDescent="0.25">
      <c r="B129" s="281">
        <f>SUBTOTAL(3,$D$5:D129)</f>
        <v>125</v>
      </c>
      <c r="C129" s="318">
        <v>125</v>
      </c>
      <c r="D129" s="308" t="s">
        <v>629</v>
      </c>
      <c r="E129" s="308" t="s">
        <v>880</v>
      </c>
      <c r="F129" s="308" t="s">
        <v>881</v>
      </c>
      <c r="G129" s="319">
        <v>45935</v>
      </c>
      <c r="H129" s="284" t="s">
        <v>247</v>
      </c>
      <c r="I129" s="308" t="s">
        <v>248</v>
      </c>
      <c r="J129" s="285" t="s">
        <v>882</v>
      </c>
      <c r="K129" s="308" t="s">
        <v>632</v>
      </c>
      <c r="L129" s="286" t="s">
        <v>250</v>
      </c>
      <c r="M129" s="286" t="s">
        <v>251</v>
      </c>
      <c r="N129" s="94">
        <v>1050</v>
      </c>
      <c r="O129" s="113" t="s">
        <v>252</v>
      </c>
      <c r="P1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29" s="35" t="e">
        <v>#N/A</v>
      </c>
      <c r="S129" s="35">
        <v>1</v>
      </c>
      <c r="T129" s="35">
        <f>Table1[[#This Row],[Progres Total Aktual
(%)]]</f>
        <v>1</v>
      </c>
      <c r="U129" s="106">
        <f>Table1[[#This Row],[Progres Aktual
(%)]]-Table1[[#This Row],[Target Progres
(%)]]</f>
        <v>0</v>
      </c>
      <c r="V129" s="320">
        <f>Table1[[#This Row],["Volume
BA MC-0"]]</f>
        <v>1050</v>
      </c>
      <c r="W129" s="321">
        <f>Table1[[#This Row],[Total Panjang Pipa Aktual
(Sum-&gt;)3]]</f>
        <v>1008.2</v>
      </c>
      <c r="X129" s="42"/>
      <c r="Y129" s="62" t="s">
        <v>883</v>
      </c>
      <c r="Z129" s="62">
        <v>80943234345</v>
      </c>
      <c r="AA129" s="62">
        <f>Table1[[#This Row],[Nilai RAB Jaringan
(file pa aji)]]</f>
        <v>80943234345</v>
      </c>
      <c r="AB129" s="290">
        <f>SUM(Table1[[#This Row],[RAB Kegiatan Umum]:[RAB Perizinan]])</f>
        <v>0</v>
      </c>
      <c r="AC129" s="290"/>
      <c r="AD129" s="290"/>
      <c r="AE129" s="290"/>
      <c r="AF129" s="290"/>
      <c r="AG129" s="406">
        <v>0</v>
      </c>
      <c r="AH129" s="35" t="e">
        <f>SUM(Table1[[#This Row],[Bobot Keg Umum]:[Bobot Perizinan]])</f>
        <v>#DIV/0!</v>
      </c>
      <c r="AI129" s="35" t="e">
        <f>Table1[[#This Row],[RAB Kegiatan Umum]]/Table1[[#This Row],[Nilai RAB Jaringan
(Exclude Ppn)]]</f>
        <v>#DIV/0!</v>
      </c>
      <c r="AJ129" s="35" t="e">
        <f>Table1[[#This Row],[RAB Pemasangan]]/Table1[[#This Row],[Nilai RAB Jaringan
(Exclude Ppn)]]</f>
        <v>#DIV/0!</v>
      </c>
      <c r="AK129" s="35" t="e">
        <f>Table1[[#This Row],[RAB Pengadaan]]/Table1[[#This Row],[Nilai RAB Jaringan
(Exclude Ppn)]]</f>
        <v>#DIV/0!</v>
      </c>
      <c r="AL129" s="35" t="e">
        <f>Table1[[#This Row],[RAB Perizinan]]/Table1[[#This Row],[Nilai RAB Jaringan
(Exclude Ppn)]]</f>
        <v>#DIV/0!</v>
      </c>
      <c r="AM129" s="42"/>
      <c r="AN129" s="256">
        <v>1050</v>
      </c>
      <c r="AO129" s="256">
        <f>SUM(Table1[[#This Row],[Pipa 63 mm]:[Pipa 1,800 mm]])</f>
        <v>1003</v>
      </c>
      <c r="AP129" s="256"/>
      <c r="AQ129" s="256"/>
      <c r="AR129" s="256"/>
      <c r="AS129" s="256"/>
      <c r="AT129" s="256"/>
      <c r="AU129" s="256"/>
      <c r="AV129" s="256"/>
      <c r="AW129" s="256"/>
      <c r="AX129" s="256"/>
      <c r="AY129" s="256"/>
      <c r="AZ129" s="256"/>
      <c r="BA129" s="256"/>
      <c r="BB129" s="256"/>
      <c r="BC129" s="256"/>
      <c r="BD129" s="256"/>
      <c r="BE129" s="256"/>
      <c r="BF129" s="256"/>
      <c r="BG129" s="256"/>
      <c r="BH129" s="256">
        <v>1003</v>
      </c>
      <c r="BI129" s="256"/>
      <c r="BJ129" s="36">
        <f>SUM(Table1[[#This Row],[Pipa 63 mm2]:[Pipa 1,800 mm21]])</f>
        <v>1008.2</v>
      </c>
      <c r="BK129" s="32"/>
      <c r="BL129" s="32"/>
      <c r="BM129" s="32"/>
      <c r="BN129" s="32"/>
      <c r="BO129" s="32"/>
      <c r="BP129" s="32"/>
      <c r="BQ129" s="32"/>
      <c r="BR129" s="32"/>
      <c r="BS129" s="32"/>
      <c r="BT129" s="32"/>
      <c r="BU129" s="32"/>
      <c r="BV129" s="32"/>
      <c r="BW129" s="32"/>
      <c r="BX129" s="32"/>
      <c r="BY129" s="32"/>
      <c r="BZ129" s="32"/>
      <c r="CA129" s="32"/>
      <c r="CB129" s="32"/>
      <c r="CC129" s="32">
        <v>1008.2</v>
      </c>
      <c r="CD129" s="32"/>
      <c r="CE129" s="32">
        <v>0</v>
      </c>
      <c r="CF129" s="32">
        <v>0</v>
      </c>
      <c r="CG129" s="32">
        <v>0</v>
      </c>
      <c r="CH129" s="32">
        <v>0</v>
      </c>
      <c r="CI129" s="32">
        <f t="shared" si="6"/>
        <v>0</v>
      </c>
      <c r="CJ129" s="60">
        <f>IF((Table1[[#This Row],["Volume
BA MC-0"]]-Table1[[#This Row],[Total Panjang Pipa Aktual
(Sum-&gt;)3]]-Table1[[#This Row],[Total Volume
tidak dapat dipasang]])&gt;=0,Table1[[#This Row],["Volume
BA MC-0"]]-Table1[[#This Row],[Total Panjang Pipa Aktual
(Sum-&gt;)3]]-Table1[[#This Row],[Total Volume
tidak dapat dipasang]],0)</f>
        <v>41.799999999999955</v>
      </c>
      <c r="CK129" s="42"/>
      <c r="CL129" s="113"/>
      <c r="CM129" s="35"/>
      <c r="CN129" s="113"/>
      <c r="CO129" s="113"/>
      <c r="CP1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29" s="61">
        <f>IFERROR(Table1[[#This Row],[Progres Keg. Umum
(%)]]*Table1[[#This Row],[Nilai RAB Jaringan
(file pa aji)]],0)</f>
        <v>0</v>
      </c>
      <c r="CR129" s="61">
        <f>IFERROR(Table1[[#This Row],[Progres MOS
(%)]]*Table1[[#This Row],[Nilai RAB Jaringan
(file pa aji)]],0)</f>
        <v>0</v>
      </c>
      <c r="CS129" s="61">
        <f>IFERROR(Table1[[#This Row],[Progres Pemasangan
(%)]]*Table1[[#This Row],[Nilai RAB Jaringan
(file pa aji)]],0)</f>
        <v>0</v>
      </c>
      <c r="CT129" s="61">
        <f>IFERROR(Table1[[#This Row],[Progres Perizinan
(%)]]*Table1[[#This Row],[Nilai RAB Jaringan
(file pa aji)]],0)</f>
        <v>0</v>
      </c>
      <c r="CU129" s="789">
        <v>70342346388</v>
      </c>
      <c r="CV129" s="299">
        <v>70342346388</v>
      </c>
      <c r="CW129" s="552">
        <v>70342346388</v>
      </c>
      <c r="CX129" s="789">
        <f>_xlfn.XLOOKUP(Table1[[#This Row],[Kode Program]],'[1]Breakdown VOWD Greenfield'!$E:$E,'[1]Breakdown VOWD Greenfield'!$AT:$AT)</f>
        <v>70342346388</v>
      </c>
      <c r="CY129" s="42"/>
      <c r="CZ129" s="300">
        <v>45383</v>
      </c>
      <c r="DA129" s="300">
        <v>45417</v>
      </c>
      <c r="DB129" s="301">
        <v>45422</v>
      </c>
      <c r="DC129" s="286" t="s">
        <v>650</v>
      </c>
      <c r="DD129" s="62">
        <v>80943234345</v>
      </c>
      <c r="DE1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29" s="301">
        <v>45275</v>
      </c>
      <c r="DG129" s="286" t="s">
        <v>651</v>
      </c>
      <c r="DH129" s="62">
        <v>80943234345</v>
      </c>
      <c r="DI1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29" s="300">
        <v>45418</v>
      </c>
      <c r="DK129" s="300">
        <v>45564</v>
      </c>
      <c r="DL129" s="301">
        <v>45889</v>
      </c>
      <c r="DM129" s="286" t="s">
        <v>884</v>
      </c>
      <c r="DN1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29" s="301">
        <v>45896</v>
      </c>
      <c r="DP129" s="286" t="s">
        <v>885</v>
      </c>
      <c r="DQ129" s="308" t="s">
        <v>258</v>
      </c>
      <c r="DR1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29" s="300">
        <v>45418</v>
      </c>
      <c r="DT129" s="300" t="e">
        <v>#N/A</v>
      </c>
      <c r="DU129" s="300">
        <v>45466</v>
      </c>
      <c r="DV129" s="300" t="e">
        <v>#N/A</v>
      </c>
      <c r="DW129" s="301">
        <v>45737</v>
      </c>
      <c r="DX129" s="4" t="s">
        <v>886</v>
      </c>
      <c r="EA1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29" s="301">
        <v>45831</v>
      </c>
      <c r="EC129" s="286"/>
      <c r="ED129" s="286"/>
      <c r="EE129" s="301" t="s">
        <v>887</v>
      </c>
      <c r="EF129" s="35">
        <v>1</v>
      </c>
      <c r="EG129" s="307">
        <v>1</v>
      </c>
      <c r="EH129" s="286" t="str">
        <f>IF(Table1[[#This Row],[PO Material Aktual 
(%)]]&gt;=100%,"Selesai PO = 100%",IF(Table1[[#This Row],[PO Material Aktual 
(%)]]&gt;=50%,"Proses PO &gt; 100%",IF(Table1[[#This Row],[PO Material Aktual 
(%)]]&gt;0%,"Proses PO &gt; 50%",IF(Table1[[#This Row],[PO Material Aktual 
(%)]]=0,"Belum PO = 0%"))))</f>
        <v>Selesai PO = 100%</v>
      </c>
      <c r="EI1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29" s="300">
        <v>45467</v>
      </c>
      <c r="EK129" s="300" t="e">
        <v>#N/A</v>
      </c>
      <c r="EL129" s="300">
        <v>45655</v>
      </c>
      <c r="EM129" s="300" t="e">
        <v>#N/A</v>
      </c>
      <c r="EN129" s="301">
        <v>45971</v>
      </c>
      <c r="EO129" s="302"/>
      <c r="EP129" s="302"/>
      <c r="EQ129" s="82">
        <v>1</v>
      </c>
      <c r="ER129" s="82">
        <v>1</v>
      </c>
      <c r="ES129" s="286" t="str">
        <f>IF(Table1[[#This Row],[Progres MOS]]&gt;=100%,"Selesai MOS = 100%",IF(Table1[[#This Row],[Progres MOS]]&gt;=50%,"Proses MOS &gt; 100%",IF(Table1[[#This Row],[Progres MOS]]&gt;0%,"Proses MOS &gt; 50%",IF(Table1[[#This Row],[Progres MOS]]=0,"Belum MOS = 0%"))))</f>
        <v>Selesai MOS = 100%</v>
      </c>
      <c r="ET1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29" s="42"/>
      <c r="EV129" s="300">
        <v>45418</v>
      </c>
      <c r="EW129" s="300" t="e">
        <v>#N/A</v>
      </c>
      <c r="EX129" s="300">
        <v>45592</v>
      </c>
      <c r="EY129" s="300" t="e">
        <v>#N/A</v>
      </c>
      <c r="EZ129" s="322" t="s">
        <v>259</v>
      </c>
      <c r="FA129" s="306" t="str">
        <f>Table1[[#This Row],[IPPJU]]</f>
        <v>10.Izin Terbit</v>
      </c>
      <c r="FB129" s="300" t="e">
        <v>#N/A</v>
      </c>
      <c r="FC129" s="300" t="e">
        <v>#N/A</v>
      </c>
      <c r="FD129" s="300" t="e">
        <v>#N/A</v>
      </c>
      <c r="FE129" s="300" t="e">
        <v>#N/A</v>
      </c>
      <c r="FF129" s="300" t="e">
        <v>#N/A</v>
      </c>
      <c r="FG129" s="300" t="e">
        <v>#N/A</v>
      </c>
      <c r="FH129" s="300" t="e">
        <v>#N/A</v>
      </c>
      <c r="FI129" s="300" t="e">
        <v>#N/A</v>
      </c>
      <c r="FJ129" s="300" t="e">
        <v>#N/A</v>
      </c>
      <c r="FK129" s="300" t="e">
        <v>#N/A</v>
      </c>
      <c r="FL129" s="306" t="s">
        <v>259</v>
      </c>
      <c r="FM129" s="322"/>
      <c r="FN129" s="308" t="str">
        <f>IF(Table1[[#This Row],[Tanggal Pengajuan Dokumen]]="","",Table1[[#This Row],[PLAN PERMIT
start]]-Table1[[#This Row],[Tanggal Pengajuan Dokumen]])</f>
        <v/>
      </c>
      <c r="FO129" s="407">
        <v>45309</v>
      </c>
      <c r="FP129" s="286"/>
      <c r="FQ129" s="308"/>
      <c r="FR129" s="308" t="s">
        <v>174</v>
      </c>
      <c r="FS129" s="308" t="str">
        <f t="shared" ref="FS129:FS192" si="9">IF(AND(COUNTIF(EZ129:FR129,"*terbit*")&gt;=1,COUNTBLANK(FP129:FR129)=3),"Sudah Terbit",IF(COUNTIF(EZ129:FR129,"*terbit*")=COUNTA(EZ129:FR129),"Sudah Terbit","On Going"))</f>
        <v>On Going</v>
      </c>
      <c r="FT1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29" s="314">
        <f ca="1">IF(Table1[[#This Row],[Status Izin]]="Selesai",Table1[[#This Row],[PLAN PERMIT
finish]]-Table1[[#This Row],[Tanggal Terbit/ Target Izin Terbit]],ROUNDUP(Table1[[#This Row],[PLAN PERMIT
finish]]-NOW(),0))</f>
        <v>-612</v>
      </c>
      <c r="FV1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29" s="314"/>
      <c r="FX129" s="42"/>
      <c r="FY129" s="310"/>
      <c r="FZ129" s="311">
        <v>45582</v>
      </c>
      <c r="GA1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29" s="300">
        <v>45566</v>
      </c>
      <c r="GC129" s="322">
        <v>45520</v>
      </c>
      <c r="GD1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29" s="300">
        <v>45573</v>
      </c>
      <c r="GF129" s="408" t="s">
        <v>888</v>
      </c>
      <c r="GG1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29" s="300">
        <v>45579</v>
      </c>
      <c r="GI129" s="300">
        <v>45585</v>
      </c>
      <c r="GJ129" s="322">
        <v>45525</v>
      </c>
      <c r="GK1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29" s="300">
        <v>45593</v>
      </c>
      <c r="GM129" s="300" t="e">
        <v>#N/A</v>
      </c>
      <c r="GN129" s="300">
        <v>45753</v>
      </c>
      <c r="GO129" s="300" t="e">
        <v>#N/A</v>
      </c>
      <c r="GP129" s="286"/>
      <c r="GQ1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29" s="300" t="s">
        <v>261</v>
      </c>
      <c r="GS129" s="300" t="s">
        <v>261</v>
      </c>
      <c r="GT129" s="313">
        <v>45958</v>
      </c>
      <c r="GU129" s="314" t="str">
        <f>IF(Table1[[#This Row],[Hydro Tes Actual
(tanggal)]]&lt;&gt;"","Sudah","Belum")</f>
        <v>Sudah</v>
      </c>
      <c r="GV129" s="300" t="s">
        <v>261</v>
      </c>
      <c r="GW129" s="300" t="s">
        <v>261</v>
      </c>
      <c r="GX129" s="301" t="s">
        <v>261</v>
      </c>
      <c r="GY129" s="314" t="str">
        <f>IF(Table1[[#This Row],[Interkoneksi Actual
(tanggal)]]&lt;&gt;"","Sudah","Belum")</f>
        <v>Sudah</v>
      </c>
      <c r="GZ129" s="300" t="s">
        <v>261</v>
      </c>
      <c r="HA129" s="300" t="s">
        <v>261</v>
      </c>
      <c r="HB129" s="301">
        <v>45968</v>
      </c>
      <c r="HC129" s="314" t="str">
        <f>IF(Table1[[#This Row],[Flushing Actual
(tanggal)]]&lt;&gt;"","Sudah","Belum")</f>
        <v>Sudah</v>
      </c>
      <c r="HD129" s="300">
        <v>45726</v>
      </c>
      <c r="HE129" s="300" t="e">
        <v>#N/A</v>
      </c>
      <c r="HF129" s="300">
        <v>45746</v>
      </c>
      <c r="HG129" s="322">
        <v>45975</v>
      </c>
      <c r="HH1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29" s="300" t="s">
        <v>261</v>
      </c>
      <c r="HJ129" s="300" t="s">
        <v>261</v>
      </c>
      <c r="HK129" s="301"/>
      <c r="HL129" s="286"/>
      <c r="HM129" s="300">
        <v>45765</v>
      </c>
      <c r="HN129" s="300">
        <v>45765</v>
      </c>
      <c r="HO129" s="300" t="e">
        <v>#N/A</v>
      </c>
      <c r="HP129" s="300"/>
      <c r="HQ129" s="301">
        <v>45982</v>
      </c>
      <c r="HR1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29" s="300">
        <v>45772</v>
      </c>
      <c r="HT129" s="300"/>
      <c r="HU129" s="300">
        <v>45772</v>
      </c>
      <c r="HV129" s="497"/>
      <c r="HW129" s="300">
        <v>46020</v>
      </c>
      <c r="HX1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29" s="42"/>
      <c r="HZ129" s="322"/>
      <c r="IA129" s="306"/>
      <c r="IC129" s="585">
        <f>IFERROR(ROUND((Table1[[#This Row],[PLAN TC
finish]]-Table1[[#This Row],[PLAN MC-0
start]])/30,2),"")</f>
        <v>5.57</v>
      </c>
      <c r="ID129">
        <f>DATEDIF(Table1[[#This Row],[PLAN MC-0
start]],Table1[[#This Row],[PLAN TC
finish]],"m")</f>
        <v>5</v>
      </c>
    </row>
    <row r="130" spans="2:238" s="4" customFormat="1" ht="15" customHeight="1" x14ac:dyDescent="0.25">
      <c r="B130" s="281">
        <f>SUBTOTAL(3,$D$5:D130)</f>
        <v>126</v>
      </c>
      <c r="C130" s="318">
        <v>126</v>
      </c>
      <c r="D130" s="308" t="s">
        <v>629</v>
      </c>
      <c r="E130" s="308" t="s">
        <v>889</v>
      </c>
      <c r="F130" s="308" t="s">
        <v>890</v>
      </c>
      <c r="G130" s="319">
        <v>45935</v>
      </c>
      <c r="H130" s="284" t="s">
        <v>247</v>
      </c>
      <c r="I130" s="308" t="s">
        <v>248</v>
      </c>
      <c r="J130" s="285" t="s">
        <v>882</v>
      </c>
      <c r="K130" s="308" t="s">
        <v>632</v>
      </c>
      <c r="L130" s="286" t="s">
        <v>250</v>
      </c>
      <c r="M130" s="286" t="s">
        <v>251</v>
      </c>
      <c r="N130" s="94">
        <v>5676</v>
      </c>
      <c r="O130" s="113" t="s">
        <v>252</v>
      </c>
      <c r="P1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0" s="35" t="e">
        <v>#N/A</v>
      </c>
      <c r="S130" s="35">
        <v>1</v>
      </c>
      <c r="T130" s="35">
        <f>Table1[[#This Row],[Progres Total Aktual
(%)]]</f>
        <v>1</v>
      </c>
      <c r="U130" s="106">
        <f>Table1[[#This Row],[Progres Aktual
(%)]]-Table1[[#This Row],[Target Progres
(%)]]</f>
        <v>0</v>
      </c>
      <c r="V130" s="320">
        <f>Table1[[#This Row],["Volume
BA MC-0"]]</f>
        <v>5379.5</v>
      </c>
      <c r="W130" s="321">
        <f>Table1[[#This Row],[Total Panjang Pipa Aktual
(Sum-&gt;)3]]</f>
        <v>5522</v>
      </c>
      <c r="X130" s="42"/>
      <c r="Y130" s="62" t="s">
        <v>891</v>
      </c>
      <c r="Z130" s="62">
        <v>401383074593</v>
      </c>
      <c r="AA130" s="62">
        <f>Table1[[#This Row],[Nilai RAB Jaringan
(file pa aji)]]</f>
        <v>401383074593</v>
      </c>
      <c r="AB130" s="290">
        <f>SUM(Table1[[#This Row],[RAB Kegiatan Umum]:[RAB Perizinan]])</f>
        <v>0</v>
      </c>
      <c r="AC130" s="290"/>
      <c r="AD130" s="290"/>
      <c r="AE130" s="290"/>
      <c r="AF130" s="290"/>
      <c r="AG130" s="406">
        <v>0</v>
      </c>
      <c r="AH130" s="35" t="e">
        <f>SUM(Table1[[#This Row],[Bobot Keg Umum]:[Bobot Perizinan]])</f>
        <v>#DIV/0!</v>
      </c>
      <c r="AI130" s="35" t="e">
        <f>Table1[[#This Row],[RAB Kegiatan Umum]]/Table1[[#This Row],[Nilai RAB Jaringan
(Exclude Ppn)]]</f>
        <v>#DIV/0!</v>
      </c>
      <c r="AJ130" s="35" t="e">
        <f>Table1[[#This Row],[RAB Pemasangan]]/Table1[[#This Row],[Nilai RAB Jaringan
(Exclude Ppn)]]</f>
        <v>#DIV/0!</v>
      </c>
      <c r="AK130" s="35" t="e">
        <f>Table1[[#This Row],[RAB Pengadaan]]/Table1[[#This Row],[Nilai RAB Jaringan
(Exclude Ppn)]]</f>
        <v>#DIV/0!</v>
      </c>
      <c r="AL130" s="35" t="e">
        <f>Table1[[#This Row],[RAB Perizinan]]/Table1[[#This Row],[Nilai RAB Jaringan
(Exclude Ppn)]]</f>
        <v>#DIV/0!</v>
      </c>
      <c r="AM130" s="42"/>
      <c r="AN130" s="256">
        <v>5379.5</v>
      </c>
      <c r="AO130" s="256">
        <f>SUM(Table1[[#This Row],[Pipa 63 mm]:[Pipa 1,800 mm]])</f>
        <v>5750</v>
      </c>
      <c r="AP130" s="256"/>
      <c r="AQ130" s="256"/>
      <c r="AR130" s="256"/>
      <c r="AS130" s="256"/>
      <c r="AT130" s="256"/>
      <c r="AU130" s="256"/>
      <c r="AV130" s="256"/>
      <c r="AW130" s="256"/>
      <c r="AX130" s="256"/>
      <c r="AY130" s="256"/>
      <c r="AZ130" s="256"/>
      <c r="BA130" s="256"/>
      <c r="BB130" s="256"/>
      <c r="BC130" s="256"/>
      <c r="BD130" s="256"/>
      <c r="BE130" s="256"/>
      <c r="BF130" s="256"/>
      <c r="BG130" s="256"/>
      <c r="BH130" s="256">
        <v>5750</v>
      </c>
      <c r="BI130" s="256"/>
      <c r="BJ130" s="36">
        <f>SUM(Table1[[#This Row],[Pipa 63 mm2]:[Pipa 1,800 mm21]])</f>
        <v>5522</v>
      </c>
      <c r="BK130" s="32"/>
      <c r="BL130" s="32"/>
      <c r="BM130" s="32"/>
      <c r="BN130" s="32"/>
      <c r="BO130" s="32"/>
      <c r="BP130" s="32"/>
      <c r="BQ130" s="32"/>
      <c r="BR130" s="32"/>
      <c r="BS130" s="32"/>
      <c r="BT130" s="32"/>
      <c r="BU130" s="32"/>
      <c r="BV130" s="32"/>
      <c r="BW130" s="32"/>
      <c r="BX130" s="32"/>
      <c r="BY130" s="32"/>
      <c r="BZ130" s="32"/>
      <c r="CA130" s="32"/>
      <c r="CB130" s="32"/>
      <c r="CC130" s="32">
        <v>5522</v>
      </c>
      <c r="CD130" s="32"/>
      <c r="CE130" s="32">
        <v>0</v>
      </c>
      <c r="CF130" s="32">
        <v>0</v>
      </c>
      <c r="CG130" s="32">
        <v>0</v>
      </c>
      <c r="CH130" s="32">
        <v>0</v>
      </c>
      <c r="CI130" s="32">
        <f t="shared" si="6"/>
        <v>0</v>
      </c>
      <c r="CJ130" s="60">
        <f>IF((Table1[[#This Row],["Volume
BA MC-0"]]-Table1[[#This Row],[Total Panjang Pipa Aktual
(Sum-&gt;)3]]-Table1[[#This Row],[Total Volume
tidak dapat dipasang]])&gt;=0,Table1[[#This Row],["Volume
BA MC-0"]]-Table1[[#This Row],[Total Panjang Pipa Aktual
(Sum-&gt;)3]]-Table1[[#This Row],[Total Volume
tidak dapat dipasang]],0)</f>
        <v>0</v>
      </c>
      <c r="CK130" s="42"/>
      <c r="CL130" s="113"/>
      <c r="CM130" s="35"/>
      <c r="CN130" s="113"/>
      <c r="CO130" s="113"/>
      <c r="CP1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0" s="61">
        <f>IFERROR(Table1[[#This Row],[Progres Keg. Umum
(%)]]*Table1[[#This Row],[Nilai RAB Jaringan
(file pa aji)]],0)</f>
        <v>0</v>
      </c>
      <c r="CR130" s="61">
        <f>IFERROR(Table1[[#This Row],[Progres MOS
(%)]]*Table1[[#This Row],[Nilai RAB Jaringan
(file pa aji)]],0)</f>
        <v>0</v>
      </c>
      <c r="CS130" s="61">
        <f>IFERROR(Table1[[#This Row],[Progres Pemasangan
(%)]]*Table1[[#This Row],[Nilai RAB Jaringan
(file pa aji)]],0)</f>
        <v>0</v>
      </c>
      <c r="CT130" s="61">
        <f>IFERROR(Table1[[#This Row],[Progres Perizinan
(%)]]*Table1[[#This Row],[Nilai RAB Jaringan
(file pa aji)]],0)</f>
        <v>0</v>
      </c>
      <c r="CU130" s="789">
        <v>293154132323</v>
      </c>
      <c r="CV130" s="299">
        <v>293154132323</v>
      </c>
      <c r="CW130" s="552">
        <v>293154132323</v>
      </c>
      <c r="CX130" s="789">
        <f>_xlfn.XLOOKUP(Table1[[#This Row],[Kode Program]],'[1]Breakdown VOWD Greenfield'!$E:$E,'[1]Breakdown VOWD Greenfield'!$AT:$AT)</f>
        <v>293154132323</v>
      </c>
      <c r="CY130" s="42"/>
      <c r="CZ130" s="300">
        <v>45383</v>
      </c>
      <c r="DA130" s="300">
        <v>45417</v>
      </c>
      <c r="DB130" s="301">
        <v>45253</v>
      </c>
      <c r="DC130" s="286" t="s">
        <v>650</v>
      </c>
      <c r="DD130" s="62">
        <v>401031491477</v>
      </c>
      <c r="DE1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0" s="301">
        <v>45275</v>
      </c>
      <c r="DG130" s="286" t="s">
        <v>651</v>
      </c>
      <c r="DH130" s="62">
        <v>401031491477</v>
      </c>
      <c r="DI1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0" s="300">
        <v>45418</v>
      </c>
      <c r="DK130" s="300">
        <v>45564</v>
      </c>
      <c r="DL130" s="301">
        <v>45889</v>
      </c>
      <c r="DM130" s="286" t="s">
        <v>892</v>
      </c>
      <c r="DN1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0" s="301">
        <v>45896</v>
      </c>
      <c r="DP130" s="286" t="s">
        <v>885</v>
      </c>
      <c r="DQ130" s="308" t="s">
        <v>258</v>
      </c>
      <c r="DR1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0" s="300">
        <v>45418</v>
      </c>
      <c r="DT130" s="300" t="e">
        <v>#N/A</v>
      </c>
      <c r="DU130" s="300">
        <v>45466</v>
      </c>
      <c r="DV130" s="300" t="e">
        <v>#N/A</v>
      </c>
      <c r="DW130" s="301">
        <v>45943</v>
      </c>
      <c r="DX130" s="286" t="s">
        <v>893</v>
      </c>
      <c r="DY130" s="304"/>
      <c r="DZ130" s="304"/>
      <c r="EA1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0" s="301">
        <v>45985</v>
      </c>
      <c r="EC130" s="286"/>
      <c r="ED130" s="286"/>
      <c r="EE130" s="301" t="s">
        <v>894</v>
      </c>
      <c r="EF130" s="35">
        <v>1</v>
      </c>
      <c r="EG130" s="307">
        <v>1</v>
      </c>
      <c r="EH130" s="286" t="str">
        <f>IF(Table1[[#This Row],[PO Material Aktual 
(%)]]&gt;=100%,"Selesai PO = 100%",IF(Table1[[#This Row],[PO Material Aktual 
(%)]]&gt;=50%,"Proses PO &gt; 100%",IF(Table1[[#This Row],[PO Material Aktual 
(%)]]&gt;0%,"Proses PO &gt; 50%",IF(Table1[[#This Row],[PO Material Aktual 
(%)]]=0,"Belum PO = 0%"))))</f>
        <v>Selesai PO = 100%</v>
      </c>
      <c r="EI1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0" s="300">
        <v>45467</v>
      </c>
      <c r="EK130" s="300" t="e">
        <v>#N/A</v>
      </c>
      <c r="EL130" s="300">
        <v>45655</v>
      </c>
      <c r="EM130" s="300" t="e">
        <v>#N/A</v>
      </c>
      <c r="EN130" s="301">
        <v>46151</v>
      </c>
      <c r="EO130" s="302"/>
      <c r="EP130" s="302"/>
      <c r="EQ130" s="82">
        <v>1</v>
      </c>
      <c r="ER130" s="82">
        <v>1</v>
      </c>
      <c r="ES130" s="286" t="str">
        <f>IF(Table1[[#This Row],[Progres MOS]]&gt;=100%,"Selesai MOS = 100%",IF(Table1[[#This Row],[Progres MOS]]&gt;=50%,"Proses MOS &gt; 100%",IF(Table1[[#This Row],[Progres MOS]]&gt;0%,"Proses MOS &gt; 50%",IF(Table1[[#This Row],[Progres MOS]]=0,"Belum MOS = 0%"))))</f>
        <v>Selesai MOS = 100%</v>
      </c>
      <c r="ET1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0" s="42"/>
      <c r="EV130" s="300">
        <v>45418</v>
      </c>
      <c r="EW130" s="300" t="e">
        <v>#N/A</v>
      </c>
      <c r="EX130" s="300">
        <v>45592</v>
      </c>
      <c r="EY130" s="300" t="e">
        <v>#N/A</v>
      </c>
      <c r="EZ130" s="322" t="s">
        <v>259</v>
      </c>
      <c r="FA130" s="306" t="s">
        <v>259</v>
      </c>
      <c r="FB130" s="300" t="s">
        <v>260</v>
      </c>
      <c r="FC130" s="300">
        <v>45013</v>
      </c>
      <c r="FD130" s="300" t="s">
        <v>260</v>
      </c>
      <c r="FE130" s="300"/>
      <c r="FF130" s="300">
        <v>45161</v>
      </c>
      <c r="FG130" s="300" t="s">
        <v>260</v>
      </c>
      <c r="FH130" s="300" t="s">
        <v>260</v>
      </c>
      <c r="FI130" s="300">
        <v>45920</v>
      </c>
      <c r="FJ130" s="300" t="s">
        <v>260</v>
      </c>
      <c r="FK130" s="300">
        <v>45398</v>
      </c>
      <c r="FL130" s="306" t="s">
        <v>259</v>
      </c>
      <c r="FM130" s="322">
        <v>45013</v>
      </c>
      <c r="FN130" s="308">
        <f>IF(Table1[[#This Row],[Tanggal Pengajuan Dokumen]]="","",Table1[[#This Row],[PLAN PERMIT
start]]-Table1[[#This Row],[Tanggal Pengajuan Dokumen]])</f>
        <v>405</v>
      </c>
      <c r="FO130" s="407">
        <v>45470</v>
      </c>
      <c r="FP130" s="286" t="s">
        <v>174</v>
      </c>
      <c r="FQ130" s="308"/>
      <c r="FR130" s="308"/>
      <c r="FS130" s="308" t="str">
        <f t="shared" si="9"/>
        <v>On Going</v>
      </c>
      <c r="FT1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0" s="314">
        <f ca="1">IF(Table1[[#This Row],[Status Izin]]="Selesai",Table1[[#This Row],[PLAN PERMIT
finish]]-Table1[[#This Row],[Tanggal Terbit/ Target Izin Terbit]],ROUNDUP(Table1[[#This Row],[PLAN PERMIT
finish]]-NOW(),0))</f>
        <v>-612</v>
      </c>
      <c r="FV1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0" s="314"/>
      <c r="FX130" s="42"/>
      <c r="FY130" s="310"/>
      <c r="FZ130" s="311">
        <v>45582</v>
      </c>
      <c r="GA1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0" s="300">
        <v>45566</v>
      </c>
      <c r="GC130" s="322">
        <v>45520</v>
      </c>
      <c r="GD1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0" s="300">
        <v>45573</v>
      </c>
      <c r="GF130" s="408" t="s">
        <v>888</v>
      </c>
      <c r="GG1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0" s="300">
        <v>45579</v>
      </c>
      <c r="GI130" s="300">
        <v>45585</v>
      </c>
      <c r="GJ130" s="322">
        <v>45526</v>
      </c>
      <c r="GK1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0" s="300">
        <v>45593</v>
      </c>
      <c r="GM130" s="300" t="e">
        <v>#N/A</v>
      </c>
      <c r="GN130" s="300">
        <v>45753</v>
      </c>
      <c r="GO130" s="300" t="e">
        <v>#N/A</v>
      </c>
      <c r="GP130" s="286"/>
      <c r="GQ1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0" s="300" t="s">
        <v>261</v>
      </c>
      <c r="GS130" s="300" t="s">
        <v>261</v>
      </c>
      <c r="GT130" s="324">
        <v>45913</v>
      </c>
      <c r="GU130" s="314" t="str">
        <f>IF(Table1[[#This Row],[Hydro Tes Actual
(tanggal)]]&lt;&gt;"","Sudah","Belum")</f>
        <v>Sudah</v>
      </c>
      <c r="GV130" s="300" t="s">
        <v>261</v>
      </c>
      <c r="GW130" s="300" t="s">
        <v>261</v>
      </c>
      <c r="GX130" s="301" t="s">
        <v>261</v>
      </c>
      <c r="GY130" s="314" t="str">
        <f>IF(Table1[[#This Row],[Interkoneksi Actual
(tanggal)]]&lt;&gt;"","Sudah","Belum")</f>
        <v>Sudah</v>
      </c>
      <c r="GZ130" s="300" t="s">
        <v>261</v>
      </c>
      <c r="HA130" s="300" t="s">
        <v>261</v>
      </c>
      <c r="HB130" s="301">
        <v>45968</v>
      </c>
      <c r="HC130" s="314" t="str">
        <f>IF(Table1[[#This Row],[Flushing Actual
(tanggal)]]&lt;&gt;"","Sudah","Belum")</f>
        <v>Sudah</v>
      </c>
      <c r="HD130" s="300">
        <v>45726</v>
      </c>
      <c r="HE130" s="300" t="e">
        <v>#N/A</v>
      </c>
      <c r="HF130" s="300">
        <v>45746</v>
      </c>
      <c r="HG130" s="322">
        <v>45978</v>
      </c>
      <c r="HH1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0" s="300" t="s">
        <v>261</v>
      </c>
      <c r="HJ130" s="300" t="s">
        <v>261</v>
      </c>
      <c r="HK130" s="301"/>
      <c r="HL130" s="286"/>
      <c r="HM130" s="300">
        <v>45765</v>
      </c>
      <c r="HN130" s="300">
        <v>45765</v>
      </c>
      <c r="HO130" s="300" t="e">
        <v>#N/A</v>
      </c>
      <c r="HP130" s="300"/>
      <c r="HQ130" s="301">
        <v>45982</v>
      </c>
      <c r="HR13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0" s="300">
        <v>45772</v>
      </c>
      <c r="HT130" s="300"/>
      <c r="HU130" s="300">
        <v>45772</v>
      </c>
      <c r="HV130" s="497"/>
      <c r="HW130" s="300">
        <v>46020</v>
      </c>
      <c r="HX1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0" s="42"/>
      <c r="HZ130" s="322"/>
      <c r="IA130" s="306"/>
      <c r="IC130" s="585">
        <f>IFERROR(ROUND((Table1[[#This Row],[PLAN TC
finish]]-Table1[[#This Row],[PLAN MC-0
start]])/30,2),"")</f>
        <v>5.57</v>
      </c>
      <c r="ID130">
        <f>DATEDIF(Table1[[#This Row],[PLAN MC-0
start]],Table1[[#This Row],[PLAN TC
finish]],"m")</f>
        <v>5</v>
      </c>
    </row>
    <row r="131" spans="2:238" s="4" customFormat="1" ht="15" customHeight="1" x14ac:dyDescent="0.25">
      <c r="B131" s="281">
        <f>SUBTOTAL(3,$D$5:D131)</f>
        <v>127</v>
      </c>
      <c r="C131" s="318">
        <v>127</v>
      </c>
      <c r="D131" s="308" t="s">
        <v>629</v>
      </c>
      <c r="E131" s="308" t="s">
        <v>895</v>
      </c>
      <c r="F131" s="308" t="s">
        <v>896</v>
      </c>
      <c r="G131" s="319">
        <v>45935</v>
      </c>
      <c r="H131" s="284" t="s">
        <v>247</v>
      </c>
      <c r="I131" s="308" t="s">
        <v>248</v>
      </c>
      <c r="J131" s="285" t="s">
        <v>882</v>
      </c>
      <c r="K131" s="308" t="s">
        <v>632</v>
      </c>
      <c r="L131" s="286" t="s">
        <v>250</v>
      </c>
      <c r="M131" s="286" t="s">
        <v>251</v>
      </c>
      <c r="N131" s="94">
        <v>1350</v>
      </c>
      <c r="O131" s="113" t="s">
        <v>252</v>
      </c>
      <c r="P1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1" s="35" t="e">
        <v>#N/A</v>
      </c>
      <c r="S131" s="35">
        <v>1</v>
      </c>
      <c r="T131" s="35">
        <f>Table1[[#This Row],[Progres Total Aktual
(%)]]</f>
        <v>1</v>
      </c>
      <c r="U131" s="106">
        <f>Table1[[#This Row],[Progres Aktual
(%)]]-Table1[[#This Row],[Target Progres
(%)]]</f>
        <v>0</v>
      </c>
      <c r="V131" s="320">
        <f>Table1[[#This Row],["Volume
BA MC-0"]]</f>
        <v>1275.5</v>
      </c>
      <c r="W131" s="321">
        <f>Table1[[#This Row],[Total Panjang Pipa Aktual
(Sum-&gt;)3]]</f>
        <v>1347.4</v>
      </c>
      <c r="X131" s="42"/>
      <c r="Y131" s="62" t="s">
        <v>897</v>
      </c>
      <c r="Z131" s="62">
        <v>102334938104</v>
      </c>
      <c r="AA131" s="62">
        <f>Table1[[#This Row],[Nilai RAB Jaringan
(file pa aji)]]</f>
        <v>102334938104</v>
      </c>
      <c r="AB131" s="290">
        <f>SUM(Table1[[#This Row],[RAB Kegiatan Umum]:[RAB Perizinan]])</f>
        <v>0</v>
      </c>
      <c r="AC131" s="290"/>
      <c r="AD131" s="290"/>
      <c r="AE131" s="290"/>
      <c r="AF131" s="290"/>
      <c r="AG131" s="406">
        <v>0</v>
      </c>
      <c r="AH131" s="35" t="e">
        <f>SUM(Table1[[#This Row],[Bobot Keg Umum]:[Bobot Perizinan]])</f>
        <v>#DIV/0!</v>
      </c>
      <c r="AI131" s="35" t="e">
        <f>Table1[[#This Row],[RAB Kegiatan Umum]]/Table1[[#This Row],[Nilai RAB Jaringan
(Exclude Ppn)]]</f>
        <v>#DIV/0!</v>
      </c>
      <c r="AJ131" s="35" t="e">
        <f>Table1[[#This Row],[RAB Pemasangan]]/Table1[[#This Row],[Nilai RAB Jaringan
(Exclude Ppn)]]</f>
        <v>#DIV/0!</v>
      </c>
      <c r="AK131" s="35" t="e">
        <f>Table1[[#This Row],[RAB Pengadaan]]/Table1[[#This Row],[Nilai RAB Jaringan
(Exclude Ppn)]]</f>
        <v>#DIV/0!</v>
      </c>
      <c r="AL131" s="35" t="e">
        <f>Table1[[#This Row],[RAB Perizinan]]/Table1[[#This Row],[Nilai RAB Jaringan
(Exclude Ppn)]]</f>
        <v>#DIV/0!</v>
      </c>
      <c r="AM131" s="42"/>
      <c r="AN131" s="256">
        <v>1275.5</v>
      </c>
      <c r="AO131" s="256">
        <f>SUM(Table1[[#This Row],[Pipa 63 mm]:[Pipa 1,800 mm]])</f>
        <v>1350</v>
      </c>
      <c r="AP131" s="256"/>
      <c r="AQ131" s="256"/>
      <c r="AR131" s="256"/>
      <c r="AS131" s="256"/>
      <c r="AT131" s="256"/>
      <c r="AU131" s="256"/>
      <c r="AV131" s="256"/>
      <c r="AW131" s="256"/>
      <c r="AX131" s="256"/>
      <c r="AY131" s="256"/>
      <c r="AZ131" s="256"/>
      <c r="BA131" s="256"/>
      <c r="BB131" s="256"/>
      <c r="BC131" s="256"/>
      <c r="BD131" s="256"/>
      <c r="BE131" s="256"/>
      <c r="BF131" s="256"/>
      <c r="BG131" s="256"/>
      <c r="BH131" s="256">
        <v>1350</v>
      </c>
      <c r="BI131" s="256"/>
      <c r="BJ131" s="36">
        <f>SUM(Table1[[#This Row],[Pipa 63 mm2]:[Pipa 1,800 mm21]])</f>
        <v>1347.4</v>
      </c>
      <c r="BK131" s="32"/>
      <c r="BL131" s="32"/>
      <c r="BM131" s="32"/>
      <c r="BN131" s="32"/>
      <c r="BO131" s="32"/>
      <c r="BP131" s="32"/>
      <c r="BQ131" s="32"/>
      <c r="BR131" s="32"/>
      <c r="BS131" s="32"/>
      <c r="BT131" s="32"/>
      <c r="BU131" s="32"/>
      <c r="BV131" s="32"/>
      <c r="BW131" s="32"/>
      <c r="BX131" s="32"/>
      <c r="BY131" s="32"/>
      <c r="BZ131" s="32"/>
      <c r="CA131" s="32"/>
      <c r="CB131" s="32"/>
      <c r="CC131" s="32">
        <v>1347.4</v>
      </c>
      <c r="CD131" s="32"/>
      <c r="CE131" s="32">
        <v>0</v>
      </c>
      <c r="CF131" s="32">
        <v>0</v>
      </c>
      <c r="CG131" s="32">
        <v>0</v>
      </c>
      <c r="CH131" s="32">
        <v>0</v>
      </c>
      <c r="CI131" s="32">
        <f t="shared" si="6"/>
        <v>0</v>
      </c>
      <c r="CJ131" s="60">
        <f>IF((Table1[[#This Row],["Volume
BA MC-0"]]-Table1[[#This Row],[Total Panjang Pipa Aktual
(Sum-&gt;)3]]-Table1[[#This Row],[Total Volume
tidak dapat dipasang]])&gt;=0,Table1[[#This Row],["Volume
BA MC-0"]]-Table1[[#This Row],[Total Panjang Pipa Aktual
(Sum-&gt;)3]]-Table1[[#This Row],[Total Volume
tidak dapat dipasang]],0)</f>
        <v>0</v>
      </c>
      <c r="CK131" s="42"/>
      <c r="CL131" s="113"/>
      <c r="CM131" s="35"/>
      <c r="CN131" s="113"/>
      <c r="CO131" s="113"/>
      <c r="CP1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1" s="61">
        <f>IFERROR(Table1[[#This Row],[Progres Keg. Umum
(%)]]*Table1[[#This Row],[Nilai RAB Jaringan
(file pa aji)]],0)</f>
        <v>0</v>
      </c>
      <c r="CR131" s="61">
        <f>IFERROR(Table1[[#This Row],[Progres MOS
(%)]]*Table1[[#This Row],[Nilai RAB Jaringan
(file pa aji)]],0)</f>
        <v>0</v>
      </c>
      <c r="CS131" s="61">
        <f>IFERROR(Table1[[#This Row],[Progres Pemasangan
(%)]]*Table1[[#This Row],[Nilai RAB Jaringan
(file pa aji)]],0)</f>
        <v>0</v>
      </c>
      <c r="CT131" s="61">
        <f>IFERROR(Table1[[#This Row],[Progres Perizinan
(%)]]*Table1[[#This Row],[Nilai RAB Jaringan
(file pa aji)]],0)</f>
        <v>0</v>
      </c>
      <c r="CU131" s="789">
        <v>95860910299</v>
      </c>
      <c r="CV131" s="299">
        <v>95860910299</v>
      </c>
      <c r="CW131" s="552">
        <v>95860910299</v>
      </c>
      <c r="CX131" s="789">
        <f>_xlfn.XLOOKUP(Table1[[#This Row],[Kode Program]],'[1]Breakdown VOWD Greenfield'!$E:$E,'[1]Breakdown VOWD Greenfield'!$AT:$AT)</f>
        <v>95860910299</v>
      </c>
      <c r="CY131" s="42"/>
      <c r="CZ131" s="300">
        <v>45383</v>
      </c>
      <c r="DA131" s="300">
        <v>45417</v>
      </c>
      <c r="DB131" s="301">
        <v>45365</v>
      </c>
      <c r="DC131" s="286" t="s">
        <v>898</v>
      </c>
      <c r="DD131" s="62">
        <v>102512784096.25</v>
      </c>
      <c r="DE1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1" s="301">
        <v>45479</v>
      </c>
      <c r="DG131" s="286" t="s">
        <v>899</v>
      </c>
      <c r="DH131" s="62">
        <v>102512784096.25</v>
      </c>
      <c r="DI1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1" s="300">
        <v>45418</v>
      </c>
      <c r="DK131" s="300">
        <v>45564</v>
      </c>
      <c r="DL131" s="301">
        <v>45889</v>
      </c>
      <c r="DM131" s="286" t="s">
        <v>900</v>
      </c>
      <c r="DN1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1" s="301">
        <v>45896</v>
      </c>
      <c r="DP131" s="286" t="s">
        <v>885</v>
      </c>
      <c r="DQ131" s="308" t="s">
        <v>258</v>
      </c>
      <c r="DR1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1" s="300">
        <v>45418</v>
      </c>
      <c r="DT131" s="300" t="e">
        <v>#N/A</v>
      </c>
      <c r="DU131" s="300">
        <v>45466</v>
      </c>
      <c r="DV131" s="300" t="e">
        <v>#N/A</v>
      </c>
      <c r="DW131" s="301">
        <v>45939</v>
      </c>
      <c r="DX131" s="286" t="s">
        <v>901</v>
      </c>
      <c r="DY131" s="304"/>
      <c r="DZ131" s="304"/>
      <c r="EA1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1" s="301">
        <v>45961</v>
      </c>
      <c r="EC131" s="286"/>
      <c r="ED131" s="286"/>
      <c r="EE131" s="301" t="s">
        <v>902</v>
      </c>
      <c r="EF131" s="35">
        <v>1</v>
      </c>
      <c r="EG131" s="307">
        <v>1</v>
      </c>
      <c r="EH131" s="286" t="str">
        <f>IF(Table1[[#This Row],[PO Material Aktual 
(%)]]&gt;=100%,"Selesai PO = 100%",IF(Table1[[#This Row],[PO Material Aktual 
(%)]]&gt;=50%,"Proses PO &gt; 100%",IF(Table1[[#This Row],[PO Material Aktual 
(%)]]&gt;0%,"Proses PO &gt; 50%",IF(Table1[[#This Row],[PO Material Aktual 
(%)]]=0,"Belum PO = 0%"))))</f>
        <v>Selesai PO = 100%</v>
      </c>
      <c r="EI1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1" s="300">
        <v>45467</v>
      </c>
      <c r="EK131" s="300" t="e">
        <v>#N/A</v>
      </c>
      <c r="EL131" s="300">
        <v>45655</v>
      </c>
      <c r="EM131" s="300" t="e">
        <v>#N/A</v>
      </c>
      <c r="EN131" s="301">
        <v>46049</v>
      </c>
      <c r="EO131" s="302"/>
      <c r="EP131" s="302"/>
      <c r="EQ131" s="82">
        <v>1</v>
      </c>
      <c r="ER131" s="82">
        <v>1</v>
      </c>
      <c r="ES131" s="286" t="str">
        <f>IF(Table1[[#This Row],[Progres MOS]]&gt;=100%,"Selesai MOS = 100%",IF(Table1[[#This Row],[Progres MOS]]&gt;=50%,"Proses MOS &gt; 100%",IF(Table1[[#This Row],[Progres MOS]]&gt;0%,"Proses MOS &gt; 50%",IF(Table1[[#This Row],[Progres MOS]]=0,"Belum MOS = 0%"))))</f>
        <v>Selesai MOS = 100%</v>
      </c>
      <c r="ET1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1" s="42"/>
      <c r="EV131" s="300">
        <v>45418</v>
      </c>
      <c r="EW131" s="300" t="e">
        <v>#N/A</v>
      </c>
      <c r="EX131" s="300">
        <v>45592</v>
      </c>
      <c r="EY131" s="300" t="e">
        <v>#N/A</v>
      </c>
      <c r="EZ131" s="322" t="s">
        <v>259</v>
      </c>
      <c r="FA131" s="306" t="s">
        <v>259</v>
      </c>
      <c r="FB131" s="300" t="s">
        <v>260</v>
      </c>
      <c r="FC131" s="300">
        <v>45013</v>
      </c>
      <c r="FD131" s="300" t="s">
        <v>260</v>
      </c>
      <c r="FE131" s="300"/>
      <c r="FF131" s="300">
        <v>45161</v>
      </c>
      <c r="FG131" s="300" t="s">
        <v>260</v>
      </c>
      <c r="FH131" s="300" t="s">
        <v>260</v>
      </c>
      <c r="FI131" s="300">
        <v>45920</v>
      </c>
      <c r="FJ131" s="300" t="s">
        <v>260</v>
      </c>
      <c r="FK131" s="300">
        <v>45398</v>
      </c>
      <c r="FL131" s="306" t="s">
        <v>259</v>
      </c>
      <c r="FM131" s="322">
        <v>45013</v>
      </c>
      <c r="FN131" s="308">
        <f>IF(Table1[[#This Row],[Tanggal Pengajuan Dokumen]]="","",Table1[[#This Row],[PLAN PERMIT
start]]-Table1[[#This Row],[Tanggal Pengajuan Dokumen]])</f>
        <v>405</v>
      </c>
      <c r="FO131" s="407">
        <v>45470</v>
      </c>
      <c r="FP131" s="286"/>
      <c r="FQ131" s="308"/>
      <c r="FR131" s="308"/>
      <c r="FS131" s="308" t="str">
        <f t="shared" si="9"/>
        <v>Sudah Terbit</v>
      </c>
      <c r="FT1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1" s="314">
        <f ca="1">IF(Table1[[#This Row],[Status Izin]]="Selesai",Table1[[#This Row],[PLAN PERMIT
finish]]-Table1[[#This Row],[Tanggal Terbit/ Target Izin Terbit]],ROUNDUP(Table1[[#This Row],[PLAN PERMIT
finish]]-NOW(),0))</f>
        <v>122</v>
      </c>
      <c r="FV1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1" s="314"/>
      <c r="FX131" s="42"/>
      <c r="FY131" s="310"/>
      <c r="FZ131" s="311">
        <v>45582</v>
      </c>
      <c r="GA1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1" s="300">
        <v>45566</v>
      </c>
      <c r="GC131" s="322">
        <v>45520</v>
      </c>
      <c r="GD1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1" s="300">
        <v>45573</v>
      </c>
      <c r="GF131" s="408" t="s">
        <v>888</v>
      </c>
      <c r="GG1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1" s="300">
        <v>45579</v>
      </c>
      <c r="GI131" s="300">
        <v>45585</v>
      </c>
      <c r="GJ131" s="322">
        <v>45526</v>
      </c>
      <c r="GK1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1" s="300">
        <v>45593</v>
      </c>
      <c r="GM131" s="300" t="e">
        <v>#N/A</v>
      </c>
      <c r="GN131" s="300">
        <v>45753</v>
      </c>
      <c r="GO131" s="300" t="e">
        <v>#N/A</v>
      </c>
      <c r="GP131" s="286"/>
      <c r="GQ1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1" s="300" t="s">
        <v>261</v>
      </c>
      <c r="GS131" s="300" t="s">
        <v>261</v>
      </c>
      <c r="GT131" s="324">
        <v>45915</v>
      </c>
      <c r="GU131" s="314" t="str">
        <f>IF(Table1[[#This Row],[Hydro Tes Actual
(tanggal)]]&lt;&gt;"","Sudah","Belum")</f>
        <v>Sudah</v>
      </c>
      <c r="GV131" s="300" t="s">
        <v>261</v>
      </c>
      <c r="GW131" s="300" t="s">
        <v>261</v>
      </c>
      <c r="GX131" s="301">
        <v>45920</v>
      </c>
      <c r="GY131" s="314" t="str">
        <f>IF(Table1[[#This Row],[Interkoneksi Actual
(tanggal)]]&lt;&gt;"","Sudah","Belum")</f>
        <v>Sudah</v>
      </c>
      <c r="GZ131" s="300" t="s">
        <v>261</v>
      </c>
      <c r="HA131" s="300" t="s">
        <v>261</v>
      </c>
      <c r="HB131" s="301">
        <v>45968</v>
      </c>
      <c r="HC131" s="314" t="str">
        <f>IF(Table1[[#This Row],[Flushing Actual
(tanggal)]]&lt;&gt;"","Sudah","Belum")</f>
        <v>Sudah</v>
      </c>
      <c r="HD131" s="300">
        <v>45726</v>
      </c>
      <c r="HE131" s="300" t="e">
        <v>#N/A</v>
      </c>
      <c r="HF131" s="300">
        <v>45746</v>
      </c>
      <c r="HG131" s="322">
        <v>45978</v>
      </c>
      <c r="HH1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1" s="300" t="s">
        <v>261</v>
      </c>
      <c r="HJ131" s="300" t="s">
        <v>261</v>
      </c>
      <c r="HK131" s="301"/>
      <c r="HL131" s="286"/>
      <c r="HM131" s="300">
        <v>45765</v>
      </c>
      <c r="HN131" s="300">
        <v>45765</v>
      </c>
      <c r="HO131" s="300" t="e">
        <v>#N/A</v>
      </c>
      <c r="HP131" s="300"/>
      <c r="HQ131" s="301">
        <v>45982</v>
      </c>
      <c r="HR1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1" s="300">
        <v>45772</v>
      </c>
      <c r="HT131" s="300"/>
      <c r="HU131" s="300">
        <v>45772</v>
      </c>
      <c r="HV131" s="497"/>
      <c r="HW131" s="300">
        <v>46020</v>
      </c>
      <c r="HX1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1" s="42"/>
      <c r="HZ131" s="322"/>
      <c r="IA131" s="306"/>
      <c r="IC131" s="585">
        <f>IFERROR(ROUND((Table1[[#This Row],[PLAN TC
finish]]-Table1[[#This Row],[PLAN MC-0
start]])/30,2),"")</f>
        <v>5.57</v>
      </c>
      <c r="ID131">
        <f>DATEDIF(Table1[[#This Row],[PLAN MC-0
start]],Table1[[#This Row],[PLAN TC
finish]],"m")</f>
        <v>5</v>
      </c>
    </row>
    <row r="132" spans="2:238" s="4" customFormat="1" ht="15" customHeight="1" x14ac:dyDescent="0.25">
      <c r="B132" s="281">
        <f>SUBTOTAL(3,$D$5:D132)</f>
        <v>128</v>
      </c>
      <c r="C132" s="318">
        <v>128</v>
      </c>
      <c r="D132" s="308" t="s">
        <v>629</v>
      </c>
      <c r="E132" s="308" t="s">
        <v>903</v>
      </c>
      <c r="F132" s="308" t="s">
        <v>904</v>
      </c>
      <c r="G132" s="319">
        <v>45935</v>
      </c>
      <c r="H132" s="284" t="s">
        <v>247</v>
      </c>
      <c r="I132" s="308" t="s">
        <v>248</v>
      </c>
      <c r="J132" s="285" t="s">
        <v>882</v>
      </c>
      <c r="K132" s="308" t="s">
        <v>632</v>
      </c>
      <c r="L132" s="286" t="s">
        <v>250</v>
      </c>
      <c r="M132" s="286" t="s">
        <v>251</v>
      </c>
      <c r="N132" s="94">
        <v>1133</v>
      </c>
      <c r="O132" s="113" t="s">
        <v>252</v>
      </c>
      <c r="P13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2" s="35" t="e">
        <v>#N/A</v>
      </c>
      <c r="S132" s="35">
        <v>1</v>
      </c>
      <c r="T132" s="35">
        <f>Table1[[#This Row],[Progres Total Aktual
(%)]]</f>
        <v>1</v>
      </c>
      <c r="U132" s="106">
        <f>Table1[[#This Row],[Progres Aktual
(%)]]-Table1[[#This Row],[Target Progres
(%)]]</f>
        <v>0</v>
      </c>
      <c r="V132" s="320">
        <f>Table1[[#This Row],["Volume
BA MC-0"]]</f>
        <v>1085</v>
      </c>
      <c r="W132" s="321">
        <f>Table1[[#This Row],[Total Panjang Pipa Aktual
(Sum-&gt;)3]]</f>
        <v>1168.9000000000001</v>
      </c>
      <c r="X132" s="42"/>
      <c r="Y132" s="62" t="s">
        <v>905</v>
      </c>
      <c r="Z132" s="62">
        <v>145686597406</v>
      </c>
      <c r="AA132" s="62">
        <f>Table1[[#This Row],[Nilai RAB Jaringan
(file pa aji)]]</f>
        <v>145686597406</v>
      </c>
      <c r="AB132" s="290">
        <f>SUM(Table1[[#This Row],[RAB Kegiatan Umum]:[RAB Perizinan]])</f>
        <v>0</v>
      </c>
      <c r="AC132" s="290"/>
      <c r="AD132" s="290"/>
      <c r="AE132" s="290"/>
      <c r="AF132" s="290"/>
      <c r="AG132" s="406">
        <v>0</v>
      </c>
      <c r="AH132" s="35" t="e">
        <f>SUM(Table1[[#This Row],[Bobot Keg Umum]:[Bobot Perizinan]])</f>
        <v>#DIV/0!</v>
      </c>
      <c r="AI132" s="35" t="e">
        <f>Table1[[#This Row],[RAB Kegiatan Umum]]/Table1[[#This Row],[Nilai RAB Jaringan
(Exclude Ppn)]]</f>
        <v>#DIV/0!</v>
      </c>
      <c r="AJ132" s="35" t="e">
        <f>Table1[[#This Row],[RAB Pemasangan]]/Table1[[#This Row],[Nilai RAB Jaringan
(Exclude Ppn)]]</f>
        <v>#DIV/0!</v>
      </c>
      <c r="AK132" s="35" t="e">
        <f>Table1[[#This Row],[RAB Pengadaan]]/Table1[[#This Row],[Nilai RAB Jaringan
(Exclude Ppn)]]</f>
        <v>#DIV/0!</v>
      </c>
      <c r="AL132" s="35" t="e">
        <f>Table1[[#This Row],[RAB Perizinan]]/Table1[[#This Row],[Nilai RAB Jaringan
(Exclude Ppn)]]</f>
        <v>#DIV/0!</v>
      </c>
      <c r="AM132" s="42"/>
      <c r="AN132" s="256">
        <v>1085</v>
      </c>
      <c r="AO132" s="256">
        <f>SUM(Table1[[#This Row],[Pipa 63 mm]:[Pipa 1,800 mm]])</f>
        <v>1165</v>
      </c>
      <c r="AP132" s="256"/>
      <c r="AQ132" s="256"/>
      <c r="AR132" s="256"/>
      <c r="AS132" s="256"/>
      <c r="AT132" s="256"/>
      <c r="AU132" s="256"/>
      <c r="AV132" s="256"/>
      <c r="AW132" s="256"/>
      <c r="AX132" s="256"/>
      <c r="AY132" s="256"/>
      <c r="AZ132" s="256"/>
      <c r="BA132" s="256"/>
      <c r="BB132" s="256">
        <v>1165</v>
      </c>
      <c r="BC132" s="256"/>
      <c r="BD132" s="256"/>
      <c r="BE132" s="256"/>
      <c r="BF132" s="256"/>
      <c r="BG132" s="256"/>
      <c r="BH132" s="256"/>
      <c r="BI132" s="256"/>
      <c r="BJ132" s="36">
        <f>SUM(Table1[[#This Row],[Pipa 63 mm2]:[Pipa 1,800 mm21]])</f>
        <v>1168.9000000000001</v>
      </c>
      <c r="BK132" s="32"/>
      <c r="BL132" s="32"/>
      <c r="BM132" s="32"/>
      <c r="BN132" s="32"/>
      <c r="BO132" s="32"/>
      <c r="BP132" s="32"/>
      <c r="BQ132" s="32"/>
      <c r="BR132" s="32"/>
      <c r="BS132" s="32"/>
      <c r="BT132" s="32"/>
      <c r="BU132" s="32"/>
      <c r="BV132" s="32"/>
      <c r="BW132" s="32">
        <v>1168.9000000000001</v>
      </c>
      <c r="BX132" s="32"/>
      <c r="BY132" s="32"/>
      <c r="BZ132" s="32"/>
      <c r="CA132" s="32"/>
      <c r="CB132" s="32"/>
      <c r="CC132" s="32"/>
      <c r="CD132" s="32"/>
      <c r="CE132" s="32">
        <v>0</v>
      </c>
      <c r="CF132" s="32">
        <v>0</v>
      </c>
      <c r="CG132" s="32">
        <v>0</v>
      </c>
      <c r="CH132" s="32">
        <v>0</v>
      </c>
      <c r="CI132" s="32">
        <f t="shared" si="6"/>
        <v>0</v>
      </c>
      <c r="CJ132" s="60">
        <f>IF((Table1[[#This Row],["Volume
BA MC-0"]]-Table1[[#This Row],[Total Panjang Pipa Aktual
(Sum-&gt;)3]]-Table1[[#This Row],[Total Volume
tidak dapat dipasang]])&gt;=0,Table1[[#This Row],["Volume
BA MC-0"]]-Table1[[#This Row],[Total Panjang Pipa Aktual
(Sum-&gt;)3]]-Table1[[#This Row],[Total Volume
tidak dapat dipasang]],0)</f>
        <v>0</v>
      </c>
      <c r="CK132" s="42"/>
      <c r="CL132" s="113"/>
      <c r="CM132" s="35"/>
      <c r="CN132" s="113"/>
      <c r="CO132" s="113"/>
      <c r="CP1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2" s="61">
        <f>IFERROR(Table1[[#This Row],[Progres Keg. Umum
(%)]]*Table1[[#This Row],[Nilai RAB Jaringan
(file pa aji)]],0)</f>
        <v>0</v>
      </c>
      <c r="CR132" s="61">
        <f>IFERROR(Table1[[#This Row],[Progres MOS
(%)]]*Table1[[#This Row],[Nilai RAB Jaringan
(file pa aji)]],0)</f>
        <v>0</v>
      </c>
      <c r="CS132" s="61">
        <f>IFERROR(Table1[[#This Row],[Progres Pemasangan
(%)]]*Table1[[#This Row],[Nilai RAB Jaringan
(file pa aji)]],0)</f>
        <v>0</v>
      </c>
      <c r="CT132" s="61">
        <f>IFERROR(Table1[[#This Row],[Progres Perizinan
(%)]]*Table1[[#This Row],[Nilai RAB Jaringan
(file pa aji)]],0)</f>
        <v>0</v>
      </c>
      <c r="CU132" s="789">
        <v>66373338414</v>
      </c>
      <c r="CV132" s="299">
        <v>66373338414</v>
      </c>
      <c r="CW132" s="552">
        <v>66373338414</v>
      </c>
      <c r="CX132" s="789">
        <f>_xlfn.XLOOKUP(Table1[[#This Row],[Kode Program]],'[1]Breakdown VOWD Greenfield'!$E:$E,'[1]Breakdown VOWD Greenfield'!$AT:$AT)</f>
        <v>66373338414</v>
      </c>
      <c r="CY132" s="42"/>
      <c r="CZ132" s="300">
        <v>45383</v>
      </c>
      <c r="DA132" s="300">
        <v>45417</v>
      </c>
      <c r="DB132" s="301">
        <v>45165</v>
      </c>
      <c r="DC132" s="286" t="s">
        <v>906</v>
      </c>
      <c r="DD132" s="62">
        <v>152207926483</v>
      </c>
      <c r="DE1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2" s="301">
        <v>45531</v>
      </c>
      <c r="DG132" s="286" t="s">
        <v>907</v>
      </c>
      <c r="DH132" s="62">
        <v>152207926483</v>
      </c>
      <c r="DI1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2" s="300">
        <v>45418</v>
      </c>
      <c r="DK132" s="300">
        <v>45564</v>
      </c>
      <c r="DL132" s="301">
        <v>45975</v>
      </c>
      <c r="DM132" s="286" t="s">
        <v>908</v>
      </c>
      <c r="DN1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2" s="301">
        <v>46031</v>
      </c>
      <c r="DP132" s="286" t="s">
        <v>909</v>
      </c>
      <c r="DQ132" s="308" t="s">
        <v>910</v>
      </c>
      <c r="DR1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2" s="300">
        <v>45418</v>
      </c>
      <c r="DT132" s="300" t="e">
        <v>#N/A</v>
      </c>
      <c r="DU132" s="300">
        <v>45466</v>
      </c>
      <c r="DV132" s="300" t="e">
        <v>#N/A</v>
      </c>
      <c r="DW132" s="301">
        <v>45776</v>
      </c>
      <c r="DX132" s="286" t="s">
        <v>911</v>
      </c>
      <c r="DY132" s="304"/>
      <c r="DZ132" s="304"/>
      <c r="EA1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2" s="301">
        <v>45821</v>
      </c>
      <c r="EC132" s="286"/>
      <c r="ED132" s="286"/>
      <c r="EE132" s="301" t="s">
        <v>912</v>
      </c>
      <c r="EF132" s="35">
        <v>1</v>
      </c>
      <c r="EG132" s="307">
        <v>1</v>
      </c>
      <c r="EH132" s="286" t="str">
        <f>IF(Table1[[#This Row],[PO Material Aktual 
(%)]]&gt;=100%,"Selesai PO = 100%",IF(Table1[[#This Row],[PO Material Aktual 
(%)]]&gt;=50%,"Proses PO &gt; 100%",IF(Table1[[#This Row],[PO Material Aktual 
(%)]]&gt;0%,"Proses PO &gt; 50%",IF(Table1[[#This Row],[PO Material Aktual 
(%)]]=0,"Belum PO = 0%"))))</f>
        <v>Selesai PO = 100%</v>
      </c>
      <c r="EI1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2" s="300">
        <v>45467</v>
      </c>
      <c r="EK132" s="300" t="e">
        <v>#N/A</v>
      </c>
      <c r="EL132" s="300">
        <v>45655</v>
      </c>
      <c r="EM132" s="300" t="e">
        <v>#N/A</v>
      </c>
      <c r="EN132" s="301">
        <v>45807</v>
      </c>
      <c r="EO132" s="302"/>
      <c r="EP132" s="302"/>
      <c r="EQ132" s="82">
        <v>1</v>
      </c>
      <c r="ER132" s="82">
        <v>1</v>
      </c>
      <c r="ES132" s="286" t="str">
        <f>IF(Table1[[#This Row],[Progres MOS]]&gt;=100%,"Selesai MOS = 100%",IF(Table1[[#This Row],[Progres MOS]]&gt;=50%,"Proses MOS &gt; 100%",IF(Table1[[#This Row],[Progres MOS]]&gt;0%,"Proses MOS &gt; 50%",IF(Table1[[#This Row],[Progres MOS]]=0,"Belum MOS = 0%"))))</f>
        <v>Selesai MOS = 100%</v>
      </c>
      <c r="ET1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2" s="42"/>
      <c r="EV132" s="300">
        <v>45418</v>
      </c>
      <c r="EW132" s="300" t="e">
        <v>#N/A</v>
      </c>
      <c r="EX132" s="300">
        <v>45592</v>
      </c>
      <c r="EY132" s="300" t="e">
        <v>#N/A</v>
      </c>
      <c r="EZ132" s="322" t="s">
        <v>259</v>
      </c>
      <c r="FA132" s="306" t="s">
        <v>259</v>
      </c>
      <c r="FB132" s="300" t="s">
        <v>260</v>
      </c>
      <c r="FC132" s="300">
        <v>45013</v>
      </c>
      <c r="FD132" s="300" t="s">
        <v>260</v>
      </c>
      <c r="FE132" s="300"/>
      <c r="FF132" s="300">
        <v>45161</v>
      </c>
      <c r="FG132" s="300" t="s">
        <v>260</v>
      </c>
      <c r="FH132" s="300" t="s">
        <v>260</v>
      </c>
      <c r="FI132" s="300">
        <v>45920</v>
      </c>
      <c r="FJ132" s="300" t="s">
        <v>260</v>
      </c>
      <c r="FK132" s="300">
        <v>45398</v>
      </c>
      <c r="FL132" s="306" t="s">
        <v>259</v>
      </c>
      <c r="FM132" s="322">
        <v>45013</v>
      </c>
      <c r="FN132" s="308">
        <f>IF(Table1[[#This Row],[Tanggal Pengajuan Dokumen]]="","",Table1[[#This Row],[PLAN PERMIT
start]]-Table1[[#This Row],[Tanggal Pengajuan Dokumen]])</f>
        <v>405</v>
      </c>
      <c r="FO132" s="407">
        <v>45470</v>
      </c>
      <c r="FP132" s="286" t="s">
        <v>174</v>
      </c>
      <c r="FQ132" s="308"/>
      <c r="FR132" s="308" t="s">
        <v>174</v>
      </c>
      <c r="FS132" s="308" t="str">
        <f t="shared" si="9"/>
        <v>On Going</v>
      </c>
      <c r="FT1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2" s="314">
        <f ca="1">IF(Table1[[#This Row],[Status Izin]]="Selesai",Table1[[#This Row],[PLAN PERMIT
finish]]-Table1[[#This Row],[Tanggal Terbit/ Target Izin Terbit]],ROUNDUP(Table1[[#This Row],[PLAN PERMIT
finish]]-NOW(),0))</f>
        <v>-612</v>
      </c>
      <c r="FV1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32" s="314"/>
      <c r="FX132" s="42"/>
      <c r="FY132" s="310"/>
      <c r="FZ132" s="311">
        <v>45582</v>
      </c>
      <c r="GA1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2" s="300">
        <v>45566</v>
      </c>
      <c r="GC132" s="322">
        <v>45555</v>
      </c>
      <c r="GD1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2" s="300">
        <v>45573</v>
      </c>
      <c r="GF132" s="322">
        <v>45555</v>
      </c>
      <c r="GG1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2" s="300">
        <v>45579</v>
      </c>
      <c r="GI132" s="300">
        <v>45585</v>
      </c>
      <c r="GJ132" s="322">
        <v>45559</v>
      </c>
      <c r="GK1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2" s="300">
        <v>45593</v>
      </c>
      <c r="GM132" s="300" t="e">
        <v>#N/A</v>
      </c>
      <c r="GN132" s="300">
        <v>45753</v>
      </c>
      <c r="GO132" s="300" t="e">
        <v>#N/A</v>
      </c>
      <c r="GP132" s="286"/>
      <c r="GQ1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2" s="300" t="s">
        <v>261</v>
      </c>
      <c r="GS132" s="300" t="s">
        <v>261</v>
      </c>
      <c r="GT132" s="324">
        <v>45989</v>
      </c>
      <c r="GU132" s="314" t="str">
        <f>IF(Table1[[#This Row],[Hydro Tes Actual
(tanggal)]]&lt;&gt;"","Sudah","Belum")</f>
        <v>Sudah</v>
      </c>
      <c r="GV132" s="300" t="s">
        <v>261</v>
      </c>
      <c r="GW132" s="300" t="s">
        <v>261</v>
      </c>
      <c r="GX132" s="301">
        <v>45914</v>
      </c>
      <c r="GY132" s="314" t="str">
        <f>IF(Table1[[#This Row],[Interkoneksi Actual
(tanggal)]]&lt;&gt;"","Sudah","Belum")</f>
        <v>Sudah</v>
      </c>
      <c r="GZ132" s="300" t="s">
        <v>261</v>
      </c>
      <c r="HA132" s="300" t="s">
        <v>261</v>
      </c>
      <c r="HB132" s="301">
        <v>45978</v>
      </c>
      <c r="HC132" s="314" t="str">
        <f>IF(Table1[[#This Row],[Flushing Actual
(tanggal)]]&lt;&gt;"","Sudah","Belum")</f>
        <v>Sudah</v>
      </c>
      <c r="HD132" s="300">
        <v>45726</v>
      </c>
      <c r="HE132" s="300" t="e">
        <v>#N/A</v>
      </c>
      <c r="HF132" s="300">
        <v>45746</v>
      </c>
      <c r="HG132" s="322">
        <v>45980</v>
      </c>
      <c r="HH1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2" s="300" t="s">
        <v>261</v>
      </c>
      <c r="HJ132" s="300" t="s">
        <v>261</v>
      </c>
      <c r="HK132" s="301"/>
      <c r="HL132" s="286"/>
      <c r="HM132" s="300">
        <v>45765</v>
      </c>
      <c r="HN132" s="300">
        <v>45765</v>
      </c>
      <c r="HO132" s="300" t="e">
        <v>#N/A</v>
      </c>
      <c r="HP132" s="300"/>
      <c r="HQ132" s="301">
        <v>45982</v>
      </c>
      <c r="HR1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2" s="300">
        <v>45772</v>
      </c>
      <c r="HT132" s="300"/>
      <c r="HU132" s="300">
        <v>45772</v>
      </c>
      <c r="HV132" s="497"/>
      <c r="HW132" s="300">
        <v>46020</v>
      </c>
      <c r="HX1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2" s="42"/>
      <c r="HZ132" s="322"/>
      <c r="IA132" s="306"/>
      <c r="IC132" s="585">
        <f>IFERROR(ROUND((Table1[[#This Row],[PLAN TC
finish]]-Table1[[#This Row],[PLAN MC-0
start]])/30,2),"")</f>
        <v>5.57</v>
      </c>
      <c r="ID132">
        <f>DATEDIF(Table1[[#This Row],[PLAN MC-0
start]],Table1[[#This Row],[PLAN TC
finish]],"m")</f>
        <v>5</v>
      </c>
    </row>
    <row r="133" spans="2:238" s="4" customFormat="1" ht="15" customHeight="1" x14ac:dyDescent="0.25">
      <c r="B133" s="281">
        <f>SUBTOTAL(3,$D$5:D133)</f>
        <v>129</v>
      </c>
      <c r="C133" s="318">
        <v>129</v>
      </c>
      <c r="D133" s="308" t="s">
        <v>629</v>
      </c>
      <c r="E133" s="308" t="s">
        <v>913</v>
      </c>
      <c r="F133" s="308" t="s">
        <v>914</v>
      </c>
      <c r="G133" s="319">
        <v>45935</v>
      </c>
      <c r="H133" s="284" t="s">
        <v>247</v>
      </c>
      <c r="I133" s="308" t="s">
        <v>278</v>
      </c>
      <c r="J133" s="285" t="s">
        <v>882</v>
      </c>
      <c r="K133" s="308" t="s">
        <v>915</v>
      </c>
      <c r="L133" s="286" t="s">
        <v>250</v>
      </c>
      <c r="M133" s="286" t="s">
        <v>269</v>
      </c>
      <c r="N133" s="94">
        <v>24655</v>
      </c>
      <c r="O133" s="113" t="s">
        <v>252</v>
      </c>
      <c r="P1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3" s="35" t="e">
        <v>#N/A</v>
      </c>
      <c r="S133" s="35">
        <v>1</v>
      </c>
      <c r="T133" s="35">
        <f>Table1[[#This Row],[Progres Total Aktual
(%)]]</f>
        <v>1</v>
      </c>
      <c r="U133" s="106">
        <f>Table1[[#This Row],[Progres Aktual
(%)]]-Table1[[#This Row],[Target Progres
(%)]]</f>
        <v>0</v>
      </c>
      <c r="V133" s="320">
        <f>Table1[[#This Row],["Volume
BA MC-0"]]</f>
        <v>24731</v>
      </c>
      <c r="W133" s="321">
        <f>Table1[[#This Row],[Total Panjang Pipa Aktual
(Sum-&gt;)3]]</f>
        <v>19044.900000000001</v>
      </c>
      <c r="X133" s="42"/>
      <c r="Y133" s="62" t="s">
        <v>916</v>
      </c>
      <c r="Z133" s="62">
        <v>36544521004</v>
      </c>
      <c r="AA133" s="62">
        <f>Table1[[#This Row],[Nilai RAB Jaringan
(file pa aji)]]</f>
        <v>36544521004</v>
      </c>
      <c r="AB133" s="290">
        <f>SUM(Table1[[#This Row],[RAB Kegiatan Umum]:[RAB Perizinan]])</f>
        <v>0</v>
      </c>
      <c r="AC133" s="290"/>
      <c r="AD133" s="290"/>
      <c r="AE133" s="290"/>
      <c r="AF133" s="290"/>
      <c r="AG133" s="406">
        <v>7891145955</v>
      </c>
      <c r="AH133" s="35" t="e">
        <f>SUM(Table1[[#This Row],[Bobot Keg Umum]:[Bobot Perizinan]])</f>
        <v>#DIV/0!</v>
      </c>
      <c r="AI133" s="35" t="e">
        <f>Table1[[#This Row],[RAB Kegiatan Umum]]/Table1[[#This Row],[Nilai RAB Jaringan
(Exclude Ppn)]]</f>
        <v>#DIV/0!</v>
      </c>
      <c r="AJ133" s="35" t="e">
        <f>Table1[[#This Row],[RAB Pemasangan]]/Table1[[#This Row],[Nilai RAB Jaringan
(Exclude Ppn)]]</f>
        <v>#DIV/0!</v>
      </c>
      <c r="AK133" s="35" t="e">
        <f>Table1[[#This Row],[RAB Pengadaan]]/Table1[[#This Row],[Nilai RAB Jaringan
(Exclude Ppn)]]</f>
        <v>#DIV/0!</v>
      </c>
      <c r="AL133" s="35" t="e">
        <f>Table1[[#This Row],[RAB Perizinan]]/Table1[[#This Row],[Nilai RAB Jaringan
(Exclude Ppn)]]</f>
        <v>#DIV/0!</v>
      </c>
      <c r="AM133" s="42"/>
      <c r="AN133" s="256">
        <v>24731</v>
      </c>
      <c r="AO133" s="256">
        <f>SUM(Table1[[#This Row],[Pipa 63 mm]:[Pipa 1,800 mm]])</f>
        <v>24731</v>
      </c>
      <c r="AP133" s="256">
        <v>11493</v>
      </c>
      <c r="AQ133" s="256">
        <v>8404</v>
      </c>
      <c r="AR133" s="256">
        <v>3421</v>
      </c>
      <c r="AS133" s="256">
        <v>1038</v>
      </c>
      <c r="AT133" s="256">
        <v>180</v>
      </c>
      <c r="AU133" s="256">
        <v>195</v>
      </c>
      <c r="AV133" s="256"/>
      <c r="AW133" s="256"/>
      <c r="AX133" s="256"/>
      <c r="AY133" s="256"/>
      <c r="AZ133" s="256"/>
      <c r="BA133" s="256"/>
      <c r="BB133" s="256"/>
      <c r="BC133" s="256"/>
      <c r="BD133" s="256"/>
      <c r="BE133" s="256"/>
      <c r="BF133" s="256"/>
      <c r="BG133" s="256"/>
      <c r="BH133" s="256"/>
      <c r="BI133" s="256"/>
      <c r="BJ133" s="36">
        <f>SUM(Table1[[#This Row],[Pipa 63 mm2]:[Pipa 1,800 mm21]])</f>
        <v>19044.900000000001</v>
      </c>
      <c r="BK133" s="32">
        <v>10441.1</v>
      </c>
      <c r="BL133" s="32">
        <v>4389.8999999999996</v>
      </c>
      <c r="BM133" s="32">
        <v>2764.9</v>
      </c>
      <c r="BN133" s="32">
        <v>1162</v>
      </c>
      <c r="BO133" s="32">
        <v>112</v>
      </c>
      <c r="BP133" s="32">
        <v>175</v>
      </c>
      <c r="BQ133" s="32"/>
      <c r="BR133" s="32"/>
      <c r="BS133" s="32"/>
      <c r="BT133" s="32"/>
      <c r="BU133" s="32"/>
      <c r="BV133" s="32"/>
      <c r="BW133" s="32"/>
      <c r="BX133" s="32"/>
      <c r="BY133" s="32"/>
      <c r="BZ133" s="32"/>
      <c r="CA133" s="32"/>
      <c r="CB133" s="32"/>
      <c r="CC133" s="32"/>
      <c r="CD133" s="32"/>
      <c r="CE133" s="32">
        <v>0</v>
      </c>
      <c r="CF133" s="32">
        <v>5729</v>
      </c>
      <c r="CG133" s="32">
        <v>0</v>
      </c>
      <c r="CH133" s="32">
        <v>456</v>
      </c>
      <c r="CI133" s="32">
        <f t="shared" ref="CI133:CI196" si="10">SUM(CE133:CH133)</f>
        <v>6185</v>
      </c>
      <c r="CJ133" s="60">
        <f>IF((Table1[[#This Row],["Volume
BA MC-0"]]-Table1[[#This Row],[Total Panjang Pipa Aktual
(Sum-&gt;)3]]-Table1[[#This Row],[Total Volume
tidak dapat dipasang]])&gt;=0,Table1[[#This Row],["Volume
BA MC-0"]]-Table1[[#This Row],[Total Panjang Pipa Aktual
(Sum-&gt;)3]]-Table1[[#This Row],[Total Volume
tidak dapat dipasang]],0)</f>
        <v>0</v>
      </c>
      <c r="CK133" s="42"/>
      <c r="CL133" s="113"/>
      <c r="CM133" s="35"/>
      <c r="CN133" s="113"/>
      <c r="CO133" s="113"/>
      <c r="CP1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3" s="61">
        <f>IFERROR(Table1[[#This Row],[Progres Keg. Umum
(%)]]*Table1[[#This Row],[Nilai RAB Jaringan
(file pa aji)]],0)</f>
        <v>0</v>
      </c>
      <c r="CR133" s="61">
        <f>IFERROR(Table1[[#This Row],[Progres MOS
(%)]]*Table1[[#This Row],[Nilai RAB Jaringan
(file pa aji)]],0)</f>
        <v>0</v>
      </c>
      <c r="CS133" s="61">
        <f>IFERROR(Table1[[#This Row],[Progres Pemasangan
(%)]]*Table1[[#This Row],[Nilai RAB Jaringan
(file pa aji)]],0)</f>
        <v>0</v>
      </c>
      <c r="CT133" s="61">
        <f>IFERROR(Table1[[#This Row],[Progres Perizinan
(%)]]*Table1[[#This Row],[Nilai RAB Jaringan
(file pa aji)]],0)</f>
        <v>0</v>
      </c>
      <c r="CU133" s="789">
        <v>26395392858</v>
      </c>
      <c r="CV133" s="299">
        <v>26395392858</v>
      </c>
      <c r="CW133" s="552">
        <v>26395392858</v>
      </c>
      <c r="CX133" s="789">
        <f>_xlfn.XLOOKUP(Table1[[#This Row],[Kode Program]],'[1]Breakdown VOWD Greenfield'!$E:$E,'[1]Breakdown VOWD Greenfield'!$AT:$AT)</f>
        <v>26395392858</v>
      </c>
      <c r="CY133" s="42"/>
      <c r="CZ133" s="300">
        <v>45530</v>
      </c>
      <c r="DA133" s="300">
        <v>45557</v>
      </c>
      <c r="DB133" s="301">
        <v>45531</v>
      </c>
      <c r="DC133" s="286" t="s">
        <v>917</v>
      </c>
      <c r="DD133" s="62">
        <v>41824302398.910004</v>
      </c>
      <c r="DE1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3" s="301">
        <v>45534</v>
      </c>
      <c r="DG133" s="286" t="s">
        <v>918</v>
      </c>
      <c r="DH133" s="62">
        <v>41824302398.910004</v>
      </c>
      <c r="DI1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3" s="300">
        <v>45558</v>
      </c>
      <c r="DK133" s="300">
        <v>45627</v>
      </c>
      <c r="DL133" s="301">
        <v>45937</v>
      </c>
      <c r="DM133" s="286" t="s">
        <v>919</v>
      </c>
      <c r="DN1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3" s="301">
        <v>45953</v>
      </c>
      <c r="DP133" s="286" t="s">
        <v>920</v>
      </c>
      <c r="DQ133" s="308" t="s">
        <v>365</v>
      </c>
      <c r="DR1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3" s="300">
        <v>45558</v>
      </c>
      <c r="DT133" s="300" t="e">
        <v>#N/A</v>
      </c>
      <c r="DU133" s="300">
        <v>45599</v>
      </c>
      <c r="DV133" s="300" t="e">
        <v>#N/A</v>
      </c>
      <c r="DW133" s="301">
        <v>45986</v>
      </c>
      <c r="DX133" s="286" t="s">
        <v>921</v>
      </c>
      <c r="DY133" s="304"/>
      <c r="DZ133" s="304"/>
      <c r="EA1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3" s="301">
        <v>45989</v>
      </c>
      <c r="EC133" s="286"/>
      <c r="ED133" s="286"/>
      <c r="EE133" s="301" t="s">
        <v>922</v>
      </c>
      <c r="EF133" s="35">
        <v>1</v>
      </c>
      <c r="EG133" s="307">
        <v>1</v>
      </c>
      <c r="EH133" s="286" t="str">
        <f>IF(Table1[[#This Row],[PO Material Aktual 
(%)]]&gt;=100%,"Selesai PO = 100%",IF(Table1[[#This Row],[PO Material Aktual 
(%)]]&gt;=50%,"Proses PO &gt; 100%",IF(Table1[[#This Row],[PO Material Aktual 
(%)]]&gt;0%,"Proses PO &gt; 50%",IF(Table1[[#This Row],[PO Material Aktual 
(%)]]=0,"Belum PO = 0%"))))</f>
        <v>Selesai PO = 100%</v>
      </c>
      <c r="EI1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3" s="300">
        <v>45600</v>
      </c>
      <c r="EK133" s="300" t="e">
        <v>#N/A</v>
      </c>
      <c r="EL133" s="300">
        <v>45711</v>
      </c>
      <c r="EM133" s="300" t="e">
        <v>#N/A</v>
      </c>
      <c r="EN133" s="301">
        <v>46114</v>
      </c>
      <c r="EO133" s="302"/>
      <c r="EP133" s="302"/>
      <c r="EQ133" s="82">
        <v>1</v>
      </c>
      <c r="ER133" s="82">
        <v>1</v>
      </c>
      <c r="ES133" s="286" t="str">
        <f>IF(Table1[[#This Row],[Progres MOS]]&gt;=100%,"Selesai MOS = 100%",IF(Table1[[#This Row],[Progres MOS]]&gt;=50%,"Proses MOS &gt; 100%",IF(Table1[[#This Row],[Progres MOS]]&gt;0%,"Proses MOS &gt; 50%",IF(Table1[[#This Row],[Progres MOS]]=0,"Belum MOS = 0%"))))</f>
        <v>Selesai MOS = 100%</v>
      </c>
      <c r="ET1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3" s="42"/>
      <c r="EV133" s="300">
        <v>45558</v>
      </c>
      <c r="EW133" s="300" t="e">
        <v>#N/A</v>
      </c>
      <c r="EX133" s="300">
        <v>45655</v>
      </c>
      <c r="EY133" s="300" t="e">
        <v>#N/A</v>
      </c>
      <c r="EZ133" s="322" t="s">
        <v>259</v>
      </c>
      <c r="FA133" s="306" t="s">
        <v>259</v>
      </c>
      <c r="FB133" s="300" t="s">
        <v>260</v>
      </c>
      <c r="FC133" s="300">
        <v>45607</v>
      </c>
      <c r="FD133" s="300" t="s">
        <v>260</v>
      </c>
      <c r="FE133" s="300">
        <v>45639</v>
      </c>
      <c r="FF133" s="300">
        <v>45705</v>
      </c>
      <c r="FG133" s="300" t="s">
        <v>260</v>
      </c>
      <c r="FH133" s="300" t="s">
        <v>260</v>
      </c>
      <c r="FI133" s="300">
        <v>46006</v>
      </c>
      <c r="FJ133" s="300" t="s">
        <v>260</v>
      </c>
      <c r="FK133" s="300">
        <v>46062</v>
      </c>
      <c r="FL133" s="306" t="s">
        <v>259</v>
      </c>
      <c r="FM133" s="322">
        <v>45607</v>
      </c>
      <c r="FN133" s="308">
        <f>IF(Table1[[#This Row],[Tanggal Pengajuan Dokumen]]="","",Table1[[#This Row],[PLAN PERMIT
start]]-Table1[[#This Row],[Tanggal Pengajuan Dokumen]])</f>
        <v>-49</v>
      </c>
      <c r="FO133" s="407">
        <v>46086</v>
      </c>
      <c r="FP133" s="286"/>
      <c r="FQ133" s="308"/>
      <c r="FR133" s="308" t="s">
        <v>923</v>
      </c>
      <c r="FS133" s="308" t="str">
        <f t="shared" si="9"/>
        <v>On Going</v>
      </c>
      <c r="FT1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3" s="314">
        <f ca="1">IF(Table1[[#This Row],[Status Izin]]="Selesai",Table1[[#This Row],[PLAN PERMIT
finish]]-Table1[[#This Row],[Tanggal Terbit/ Target Izin Terbit]],ROUNDUP(Table1[[#This Row],[PLAN PERMIT
finish]]-NOW(),0))</f>
        <v>-549</v>
      </c>
      <c r="FV1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3" s="314"/>
      <c r="FX133" s="42"/>
      <c r="FY133" s="310"/>
      <c r="FZ133" s="311">
        <v>45582</v>
      </c>
      <c r="GA1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3" s="300">
        <v>45629</v>
      </c>
      <c r="GC133" s="322">
        <v>45597</v>
      </c>
      <c r="GD1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3" s="300">
        <v>45636</v>
      </c>
      <c r="GF133" s="322">
        <v>45597</v>
      </c>
      <c r="GG1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3" s="300">
        <v>45642</v>
      </c>
      <c r="GI133" s="300">
        <v>45648</v>
      </c>
      <c r="GJ133" s="322">
        <v>45602</v>
      </c>
      <c r="GK1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3" s="300">
        <v>45656</v>
      </c>
      <c r="GM133" s="300" t="e">
        <v>#N/A</v>
      </c>
      <c r="GN133" s="300">
        <v>45788</v>
      </c>
      <c r="GO133" s="300" t="e">
        <v>#N/A</v>
      </c>
      <c r="GP133" s="286"/>
      <c r="GQ1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3" s="300" t="s">
        <v>261</v>
      </c>
      <c r="GS133" s="300" t="s">
        <v>261</v>
      </c>
      <c r="GT133" s="324">
        <v>45996</v>
      </c>
      <c r="GU133" s="314" t="str">
        <f>IF(Table1[[#This Row],[Hydro Tes Actual
(tanggal)]]&lt;&gt;"","Sudah","Belum")</f>
        <v>Sudah</v>
      </c>
      <c r="GV133" s="300" t="s">
        <v>261</v>
      </c>
      <c r="GW133" s="300" t="s">
        <v>261</v>
      </c>
      <c r="GX133" s="301">
        <v>45999</v>
      </c>
      <c r="GY133" s="314" t="str">
        <f>IF(Table1[[#This Row],[Interkoneksi Actual
(tanggal)]]&lt;&gt;"","Sudah","Belum")</f>
        <v>Sudah</v>
      </c>
      <c r="GZ133" s="300" t="s">
        <v>261</v>
      </c>
      <c r="HA133" s="300" t="s">
        <v>261</v>
      </c>
      <c r="HB133" s="301">
        <v>46002</v>
      </c>
      <c r="HC133" s="314" t="str">
        <f>IF(Table1[[#This Row],[Flushing Actual
(tanggal)]]&lt;&gt;"","Sudah","Belum")</f>
        <v>Sudah</v>
      </c>
      <c r="HD133" s="300">
        <v>45754</v>
      </c>
      <c r="HE133" s="300" t="e">
        <v>#N/A</v>
      </c>
      <c r="HF133" s="300">
        <v>45774</v>
      </c>
      <c r="HG133" s="322">
        <v>46007</v>
      </c>
      <c r="HH1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3" s="300" t="s">
        <v>261</v>
      </c>
      <c r="HJ133" s="300" t="s">
        <v>261</v>
      </c>
      <c r="HK133" s="301"/>
      <c r="HL133" s="286"/>
      <c r="HM133" s="300">
        <v>45793</v>
      </c>
      <c r="HN133" s="300">
        <v>45793</v>
      </c>
      <c r="HO133" s="300" t="e">
        <v>#N/A</v>
      </c>
      <c r="HP133" s="300"/>
      <c r="HQ133" s="301">
        <v>46013</v>
      </c>
      <c r="HR1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3" s="300">
        <v>45800</v>
      </c>
      <c r="HT133" s="300"/>
      <c r="HU133" s="300">
        <v>45800</v>
      </c>
      <c r="HV133" s="497"/>
      <c r="HW133" s="300">
        <v>46024</v>
      </c>
      <c r="HX1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3" s="42"/>
      <c r="HZ133" s="322"/>
      <c r="IA133" s="306"/>
      <c r="IC133" s="585">
        <f>IFERROR(ROUND((Table1[[#This Row],[PLAN TC
finish]]-Table1[[#This Row],[PLAN MC-0
start]])/30,2),"")</f>
        <v>4.4000000000000004</v>
      </c>
      <c r="ID133">
        <f>DATEDIF(Table1[[#This Row],[PLAN MC-0
start]],Table1[[#This Row],[PLAN TC
finish]],"m")</f>
        <v>4</v>
      </c>
    </row>
    <row r="134" spans="2:238" s="4" customFormat="1" ht="15" customHeight="1" x14ac:dyDescent="0.25">
      <c r="B134" s="281">
        <f>SUBTOTAL(3,$D$5:D134)</f>
        <v>130</v>
      </c>
      <c r="C134" s="318">
        <v>130</v>
      </c>
      <c r="D134" s="308" t="s">
        <v>629</v>
      </c>
      <c r="E134" s="308" t="s">
        <v>924</v>
      </c>
      <c r="F134" s="308" t="s">
        <v>925</v>
      </c>
      <c r="G134" s="319">
        <v>45935</v>
      </c>
      <c r="H134" s="284" t="s">
        <v>247</v>
      </c>
      <c r="I134" s="308" t="s">
        <v>278</v>
      </c>
      <c r="J134" s="285" t="s">
        <v>882</v>
      </c>
      <c r="K134" s="308" t="s">
        <v>915</v>
      </c>
      <c r="L134" s="286" t="s">
        <v>250</v>
      </c>
      <c r="M134" s="286" t="s">
        <v>269</v>
      </c>
      <c r="N134" s="94">
        <v>20175</v>
      </c>
      <c r="O134" s="113" t="s">
        <v>252</v>
      </c>
      <c r="P1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4" s="35" t="e">
        <v>#N/A</v>
      </c>
      <c r="S134" s="35">
        <v>1</v>
      </c>
      <c r="T134" s="35">
        <f>Table1[[#This Row],[Progres Total Aktual
(%)]]</f>
        <v>1</v>
      </c>
      <c r="U134" s="106">
        <f>Table1[[#This Row],[Progres Aktual
(%)]]-Table1[[#This Row],[Target Progres
(%)]]</f>
        <v>0</v>
      </c>
      <c r="V134" s="320">
        <f>Table1[[#This Row],["Volume
BA MC-0"]]</f>
        <v>20222</v>
      </c>
      <c r="W134" s="321">
        <f>Table1[[#This Row],[Total Panjang Pipa Aktual
(Sum-&gt;)3]]</f>
        <v>18046.099999999999</v>
      </c>
      <c r="X134" s="42"/>
      <c r="Y134" s="62" t="s">
        <v>926</v>
      </c>
      <c r="Z134" s="62">
        <v>29676979717</v>
      </c>
      <c r="AA134" s="62">
        <f>Table1[[#This Row],[Nilai RAB Jaringan
(file pa aji)]]</f>
        <v>29676979717</v>
      </c>
      <c r="AB134" s="290">
        <f>SUM(Table1[[#This Row],[RAB Kegiatan Umum]:[RAB Perizinan]])</f>
        <v>0</v>
      </c>
      <c r="AC134" s="290"/>
      <c r="AD134" s="290"/>
      <c r="AE134" s="290"/>
      <c r="AF134" s="290"/>
      <c r="AG134" s="406">
        <v>6554775264</v>
      </c>
      <c r="AH134" s="35" t="e">
        <f>SUM(Table1[[#This Row],[Bobot Keg Umum]:[Bobot Perizinan]])</f>
        <v>#DIV/0!</v>
      </c>
      <c r="AI134" s="35" t="e">
        <f>Table1[[#This Row],[RAB Kegiatan Umum]]/Table1[[#This Row],[Nilai RAB Jaringan
(Exclude Ppn)]]</f>
        <v>#DIV/0!</v>
      </c>
      <c r="AJ134" s="35" t="e">
        <f>Table1[[#This Row],[RAB Pemasangan]]/Table1[[#This Row],[Nilai RAB Jaringan
(Exclude Ppn)]]</f>
        <v>#DIV/0!</v>
      </c>
      <c r="AK134" s="35" t="e">
        <f>Table1[[#This Row],[RAB Pengadaan]]/Table1[[#This Row],[Nilai RAB Jaringan
(Exclude Ppn)]]</f>
        <v>#DIV/0!</v>
      </c>
      <c r="AL134" s="35" t="e">
        <f>Table1[[#This Row],[RAB Perizinan]]/Table1[[#This Row],[Nilai RAB Jaringan
(Exclude Ppn)]]</f>
        <v>#DIV/0!</v>
      </c>
      <c r="AM134" s="42"/>
      <c r="AN134" s="256">
        <v>20222</v>
      </c>
      <c r="AO134" s="256">
        <f>SUM(Table1[[#This Row],[Pipa 63 mm]:[Pipa 1,800 mm]])</f>
        <v>20222</v>
      </c>
      <c r="AP134" s="256">
        <v>11138</v>
      </c>
      <c r="AQ134" s="256">
        <v>4267</v>
      </c>
      <c r="AR134" s="256">
        <v>2754</v>
      </c>
      <c r="AS134" s="256">
        <v>929</v>
      </c>
      <c r="AT134" s="256">
        <v>667</v>
      </c>
      <c r="AU134" s="256">
        <v>467</v>
      </c>
      <c r="AV134" s="256"/>
      <c r="AW134" s="256"/>
      <c r="AX134" s="256"/>
      <c r="AY134" s="256"/>
      <c r="AZ134" s="256"/>
      <c r="BA134" s="256"/>
      <c r="BB134" s="256"/>
      <c r="BC134" s="256"/>
      <c r="BD134" s="256"/>
      <c r="BE134" s="256"/>
      <c r="BF134" s="256"/>
      <c r="BG134" s="256"/>
      <c r="BH134" s="256"/>
      <c r="BI134" s="256"/>
      <c r="BJ134" s="36">
        <f>SUM(Table1[[#This Row],[Pipa 63 mm2]:[Pipa 1,800 mm21]])</f>
        <v>18046.099999999999</v>
      </c>
      <c r="BK134" s="32">
        <v>9174</v>
      </c>
      <c r="BL134" s="32">
        <v>4031</v>
      </c>
      <c r="BM134" s="32">
        <v>2804</v>
      </c>
      <c r="BN134" s="32">
        <v>919.1</v>
      </c>
      <c r="BO134" s="32">
        <v>796</v>
      </c>
      <c r="BP134" s="328">
        <v>322</v>
      </c>
      <c r="BQ134" s="32"/>
      <c r="BR134" s="32"/>
      <c r="BS134" s="32"/>
      <c r="BT134" s="32"/>
      <c r="BU134" s="32"/>
      <c r="BV134" s="32"/>
      <c r="BW134" s="32"/>
      <c r="BX134" s="32"/>
      <c r="BY134" s="32"/>
      <c r="BZ134" s="32"/>
      <c r="CA134" s="32"/>
      <c r="CB134" s="32"/>
      <c r="CC134" s="32"/>
      <c r="CD134" s="32"/>
      <c r="CE134" s="32">
        <v>0</v>
      </c>
      <c r="CF134" s="32">
        <v>1836</v>
      </c>
      <c r="CG134" s="32">
        <v>0</v>
      </c>
      <c r="CH134" s="32">
        <v>219</v>
      </c>
      <c r="CI134" s="32">
        <f t="shared" si="10"/>
        <v>2055</v>
      </c>
      <c r="CJ134" s="60">
        <f>IF((Table1[[#This Row],["Volume
BA MC-0"]]-Table1[[#This Row],[Total Panjang Pipa Aktual
(Sum-&gt;)3]]-Table1[[#This Row],[Total Volume
tidak dapat dipasang]])&gt;=0,Table1[[#This Row],["Volume
BA MC-0"]]-Table1[[#This Row],[Total Panjang Pipa Aktual
(Sum-&gt;)3]]-Table1[[#This Row],[Total Volume
tidak dapat dipasang]],0)</f>
        <v>120.90000000000146</v>
      </c>
      <c r="CK134" s="42"/>
      <c r="CL134" s="113"/>
      <c r="CM134" s="35"/>
      <c r="CN134" s="113"/>
      <c r="CO134" s="113"/>
      <c r="CP1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4" s="61">
        <f>IFERROR(Table1[[#This Row],[Progres Keg. Umum
(%)]]*Table1[[#This Row],[Nilai RAB Jaringan
(file pa aji)]],0)</f>
        <v>0</v>
      </c>
      <c r="CR134" s="61">
        <f>IFERROR(Table1[[#This Row],[Progres MOS
(%)]]*Table1[[#This Row],[Nilai RAB Jaringan
(file pa aji)]],0)</f>
        <v>0</v>
      </c>
      <c r="CS134" s="61">
        <f>IFERROR(Table1[[#This Row],[Progres Pemasangan
(%)]]*Table1[[#This Row],[Nilai RAB Jaringan
(file pa aji)]],0)</f>
        <v>0</v>
      </c>
      <c r="CT134" s="61">
        <f>IFERROR(Table1[[#This Row],[Progres Perizinan
(%)]]*Table1[[#This Row],[Nilai RAB Jaringan
(file pa aji)]],0)</f>
        <v>0</v>
      </c>
      <c r="CU134" s="789">
        <v>26190256906</v>
      </c>
      <c r="CV134" s="299">
        <v>26190256906</v>
      </c>
      <c r="CW134" s="552">
        <v>26190256906</v>
      </c>
      <c r="CX134" s="789">
        <f>_xlfn.XLOOKUP(Table1[[#This Row],[Kode Program]],'[1]Breakdown VOWD Greenfield'!$E:$E,'[1]Breakdown VOWD Greenfield'!$AT:$AT)</f>
        <v>26190256906</v>
      </c>
      <c r="CY134" s="42"/>
      <c r="CZ134" s="300">
        <v>45530</v>
      </c>
      <c r="DA134" s="300">
        <v>45557</v>
      </c>
      <c r="DB134" s="301">
        <v>45531</v>
      </c>
      <c r="DC134" s="286" t="s">
        <v>927</v>
      </c>
      <c r="DD134" s="62">
        <v>33291213735.040001</v>
      </c>
      <c r="DE1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4" s="301">
        <v>45534</v>
      </c>
      <c r="DG134" s="286" t="s">
        <v>928</v>
      </c>
      <c r="DH134" s="62">
        <v>33291213735.040001</v>
      </c>
      <c r="DI1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4" s="300">
        <v>45558</v>
      </c>
      <c r="DK134" s="300">
        <v>45627</v>
      </c>
      <c r="DL134" s="301">
        <v>45841</v>
      </c>
      <c r="DM134" s="286" t="s">
        <v>929</v>
      </c>
      <c r="DN1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4" s="301">
        <v>45971</v>
      </c>
      <c r="DP134" s="286" t="s">
        <v>930</v>
      </c>
      <c r="DQ134" s="308" t="s">
        <v>365</v>
      </c>
      <c r="DR1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4" s="300">
        <v>45558</v>
      </c>
      <c r="DT134" s="300" t="e">
        <v>#N/A</v>
      </c>
      <c r="DU134" s="300">
        <v>45599</v>
      </c>
      <c r="DV134" s="300" t="e">
        <v>#N/A</v>
      </c>
      <c r="DW134" s="301">
        <v>45993</v>
      </c>
      <c r="DX134" s="286" t="s">
        <v>931</v>
      </c>
      <c r="DY134" s="304"/>
      <c r="DZ134" s="304"/>
      <c r="EA1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4" s="301">
        <v>45995</v>
      </c>
      <c r="EC134" s="302"/>
      <c r="ED134" s="302"/>
      <c r="EE134" s="300" t="s">
        <v>932</v>
      </c>
      <c r="EF134" s="35">
        <v>1</v>
      </c>
      <c r="EG134" s="307">
        <v>1</v>
      </c>
      <c r="EH134" s="286" t="str">
        <f>IF(Table1[[#This Row],[PO Material Aktual 
(%)]]&gt;=100%,"Selesai PO = 100%",IF(Table1[[#This Row],[PO Material Aktual 
(%)]]&gt;=50%,"Proses PO &gt; 100%",IF(Table1[[#This Row],[PO Material Aktual 
(%)]]&gt;0%,"Proses PO &gt; 50%",IF(Table1[[#This Row],[PO Material Aktual 
(%)]]=0,"Belum PO = 0%"))))</f>
        <v>Selesai PO = 100%</v>
      </c>
      <c r="EI1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4" s="300">
        <v>45600</v>
      </c>
      <c r="EK134" s="300" t="e">
        <v>#N/A</v>
      </c>
      <c r="EL134" s="300">
        <v>45711</v>
      </c>
      <c r="EM134" s="300" t="e">
        <v>#N/A</v>
      </c>
      <c r="EN134" s="301">
        <v>46149</v>
      </c>
      <c r="EO134" s="302"/>
      <c r="EP134" s="302"/>
      <c r="EQ134" s="82">
        <v>1</v>
      </c>
      <c r="ER134" s="82">
        <v>1</v>
      </c>
      <c r="ES134" s="286" t="str">
        <f>IF(Table1[[#This Row],[Progres MOS]]&gt;=100%,"Selesai MOS = 100%",IF(Table1[[#This Row],[Progres MOS]]&gt;=50%,"Proses MOS &gt; 100%",IF(Table1[[#This Row],[Progres MOS]]&gt;0%,"Proses MOS &gt; 50%",IF(Table1[[#This Row],[Progres MOS]]=0,"Belum MOS = 0%"))))</f>
        <v>Selesai MOS = 100%</v>
      </c>
      <c r="ET1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4" s="42"/>
      <c r="EV134" s="300">
        <v>45558</v>
      </c>
      <c r="EW134" s="300" t="e">
        <v>#N/A</v>
      </c>
      <c r="EX134" s="300">
        <v>45655</v>
      </c>
      <c r="EY134" s="300" t="e">
        <v>#N/A</v>
      </c>
      <c r="EZ134" s="322" t="s">
        <v>298</v>
      </c>
      <c r="FA134" s="306" t="s">
        <v>259</v>
      </c>
      <c r="FB134" s="300" t="s">
        <v>260</v>
      </c>
      <c r="FC134" s="300">
        <v>45615</v>
      </c>
      <c r="FD134" s="300" t="s">
        <v>260</v>
      </c>
      <c r="FE134" s="300">
        <v>45716</v>
      </c>
      <c r="FF134" s="300">
        <v>45911</v>
      </c>
      <c r="FG134" s="300" t="s">
        <v>260</v>
      </c>
      <c r="FH134" s="300" t="s">
        <v>260</v>
      </c>
      <c r="FI134" s="300">
        <v>46010</v>
      </c>
      <c r="FJ134" s="300" t="s">
        <v>260</v>
      </c>
      <c r="FK134" s="300">
        <v>46094</v>
      </c>
      <c r="FL134" s="306" t="s">
        <v>298</v>
      </c>
      <c r="FM134" s="322">
        <v>45615</v>
      </c>
      <c r="FN134" s="308">
        <f>IF(Table1[[#This Row],[Tanggal Pengajuan Dokumen]]="","",Table1[[#This Row],[PLAN PERMIT
start]]-Table1[[#This Row],[Tanggal Pengajuan Dokumen]])</f>
        <v>-57</v>
      </c>
      <c r="FO134" s="407">
        <v>46086</v>
      </c>
      <c r="FP134" s="286"/>
      <c r="FQ134" s="308"/>
      <c r="FR134" s="308" t="s">
        <v>923</v>
      </c>
      <c r="FS134" s="308" t="str">
        <f t="shared" si="9"/>
        <v>On Going</v>
      </c>
      <c r="FT1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4" s="314">
        <f ca="1">IF(Table1[[#This Row],[Status Izin]]="Selesai",Table1[[#This Row],[PLAN PERMIT
finish]]-Table1[[#This Row],[Tanggal Terbit/ Target Izin Terbit]],ROUNDUP(Table1[[#This Row],[PLAN PERMIT
finish]]-NOW(),0))</f>
        <v>-549</v>
      </c>
      <c r="FV1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4" s="314"/>
      <c r="FX134" s="42"/>
      <c r="FY134" s="310"/>
      <c r="FZ134" s="311">
        <v>45582</v>
      </c>
      <c r="GA1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4" s="300">
        <v>45629</v>
      </c>
      <c r="GC134" s="322">
        <v>45597</v>
      </c>
      <c r="GD1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4" s="300">
        <v>45636</v>
      </c>
      <c r="GF134" s="322">
        <v>45597</v>
      </c>
      <c r="GG1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4" s="300">
        <v>45642</v>
      </c>
      <c r="GI134" s="300">
        <v>45648</v>
      </c>
      <c r="GJ134" s="322">
        <v>45603</v>
      </c>
      <c r="GK1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4" s="300">
        <v>45656</v>
      </c>
      <c r="GM134" s="300" t="e">
        <v>#N/A</v>
      </c>
      <c r="GN134" s="300">
        <v>45788</v>
      </c>
      <c r="GO134" s="300" t="e">
        <v>#N/A</v>
      </c>
      <c r="GP134" s="286"/>
      <c r="GQ1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4" s="300" t="s">
        <v>261</v>
      </c>
      <c r="GS134" s="300" t="s">
        <v>261</v>
      </c>
      <c r="GT134" s="324">
        <v>45952</v>
      </c>
      <c r="GU134" s="314" t="str">
        <f>IF(Table1[[#This Row],[Hydro Tes Actual
(tanggal)]]&lt;&gt;"","Sudah","Belum")</f>
        <v>Sudah</v>
      </c>
      <c r="GV134" s="300" t="s">
        <v>261</v>
      </c>
      <c r="GW134" s="300" t="s">
        <v>261</v>
      </c>
      <c r="GX134" s="301">
        <v>45860</v>
      </c>
      <c r="GY134" s="314" t="str">
        <f>IF(Table1[[#This Row],[Interkoneksi Actual
(tanggal)]]&lt;&gt;"","Sudah","Belum")</f>
        <v>Sudah</v>
      </c>
      <c r="GZ134" s="300" t="s">
        <v>261</v>
      </c>
      <c r="HA134" s="300" t="s">
        <v>261</v>
      </c>
      <c r="HB134" s="301">
        <v>46000</v>
      </c>
      <c r="HC134" s="314" t="str">
        <f>IF(Table1[[#This Row],[Flushing Actual
(tanggal)]]&lt;&gt;"","Sudah","Belum")</f>
        <v>Sudah</v>
      </c>
      <c r="HD134" s="300">
        <v>45754</v>
      </c>
      <c r="HE134" s="300" t="e">
        <v>#N/A</v>
      </c>
      <c r="HF134" s="300">
        <v>45774</v>
      </c>
      <c r="HG134" s="322">
        <v>46006</v>
      </c>
      <c r="HH1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4" s="300" t="s">
        <v>261</v>
      </c>
      <c r="HJ134" s="300" t="s">
        <v>261</v>
      </c>
      <c r="HK134" s="301"/>
      <c r="HL134" s="286"/>
      <c r="HM134" s="300">
        <v>45793</v>
      </c>
      <c r="HN134" s="300">
        <v>45793</v>
      </c>
      <c r="HO134" s="300" t="e">
        <v>#N/A</v>
      </c>
      <c r="HP134" s="300"/>
      <c r="HQ134" s="301">
        <v>46014</v>
      </c>
      <c r="HR13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4" s="300">
        <v>45800</v>
      </c>
      <c r="HT134" s="300"/>
      <c r="HU134" s="300">
        <v>45800</v>
      </c>
      <c r="HV134" s="497"/>
      <c r="HW134" s="300">
        <v>46025</v>
      </c>
      <c r="HX1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4" s="42"/>
      <c r="HZ134" s="322"/>
      <c r="IA134" s="306"/>
      <c r="IC134" s="585">
        <f>IFERROR(ROUND((Table1[[#This Row],[PLAN TC
finish]]-Table1[[#This Row],[PLAN MC-0
start]])/30,2),"")</f>
        <v>4.4000000000000004</v>
      </c>
      <c r="ID134">
        <f>DATEDIF(Table1[[#This Row],[PLAN MC-0
start]],Table1[[#This Row],[PLAN TC
finish]],"m")</f>
        <v>4</v>
      </c>
    </row>
    <row r="135" spans="2:238" s="4" customFormat="1" ht="15" customHeight="1" x14ac:dyDescent="0.25">
      <c r="B135" s="281">
        <f>SUBTOTAL(3,$D$5:D135)</f>
        <v>131</v>
      </c>
      <c r="C135" s="318">
        <v>131</v>
      </c>
      <c r="D135" s="308" t="s">
        <v>629</v>
      </c>
      <c r="E135" s="308" t="s">
        <v>933</v>
      </c>
      <c r="F135" s="308" t="s">
        <v>934</v>
      </c>
      <c r="G135" s="319">
        <v>45935</v>
      </c>
      <c r="H135" s="284" t="s">
        <v>247</v>
      </c>
      <c r="I135" s="308" t="s">
        <v>278</v>
      </c>
      <c r="J135" s="285" t="s">
        <v>882</v>
      </c>
      <c r="K135" s="308" t="s">
        <v>915</v>
      </c>
      <c r="L135" s="286" t="s">
        <v>250</v>
      </c>
      <c r="M135" s="286" t="s">
        <v>269</v>
      </c>
      <c r="N135" s="94">
        <v>14</v>
      </c>
      <c r="O135" s="113" t="s">
        <v>252</v>
      </c>
      <c r="P1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5" s="35" t="e">
        <v>#N/A</v>
      </c>
      <c r="S135" s="35">
        <v>1</v>
      </c>
      <c r="T135" s="35">
        <f>Table1[[#This Row],[Progres Total Aktual
(%)]]</f>
        <v>1</v>
      </c>
      <c r="U135" s="106">
        <f>Table1[[#This Row],[Progres Aktual
(%)]]-Table1[[#This Row],[Target Progres
(%)]]</f>
        <v>0</v>
      </c>
      <c r="V135" s="320">
        <f>Table1[[#This Row],["Volume
BA MC-0"]]</f>
        <v>20</v>
      </c>
      <c r="W135" s="321">
        <f>Table1[[#This Row],[Total Panjang Pipa Aktual
(Sum-&gt;)3]]</f>
        <v>42.2</v>
      </c>
      <c r="X135" s="42"/>
      <c r="Y135" s="62" t="s">
        <v>926</v>
      </c>
      <c r="Z135" s="62">
        <v>449003332</v>
      </c>
      <c r="AA135" s="62">
        <f>Table1[[#This Row],[Nilai RAB Jaringan
(file pa aji)]]</f>
        <v>449003332</v>
      </c>
      <c r="AB135" s="290">
        <f>SUM(Table1[[#This Row],[RAB Kegiatan Umum]:[RAB Perizinan]])</f>
        <v>0</v>
      </c>
      <c r="AC135" s="290"/>
      <c r="AD135" s="290"/>
      <c r="AE135" s="290"/>
      <c r="AF135" s="290"/>
      <c r="AG135" s="406">
        <v>0</v>
      </c>
      <c r="AH135" s="35" t="e">
        <f>SUM(Table1[[#This Row],[Bobot Keg Umum]:[Bobot Perizinan]])</f>
        <v>#DIV/0!</v>
      </c>
      <c r="AI135" s="35" t="e">
        <f>Table1[[#This Row],[RAB Kegiatan Umum]]/Table1[[#This Row],[Nilai RAB Jaringan
(Exclude Ppn)]]</f>
        <v>#DIV/0!</v>
      </c>
      <c r="AJ135" s="35" t="e">
        <f>Table1[[#This Row],[RAB Pemasangan]]/Table1[[#This Row],[Nilai RAB Jaringan
(Exclude Ppn)]]</f>
        <v>#DIV/0!</v>
      </c>
      <c r="AK135" s="35" t="e">
        <f>Table1[[#This Row],[RAB Pengadaan]]/Table1[[#This Row],[Nilai RAB Jaringan
(Exclude Ppn)]]</f>
        <v>#DIV/0!</v>
      </c>
      <c r="AL135" s="35" t="e">
        <f>Table1[[#This Row],[RAB Perizinan]]/Table1[[#This Row],[Nilai RAB Jaringan
(Exclude Ppn)]]</f>
        <v>#DIV/0!</v>
      </c>
      <c r="AM135" s="42"/>
      <c r="AN135" s="256">
        <v>20</v>
      </c>
      <c r="AO135" s="256">
        <f>SUM(Table1[[#This Row],[Pipa 63 mm]:[Pipa 1,800 mm]])</f>
        <v>20</v>
      </c>
      <c r="AP135" s="256"/>
      <c r="AQ135" s="256"/>
      <c r="AR135" s="256"/>
      <c r="AS135" s="256"/>
      <c r="AT135" s="256"/>
      <c r="AU135" s="256">
        <v>20</v>
      </c>
      <c r="AV135" s="256"/>
      <c r="AW135" s="256"/>
      <c r="AX135" s="256"/>
      <c r="AY135" s="256"/>
      <c r="AZ135" s="256"/>
      <c r="BA135" s="256"/>
      <c r="BB135" s="256"/>
      <c r="BC135" s="256"/>
      <c r="BD135" s="256"/>
      <c r="BE135" s="256"/>
      <c r="BF135" s="256"/>
      <c r="BG135" s="256"/>
      <c r="BH135" s="256"/>
      <c r="BI135" s="256"/>
      <c r="BJ135" s="36">
        <f>SUM(Table1[[#This Row],[Pipa 63 mm2]:[Pipa 1,800 mm21]])</f>
        <v>42.2</v>
      </c>
      <c r="BK135" s="32"/>
      <c r="BL135" s="32"/>
      <c r="BM135" s="32"/>
      <c r="BN135" s="32"/>
      <c r="BO135" s="32"/>
      <c r="BP135" s="32">
        <v>38</v>
      </c>
      <c r="BQ135" s="32"/>
      <c r="BR135" s="32"/>
      <c r="BS135" s="32">
        <v>4.2</v>
      </c>
      <c r="BT135" s="32"/>
      <c r="BU135" s="32"/>
      <c r="BV135" s="32"/>
      <c r="BW135" s="32"/>
      <c r="BX135" s="32"/>
      <c r="BY135" s="32"/>
      <c r="BZ135" s="32"/>
      <c r="CA135" s="32"/>
      <c r="CB135" s="32"/>
      <c r="CC135" s="32"/>
      <c r="CD135" s="32"/>
      <c r="CE135" s="32">
        <v>0</v>
      </c>
      <c r="CF135" s="32">
        <v>0</v>
      </c>
      <c r="CG135" s="32">
        <v>0</v>
      </c>
      <c r="CH135" s="32">
        <v>0</v>
      </c>
      <c r="CI135" s="32">
        <f t="shared" si="10"/>
        <v>0</v>
      </c>
      <c r="CJ135" s="60">
        <f>IF((Table1[[#This Row],["Volume
BA MC-0"]]-Table1[[#This Row],[Total Panjang Pipa Aktual
(Sum-&gt;)3]]-Table1[[#This Row],[Total Volume
tidak dapat dipasang]])&gt;=0,Table1[[#This Row],["Volume
BA MC-0"]]-Table1[[#This Row],[Total Panjang Pipa Aktual
(Sum-&gt;)3]]-Table1[[#This Row],[Total Volume
tidak dapat dipasang]],0)</f>
        <v>0</v>
      </c>
      <c r="CK135" s="42"/>
      <c r="CL135" s="113"/>
      <c r="CM135" s="35"/>
      <c r="CN135" s="113"/>
      <c r="CO135" s="113"/>
      <c r="CP1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5" s="61">
        <f>IFERROR(Table1[[#This Row],[Progres Keg. Umum
(%)]]*Table1[[#This Row],[Nilai RAB Jaringan
(file pa aji)]],0)</f>
        <v>0</v>
      </c>
      <c r="CR135" s="61">
        <f>IFERROR(Table1[[#This Row],[Progres MOS
(%)]]*Table1[[#This Row],[Nilai RAB Jaringan
(file pa aji)]],0)</f>
        <v>0</v>
      </c>
      <c r="CS135" s="61">
        <f>IFERROR(Table1[[#This Row],[Progres Pemasangan
(%)]]*Table1[[#This Row],[Nilai RAB Jaringan
(file pa aji)]],0)</f>
        <v>0</v>
      </c>
      <c r="CT135" s="61">
        <f>IFERROR(Table1[[#This Row],[Progres Perizinan
(%)]]*Table1[[#This Row],[Nilai RAB Jaringan
(file pa aji)]],0)</f>
        <v>0</v>
      </c>
      <c r="CU135" s="789">
        <v>576443164</v>
      </c>
      <c r="CV135" s="299">
        <v>576443164</v>
      </c>
      <c r="CW135" s="552">
        <v>576443164</v>
      </c>
      <c r="CX135" s="789">
        <f>_xlfn.XLOOKUP(Table1[[#This Row],[Kode Program]],'[1]Breakdown VOWD Greenfield'!$E:$E,'[1]Breakdown VOWD Greenfield'!$AT:$AT)</f>
        <v>576443164</v>
      </c>
      <c r="CY135" s="42"/>
      <c r="CZ135" s="300">
        <v>45530</v>
      </c>
      <c r="DA135" s="300">
        <v>45557</v>
      </c>
      <c r="DB135" s="301">
        <v>45582</v>
      </c>
      <c r="DC135" s="286" t="s">
        <v>935</v>
      </c>
      <c r="DD135" s="62">
        <v>499372581</v>
      </c>
      <c r="DE1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35" s="301">
        <v>45600</v>
      </c>
      <c r="DG135" s="286" t="s">
        <v>936</v>
      </c>
      <c r="DH135" s="62">
        <v>499372581</v>
      </c>
      <c r="DI1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35" s="300">
        <v>45558</v>
      </c>
      <c r="DK135" s="300">
        <v>45627</v>
      </c>
      <c r="DL135" s="301">
        <v>45796</v>
      </c>
      <c r="DM135" s="286" t="s">
        <v>937</v>
      </c>
      <c r="DN1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5" s="301">
        <v>45834</v>
      </c>
      <c r="DP135" s="286" t="s">
        <v>938</v>
      </c>
      <c r="DQ135" s="308" t="s">
        <v>365</v>
      </c>
      <c r="DR1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5" s="300">
        <v>45558</v>
      </c>
      <c r="DT135" s="300" t="e">
        <v>#N/A</v>
      </c>
      <c r="DU135" s="300">
        <v>45599</v>
      </c>
      <c r="DV135" s="300" t="e">
        <v>#N/A</v>
      </c>
      <c r="DW135" s="301">
        <v>45985</v>
      </c>
      <c r="DX135" s="286" t="s">
        <v>939</v>
      </c>
      <c r="DY135" s="304"/>
      <c r="DZ135" s="304"/>
      <c r="EA1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5" s="301">
        <v>45993</v>
      </c>
      <c r="EC135" s="302"/>
      <c r="ED135" s="302"/>
      <c r="EE135" s="300" t="s">
        <v>940</v>
      </c>
      <c r="EF135" s="35">
        <v>1</v>
      </c>
      <c r="EG135" s="307">
        <v>1</v>
      </c>
      <c r="EH135" s="286" t="str">
        <f>IF(Table1[[#This Row],[PO Material Aktual 
(%)]]&gt;=100%,"Selesai PO = 100%",IF(Table1[[#This Row],[PO Material Aktual 
(%)]]&gt;=50%,"Proses PO &gt; 100%",IF(Table1[[#This Row],[PO Material Aktual 
(%)]]&gt;0%,"Proses PO &gt; 50%",IF(Table1[[#This Row],[PO Material Aktual 
(%)]]=0,"Belum PO = 0%"))))</f>
        <v>Selesai PO = 100%</v>
      </c>
      <c r="EI1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5" s="300">
        <v>45600</v>
      </c>
      <c r="EK135" s="300" t="e">
        <v>#N/A</v>
      </c>
      <c r="EL135" s="300">
        <v>45711</v>
      </c>
      <c r="EM135" s="300" t="e">
        <v>#N/A</v>
      </c>
      <c r="EN135" s="301">
        <v>46156</v>
      </c>
      <c r="EO135" s="302"/>
      <c r="EP135" s="302"/>
      <c r="EQ135" s="82">
        <v>1</v>
      </c>
      <c r="ER135" s="82">
        <v>1</v>
      </c>
      <c r="ES135" s="286" t="str">
        <f>IF(Table1[[#This Row],[Progres MOS]]&gt;=100%,"Selesai MOS = 100%",IF(Table1[[#This Row],[Progres MOS]]&gt;=50%,"Proses MOS &gt; 100%",IF(Table1[[#This Row],[Progres MOS]]&gt;0%,"Proses MOS &gt; 50%",IF(Table1[[#This Row],[Progres MOS]]=0,"Belum MOS = 0%"))))</f>
        <v>Selesai MOS = 100%</v>
      </c>
      <c r="ET1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5" s="42"/>
      <c r="EV135" s="300">
        <v>45558</v>
      </c>
      <c r="EW135" s="300" t="e">
        <v>#N/A</v>
      </c>
      <c r="EX135" s="300">
        <v>45655</v>
      </c>
      <c r="EY135" s="300" t="e">
        <v>#N/A</v>
      </c>
      <c r="EZ135" s="322" t="s">
        <v>298</v>
      </c>
      <c r="FA135" s="306" t="s">
        <v>259</v>
      </c>
      <c r="FB135" s="300" t="s">
        <v>260</v>
      </c>
      <c r="FC135" s="300">
        <v>45615</v>
      </c>
      <c r="FD135" s="300" t="s">
        <v>260</v>
      </c>
      <c r="FE135" s="300">
        <v>45716</v>
      </c>
      <c r="FF135" s="300">
        <v>45911</v>
      </c>
      <c r="FG135" s="300" t="s">
        <v>260</v>
      </c>
      <c r="FH135" s="300" t="s">
        <v>260</v>
      </c>
      <c r="FI135" s="300">
        <v>46013</v>
      </c>
      <c r="FJ135" s="300" t="s">
        <v>260</v>
      </c>
      <c r="FK135" s="300">
        <v>46114</v>
      </c>
      <c r="FL135" s="306" t="s">
        <v>298</v>
      </c>
      <c r="FM135" s="322">
        <v>45615</v>
      </c>
      <c r="FN135" s="308">
        <f>IF(Table1[[#This Row],[Tanggal Pengajuan Dokumen]]="","",Table1[[#This Row],[PLAN PERMIT
start]]-Table1[[#This Row],[Tanggal Pengajuan Dokumen]])</f>
        <v>-57</v>
      </c>
      <c r="FO135" s="407">
        <v>46086</v>
      </c>
      <c r="FP135" s="286"/>
      <c r="FQ135" s="308"/>
      <c r="FR135" s="308" t="s">
        <v>923</v>
      </c>
      <c r="FS135" s="308" t="str">
        <f t="shared" si="9"/>
        <v>On Going</v>
      </c>
      <c r="FT1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35" s="314">
        <f ca="1">IF(Table1[[#This Row],[Status Izin]]="Selesai",Table1[[#This Row],[PLAN PERMIT
finish]]-Table1[[#This Row],[Tanggal Terbit/ Target Izin Terbit]],ROUNDUP(Table1[[#This Row],[PLAN PERMIT
finish]]-NOW(),0))</f>
        <v>-549</v>
      </c>
      <c r="FV1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5" s="314"/>
      <c r="FX135" s="42"/>
      <c r="FY135" s="310"/>
      <c r="FZ135" s="311">
        <v>45582</v>
      </c>
      <c r="GA1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5" s="300">
        <v>45629</v>
      </c>
      <c r="GC135" s="322">
        <v>45870</v>
      </c>
      <c r="GD1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5" s="300">
        <v>45636</v>
      </c>
      <c r="GF135" s="322">
        <v>45870</v>
      </c>
      <c r="GG1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35" s="300">
        <v>45642</v>
      </c>
      <c r="GI135" s="300">
        <v>45648</v>
      </c>
      <c r="GJ135" s="322">
        <v>45874</v>
      </c>
      <c r="GK1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5" s="300">
        <v>45656</v>
      </c>
      <c r="GM135" s="300" t="e">
        <v>#N/A</v>
      </c>
      <c r="GN135" s="300">
        <v>45788</v>
      </c>
      <c r="GO135" s="300" t="e">
        <v>#N/A</v>
      </c>
      <c r="GP135" s="286"/>
      <c r="GQ1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5" s="300" t="s">
        <v>261</v>
      </c>
      <c r="GS135" s="300" t="s">
        <v>261</v>
      </c>
      <c r="GT135" s="324">
        <v>45958</v>
      </c>
      <c r="GU135" s="314" t="str">
        <f>IF(Table1[[#This Row],[Hydro Tes Actual
(tanggal)]]&lt;&gt;"","Sudah","Belum")</f>
        <v>Sudah</v>
      </c>
      <c r="GV135" s="300" t="s">
        <v>261</v>
      </c>
      <c r="GW135" s="300" t="s">
        <v>261</v>
      </c>
      <c r="GX135" s="301">
        <v>45994</v>
      </c>
      <c r="GY135" s="314" t="str">
        <f>IF(Table1[[#This Row],[Interkoneksi Actual
(tanggal)]]&lt;&gt;"","Sudah","Belum")</f>
        <v>Sudah</v>
      </c>
      <c r="GZ135" s="300" t="s">
        <v>261</v>
      </c>
      <c r="HA135" s="300" t="s">
        <v>261</v>
      </c>
      <c r="HB135" s="301">
        <v>45999</v>
      </c>
      <c r="HC135" s="314" t="str">
        <f>IF(Table1[[#This Row],[Flushing Actual
(tanggal)]]&lt;&gt;"","Sudah","Belum")</f>
        <v>Sudah</v>
      </c>
      <c r="HD135" s="300">
        <v>45754</v>
      </c>
      <c r="HE135" s="300" t="e">
        <v>#N/A</v>
      </c>
      <c r="HF135" s="300">
        <v>45774</v>
      </c>
      <c r="HG135" s="322">
        <v>46001</v>
      </c>
      <c r="HH1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5" s="300" t="s">
        <v>261</v>
      </c>
      <c r="HJ135" s="300" t="s">
        <v>261</v>
      </c>
      <c r="HK135" s="301"/>
      <c r="HL135" s="286"/>
      <c r="HM135" s="300">
        <v>45793</v>
      </c>
      <c r="HN135" s="300">
        <v>45793</v>
      </c>
      <c r="HO135" s="300" t="e">
        <v>#N/A</v>
      </c>
      <c r="HP135" s="300"/>
      <c r="HQ135" s="301">
        <v>46009</v>
      </c>
      <c r="HR1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5" s="300">
        <v>45800</v>
      </c>
      <c r="HT135" s="300"/>
      <c r="HU135" s="300">
        <v>45800</v>
      </c>
      <c r="HV135" s="497"/>
      <c r="HW135" s="300">
        <v>46025</v>
      </c>
      <c r="HX1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5" s="42"/>
      <c r="HZ135" s="322"/>
      <c r="IA135" s="306"/>
      <c r="IC135" s="585">
        <f>IFERROR(ROUND((Table1[[#This Row],[PLAN TC
finish]]-Table1[[#This Row],[PLAN MC-0
start]])/30,2),"")</f>
        <v>4.4000000000000004</v>
      </c>
      <c r="ID135">
        <f>DATEDIF(Table1[[#This Row],[PLAN MC-0
start]],Table1[[#This Row],[PLAN TC
finish]],"m")</f>
        <v>4</v>
      </c>
    </row>
    <row r="136" spans="2:238" s="4" customFormat="1" ht="15" customHeight="1" x14ac:dyDescent="0.25">
      <c r="B136" s="281">
        <f>SUBTOTAL(3,$D$5:D136)</f>
        <v>132</v>
      </c>
      <c r="C136" s="318">
        <v>132</v>
      </c>
      <c r="D136" s="308" t="s">
        <v>629</v>
      </c>
      <c r="E136" s="308" t="s">
        <v>941</v>
      </c>
      <c r="F136" s="308" t="s">
        <v>942</v>
      </c>
      <c r="G136" s="319">
        <v>45935</v>
      </c>
      <c r="H136" s="284" t="s">
        <v>247</v>
      </c>
      <c r="I136" s="308" t="s">
        <v>278</v>
      </c>
      <c r="J136" s="285" t="s">
        <v>943</v>
      </c>
      <c r="K136" s="308" t="s">
        <v>915</v>
      </c>
      <c r="L136" s="286" t="s">
        <v>250</v>
      </c>
      <c r="M136" s="286" t="s">
        <v>269</v>
      </c>
      <c r="N136" s="94">
        <v>6200</v>
      </c>
      <c r="O136" s="113" t="s">
        <v>252</v>
      </c>
      <c r="P13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36" s="35" t="e">
        <v>#N/A</v>
      </c>
      <c r="S136" s="35">
        <v>1</v>
      </c>
      <c r="T136" s="35">
        <f>Table1[[#This Row],[Progres Total Aktual
(%)]]</f>
        <v>0.62963512028177115</v>
      </c>
      <c r="U136" s="106">
        <f>Table1[[#This Row],[Progres Aktual
(%)]]-Table1[[#This Row],[Target Progres
(%)]]</f>
        <v>-0.37036487971822885</v>
      </c>
      <c r="V136" s="320">
        <f>Table1[[#This Row],["Volume
BA MC-0"]]</f>
        <v>6209</v>
      </c>
      <c r="W136" s="321">
        <f>Table1[[#This Row],[Total Panjang Pipa Aktual
(Sum-&gt;)3]]</f>
        <v>2571</v>
      </c>
      <c r="X136" s="42"/>
      <c r="Y136" s="62" t="s">
        <v>945</v>
      </c>
      <c r="Z136" s="62">
        <v>10714385576</v>
      </c>
      <c r="AA136" s="62">
        <f>Table1[[#This Row],[Nilai RAB Jaringan
(file pa aji)]]</f>
        <v>10714385576</v>
      </c>
      <c r="AB136" s="290">
        <f>SUM(Table1[[#This Row],[RAB Kegiatan Umum]:[RAB Perizinan]])</f>
        <v>0</v>
      </c>
      <c r="AC136" s="290"/>
      <c r="AD136" s="290"/>
      <c r="AE136" s="290"/>
      <c r="AF136" s="290"/>
      <c r="AG136" s="406">
        <v>7485315592</v>
      </c>
      <c r="AH136" s="35" t="e">
        <f>SUM(Table1[[#This Row],[Bobot Keg Umum]:[Bobot Perizinan]])</f>
        <v>#DIV/0!</v>
      </c>
      <c r="AI136" s="35" t="e">
        <f>Table1[[#This Row],[RAB Kegiatan Umum]]/Table1[[#This Row],[Nilai RAB Jaringan
(Exclude Ppn)]]</f>
        <v>#DIV/0!</v>
      </c>
      <c r="AJ136" s="35" t="e">
        <f>Table1[[#This Row],[RAB Pemasangan]]/Table1[[#This Row],[Nilai RAB Jaringan
(Exclude Ppn)]]</f>
        <v>#DIV/0!</v>
      </c>
      <c r="AK136" s="35" t="e">
        <f>Table1[[#This Row],[RAB Pengadaan]]/Table1[[#This Row],[Nilai RAB Jaringan
(Exclude Ppn)]]</f>
        <v>#DIV/0!</v>
      </c>
      <c r="AL136" s="35" t="e">
        <f>Table1[[#This Row],[RAB Perizinan]]/Table1[[#This Row],[Nilai RAB Jaringan
(Exclude Ppn)]]</f>
        <v>#DIV/0!</v>
      </c>
      <c r="AM136" s="42"/>
      <c r="AN136" s="256">
        <v>6209</v>
      </c>
      <c r="AO136" s="256">
        <f>SUM(Table1[[#This Row],[Pipa 63 mm]:[Pipa 1,800 mm]])</f>
        <v>6209</v>
      </c>
      <c r="AP136" s="256">
        <v>4329</v>
      </c>
      <c r="AQ136" s="256">
        <v>1198</v>
      </c>
      <c r="AR136" s="256">
        <v>210</v>
      </c>
      <c r="AS136" s="256"/>
      <c r="AT136" s="256"/>
      <c r="AU136" s="256"/>
      <c r="AV136" s="256">
        <v>472</v>
      </c>
      <c r="AW136" s="256"/>
      <c r="AX136" s="256"/>
      <c r="AY136" s="256"/>
      <c r="AZ136" s="256"/>
      <c r="BA136" s="256"/>
      <c r="BB136" s="256"/>
      <c r="BC136" s="256"/>
      <c r="BD136" s="256"/>
      <c r="BE136" s="256"/>
      <c r="BF136" s="256"/>
      <c r="BG136" s="256"/>
      <c r="BH136" s="256"/>
      <c r="BI136" s="256"/>
      <c r="BJ136" s="36">
        <f>SUM(Table1[[#This Row],[Pipa 63 mm2]:[Pipa 1,800 mm21]])</f>
        <v>2571</v>
      </c>
      <c r="BK136" s="32">
        <v>1910</v>
      </c>
      <c r="BL136" s="32">
        <v>447</v>
      </c>
      <c r="BM136" s="32"/>
      <c r="BN136" s="32"/>
      <c r="BO136" s="32"/>
      <c r="BP136" s="32"/>
      <c r="BQ136" s="32">
        <v>214</v>
      </c>
      <c r="BR136" s="32"/>
      <c r="BS136" s="32"/>
      <c r="BT136" s="32"/>
      <c r="BU136" s="32"/>
      <c r="BV136" s="32"/>
      <c r="BW136" s="32"/>
      <c r="BX136" s="32"/>
      <c r="BY136" s="32"/>
      <c r="BZ136" s="32"/>
      <c r="CA136" s="32"/>
      <c r="CB136" s="32"/>
      <c r="CC136" s="32"/>
      <c r="CD136" s="32"/>
      <c r="CE136" s="32">
        <v>900</v>
      </c>
      <c r="CF136" s="32">
        <v>1320</v>
      </c>
      <c r="CG136" s="32">
        <v>752</v>
      </c>
      <c r="CH136" s="32">
        <v>408</v>
      </c>
      <c r="CI136" s="32">
        <f t="shared" si="10"/>
        <v>3380</v>
      </c>
      <c r="CJ136" s="60">
        <f>IF((Table1[[#This Row],["Volume
BA MC-0"]]-Table1[[#This Row],[Total Panjang Pipa Aktual
(Sum-&gt;)3]]-Table1[[#This Row],[Total Volume
tidak dapat dipasang]])&gt;=0,Table1[[#This Row],["Volume
BA MC-0"]]-Table1[[#This Row],[Total Panjang Pipa Aktual
(Sum-&gt;)3]]-Table1[[#This Row],[Total Volume
tidak dapat dipasang]],0)</f>
        <v>258</v>
      </c>
      <c r="CK136" s="42"/>
      <c r="CL136" s="113"/>
      <c r="CM136" s="35"/>
      <c r="CN136" s="113"/>
      <c r="CO136" s="113"/>
      <c r="CP1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0.62963512028177115</v>
      </c>
      <c r="CQ136" s="61">
        <f>IFERROR(Table1[[#This Row],[Progres Keg. Umum
(%)]]*Table1[[#This Row],[Nilai RAB Jaringan
(file pa aji)]],0)</f>
        <v>0</v>
      </c>
      <c r="CR136" s="61">
        <f>IFERROR(Table1[[#This Row],[Progres MOS
(%)]]*Table1[[#This Row],[Nilai RAB Jaringan
(file pa aji)]],0)</f>
        <v>0</v>
      </c>
      <c r="CS136" s="61">
        <f>IFERROR(Table1[[#This Row],[Progres Pemasangan
(%)]]*Table1[[#This Row],[Nilai RAB Jaringan
(file pa aji)]],0)</f>
        <v>0</v>
      </c>
      <c r="CT136" s="61">
        <f>IFERROR(Table1[[#This Row],[Progres Perizinan
(%)]]*Table1[[#This Row],[Nilai RAB Jaringan
(file pa aji)]],0)</f>
        <v>0</v>
      </c>
      <c r="CU136" s="789">
        <v>6746153450.8900337</v>
      </c>
      <c r="CV136" s="299">
        <v>6746153450.8900337</v>
      </c>
      <c r="CW136" s="552">
        <v>0</v>
      </c>
      <c r="CX136" s="789">
        <f>_xlfn.XLOOKUP(Table1[[#This Row],[Kode Program]],'[1]Breakdown VOWD Greenfield'!$E:$E,'[1]Breakdown VOWD Greenfield'!$AT:$AT)</f>
        <v>0</v>
      </c>
      <c r="CY136" s="42"/>
      <c r="CZ136" s="300">
        <v>45530</v>
      </c>
      <c r="DA136" s="300">
        <v>45557</v>
      </c>
      <c r="DB136" s="301">
        <v>45531</v>
      </c>
      <c r="DC136" s="286" t="s">
        <v>946</v>
      </c>
      <c r="DD136" s="62">
        <v>12052931315</v>
      </c>
      <c r="DE1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6" s="301">
        <v>45538</v>
      </c>
      <c r="DG136" s="286" t="s">
        <v>947</v>
      </c>
      <c r="DH136" s="62">
        <v>11990931315</v>
      </c>
      <c r="DI1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6" s="300">
        <v>45558</v>
      </c>
      <c r="DK136" s="300">
        <v>45627</v>
      </c>
      <c r="DL136" s="301">
        <v>45605</v>
      </c>
      <c r="DM136" s="286" t="s">
        <v>948</v>
      </c>
      <c r="DN1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6" s="301">
        <v>45616</v>
      </c>
      <c r="DP136" s="286" t="s">
        <v>949</v>
      </c>
      <c r="DQ136" s="308" t="s">
        <v>312</v>
      </c>
      <c r="DR1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36" s="300">
        <v>45558</v>
      </c>
      <c r="DT136" s="300" t="e">
        <v>#N/A</v>
      </c>
      <c r="DU136" s="300">
        <v>45599</v>
      </c>
      <c r="DV136" s="300" t="e">
        <v>#N/A</v>
      </c>
      <c r="DW136" s="301">
        <v>45990</v>
      </c>
      <c r="DX136" s="286" t="s">
        <v>950</v>
      </c>
      <c r="DY136" s="304"/>
      <c r="DZ136" s="304"/>
      <c r="EA1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6" s="301">
        <v>45993</v>
      </c>
      <c r="EC136" s="302"/>
      <c r="ED136" s="302"/>
      <c r="EE136" s="300" t="s">
        <v>951</v>
      </c>
      <c r="EF136" s="35">
        <v>0.98058252427184467</v>
      </c>
      <c r="EG136" s="307">
        <v>0.98058252427184467</v>
      </c>
      <c r="EH136" s="286" t="str">
        <f>IF(Table1[[#This Row],[PO Material Aktual 
(%)]]&gt;=100%,"Selesai PO = 100%",IF(Table1[[#This Row],[PO Material Aktual 
(%)]]&gt;=50%,"Proses PO &gt; 100%",IF(Table1[[#This Row],[PO Material Aktual 
(%)]]&gt;0%,"Proses PO &gt; 50%",IF(Table1[[#This Row],[PO Material Aktual 
(%)]]=0,"Belum PO = 0%"))))</f>
        <v>Proses PO &gt; 100%</v>
      </c>
      <c r="EI1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6" s="300">
        <v>45600</v>
      </c>
      <c r="EK136" s="300" t="e">
        <v>#N/A</v>
      </c>
      <c r="EL136" s="300">
        <v>45711</v>
      </c>
      <c r="EM136" s="300" t="e">
        <v>#N/A</v>
      </c>
      <c r="EN136" s="301"/>
      <c r="EO136" s="302"/>
      <c r="EP136" s="302"/>
      <c r="EQ136" s="82">
        <v>0.87378640776699024</v>
      </c>
      <c r="ER136" s="82">
        <v>0.87378640776699024</v>
      </c>
      <c r="ES136" s="286" t="str">
        <f>IF(Table1[[#This Row],[Progres MOS]]&gt;=100%,"Selesai MOS = 100%",IF(Table1[[#This Row],[Progres MOS]]&gt;=50%,"Proses MOS &gt; 100%",IF(Table1[[#This Row],[Progres MOS]]&gt;0%,"Proses MOS &gt; 50%",IF(Table1[[#This Row],[Progres MOS]]=0,"Belum MOS = 0%"))))</f>
        <v>Proses MOS &gt; 100%</v>
      </c>
      <c r="ET1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36" s="42"/>
      <c r="EV136" s="300">
        <v>45558</v>
      </c>
      <c r="EW136" s="300" t="e">
        <v>#N/A</v>
      </c>
      <c r="EX136" s="300">
        <v>45655</v>
      </c>
      <c r="EY136" s="300" t="e">
        <v>#N/A</v>
      </c>
      <c r="EZ136" s="322" t="s">
        <v>259</v>
      </c>
      <c r="FA136" s="306" t="s">
        <v>259</v>
      </c>
      <c r="FB136" s="300" t="s">
        <v>260</v>
      </c>
      <c r="FC136" s="300">
        <v>45649</v>
      </c>
      <c r="FD136" s="300" t="s">
        <v>260</v>
      </c>
      <c r="FE136" s="300">
        <v>45734</v>
      </c>
      <c r="FF136" s="300">
        <v>45798</v>
      </c>
      <c r="FG136" s="300" t="s">
        <v>260</v>
      </c>
      <c r="FH136" s="300" t="s">
        <v>260</v>
      </c>
      <c r="FI136" s="300">
        <v>45894</v>
      </c>
      <c r="FJ136" s="300" t="s">
        <v>260</v>
      </c>
      <c r="FK136" s="300">
        <v>46001</v>
      </c>
      <c r="FL136" s="306" t="s">
        <v>259</v>
      </c>
      <c r="FM136" s="322">
        <v>45649</v>
      </c>
      <c r="FN136" s="308">
        <f>IF(Table1[[#This Row],[Tanggal Pengajuan Dokumen]]="","",Table1[[#This Row],[PLAN PERMIT
start]]-Table1[[#This Row],[Tanggal Pengajuan Dokumen]])</f>
        <v>-91</v>
      </c>
      <c r="FO136" s="407">
        <v>46064</v>
      </c>
      <c r="FP136" s="286"/>
      <c r="FQ136" s="308"/>
      <c r="FR136" s="308"/>
      <c r="FS136" s="308" t="str">
        <f t="shared" si="9"/>
        <v>Sudah Terbit</v>
      </c>
      <c r="FT1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6" s="314">
        <f ca="1">IF(Table1[[#This Row],[Status Izin]]="Selesai",Table1[[#This Row],[PLAN PERMIT
finish]]-Table1[[#This Row],[Tanggal Terbit/ Target Izin Terbit]],ROUNDUP(Table1[[#This Row],[PLAN PERMIT
finish]]-NOW(),0))</f>
        <v>-409</v>
      </c>
      <c r="FV1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6" s="314"/>
      <c r="FX136" s="42"/>
      <c r="FY136" s="310"/>
      <c r="FZ136" s="311">
        <v>45582</v>
      </c>
      <c r="GA1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6" s="300">
        <v>45629</v>
      </c>
      <c r="GC136" s="322">
        <v>45597</v>
      </c>
      <c r="GD1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6" s="300">
        <v>45636</v>
      </c>
      <c r="GF136" s="322">
        <v>45597</v>
      </c>
      <c r="GG1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6" s="300">
        <v>45642</v>
      </c>
      <c r="GI136" s="300">
        <v>45648</v>
      </c>
      <c r="GJ136" s="322">
        <v>45604</v>
      </c>
      <c r="GK1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6" s="300">
        <v>45656</v>
      </c>
      <c r="GM136" s="300" t="e">
        <v>#N/A</v>
      </c>
      <c r="GN136" s="300">
        <v>45788</v>
      </c>
      <c r="GO136" s="300" t="e">
        <v>#N/A</v>
      </c>
      <c r="GP136" s="286"/>
      <c r="GQ1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6" s="300" t="s">
        <v>261</v>
      </c>
      <c r="GS136" s="300" t="s">
        <v>261</v>
      </c>
      <c r="GT136" s="324">
        <v>45833</v>
      </c>
      <c r="GU136" s="314" t="str">
        <f>IF(Table1[[#This Row],[Hydro Tes Actual
(tanggal)]]&lt;&gt;"","Sudah","Belum")</f>
        <v>Sudah</v>
      </c>
      <c r="GV136" s="300" t="s">
        <v>261</v>
      </c>
      <c r="GW136" s="300" t="s">
        <v>261</v>
      </c>
      <c r="GX136" s="301">
        <v>46015</v>
      </c>
      <c r="GY136" s="314" t="str">
        <f>IF(Table1[[#This Row],[Interkoneksi Actual
(tanggal)]]&lt;&gt;"","Sudah","Belum")</f>
        <v>Sudah</v>
      </c>
      <c r="GZ136" s="300" t="s">
        <v>261</v>
      </c>
      <c r="HA136" s="300" t="s">
        <v>261</v>
      </c>
      <c r="HB136" s="301">
        <v>46121</v>
      </c>
      <c r="HC136" s="314" t="str">
        <f>IF(Table1[[#This Row],[Flushing Actual
(tanggal)]]&lt;&gt;"","Sudah","Belum")</f>
        <v>Sudah</v>
      </c>
      <c r="HD136" s="300">
        <v>45754</v>
      </c>
      <c r="HE136" s="300" t="e">
        <v>#N/A</v>
      </c>
      <c r="HF136" s="300">
        <v>45774</v>
      </c>
      <c r="HG136" s="322">
        <v>46139</v>
      </c>
      <c r="HH1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6" s="300" t="s">
        <v>261</v>
      </c>
      <c r="HJ136" s="300" t="s">
        <v>261</v>
      </c>
      <c r="HK136" s="301"/>
      <c r="HL136" s="286"/>
      <c r="HM136" s="300">
        <v>45793</v>
      </c>
      <c r="HN136" s="300">
        <v>45793</v>
      </c>
      <c r="HO136" s="300">
        <v>46198</v>
      </c>
      <c r="HP136" s="300"/>
      <c r="HQ136" s="301"/>
      <c r="HR1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36" s="300">
        <v>45800</v>
      </c>
      <c r="HT136" s="300"/>
      <c r="HU136" s="300">
        <v>45800</v>
      </c>
      <c r="HV136" s="300">
        <v>46203</v>
      </c>
      <c r="HW136" s="300"/>
      <c r="HX1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36" s="42"/>
      <c r="HZ136" s="322"/>
      <c r="IA136" s="306"/>
      <c r="IC136" s="585">
        <f>IFERROR(ROUND((Table1[[#This Row],[PLAN TC
finish]]-Table1[[#This Row],[PLAN MC-0
start]])/30,2),"")</f>
        <v>4.4000000000000004</v>
      </c>
      <c r="ID136">
        <f>DATEDIF(Table1[[#This Row],[PLAN MC-0
start]],Table1[[#This Row],[PLAN TC
finish]],"m")</f>
        <v>4</v>
      </c>
    </row>
    <row r="137" spans="2:238" s="4" customFormat="1" ht="15" customHeight="1" x14ac:dyDescent="0.25">
      <c r="B137" s="281">
        <f>SUBTOTAL(3,$D$5:D137)</f>
        <v>133</v>
      </c>
      <c r="C137" s="318">
        <v>133</v>
      </c>
      <c r="D137" s="308" t="s">
        <v>629</v>
      </c>
      <c r="E137" s="308" t="s">
        <v>952</v>
      </c>
      <c r="F137" s="308" t="s">
        <v>953</v>
      </c>
      <c r="G137" s="319">
        <v>45935</v>
      </c>
      <c r="H137" s="284" t="s">
        <v>247</v>
      </c>
      <c r="I137" s="308" t="s">
        <v>278</v>
      </c>
      <c r="J137" s="285" t="s">
        <v>882</v>
      </c>
      <c r="K137" s="308" t="s">
        <v>915</v>
      </c>
      <c r="L137" s="286" t="s">
        <v>250</v>
      </c>
      <c r="M137" s="286" t="s">
        <v>269</v>
      </c>
      <c r="N137" s="94">
        <v>4014</v>
      </c>
      <c r="O137" s="113" t="s">
        <v>252</v>
      </c>
      <c r="P1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7" s="35" t="e">
        <v>#N/A</v>
      </c>
      <c r="S137" s="35">
        <v>1</v>
      </c>
      <c r="T137" s="35">
        <f>Table1[[#This Row],[Progres Total Aktual
(%)]]</f>
        <v>1</v>
      </c>
      <c r="U137" s="106">
        <f>Table1[[#This Row],[Progres Aktual
(%)]]-Table1[[#This Row],[Target Progres
(%)]]</f>
        <v>0</v>
      </c>
      <c r="V137" s="320">
        <f>Table1[[#This Row],["Volume
BA MC-0"]]</f>
        <v>4014</v>
      </c>
      <c r="W137" s="321">
        <f>Table1[[#This Row],[Total Panjang Pipa Aktual
(Sum-&gt;)3]]</f>
        <v>2323.4</v>
      </c>
      <c r="X137" s="42"/>
      <c r="Y137" s="62" t="s">
        <v>954</v>
      </c>
      <c r="Z137" s="62">
        <v>11295151692</v>
      </c>
      <c r="AA137" s="62">
        <f>Table1[[#This Row],[Nilai RAB Jaringan
(file pa aji)]]</f>
        <v>11295151692</v>
      </c>
      <c r="AB137" s="290">
        <f>SUM(Table1[[#This Row],[RAB Kegiatan Umum]:[RAB Perizinan]])</f>
        <v>0</v>
      </c>
      <c r="AC137" s="290"/>
      <c r="AD137" s="290"/>
      <c r="AE137" s="290"/>
      <c r="AF137" s="290"/>
      <c r="AG137" s="406">
        <v>2789571337</v>
      </c>
      <c r="AH137" s="35" t="e">
        <f>SUM(Table1[[#This Row],[Bobot Keg Umum]:[Bobot Perizinan]])</f>
        <v>#DIV/0!</v>
      </c>
      <c r="AI137" s="35" t="e">
        <f>Table1[[#This Row],[RAB Kegiatan Umum]]/Table1[[#This Row],[Nilai RAB Jaringan
(Exclude Ppn)]]</f>
        <v>#DIV/0!</v>
      </c>
      <c r="AJ137" s="35" t="e">
        <f>Table1[[#This Row],[RAB Pemasangan]]/Table1[[#This Row],[Nilai RAB Jaringan
(Exclude Ppn)]]</f>
        <v>#DIV/0!</v>
      </c>
      <c r="AK137" s="35" t="e">
        <f>Table1[[#This Row],[RAB Pengadaan]]/Table1[[#This Row],[Nilai RAB Jaringan
(Exclude Ppn)]]</f>
        <v>#DIV/0!</v>
      </c>
      <c r="AL137" s="35" t="e">
        <f>Table1[[#This Row],[RAB Perizinan]]/Table1[[#This Row],[Nilai RAB Jaringan
(Exclude Ppn)]]</f>
        <v>#DIV/0!</v>
      </c>
      <c r="AM137" s="42"/>
      <c r="AN137" s="256">
        <v>4014</v>
      </c>
      <c r="AO137" s="256">
        <f>SUM(Table1[[#This Row],[Pipa 63 mm]:[Pipa 1,800 mm]])</f>
        <v>4014</v>
      </c>
      <c r="AP137" s="256">
        <v>1711</v>
      </c>
      <c r="AQ137" s="256">
        <v>246</v>
      </c>
      <c r="AR137" s="256">
        <v>948</v>
      </c>
      <c r="AS137" s="256">
        <v>4</v>
      </c>
      <c r="AT137" s="256"/>
      <c r="AU137" s="256"/>
      <c r="AV137" s="256">
        <v>1105</v>
      </c>
      <c r="AW137" s="256"/>
      <c r="AX137" s="256"/>
      <c r="AY137" s="256"/>
      <c r="AZ137" s="256"/>
      <c r="BA137" s="256"/>
      <c r="BB137" s="256"/>
      <c r="BC137" s="256"/>
      <c r="BD137" s="256"/>
      <c r="BE137" s="256"/>
      <c r="BF137" s="256"/>
      <c r="BG137" s="256"/>
      <c r="BH137" s="256"/>
      <c r="BI137" s="256"/>
      <c r="BJ137" s="36">
        <f>SUM(Table1[[#This Row],[Pipa 63 mm2]:[Pipa 1,800 mm21]])</f>
        <v>2323.4</v>
      </c>
      <c r="BK137" s="32">
        <v>532</v>
      </c>
      <c r="BL137" s="32">
        <v>140</v>
      </c>
      <c r="BM137" s="32">
        <v>461.2</v>
      </c>
      <c r="BN137" s="32"/>
      <c r="BO137" s="32"/>
      <c r="BP137" s="32"/>
      <c r="BQ137" s="32">
        <v>1190.2</v>
      </c>
      <c r="BR137" s="32"/>
      <c r="BS137" s="32"/>
      <c r="BT137" s="32"/>
      <c r="BU137" s="32"/>
      <c r="BV137" s="32"/>
      <c r="BW137" s="32"/>
      <c r="BX137" s="32"/>
      <c r="BY137" s="32"/>
      <c r="BZ137" s="32"/>
      <c r="CA137" s="32"/>
      <c r="CB137" s="32"/>
      <c r="CC137" s="32"/>
      <c r="CD137" s="32"/>
      <c r="CE137" s="32">
        <v>1111</v>
      </c>
      <c r="CF137" s="32">
        <v>364</v>
      </c>
      <c r="CG137" s="32">
        <v>0</v>
      </c>
      <c r="CH137" s="32">
        <v>297</v>
      </c>
      <c r="CI137" s="32">
        <f t="shared" si="10"/>
        <v>1772</v>
      </c>
      <c r="CJ137" s="60">
        <f>IF((Table1[[#This Row],["Volume
BA MC-0"]]-Table1[[#This Row],[Total Panjang Pipa Aktual
(Sum-&gt;)3]]-Table1[[#This Row],[Total Volume
tidak dapat dipasang]])&gt;=0,Table1[[#This Row],["Volume
BA MC-0"]]-Table1[[#This Row],[Total Panjang Pipa Aktual
(Sum-&gt;)3]]-Table1[[#This Row],[Total Volume
tidak dapat dipasang]],0)</f>
        <v>0</v>
      </c>
      <c r="CK137" s="42"/>
      <c r="CL137" s="113"/>
      <c r="CM137" s="35"/>
      <c r="CN137" s="113"/>
      <c r="CO137" s="113"/>
      <c r="CP1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7" s="61">
        <f>IFERROR(Table1[[#This Row],[Progres Keg. Umum
(%)]]*Table1[[#This Row],[Nilai RAB Jaringan
(file pa aji)]],0)</f>
        <v>0</v>
      </c>
      <c r="CR137" s="61">
        <f>IFERROR(Table1[[#This Row],[Progres MOS
(%)]]*Table1[[#This Row],[Nilai RAB Jaringan
(file pa aji)]],0)</f>
        <v>0</v>
      </c>
      <c r="CS137" s="61">
        <f>IFERROR(Table1[[#This Row],[Progres Pemasangan
(%)]]*Table1[[#This Row],[Nilai RAB Jaringan
(file pa aji)]],0)</f>
        <v>0</v>
      </c>
      <c r="CT137" s="61">
        <f>IFERROR(Table1[[#This Row],[Progres Perizinan
(%)]]*Table1[[#This Row],[Nilai RAB Jaringan
(file pa aji)]],0)</f>
        <v>0</v>
      </c>
      <c r="CU137" s="789">
        <v>7086526177</v>
      </c>
      <c r="CV137" s="299">
        <v>7086526177</v>
      </c>
      <c r="CW137" s="552">
        <v>7086526177</v>
      </c>
      <c r="CX137" s="789">
        <f>_xlfn.XLOOKUP(Table1[[#This Row],[Kode Program]],'[1]Breakdown VOWD Greenfield'!$E:$E,'[1]Breakdown VOWD Greenfield'!$AT:$AT)</f>
        <v>7086526177</v>
      </c>
      <c r="CY137" s="42"/>
      <c r="CZ137" s="300">
        <v>45530</v>
      </c>
      <c r="DA137" s="300">
        <v>45557</v>
      </c>
      <c r="DB137" s="301">
        <v>45531</v>
      </c>
      <c r="DC137" s="286" t="s">
        <v>955</v>
      </c>
      <c r="DD137" s="62">
        <v>12519826452</v>
      </c>
      <c r="DE1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7" s="301">
        <v>45538</v>
      </c>
      <c r="DG137" s="286" t="s">
        <v>956</v>
      </c>
      <c r="DH137" s="62">
        <v>12471621652</v>
      </c>
      <c r="DI1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7" s="300">
        <v>45558</v>
      </c>
      <c r="DK137" s="300">
        <v>45627</v>
      </c>
      <c r="DL137" s="301">
        <v>45946</v>
      </c>
      <c r="DM137" s="286" t="s">
        <v>957</v>
      </c>
      <c r="DN1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7" s="301">
        <v>45964</v>
      </c>
      <c r="DP137" s="286" t="s">
        <v>958</v>
      </c>
      <c r="DQ137" s="308" t="s">
        <v>312</v>
      </c>
      <c r="DR1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7" s="300">
        <v>45558</v>
      </c>
      <c r="DT137" s="300" t="e">
        <v>#N/A</v>
      </c>
      <c r="DU137" s="300">
        <v>45599</v>
      </c>
      <c r="DV137" s="300" t="e">
        <v>#N/A</v>
      </c>
      <c r="DW137" s="301">
        <v>45993</v>
      </c>
      <c r="DX137" s="286" t="s">
        <v>959</v>
      </c>
      <c r="DY137" s="304"/>
      <c r="DZ137" s="304"/>
      <c r="EA1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7" s="301">
        <v>45995</v>
      </c>
      <c r="EC137" s="302"/>
      <c r="ED137" s="302"/>
      <c r="EE137" s="300" t="s">
        <v>960</v>
      </c>
      <c r="EF137" s="35">
        <v>1</v>
      </c>
      <c r="EG137" s="307">
        <v>1</v>
      </c>
      <c r="EH137" s="286" t="str">
        <f>IF(Table1[[#This Row],[PO Material Aktual 
(%)]]&gt;=100%,"Selesai PO = 100%",IF(Table1[[#This Row],[PO Material Aktual 
(%)]]&gt;=50%,"Proses PO &gt; 100%",IF(Table1[[#This Row],[PO Material Aktual 
(%)]]&gt;0%,"Proses PO &gt; 50%",IF(Table1[[#This Row],[PO Material Aktual 
(%)]]=0,"Belum PO = 0%"))))</f>
        <v>Selesai PO = 100%</v>
      </c>
      <c r="EI1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7" s="300">
        <v>45600</v>
      </c>
      <c r="EK137" s="300" t="e">
        <v>#N/A</v>
      </c>
      <c r="EL137" s="300">
        <v>45711</v>
      </c>
      <c r="EM137" s="300" t="e">
        <v>#N/A</v>
      </c>
      <c r="EN137" s="301">
        <v>46051</v>
      </c>
      <c r="EO137" s="302"/>
      <c r="EP137" s="302"/>
      <c r="EQ137" s="82">
        <v>1</v>
      </c>
      <c r="ER137" s="82">
        <v>1</v>
      </c>
      <c r="ES137" s="286" t="str">
        <f>IF(Table1[[#This Row],[Progres MOS]]&gt;=100%,"Selesai MOS = 100%",IF(Table1[[#This Row],[Progres MOS]]&gt;=50%,"Proses MOS &gt; 100%",IF(Table1[[#This Row],[Progres MOS]]&gt;0%,"Proses MOS &gt; 50%",IF(Table1[[#This Row],[Progres MOS]]=0,"Belum MOS = 0%"))))</f>
        <v>Selesai MOS = 100%</v>
      </c>
      <c r="ET1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7" s="42"/>
      <c r="EV137" s="300">
        <v>45558</v>
      </c>
      <c r="EW137" s="300" t="e">
        <v>#N/A</v>
      </c>
      <c r="EX137" s="300">
        <v>45655</v>
      </c>
      <c r="EY137" s="300" t="e">
        <v>#N/A</v>
      </c>
      <c r="EZ137" s="322" t="s">
        <v>259</v>
      </c>
      <c r="FA137" s="306" t="s">
        <v>259</v>
      </c>
      <c r="FB137" s="300" t="s">
        <v>260</v>
      </c>
      <c r="FC137" s="300">
        <v>45621</v>
      </c>
      <c r="FD137" s="300" t="s">
        <v>260</v>
      </c>
      <c r="FE137" s="300">
        <v>45734</v>
      </c>
      <c r="FF137" s="300">
        <v>45825</v>
      </c>
      <c r="FG137" s="300" t="s">
        <v>260</v>
      </c>
      <c r="FH137" s="300" t="s">
        <v>260</v>
      </c>
      <c r="FI137" s="300">
        <v>45987</v>
      </c>
      <c r="FJ137" s="300" t="s">
        <v>260</v>
      </c>
      <c r="FK137" s="300">
        <v>46022</v>
      </c>
      <c r="FL137" s="306" t="s">
        <v>259</v>
      </c>
      <c r="FM137" s="322">
        <v>45621</v>
      </c>
      <c r="FN137" s="308">
        <f>IF(Table1[[#This Row],[Tanggal Pengajuan Dokumen]]="","",Table1[[#This Row],[PLAN PERMIT
start]]-Table1[[#This Row],[Tanggal Pengajuan Dokumen]])</f>
        <v>-63</v>
      </c>
      <c r="FO137" s="407">
        <v>46064</v>
      </c>
      <c r="FP137" s="286"/>
      <c r="FQ137" s="308"/>
      <c r="FR137" s="308"/>
      <c r="FS137" s="308" t="str">
        <f t="shared" si="9"/>
        <v>Sudah Terbit</v>
      </c>
      <c r="FT1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7" s="314">
        <f ca="1">IF(Table1[[#This Row],[Status Izin]]="Selesai",Table1[[#This Row],[PLAN PERMIT
finish]]-Table1[[#This Row],[Tanggal Terbit/ Target Izin Terbit]],ROUNDUP(Table1[[#This Row],[PLAN PERMIT
finish]]-NOW(),0))</f>
        <v>-409</v>
      </c>
      <c r="FV1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7" s="314"/>
      <c r="FX137" s="42"/>
      <c r="FY137" s="310"/>
      <c r="FZ137" s="311">
        <v>45582</v>
      </c>
      <c r="GA1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7" s="300">
        <v>45629</v>
      </c>
      <c r="GC137" s="322">
        <v>45597</v>
      </c>
      <c r="GD1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37" s="300">
        <v>45636</v>
      </c>
      <c r="GF137" s="322">
        <v>45597</v>
      </c>
      <c r="GG1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7" s="300">
        <v>45642</v>
      </c>
      <c r="GI137" s="300">
        <v>45648</v>
      </c>
      <c r="GJ137" s="322">
        <v>45609</v>
      </c>
      <c r="GK1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37" s="300">
        <v>45656</v>
      </c>
      <c r="GM137" s="300" t="e">
        <v>#N/A</v>
      </c>
      <c r="GN137" s="300">
        <v>45788</v>
      </c>
      <c r="GO137" s="300" t="e">
        <v>#N/A</v>
      </c>
      <c r="GP137" s="286"/>
      <c r="GQ1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7" s="300" t="s">
        <v>261</v>
      </c>
      <c r="GS137" s="300" t="s">
        <v>261</v>
      </c>
      <c r="GT137" s="324">
        <v>45940</v>
      </c>
      <c r="GU137" s="314" t="str">
        <f>IF(Table1[[#This Row],[Hydro Tes Actual
(tanggal)]]&lt;&gt;"","Sudah","Belum")</f>
        <v>Sudah</v>
      </c>
      <c r="GV137" s="300" t="s">
        <v>261</v>
      </c>
      <c r="GW137" s="300" t="s">
        <v>261</v>
      </c>
      <c r="GX137" s="301">
        <v>46003</v>
      </c>
      <c r="GY137" s="314" t="str">
        <f>IF(Table1[[#This Row],[Interkoneksi Actual
(tanggal)]]&lt;&gt;"","Sudah","Belum")</f>
        <v>Sudah</v>
      </c>
      <c r="GZ137" s="300" t="s">
        <v>261</v>
      </c>
      <c r="HA137" s="300" t="s">
        <v>261</v>
      </c>
      <c r="HB137" s="301">
        <v>45958</v>
      </c>
      <c r="HC137" s="314" t="str">
        <f>IF(Table1[[#This Row],[Flushing Actual
(tanggal)]]&lt;&gt;"","Sudah","Belum")</f>
        <v>Sudah</v>
      </c>
      <c r="HD137" s="300">
        <v>45754</v>
      </c>
      <c r="HE137" s="300" t="e">
        <v>#N/A</v>
      </c>
      <c r="HF137" s="300">
        <v>45774</v>
      </c>
      <c r="HG137" s="322">
        <v>45985</v>
      </c>
      <c r="HH1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7" s="300" t="s">
        <v>261</v>
      </c>
      <c r="HJ137" s="300" t="s">
        <v>261</v>
      </c>
      <c r="HK137" s="301"/>
      <c r="HL137" s="286"/>
      <c r="HM137" s="300">
        <v>45793</v>
      </c>
      <c r="HN137" s="300">
        <v>45793</v>
      </c>
      <c r="HO137" s="300" t="e">
        <v>#N/A</v>
      </c>
      <c r="HP137" s="300"/>
      <c r="HQ137" s="301">
        <v>46009</v>
      </c>
      <c r="HR1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7" s="300">
        <v>45800</v>
      </c>
      <c r="HT137" s="300"/>
      <c r="HU137" s="300">
        <v>45800</v>
      </c>
      <c r="HV137" s="497"/>
      <c r="HW137" s="300">
        <v>46024</v>
      </c>
      <c r="HX1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7" s="42"/>
      <c r="HZ137" s="322"/>
      <c r="IA137" s="306"/>
      <c r="IC137" s="585">
        <f>IFERROR(ROUND((Table1[[#This Row],[PLAN TC
finish]]-Table1[[#This Row],[PLAN MC-0
start]])/30,2),"")</f>
        <v>4.4000000000000004</v>
      </c>
      <c r="ID137">
        <f>DATEDIF(Table1[[#This Row],[PLAN MC-0
start]],Table1[[#This Row],[PLAN TC
finish]],"m")</f>
        <v>4</v>
      </c>
    </row>
    <row r="138" spans="2:238" s="4" customFormat="1" ht="15" customHeight="1" x14ac:dyDescent="0.25">
      <c r="B138" s="281">
        <f>SUBTOTAL(3,$D$5:D138)</f>
        <v>134</v>
      </c>
      <c r="C138" s="318">
        <v>134</v>
      </c>
      <c r="D138" s="308" t="s">
        <v>629</v>
      </c>
      <c r="E138" s="308" t="s">
        <v>961</v>
      </c>
      <c r="F138" s="308" t="s">
        <v>962</v>
      </c>
      <c r="G138" s="319">
        <v>45935</v>
      </c>
      <c r="H138" s="284" t="s">
        <v>247</v>
      </c>
      <c r="I138" s="308" t="s">
        <v>278</v>
      </c>
      <c r="J138" s="285"/>
      <c r="K138" s="308" t="s">
        <v>915</v>
      </c>
      <c r="L138" s="286" t="s">
        <v>250</v>
      </c>
      <c r="M138" s="286" t="s">
        <v>269</v>
      </c>
      <c r="N138" s="94">
        <v>6554</v>
      </c>
      <c r="O138" s="113" t="s">
        <v>252</v>
      </c>
      <c r="P1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8" s="35" t="e">
        <v>#N/A</v>
      </c>
      <c r="S138" s="35">
        <v>1</v>
      </c>
      <c r="T138" s="35">
        <f>Table1[[#This Row],[Progres Total Aktual
(%)]]</f>
        <v>1</v>
      </c>
      <c r="U138" s="106">
        <f>Table1[[#This Row],[Progres Aktual
(%)]]-Table1[[#This Row],[Target Progres
(%)]]</f>
        <v>0</v>
      </c>
      <c r="V138" s="320">
        <f>Table1[[#This Row],["Volume
BA MC-0"]]</f>
        <v>6415</v>
      </c>
      <c r="W138" s="321">
        <f>Table1[[#This Row],[Total Panjang Pipa Aktual
(Sum-&gt;)3]]</f>
        <v>5544.1</v>
      </c>
      <c r="X138" s="42"/>
      <c r="Y138" s="62" t="s">
        <v>963</v>
      </c>
      <c r="Z138" s="62">
        <v>11229596133</v>
      </c>
      <c r="AA138" s="62">
        <f>Table1[[#This Row],[Nilai RAB Jaringan
(file pa aji)]]</f>
        <v>11229596133</v>
      </c>
      <c r="AB138" s="290">
        <f>SUM(Table1[[#This Row],[RAB Kegiatan Umum]:[RAB Perizinan]])</f>
        <v>0</v>
      </c>
      <c r="AC138" s="290"/>
      <c r="AD138" s="290"/>
      <c r="AE138" s="290"/>
      <c r="AF138" s="290"/>
      <c r="AG138" s="406">
        <v>3191302404</v>
      </c>
      <c r="AH138" s="35" t="e">
        <f>SUM(Table1[[#This Row],[Bobot Keg Umum]:[Bobot Perizinan]])</f>
        <v>#DIV/0!</v>
      </c>
      <c r="AI138" s="35" t="e">
        <f>Table1[[#This Row],[RAB Kegiatan Umum]]/Table1[[#This Row],[Nilai RAB Jaringan
(Exclude Ppn)]]</f>
        <v>#DIV/0!</v>
      </c>
      <c r="AJ138" s="35" t="e">
        <f>Table1[[#This Row],[RAB Pemasangan]]/Table1[[#This Row],[Nilai RAB Jaringan
(Exclude Ppn)]]</f>
        <v>#DIV/0!</v>
      </c>
      <c r="AK138" s="35" t="e">
        <f>Table1[[#This Row],[RAB Pengadaan]]/Table1[[#This Row],[Nilai RAB Jaringan
(Exclude Ppn)]]</f>
        <v>#DIV/0!</v>
      </c>
      <c r="AL138" s="35" t="e">
        <f>Table1[[#This Row],[RAB Perizinan]]/Table1[[#This Row],[Nilai RAB Jaringan
(Exclude Ppn)]]</f>
        <v>#DIV/0!</v>
      </c>
      <c r="AM138" s="42"/>
      <c r="AN138" s="256">
        <v>6415</v>
      </c>
      <c r="AO138" s="256">
        <f>SUM(Table1[[#This Row],[Pipa 63 mm]:[Pipa 1,800 mm]])</f>
        <v>6415</v>
      </c>
      <c r="AP138" s="256">
        <v>2312</v>
      </c>
      <c r="AQ138" s="256">
        <v>1748</v>
      </c>
      <c r="AR138" s="256">
        <v>1788</v>
      </c>
      <c r="AS138" s="256">
        <v>567</v>
      </c>
      <c r="AT138" s="256"/>
      <c r="AU138" s="256"/>
      <c r="AV138" s="256"/>
      <c r="AW138" s="256"/>
      <c r="AX138" s="256"/>
      <c r="AY138" s="256"/>
      <c r="AZ138" s="256"/>
      <c r="BA138" s="256"/>
      <c r="BB138" s="256"/>
      <c r="BC138" s="256"/>
      <c r="BD138" s="256"/>
      <c r="BE138" s="256"/>
      <c r="BF138" s="256"/>
      <c r="BG138" s="256"/>
      <c r="BH138" s="256"/>
      <c r="BI138" s="256"/>
      <c r="BJ138" s="36">
        <f>SUM(Table1[[#This Row],[Pipa 63 mm2]:[Pipa 1,800 mm21]])</f>
        <v>5544.1</v>
      </c>
      <c r="BK138" s="32">
        <v>1513.3</v>
      </c>
      <c r="BL138" s="32">
        <v>2025.8</v>
      </c>
      <c r="BM138" s="32">
        <v>1430</v>
      </c>
      <c r="BN138" s="32">
        <v>575</v>
      </c>
      <c r="BO138" s="32"/>
      <c r="BP138" s="32"/>
      <c r="BQ138" s="32"/>
      <c r="BR138" s="32"/>
      <c r="BS138" s="32"/>
      <c r="BT138" s="32"/>
      <c r="BU138" s="32"/>
      <c r="BV138" s="32"/>
      <c r="BW138" s="32"/>
      <c r="BX138" s="32"/>
      <c r="BY138" s="32"/>
      <c r="BZ138" s="32"/>
      <c r="CA138" s="32"/>
      <c r="CB138" s="32"/>
      <c r="CC138" s="32"/>
      <c r="CD138" s="32"/>
      <c r="CE138" s="32">
        <v>58</v>
      </c>
      <c r="CF138" s="32">
        <v>712</v>
      </c>
      <c r="CG138" s="32">
        <v>0</v>
      </c>
      <c r="CH138" s="32">
        <v>363</v>
      </c>
      <c r="CI138" s="32">
        <f t="shared" si="10"/>
        <v>1133</v>
      </c>
      <c r="CJ138" s="60">
        <f>IF((Table1[[#This Row],["Volume
BA MC-0"]]-Table1[[#This Row],[Total Panjang Pipa Aktual
(Sum-&gt;)3]]-Table1[[#This Row],[Total Volume
tidak dapat dipasang]])&gt;=0,Table1[[#This Row],["Volume
BA MC-0"]]-Table1[[#This Row],[Total Panjang Pipa Aktual
(Sum-&gt;)3]]-Table1[[#This Row],[Total Volume
tidak dapat dipasang]],0)</f>
        <v>0</v>
      </c>
      <c r="CK138" s="42"/>
      <c r="CL138" s="113"/>
      <c r="CM138" s="35"/>
      <c r="CN138" s="113"/>
      <c r="CO138" s="113"/>
      <c r="CP1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8" s="61">
        <f>IFERROR(Table1[[#This Row],[Progres Keg. Umum
(%)]]*Table1[[#This Row],[Nilai RAB Jaringan
(file pa aji)]],0)</f>
        <v>0</v>
      </c>
      <c r="CR138" s="61">
        <f>IFERROR(Table1[[#This Row],[Progres MOS
(%)]]*Table1[[#This Row],[Nilai RAB Jaringan
(file pa aji)]],0)</f>
        <v>0</v>
      </c>
      <c r="CS138" s="61">
        <f>IFERROR(Table1[[#This Row],[Progres Pemasangan
(%)]]*Table1[[#This Row],[Nilai RAB Jaringan
(file pa aji)]],0)</f>
        <v>0</v>
      </c>
      <c r="CT138" s="61">
        <f>IFERROR(Table1[[#This Row],[Progres Perizinan
(%)]]*Table1[[#This Row],[Nilai RAB Jaringan
(file pa aji)]],0)</f>
        <v>0</v>
      </c>
      <c r="CU138" s="789">
        <v>8570103972</v>
      </c>
      <c r="CV138" s="299">
        <v>8570103972</v>
      </c>
      <c r="CW138" s="552">
        <v>8570103972</v>
      </c>
      <c r="CX138" s="789">
        <f>_xlfn.XLOOKUP(Table1[[#This Row],[Kode Program]],'[1]Breakdown VOWD Greenfield'!$E:$E,'[1]Breakdown VOWD Greenfield'!$AT:$AT)</f>
        <v>8570103972</v>
      </c>
      <c r="CY138" s="42"/>
      <c r="CZ138" s="300">
        <v>45530</v>
      </c>
      <c r="DA138" s="300">
        <v>45557</v>
      </c>
      <c r="DB138" s="301">
        <v>45531</v>
      </c>
      <c r="DC138" s="286" t="s">
        <v>964</v>
      </c>
      <c r="DD138" s="62">
        <v>13501414363.26</v>
      </c>
      <c r="DE1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8" s="301">
        <v>45534</v>
      </c>
      <c r="DG138" s="286" t="s">
        <v>965</v>
      </c>
      <c r="DH138" s="62">
        <v>13414874363.26</v>
      </c>
      <c r="DI1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8" s="300">
        <v>45558</v>
      </c>
      <c r="DK138" s="300">
        <v>45627</v>
      </c>
      <c r="DL138" s="301">
        <v>45946</v>
      </c>
      <c r="DM138" s="286" t="s">
        <v>966</v>
      </c>
      <c r="DN1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38" s="301">
        <v>45965</v>
      </c>
      <c r="DP138" s="286" t="s">
        <v>967</v>
      </c>
      <c r="DQ138" s="308" t="s">
        <v>312</v>
      </c>
      <c r="DR1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8" s="300">
        <v>45558</v>
      </c>
      <c r="DT138" s="300" t="e">
        <v>#N/A</v>
      </c>
      <c r="DU138" s="300">
        <v>45599</v>
      </c>
      <c r="DV138" s="300" t="e">
        <v>#N/A</v>
      </c>
      <c r="DW138" s="301">
        <v>45946</v>
      </c>
      <c r="DX138" s="4" t="s">
        <v>966</v>
      </c>
      <c r="EA1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8" s="301">
        <v>45980</v>
      </c>
      <c r="EC138" s="7"/>
      <c r="ED138" s="7"/>
      <c r="EE138" s="7" t="s">
        <v>968</v>
      </c>
      <c r="EF138" s="35">
        <v>1</v>
      </c>
      <c r="EG138" s="307">
        <v>1</v>
      </c>
      <c r="EH138" s="286" t="str">
        <f>IF(Table1[[#This Row],[PO Material Aktual 
(%)]]&gt;=100%,"Selesai PO = 100%",IF(Table1[[#This Row],[PO Material Aktual 
(%)]]&gt;=50%,"Proses PO &gt; 100%",IF(Table1[[#This Row],[PO Material Aktual 
(%)]]&gt;0%,"Proses PO &gt; 50%",IF(Table1[[#This Row],[PO Material Aktual 
(%)]]=0,"Belum PO = 0%"))))</f>
        <v>Selesai PO = 100%</v>
      </c>
      <c r="EI1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8" s="300">
        <v>45600</v>
      </c>
      <c r="EK138" s="300" t="e">
        <v>#N/A</v>
      </c>
      <c r="EL138" s="300">
        <v>45711</v>
      </c>
      <c r="EM138" s="300" t="e">
        <v>#N/A</v>
      </c>
      <c r="EN138" s="301">
        <v>46101</v>
      </c>
      <c r="EO138" s="302"/>
      <c r="EP138" s="302"/>
      <c r="EQ138" s="82">
        <v>1</v>
      </c>
      <c r="ER138" s="82">
        <v>1</v>
      </c>
      <c r="ES138" s="286" t="str">
        <f>IF(Table1[[#This Row],[Progres MOS]]&gt;=100%,"Selesai MOS = 100%",IF(Table1[[#This Row],[Progres MOS]]&gt;=50%,"Proses MOS &gt; 100%",IF(Table1[[#This Row],[Progres MOS]]&gt;0%,"Proses MOS &gt; 50%",IF(Table1[[#This Row],[Progres MOS]]=0,"Belum MOS = 0%"))))</f>
        <v>Selesai MOS = 100%</v>
      </c>
      <c r="ET1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8" s="42"/>
      <c r="EV138" s="300">
        <v>45558</v>
      </c>
      <c r="EW138" s="300" t="e">
        <v>#N/A</v>
      </c>
      <c r="EX138" s="300">
        <v>45655</v>
      </c>
      <c r="EY138" s="300" t="e">
        <v>#N/A</v>
      </c>
      <c r="EZ138" s="322" t="s">
        <v>259</v>
      </c>
      <c r="FA138" s="306" t="s">
        <v>259</v>
      </c>
      <c r="FB138" s="300" t="s">
        <v>260</v>
      </c>
      <c r="FC138" s="300">
        <v>45643</v>
      </c>
      <c r="FD138" s="300" t="s">
        <v>260</v>
      </c>
      <c r="FE138" s="300">
        <v>45715</v>
      </c>
      <c r="FF138" s="300">
        <v>45741</v>
      </c>
      <c r="FG138" s="300" t="s">
        <v>260</v>
      </c>
      <c r="FH138" s="300" t="s">
        <v>260</v>
      </c>
      <c r="FI138" s="300">
        <v>45996</v>
      </c>
      <c r="FJ138" s="300" t="s">
        <v>260</v>
      </c>
      <c r="FK138" s="300">
        <v>46044</v>
      </c>
      <c r="FL138" s="306" t="s">
        <v>259</v>
      </c>
      <c r="FM138" s="322">
        <v>45643</v>
      </c>
      <c r="FN138" s="308">
        <f>IF(Table1[[#This Row],[Tanggal Pengajuan Dokumen]]="","",Table1[[#This Row],[PLAN PERMIT
start]]-Table1[[#This Row],[Tanggal Pengajuan Dokumen]])</f>
        <v>-85</v>
      </c>
      <c r="FO138" s="407">
        <v>46064</v>
      </c>
      <c r="FP138" s="286"/>
      <c r="FQ138" s="308"/>
      <c r="FR138" s="308"/>
      <c r="FS138" s="308" t="str">
        <f t="shared" si="9"/>
        <v>Sudah Terbit</v>
      </c>
      <c r="FT1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8" s="314">
        <f ca="1">IF(Table1[[#This Row],[Status Izin]]="Selesai",Table1[[#This Row],[PLAN PERMIT
finish]]-Table1[[#This Row],[Tanggal Terbit/ Target Izin Terbit]],ROUNDUP(Table1[[#This Row],[PLAN PERMIT
finish]]-NOW(),0))</f>
        <v>-409</v>
      </c>
      <c r="FV1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8" s="314"/>
      <c r="FX138" s="42"/>
      <c r="FY138" s="310"/>
      <c r="FZ138" s="311">
        <v>45582</v>
      </c>
      <c r="GA1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8" s="300">
        <v>45629</v>
      </c>
      <c r="GC138" s="322">
        <v>45635</v>
      </c>
      <c r="GD1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8" s="300">
        <v>45636</v>
      </c>
      <c r="GF138" s="322">
        <v>45635</v>
      </c>
      <c r="GG1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8" s="300">
        <v>45642</v>
      </c>
      <c r="GI138" s="300">
        <v>45648</v>
      </c>
      <c r="GJ138" s="322">
        <v>45663</v>
      </c>
      <c r="GK1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8" s="300">
        <v>45656</v>
      </c>
      <c r="GM138" s="300" t="e">
        <v>#N/A</v>
      </c>
      <c r="GN138" s="300">
        <v>45788</v>
      </c>
      <c r="GO138" s="300" t="e">
        <v>#N/A</v>
      </c>
      <c r="GP138" s="286"/>
      <c r="GQ1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8" s="300" t="s">
        <v>261</v>
      </c>
      <c r="GS138" s="300" t="s">
        <v>261</v>
      </c>
      <c r="GT138" s="324">
        <v>45776</v>
      </c>
      <c r="GU138" s="314" t="str">
        <f>IF(Table1[[#This Row],[Hydro Tes Actual
(tanggal)]]&lt;&gt;"","Sudah","Belum")</f>
        <v>Sudah</v>
      </c>
      <c r="GV138" s="300" t="s">
        <v>261</v>
      </c>
      <c r="GW138" s="300" t="s">
        <v>261</v>
      </c>
      <c r="GX138" s="301">
        <v>45737</v>
      </c>
      <c r="GY138" s="314" t="str">
        <f>IF(Table1[[#This Row],[Interkoneksi Actual
(tanggal)]]&lt;&gt;"","Sudah","Belum")</f>
        <v>Sudah</v>
      </c>
      <c r="GZ138" s="300" t="s">
        <v>261</v>
      </c>
      <c r="HA138" s="300" t="s">
        <v>261</v>
      </c>
      <c r="HB138" s="301">
        <v>45867</v>
      </c>
      <c r="HC138" s="314" t="str">
        <f>IF(Table1[[#This Row],[Flushing Actual
(tanggal)]]&lt;&gt;"","Sudah","Belum")</f>
        <v>Sudah</v>
      </c>
      <c r="HD138" s="300">
        <v>45754</v>
      </c>
      <c r="HE138" s="300" t="e">
        <v>#N/A</v>
      </c>
      <c r="HF138" s="300">
        <v>45774</v>
      </c>
      <c r="HG138" s="322">
        <v>45912</v>
      </c>
      <c r="HH1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8" s="300" t="s">
        <v>261</v>
      </c>
      <c r="HJ138" s="300" t="s">
        <v>261</v>
      </c>
      <c r="HK138" s="301"/>
      <c r="HL138" s="286"/>
      <c r="HM138" s="300">
        <v>45793</v>
      </c>
      <c r="HN138" s="300">
        <v>45793</v>
      </c>
      <c r="HO138" s="300" t="e">
        <v>#N/A</v>
      </c>
      <c r="HP138" s="300"/>
      <c r="HQ138" s="301">
        <v>45933</v>
      </c>
      <c r="HR1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8" s="300">
        <v>45800</v>
      </c>
      <c r="HT138" s="300"/>
      <c r="HU138" s="300">
        <v>45800</v>
      </c>
      <c r="HV138" s="497"/>
      <c r="HW138" s="300">
        <v>45934</v>
      </c>
      <c r="HX1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8" s="42"/>
      <c r="HZ138" s="322"/>
      <c r="IA138" s="306"/>
      <c r="IC138" s="585">
        <f>IFERROR(ROUND((Table1[[#This Row],[PLAN TC
finish]]-Table1[[#This Row],[PLAN MC-0
start]])/30,2),"")</f>
        <v>4.4000000000000004</v>
      </c>
      <c r="ID138">
        <f>DATEDIF(Table1[[#This Row],[PLAN MC-0
start]],Table1[[#This Row],[PLAN TC
finish]],"m")</f>
        <v>4</v>
      </c>
    </row>
    <row r="139" spans="2:238" s="4" customFormat="1" ht="15" customHeight="1" x14ac:dyDescent="0.25">
      <c r="B139" s="281">
        <f>SUBTOTAL(3,$D$5:D139)</f>
        <v>135</v>
      </c>
      <c r="C139" s="318">
        <v>135</v>
      </c>
      <c r="D139" s="308" t="s">
        <v>629</v>
      </c>
      <c r="E139" s="308" t="s">
        <v>969</v>
      </c>
      <c r="F139" s="308" t="s">
        <v>970</v>
      </c>
      <c r="G139" s="319">
        <v>45935</v>
      </c>
      <c r="H139" s="284" t="s">
        <v>247</v>
      </c>
      <c r="I139" s="308" t="s">
        <v>278</v>
      </c>
      <c r="J139" s="285" t="s">
        <v>882</v>
      </c>
      <c r="K139" s="308" t="s">
        <v>915</v>
      </c>
      <c r="L139" s="286" t="s">
        <v>250</v>
      </c>
      <c r="M139" s="286" t="s">
        <v>269</v>
      </c>
      <c r="N139" s="94">
        <v>11864</v>
      </c>
      <c r="O139" s="113" t="s">
        <v>252</v>
      </c>
      <c r="P1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39" s="35" t="e">
        <v>#N/A</v>
      </c>
      <c r="S139" s="35">
        <v>1</v>
      </c>
      <c r="T139" s="35">
        <f>Table1[[#This Row],[Progres Total Aktual
(%)]]</f>
        <v>1</v>
      </c>
      <c r="U139" s="106">
        <f>Table1[[#This Row],[Progres Aktual
(%)]]-Table1[[#This Row],[Target Progres
(%)]]</f>
        <v>0</v>
      </c>
      <c r="V139" s="320">
        <f>Table1[[#This Row],["Volume
BA MC-0"]]</f>
        <v>11861</v>
      </c>
      <c r="W139" s="321">
        <f>Table1[[#This Row],[Total Panjang Pipa Aktual
(Sum-&gt;)3]]</f>
        <v>11088.6</v>
      </c>
      <c r="X139" s="42"/>
      <c r="Y139" s="62" t="s">
        <v>971</v>
      </c>
      <c r="Z139" s="62">
        <v>25111444548</v>
      </c>
      <c r="AA139" s="62">
        <f>Table1[[#This Row],[Nilai RAB Jaringan
(file pa aji)]]</f>
        <v>25111444548</v>
      </c>
      <c r="AB139" s="290">
        <f>SUM(Table1[[#This Row],[RAB Kegiatan Umum]:[RAB Perizinan]])</f>
        <v>0</v>
      </c>
      <c r="AC139" s="290"/>
      <c r="AD139" s="290"/>
      <c r="AE139" s="290"/>
      <c r="AF139" s="290"/>
      <c r="AG139" s="406">
        <v>2861309027</v>
      </c>
      <c r="AH139" s="35" t="e">
        <f>SUM(Table1[[#This Row],[Bobot Keg Umum]:[Bobot Perizinan]])</f>
        <v>#DIV/0!</v>
      </c>
      <c r="AI139" s="35" t="e">
        <f>Table1[[#This Row],[RAB Kegiatan Umum]]/Table1[[#This Row],[Nilai RAB Jaringan
(Exclude Ppn)]]</f>
        <v>#DIV/0!</v>
      </c>
      <c r="AJ139" s="35" t="e">
        <f>Table1[[#This Row],[RAB Pemasangan]]/Table1[[#This Row],[Nilai RAB Jaringan
(Exclude Ppn)]]</f>
        <v>#DIV/0!</v>
      </c>
      <c r="AK139" s="35" t="e">
        <f>Table1[[#This Row],[RAB Pengadaan]]/Table1[[#This Row],[Nilai RAB Jaringan
(Exclude Ppn)]]</f>
        <v>#DIV/0!</v>
      </c>
      <c r="AL139" s="35" t="e">
        <f>Table1[[#This Row],[RAB Perizinan]]/Table1[[#This Row],[Nilai RAB Jaringan
(Exclude Ppn)]]</f>
        <v>#DIV/0!</v>
      </c>
      <c r="AM139" s="42"/>
      <c r="AN139" s="256">
        <v>11861</v>
      </c>
      <c r="AO139" s="256">
        <f>SUM(Table1[[#This Row],[Pipa 63 mm]:[Pipa 1,800 mm]])</f>
        <v>11861</v>
      </c>
      <c r="AP139" s="256">
        <v>3820</v>
      </c>
      <c r="AQ139" s="256">
        <v>2185</v>
      </c>
      <c r="AR139" s="256">
        <v>4313</v>
      </c>
      <c r="AS139" s="256">
        <v>393</v>
      </c>
      <c r="AT139" s="256"/>
      <c r="AU139" s="256">
        <v>9</v>
      </c>
      <c r="AV139" s="256"/>
      <c r="AW139" s="256"/>
      <c r="AX139" s="256">
        <v>1141</v>
      </c>
      <c r="AY139" s="256"/>
      <c r="AZ139" s="256"/>
      <c r="BA139" s="256"/>
      <c r="BB139" s="256"/>
      <c r="BC139" s="256"/>
      <c r="BD139" s="256"/>
      <c r="BE139" s="256"/>
      <c r="BF139" s="256"/>
      <c r="BG139" s="256"/>
      <c r="BH139" s="256"/>
      <c r="BI139" s="256"/>
      <c r="BJ139" s="36">
        <f>SUM(Table1[[#This Row],[Pipa 63 mm2]:[Pipa 1,800 mm21]])</f>
        <v>11088.6</v>
      </c>
      <c r="BK139" s="32">
        <v>3098</v>
      </c>
      <c r="BL139" s="32">
        <v>2124</v>
      </c>
      <c r="BM139" s="32">
        <v>4210.6000000000004</v>
      </c>
      <c r="BN139" s="32">
        <v>393</v>
      </c>
      <c r="BO139" s="32"/>
      <c r="BP139" s="32"/>
      <c r="BQ139" s="32"/>
      <c r="BR139" s="32"/>
      <c r="BS139" s="32">
        <v>1263</v>
      </c>
      <c r="BT139" s="32"/>
      <c r="BU139" s="32"/>
      <c r="BV139" s="32"/>
      <c r="BW139" s="32"/>
      <c r="BX139" s="32"/>
      <c r="BY139" s="32"/>
      <c r="BZ139" s="32"/>
      <c r="CA139" s="32"/>
      <c r="CB139" s="32"/>
      <c r="CC139" s="32"/>
      <c r="CD139" s="32"/>
      <c r="CE139" s="32">
        <v>0</v>
      </c>
      <c r="CF139" s="32">
        <v>474</v>
      </c>
      <c r="CG139" s="32">
        <v>70</v>
      </c>
      <c r="CH139" s="32">
        <v>352</v>
      </c>
      <c r="CI139" s="32">
        <f t="shared" si="10"/>
        <v>896</v>
      </c>
      <c r="CJ139" s="60">
        <f>IF((Table1[[#This Row],["Volume
BA MC-0"]]-Table1[[#This Row],[Total Panjang Pipa Aktual
(Sum-&gt;)3]]-Table1[[#This Row],[Total Volume
tidak dapat dipasang]])&gt;=0,Table1[[#This Row],["Volume
BA MC-0"]]-Table1[[#This Row],[Total Panjang Pipa Aktual
(Sum-&gt;)3]]-Table1[[#This Row],[Total Volume
tidak dapat dipasang]],0)</f>
        <v>0</v>
      </c>
      <c r="CK139" s="42"/>
      <c r="CL139" s="113"/>
      <c r="CM139" s="35"/>
      <c r="CN139" s="113"/>
      <c r="CO139" s="113"/>
      <c r="CP1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39" s="61">
        <f>IFERROR(Table1[[#This Row],[Progres Keg. Umum
(%)]]*Table1[[#This Row],[Nilai RAB Jaringan
(file pa aji)]],0)</f>
        <v>0</v>
      </c>
      <c r="CR139" s="61">
        <f>IFERROR(Table1[[#This Row],[Progres MOS
(%)]]*Table1[[#This Row],[Nilai RAB Jaringan
(file pa aji)]],0)</f>
        <v>0</v>
      </c>
      <c r="CS139" s="61">
        <f>IFERROR(Table1[[#This Row],[Progres Pemasangan
(%)]]*Table1[[#This Row],[Nilai RAB Jaringan
(file pa aji)]],0)</f>
        <v>0</v>
      </c>
      <c r="CT139" s="61">
        <f>IFERROR(Table1[[#This Row],[Progres Perizinan
(%)]]*Table1[[#This Row],[Nilai RAB Jaringan
(file pa aji)]],0)</f>
        <v>0</v>
      </c>
      <c r="CU139" s="789">
        <v>21086863859</v>
      </c>
      <c r="CV139" s="299">
        <v>21086863859</v>
      </c>
      <c r="CW139" s="552">
        <v>21086863859</v>
      </c>
      <c r="CX139" s="789">
        <f>_xlfn.XLOOKUP(Table1[[#This Row],[Kode Program]],'[1]Breakdown VOWD Greenfield'!$E:$E,'[1]Breakdown VOWD Greenfield'!$AT:$AT)</f>
        <v>21086863859</v>
      </c>
      <c r="CY139" s="42"/>
      <c r="CZ139" s="300">
        <v>45530</v>
      </c>
      <c r="DA139" s="300">
        <v>45557</v>
      </c>
      <c r="DB139" s="301">
        <v>45531</v>
      </c>
      <c r="DC139" s="286" t="s">
        <v>972</v>
      </c>
      <c r="DD139" s="62">
        <v>28289053420</v>
      </c>
      <c r="DE1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39" s="301">
        <v>45538</v>
      </c>
      <c r="DG139" s="286" t="s">
        <v>973</v>
      </c>
      <c r="DH139" s="62">
        <v>28156413420</v>
      </c>
      <c r="DI1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39" s="300">
        <v>45558</v>
      </c>
      <c r="DK139" s="300">
        <v>45627</v>
      </c>
      <c r="DL139" s="301">
        <v>45618</v>
      </c>
      <c r="DM139" s="286" t="s">
        <v>974</v>
      </c>
      <c r="DN1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39" s="301">
        <v>45637</v>
      </c>
      <c r="DP139" s="286" t="s">
        <v>975</v>
      </c>
      <c r="DQ139" s="308" t="s">
        <v>312</v>
      </c>
      <c r="DR1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39" s="300">
        <v>45558</v>
      </c>
      <c r="DT139" s="300" t="e">
        <v>#N/A</v>
      </c>
      <c r="DU139" s="300">
        <v>45599</v>
      </c>
      <c r="DV139" s="300" t="e">
        <v>#N/A</v>
      </c>
      <c r="DW139" s="301">
        <v>45992</v>
      </c>
      <c r="DX139" s="286" t="s">
        <v>976</v>
      </c>
      <c r="DY139" s="304"/>
      <c r="DZ139" s="304"/>
      <c r="EA1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39" s="301">
        <v>45995</v>
      </c>
      <c r="EC139" s="302"/>
      <c r="ED139" s="302"/>
      <c r="EE139" s="300" t="s">
        <v>977</v>
      </c>
      <c r="EF139" s="35">
        <v>1</v>
      </c>
      <c r="EG139" s="307">
        <v>1</v>
      </c>
      <c r="EH139" s="286" t="str">
        <f>IF(Table1[[#This Row],[PO Material Aktual 
(%)]]&gt;=100%,"Selesai PO = 100%",IF(Table1[[#This Row],[PO Material Aktual 
(%)]]&gt;=50%,"Proses PO &gt; 100%",IF(Table1[[#This Row],[PO Material Aktual 
(%)]]&gt;0%,"Proses PO &gt; 50%",IF(Table1[[#This Row],[PO Material Aktual 
(%)]]=0,"Belum PO = 0%"))))</f>
        <v>Selesai PO = 100%</v>
      </c>
      <c r="EI1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39" s="300">
        <v>45600</v>
      </c>
      <c r="EK139" s="300" t="e">
        <v>#N/A</v>
      </c>
      <c r="EL139" s="300">
        <v>45711</v>
      </c>
      <c r="EM139" s="300" t="e">
        <v>#N/A</v>
      </c>
      <c r="EN139" s="301">
        <v>46101</v>
      </c>
      <c r="EO139" s="302"/>
      <c r="EP139" s="302"/>
      <c r="EQ139" s="82">
        <v>1</v>
      </c>
      <c r="ER139" s="82">
        <v>1</v>
      </c>
      <c r="ES139" s="286" t="str">
        <f>IF(Table1[[#This Row],[Progres MOS]]&gt;=100%,"Selesai MOS = 100%",IF(Table1[[#This Row],[Progres MOS]]&gt;=50%,"Proses MOS &gt; 100%",IF(Table1[[#This Row],[Progres MOS]]&gt;0%,"Proses MOS &gt; 50%",IF(Table1[[#This Row],[Progres MOS]]=0,"Belum MOS = 0%"))))</f>
        <v>Selesai MOS = 100%</v>
      </c>
      <c r="ET1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39" s="42"/>
      <c r="EV139" s="300">
        <v>45558</v>
      </c>
      <c r="EW139" s="300" t="e">
        <v>#N/A</v>
      </c>
      <c r="EX139" s="300">
        <v>45655</v>
      </c>
      <c r="EY139" s="300" t="e">
        <v>#N/A</v>
      </c>
      <c r="EZ139" s="322" t="s">
        <v>259</v>
      </c>
      <c r="FA139" s="306" t="s">
        <v>259</v>
      </c>
      <c r="FB139" s="300" t="s">
        <v>260</v>
      </c>
      <c r="FC139" s="300">
        <v>45651</v>
      </c>
      <c r="FD139" s="300" t="s">
        <v>260</v>
      </c>
      <c r="FE139" s="300">
        <v>45715</v>
      </c>
      <c r="FF139" s="300">
        <v>45771</v>
      </c>
      <c r="FG139" s="300" t="s">
        <v>260</v>
      </c>
      <c r="FH139" s="300" t="s">
        <v>260</v>
      </c>
      <c r="FI139" s="300">
        <v>45930</v>
      </c>
      <c r="FJ139" s="300" t="s">
        <v>260</v>
      </c>
      <c r="FK139" s="300">
        <v>46001</v>
      </c>
      <c r="FL139" s="306" t="s">
        <v>259</v>
      </c>
      <c r="FM139" s="322">
        <v>45651</v>
      </c>
      <c r="FN139" s="308">
        <f>IF(Table1[[#This Row],[Tanggal Pengajuan Dokumen]]="","",Table1[[#This Row],[PLAN PERMIT
start]]-Table1[[#This Row],[Tanggal Pengajuan Dokumen]])</f>
        <v>-93</v>
      </c>
      <c r="FO139" s="407">
        <v>46004</v>
      </c>
      <c r="FP139" s="286"/>
      <c r="FQ139" s="308"/>
      <c r="FR139" s="308"/>
      <c r="FS139" s="308" t="str">
        <f t="shared" si="9"/>
        <v>Sudah Terbit</v>
      </c>
      <c r="FT1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39" s="314">
        <f ca="1">IF(Table1[[#This Row],[Status Izin]]="Selesai",Table1[[#This Row],[PLAN PERMIT
finish]]-Table1[[#This Row],[Tanggal Terbit/ Target Izin Terbit]],ROUNDUP(Table1[[#This Row],[PLAN PERMIT
finish]]-NOW(),0))</f>
        <v>-349</v>
      </c>
      <c r="FV1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39" s="314"/>
      <c r="FX139" s="42"/>
      <c r="FY139" s="310"/>
      <c r="FZ139" s="311">
        <v>45582</v>
      </c>
      <c r="GA1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39" s="300">
        <v>45629</v>
      </c>
      <c r="GC139" s="322">
        <v>45635</v>
      </c>
      <c r="GD1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39" s="300">
        <v>45636</v>
      </c>
      <c r="GF139" s="322">
        <v>45635</v>
      </c>
      <c r="GG1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39" s="300">
        <v>45642</v>
      </c>
      <c r="GI139" s="300">
        <v>45648</v>
      </c>
      <c r="GJ139" s="322">
        <v>45664</v>
      </c>
      <c r="GK1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39" s="300">
        <v>45656</v>
      </c>
      <c r="GM139" s="300" t="e">
        <v>#N/A</v>
      </c>
      <c r="GN139" s="300">
        <v>45788</v>
      </c>
      <c r="GO139" s="300" t="e">
        <v>#N/A</v>
      </c>
      <c r="GP139" s="286"/>
      <c r="GQ1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39" s="300" t="s">
        <v>261</v>
      </c>
      <c r="GS139" s="300" t="s">
        <v>261</v>
      </c>
      <c r="GT139" s="324">
        <v>45806</v>
      </c>
      <c r="GU139" s="314" t="str">
        <f>IF(Table1[[#This Row],[Hydro Tes Actual
(tanggal)]]&lt;&gt;"","Sudah","Belum")</f>
        <v>Sudah</v>
      </c>
      <c r="GV139" s="300" t="s">
        <v>261</v>
      </c>
      <c r="GW139" s="300" t="s">
        <v>261</v>
      </c>
      <c r="GX139" s="301">
        <v>45842</v>
      </c>
      <c r="GY139" s="314" t="str">
        <f>IF(Table1[[#This Row],[Interkoneksi Actual
(tanggal)]]&lt;&gt;"","Sudah","Belum")</f>
        <v>Sudah</v>
      </c>
      <c r="GZ139" s="300" t="s">
        <v>261</v>
      </c>
      <c r="HA139" s="300" t="s">
        <v>261</v>
      </c>
      <c r="HB139" s="301">
        <v>45882</v>
      </c>
      <c r="HC139" s="314" t="str">
        <f>IF(Table1[[#This Row],[Flushing Actual
(tanggal)]]&lt;&gt;"","Sudah","Belum")</f>
        <v>Sudah</v>
      </c>
      <c r="HD139" s="300">
        <v>45754</v>
      </c>
      <c r="HE139" s="300" t="e">
        <v>#N/A</v>
      </c>
      <c r="HF139" s="300">
        <v>45774</v>
      </c>
      <c r="HG139" s="322">
        <v>46008</v>
      </c>
      <c r="HH1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39" s="300" t="s">
        <v>261</v>
      </c>
      <c r="HJ139" s="300" t="s">
        <v>261</v>
      </c>
      <c r="HK139" s="301"/>
      <c r="HL139" s="286"/>
      <c r="HM139" s="300">
        <v>45793</v>
      </c>
      <c r="HN139" s="300">
        <v>45793</v>
      </c>
      <c r="HO139" s="300" t="e">
        <v>#N/A</v>
      </c>
      <c r="HP139" s="300"/>
      <c r="HQ139" s="301">
        <v>46015</v>
      </c>
      <c r="HR13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39" s="300">
        <v>45800</v>
      </c>
      <c r="HT139" s="300"/>
      <c r="HU139" s="300">
        <v>45800</v>
      </c>
      <c r="HV139" s="497"/>
      <c r="HW139" s="300">
        <v>46024</v>
      </c>
      <c r="HX1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39" s="42"/>
      <c r="HZ139" s="322"/>
      <c r="IA139" s="306"/>
      <c r="IC139" s="585">
        <f>IFERROR(ROUND((Table1[[#This Row],[PLAN TC
finish]]-Table1[[#This Row],[PLAN MC-0
start]])/30,2),"")</f>
        <v>4.4000000000000004</v>
      </c>
      <c r="ID139">
        <f>DATEDIF(Table1[[#This Row],[PLAN MC-0
start]],Table1[[#This Row],[PLAN TC
finish]],"m")</f>
        <v>4</v>
      </c>
    </row>
    <row r="140" spans="2:238" s="4" customFormat="1" ht="15" customHeight="1" x14ac:dyDescent="0.25">
      <c r="B140" s="281">
        <f>SUBTOTAL(3,$D$5:D140)</f>
        <v>136</v>
      </c>
      <c r="C140" s="318">
        <v>136</v>
      </c>
      <c r="D140" s="308" t="s">
        <v>629</v>
      </c>
      <c r="E140" s="308" t="s">
        <v>978</v>
      </c>
      <c r="F140" s="308" t="s">
        <v>979</v>
      </c>
      <c r="G140" s="319">
        <v>45935</v>
      </c>
      <c r="H140" s="284" t="s">
        <v>247</v>
      </c>
      <c r="I140" s="308" t="s">
        <v>278</v>
      </c>
      <c r="J140" s="285" t="s">
        <v>882</v>
      </c>
      <c r="K140" s="308" t="s">
        <v>915</v>
      </c>
      <c r="L140" s="286" t="s">
        <v>250</v>
      </c>
      <c r="M140" s="286" t="s">
        <v>269</v>
      </c>
      <c r="N140" s="94">
        <v>18149</v>
      </c>
      <c r="O140" s="113" t="s">
        <v>252</v>
      </c>
      <c r="P1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0" s="35" t="e">
        <v>#N/A</v>
      </c>
      <c r="S140" s="35">
        <v>1</v>
      </c>
      <c r="T140" s="35">
        <f>Table1[[#This Row],[Progres Total Aktual
(%)]]</f>
        <v>1</v>
      </c>
      <c r="U140" s="106">
        <f>Table1[[#This Row],[Progres Aktual
(%)]]-Table1[[#This Row],[Target Progres
(%)]]</f>
        <v>0</v>
      </c>
      <c r="V140" s="320">
        <f>Table1[[#This Row],["Volume
BA MC-0"]]</f>
        <v>18170</v>
      </c>
      <c r="W140" s="321">
        <f>Table1[[#This Row],[Total Panjang Pipa Aktual
(Sum-&gt;)3]]</f>
        <v>16501</v>
      </c>
      <c r="X140" s="42"/>
      <c r="Y140" s="62" t="s">
        <v>980</v>
      </c>
      <c r="Z140" s="62">
        <v>29184131745</v>
      </c>
      <c r="AA140" s="62">
        <f>Table1[[#This Row],[Nilai RAB Jaringan
(file pa aji)]]</f>
        <v>29184131745</v>
      </c>
      <c r="AB140" s="290">
        <f>SUM(Table1[[#This Row],[RAB Kegiatan Umum]:[RAB Perizinan]])</f>
        <v>0</v>
      </c>
      <c r="AC140" s="290"/>
      <c r="AD140" s="290"/>
      <c r="AE140" s="290"/>
      <c r="AF140" s="290"/>
      <c r="AG140" s="406">
        <v>6476888628</v>
      </c>
      <c r="AH140" s="35" t="e">
        <f>SUM(Table1[[#This Row],[Bobot Keg Umum]:[Bobot Perizinan]])</f>
        <v>#DIV/0!</v>
      </c>
      <c r="AI140" s="35" t="e">
        <f>Table1[[#This Row],[RAB Kegiatan Umum]]/Table1[[#This Row],[Nilai RAB Jaringan
(Exclude Ppn)]]</f>
        <v>#DIV/0!</v>
      </c>
      <c r="AJ140" s="35" t="e">
        <f>Table1[[#This Row],[RAB Pemasangan]]/Table1[[#This Row],[Nilai RAB Jaringan
(Exclude Ppn)]]</f>
        <v>#DIV/0!</v>
      </c>
      <c r="AK140" s="35" t="e">
        <f>Table1[[#This Row],[RAB Pengadaan]]/Table1[[#This Row],[Nilai RAB Jaringan
(Exclude Ppn)]]</f>
        <v>#DIV/0!</v>
      </c>
      <c r="AL140" s="35" t="e">
        <f>Table1[[#This Row],[RAB Perizinan]]/Table1[[#This Row],[Nilai RAB Jaringan
(Exclude Ppn)]]</f>
        <v>#DIV/0!</v>
      </c>
      <c r="AM140" s="42"/>
      <c r="AN140" s="256">
        <v>18170</v>
      </c>
      <c r="AO140" s="256">
        <f>SUM(Table1[[#This Row],[Pipa 63 mm]:[Pipa 1,800 mm]])</f>
        <v>18170</v>
      </c>
      <c r="AP140" s="256">
        <v>5934</v>
      </c>
      <c r="AQ140" s="256">
        <v>3851</v>
      </c>
      <c r="AR140" s="256">
        <v>6751</v>
      </c>
      <c r="AS140" s="256">
        <v>870</v>
      </c>
      <c r="AT140" s="256">
        <v>521</v>
      </c>
      <c r="AU140" s="256">
        <v>243</v>
      </c>
      <c r="AV140" s="256"/>
      <c r="AW140" s="256"/>
      <c r="AX140" s="256"/>
      <c r="AY140" s="256"/>
      <c r="AZ140" s="256"/>
      <c r="BA140" s="256"/>
      <c r="BB140" s="256"/>
      <c r="BC140" s="256"/>
      <c r="BD140" s="256"/>
      <c r="BE140" s="256"/>
      <c r="BF140" s="256"/>
      <c r="BG140" s="256"/>
      <c r="BH140" s="256"/>
      <c r="BI140" s="256"/>
      <c r="BJ140" s="36">
        <f>SUM(Table1[[#This Row],[Pipa 63 mm2]:[Pipa 1,800 mm21]])</f>
        <v>16501</v>
      </c>
      <c r="BK140" s="32">
        <v>4741</v>
      </c>
      <c r="BL140" s="32">
        <v>3623</v>
      </c>
      <c r="BM140" s="32">
        <v>6503</v>
      </c>
      <c r="BN140" s="32">
        <v>870</v>
      </c>
      <c r="BO140" s="32">
        <v>521</v>
      </c>
      <c r="BP140" s="32">
        <v>243</v>
      </c>
      <c r="BQ140" s="32"/>
      <c r="BR140" s="32"/>
      <c r="BS140" s="32"/>
      <c r="BT140" s="32"/>
      <c r="BU140" s="32"/>
      <c r="BV140" s="32"/>
      <c r="BW140" s="32"/>
      <c r="BX140" s="32"/>
      <c r="BY140" s="32"/>
      <c r="BZ140" s="32"/>
      <c r="CA140" s="32"/>
      <c r="CB140" s="32"/>
      <c r="CC140" s="32"/>
      <c r="CD140" s="32"/>
      <c r="CE140" s="32">
        <v>0</v>
      </c>
      <c r="CF140" s="32">
        <v>1226</v>
      </c>
      <c r="CG140" s="32">
        <v>0</v>
      </c>
      <c r="CH140" s="32">
        <v>443</v>
      </c>
      <c r="CI140" s="32">
        <f t="shared" si="10"/>
        <v>1669</v>
      </c>
      <c r="CJ140" s="60">
        <f>IF((Table1[[#This Row],["Volume
BA MC-0"]]-Table1[[#This Row],[Total Panjang Pipa Aktual
(Sum-&gt;)3]]-Table1[[#This Row],[Total Volume
tidak dapat dipasang]])&gt;=0,Table1[[#This Row],["Volume
BA MC-0"]]-Table1[[#This Row],[Total Panjang Pipa Aktual
(Sum-&gt;)3]]-Table1[[#This Row],[Total Volume
tidak dapat dipasang]],0)</f>
        <v>0</v>
      </c>
      <c r="CK140" s="42"/>
      <c r="CL140" s="113"/>
      <c r="CM140" s="35"/>
      <c r="CN140" s="113"/>
      <c r="CO140" s="113"/>
      <c r="CP1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0" s="61">
        <f>IFERROR(Table1[[#This Row],[Progres Keg. Umum
(%)]]*Table1[[#This Row],[Nilai RAB Jaringan
(file pa aji)]],0)</f>
        <v>0</v>
      </c>
      <c r="CR140" s="61">
        <f>IFERROR(Table1[[#This Row],[Progres MOS
(%)]]*Table1[[#This Row],[Nilai RAB Jaringan
(file pa aji)]],0)</f>
        <v>0</v>
      </c>
      <c r="CS140" s="61">
        <f>IFERROR(Table1[[#This Row],[Progres Pemasangan
(%)]]*Table1[[#This Row],[Nilai RAB Jaringan
(file pa aji)]],0)</f>
        <v>0</v>
      </c>
      <c r="CT140" s="61">
        <f>IFERROR(Table1[[#This Row],[Progres Perizinan
(%)]]*Table1[[#This Row],[Nilai RAB Jaringan
(file pa aji)]],0)</f>
        <v>0</v>
      </c>
      <c r="CU140" s="789">
        <v>24051371750</v>
      </c>
      <c r="CV140" s="299">
        <v>24051371750</v>
      </c>
      <c r="CW140" s="552">
        <v>24051371750</v>
      </c>
      <c r="CX140" s="789">
        <f>_xlfn.XLOOKUP(Table1[[#This Row],[Kode Program]],'[1]Breakdown VOWD Greenfield'!$E:$E,'[1]Breakdown VOWD Greenfield'!$AT:$AT)</f>
        <v>24051371750</v>
      </c>
      <c r="CY140" s="42"/>
      <c r="CZ140" s="300">
        <v>45530</v>
      </c>
      <c r="DA140" s="300">
        <v>45557</v>
      </c>
      <c r="DB140" s="301">
        <v>45531</v>
      </c>
      <c r="DC140" s="286" t="s">
        <v>981</v>
      </c>
      <c r="DD140" s="62">
        <v>33622894658</v>
      </c>
      <c r="DE1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0" s="301">
        <v>45534</v>
      </c>
      <c r="DG140" s="286" t="s">
        <v>982</v>
      </c>
      <c r="DH140" s="62">
        <v>33622894658</v>
      </c>
      <c r="DI1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0" s="300">
        <v>45558</v>
      </c>
      <c r="DK140" s="300">
        <v>45627</v>
      </c>
      <c r="DL140" s="301">
        <v>45946</v>
      </c>
      <c r="DM140" s="286" t="s">
        <v>983</v>
      </c>
      <c r="DN1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0" s="301">
        <v>45964</v>
      </c>
      <c r="DP140" s="286" t="s">
        <v>984</v>
      </c>
      <c r="DQ140" s="308" t="s">
        <v>312</v>
      </c>
      <c r="DR1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0" s="300">
        <v>45558</v>
      </c>
      <c r="DT140" s="300" t="e">
        <v>#N/A</v>
      </c>
      <c r="DU140" s="300">
        <v>45599</v>
      </c>
      <c r="DV140" s="300" t="e">
        <v>#N/A</v>
      </c>
      <c r="DW140" s="301">
        <v>45973</v>
      </c>
      <c r="DX140" s="286" t="s">
        <v>985</v>
      </c>
      <c r="DY140" s="304"/>
      <c r="DZ140" s="304"/>
      <c r="EA1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0" s="301">
        <v>45993</v>
      </c>
      <c r="EC140" s="302"/>
      <c r="ED140" s="302"/>
      <c r="EE140" s="300" t="s">
        <v>986</v>
      </c>
      <c r="EF140" s="35">
        <v>1</v>
      </c>
      <c r="EG140" s="307">
        <v>1</v>
      </c>
      <c r="EH140" s="286" t="str">
        <f>IF(Table1[[#This Row],[PO Material Aktual 
(%)]]&gt;=100%,"Selesai PO = 100%",IF(Table1[[#This Row],[PO Material Aktual 
(%)]]&gt;=50%,"Proses PO &gt; 100%",IF(Table1[[#This Row],[PO Material Aktual 
(%)]]&gt;0%,"Proses PO &gt; 50%",IF(Table1[[#This Row],[PO Material Aktual 
(%)]]=0,"Belum PO = 0%"))))</f>
        <v>Selesai PO = 100%</v>
      </c>
      <c r="EI1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0" s="300">
        <v>45600</v>
      </c>
      <c r="EK140" s="300" t="e">
        <v>#N/A</v>
      </c>
      <c r="EL140" s="300">
        <v>45711</v>
      </c>
      <c r="EM140" s="300" t="e">
        <v>#N/A</v>
      </c>
      <c r="EN140" s="301">
        <v>46148</v>
      </c>
      <c r="EO140" s="302"/>
      <c r="EP140" s="302"/>
      <c r="EQ140" s="82">
        <v>1</v>
      </c>
      <c r="ER140" s="82">
        <v>1</v>
      </c>
      <c r="ES140" s="286" t="str">
        <f>IF(Table1[[#This Row],[Progres MOS]]&gt;=100%,"Selesai MOS = 100%",IF(Table1[[#This Row],[Progres MOS]]&gt;=50%,"Proses MOS &gt; 100%",IF(Table1[[#This Row],[Progres MOS]]&gt;0%,"Proses MOS &gt; 50%",IF(Table1[[#This Row],[Progres MOS]]=0,"Belum MOS = 0%"))))</f>
        <v>Selesai MOS = 100%</v>
      </c>
      <c r="ET1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0" s="42"/>
      <c r="EV140" s="300">
        <v>45558</v>
      </c>
      <c r="EW140" s="300" t="e">
        <v>#N/A</v>
      </c>
      <c r="EX140" s="300">
        <v>45655</v>
      </c>
      <c r="EY140" s="300" t="e">
        <v>#N/A</v>
      </c>
      <c r="EZ140" s="322" t="s">
        <v>298</v>
      </c>
      <c r="FA140" s="306" t="s">
        <v>259</v>
      </c>
      <c r="FB140" s="300" t="s">
        <v>260</v>
      </c>
      <c r="FC140" s="300">
        <v>45656</v>
      </c>
      <c r="FD140" s="300" t="s">
        <v>260</v>
      </c>
      <c r="FE140" s="300">
        <v>45728</v>
      </c>
      <c r="FF140" s="300">
        <v>45911</v>
      </c>
      <c r="FG140" s="300" t="s">
        <v>260</v>
      </c>
      <c r="FH140" s="300" t="s">
        <v>260</v>
      </c>
      <c r="FI140" s="300">
        <v>46010</v>
      </c>
      <c r="FJ140" s="300" t="s">
        <v>260</v>
      </c>
      <c r="FK140" s="300">
        <v>46098</v>
      </c>
      <c r="FL140" s="306" t="s">
        <v>298</v>
      </c>
      <c r="FM140" s="322">
        <v>45656</v>
      </c>
      <c r="FN140" s="308">
        <f>IF(Table1[[#This Row],[Tanggal Pengajuan Dokumen]]="","",Table1[[#This Row],[PLAN PERMIT
start]]-Table1[[#This Row],[Tanggal Pengajuan Dokumen]])</f>
        <v>-98</v>
      </c>
      <c r="FO140" s="407">
        <v>46086</v>
      </c>
      <c r="FP140" s="286"/>
      <c r="FQ140" s="308"/>
      <c r="FR140" s="308"/>
      <c r="FS140" s="308" t="str">
        <f t="shared" si="9"/>
        <v>Sudah Terbit</v>
      </c>
      <c r="FT1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0" s="314">
        <f ca="1">IF(Table1[[#This Row],[Status Izin]]="Selesai",Table1[[#This Row],[PLAN PERMIT
finish]]-Table1[[#This Row],[Tanggal Terbit/ Target Izin Terbit]],ROUNDUP(Table1[[#This Row],[PLAN PERMIT
finish]]-NOW(),0))</f>
        <v>-431</v>
      </c>
      <c r="FV1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0" s="314"/>
      <c r="FX140" s="42"/>
      <c r="FY140" s="310"/>
      <c r="FZ140" s="311">
        <v>45582</v>
      </c>
      <c r="GA1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0" s="300">
        <v>45629</v>
      </c>
      <c r="GC140" s="322">
        <v>45635</v>
      </c>
      <c r="GD1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0" s="300">
        <v>45636</v>
      </c>
      <c r="GF140" s="322">
        <v>45635</v>
      </c>
      <c r="GG1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0" s="300">
        <v>45642</v>
      </c>
      <c r="GI140" s="300">
        <v>45648</v>
      </c>
      <c r="GJ140" s="322">
        <v>45646</v>
      </c>
      <c r="GK1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0" s="300">
        <v>45656</v>
      </c>
      <c r="GM140" s="300" t="e">
        <v>#N/A</v>
      </c>
      <c r="GN140" s="300">
        <v>45788</v>
      </c>
      <c r="GO140" s="300" t="e">
        <v>#N/A</v>
      </c>
      <c r="GP140" s="286"/>
      <c r="GQ1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0" s="300" t="s">
        <v>261</v>
      </c>
      <c r="GS140" s="300" t="s">
        <v>261</v>
      </c>
      <c r="GT140" s="324">
        <v>45877</v>
      </c>
      <c r="GU140" s="314" t="str">
        <f>IF(Table1[[#This Row],[Hydro Tes Actual
(tanggal)]]&lt;&gt;"","Sudah","Belum")</f>
        <v>Sudah</v>
      </c>
      <c r="GV140" s="300" t="s">
        <v>261</v>
      </c>
      <c r="GW140" s="300" t="s">
        <v>261</v>
      </c>
      <c r="GX140" s="301">
        <v>45897</v>
      </c>
      <c r="GY140" s="314" t="str">
        <f>IF(Table1[[#This Row],[Interkoneksi Actual
(tanggal)]]&lt;&gt;"","Sudah","Belum")</f>
        <v>Sudah</v>
      </c>
      <c r="GZ140" s="300" t="s">
        <v>261</v>
      </c>
      <c r="HA140" s="300" t="s">
        <v>261</v>
      </c>
      <c r="HB140" s="301">
        <v>45940</v>
      </c>
      <c r="HC140" s="314" t="str">
        <f>IF(Table1[[#This Row],[Flushing Actual
(tanggal)]]&lt;&gt;"","Sudah","Belum")</f>
        <v>Sudah</v>
      </c>
      <c r="HD140" s="300">
        <v>45754</v>
      </c>
      <c r="HE140" s="300" t="e">
        <v>#N/A</v>
      </c>
      <c r="HF140" s="300">
        <v>45774</v>
      </c>
      <c r="HG140" s="322">
        <v>45982</v>
      </c>
      <c r="HH1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0" s="300" t="s">
        <v>261</v>
      </c>
      <c r="HJ140" s="300" t="s">
        <v>261</v>
      </c>
      <c r="HK140" s="301"/>
      <c r="HL140" s="286"/>
      <c r="HM140" s="300">
        <v>45793</v>
      </c>
      <c r="HN140" s="300">
        <v>45793</v>
      </c>
      <c r="HO140" s="300" t="e">
        <v>#N/A</v>
      </c>
      <c r="HP140" s="300"/>
      <c r="HQ140" s="301">
        <v>46006</v>
      </c>
      <c r="HR14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0" s="300">
        <v>45800</v>
      </c>
      <c r="HT140" s="300"/>
      <c r="HU140" s="300">
        <v>45800</v>
      </c>
      <c r="HV140" s="497"/>
      <c r="HW140" s="300">
        <v>46025</v>
      </c>
      <c r="HX1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0" s="42"/>
      <c r="HZ140" s="322"/>
      <c r="IA140" s="306"/>
      <c r="IC140" s="585">
        <f>IFERROR(ROUND((Table1[[#This Row],[PLAN TC
finish]]-Table1[[#This Row],[PLAN MC-0
start]])/30,2),"")</f>
        <v>4.4000000000000004</v>
      </c>
      <c r="ID140">
        <f>DATEDIF(Table1[[#This Row],[PLAN MC-0
start]],Table1[[#This Row],[PLAN TC
finish]],"m")</f>
        <v>4</v>
      </c>
    </row>
    <row r="141" spans="2:238" s="4" customFormat="1" ht="15" customHeight="1" x14ac:dyDescent="0.25">
      <c r="B141" s="281">
        <f>SUBTOTAL(3,$D$5:D141)</f>
        <v>137</v>
      </c>
      <c r="C141" s="318">
        <v>137</v>
      </c>
      <c r="D141" s="308" t="s">
        <v>629</v>
      </c>
      <c r="E141" s="308" t="s">
        <v>987</v>
      </c>
      <c r="F141" s="308" t="s">
        <v>988</v>
      </c>
      <c r="G141" s="319">
        <v>45935</v>
      </c>
      <c r="H141" s="284" t="s">
        <v>247</v>
      </c>
      <c r="I141" s="308" t="s">
        <v>278</v>
      </c>
      <c r="J141" s="285" t="s">
        <v>882</v>
      </c>
      <c r="K141" s="308" t="s">
        <v>915</v>
      </c>
      <c r="L141" s="286" t="s">
        <v>250</v>
      </c>
      <c r="M141" s="286" t="s">
        <v>269</v>
      </c>
      <c r="N141" s="94">
        <v>11189</v>
      </c>
      <c r="O141" s="113" t="s">
        <v>252</v>
      </c>
      <c r="P1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1" s="35" t="e">
        <v>#N/A</v>
      </c>
      <c r="S141" s="35">
        <v>1</v>
      </c>
      <c r="T141" s="35">
        <f>Table1[[#This Row],[Progres Total Aktual
(%)]]</f>
        <v>1</v>
      </c>
      <c r="U141" s="106">
        <f>Table1[[#This Row],[Progres Aktual
(%)]]-Table1[[#This Row],[Target Progres
(%)]]</f>
        <v>0</v>
      </c>
      <c r="V141" s="320">
        <f>Table1[[#This Row],["Volume
BA MC-0"]]</f>
        <v>11233</v>
      </c>
      <c r="W141" s="321">
        <f>Table1[[#This Row],[Total Panjang Pipa Aktual
(Sum-&gt;)3]]</f>
        <v>8788.7000000000007</v>
      </c>
      <c r="X141" s="42"/>
      <c r="Y141" s="62" t="s">
        <v>989</v>
      </c>
      <c r="Z141" s="62">
        <v>19315384781</v>
      </c>
      <c r="AA141" s="62">
        <f>Table1[[#This Row],[Nilai RAB Jaringan
(file pa aji)]]</f>
        <v>19315384781</v>
      </c>
      <c r="AB141" s="290">
        <f>SUM(Table1[[#This Row],[RAB Kegiatan Umum]:[RAB Perizinan]])</f>
        <v>0</v>
      </c>
      <c r="AC141" s="290"/>
      <c r="AD141" s="290"/>
      <c r="AE141" s="290"/>
      <c r="AF141" s="290"/>
      <c r="AG141" s="406">
        <v>5376227491</v>
      </c>
      <c r="AH141" s="35" t="e">
        <f>SUM(Table1[[#This Row],[Bobot Keg Umum]:[Bobot Perizinan]])</f>
        <v>#DIV/0!</v>
      </c>
      <c r="AI141" s="35" t="e">
        <f>Table1[[#This Row],[RAB Kegiatan Umum]]/Table1[[#This Row],[Nilai RAB Jaringan
(Exclude Ppn)]]</f>
        <v>#DIV/0!</v>
      </c>
      <c r="AJ141" s="35" t="e">
        <f>Table1[[#This Row],[RAB Pemasangan]]/Table1[[#This Row],[Nilai RAB Jaringan
(Exclude Ppn)]]</f>
        <v>#DIV/0!</v>
      </c>
      <c r="AK141" s="35" t="e">
        <f>Table1[[#This Row],[RAB Pengadaan]]/Table1[[#This Row],[Nilai RAB Jaringan
(Exclude Ppn)]]</f>
        <v>#DIV/0!</v>
      </c>
      <c r="AL141" s="35" t="e">
        <f>Table1[[#This Row],[RAB Perizinan]]/Table1[[#This Row],[Nilai RAB Jaringan
(Exclude Ppn)]]</f>
        <v>#DIV/0!</v>
      </c>
      <c r="AM141" s="42"/>
      <c r="AN141" s="256">
        <v>11233</v>
      </c>
      <c r="AO141" s="256">
        <f>SUM(Table1[[#This Row],[Pipa 63 mm]:[Pipa 1,800 mm]])</f>
        <v>11233</v>
      </c>
      <c r="AP141" s="256">
        <v>3702</v>
      </c>
      <c r="AQ141" s="256">
        <v>1881</v>
      </c>
      <c r="AR141" s="256">
        <v>3974</v>
      </c>
      <c r="AS141" s="256">
        <v>947</v>
      </c>
      <c r="AT141" s="256">
        <v>612</v>
      </c>
      <c r="AU141" s="256">
        <v>117</v>
      </c>
      <c r="AV141" s="256"/>
      <c r="AW141" s="256"/>
      <c r="AX141" s="256"/>
      <c r="AY141" s="256"/>
      <c r="AZ141" s="256"/>
      <c r="BA141" s="256"/>
      <c r="BB141" s="256"/>
      <c r="BC141" s="256"/>
      <c r="BD141" s="256"/>
      <c r="BE141" s="256"/>
      <c r="BF141" s="256"/>
      <c r="BG141" s="256"/>
      <c r="BH141" s="256"/>
      <c r="BI141" s="256"/>
      <c r="BJ141" s="36">
        <f>SUM(Table1[[#This Row],[Pipa 63 mm2]:[Pipa 1,800 mm21]])</f>
        <v>8788.7000000000007</v>
      </c>
      <c r="BK141" s="32">
        <v>2407</v>
      </c>
      <c r="BL141" s="32">
        <v>1406.2</v>
      </c>
      <c r="BM141" s="32">
        <v>3272.9</v>
      </c>
      <c r="BN141" s="32">
        <v>910.3</v>
      </c>
      <c r="BO141" s="32">
        <v>664.6</v>
      </c>
      <c r="BP141" s="32">
        <v>127.7</v>
      </c>
      <c r="BQ141" s="32"/>
      <c r="BR141" s="32"/>
      <c r="BS141" s="32"/>
      <c r="BT141" s="32"/>
      <c r="BU141" s="32"/>
      <c r="BV141" s="32"/>
      <c r="BW141" s="32"/>
      <c r="BX141" s="32"/>
      <c r="BY141" s="32"/>
      <c r="BZ141" s="32"/>
      <c r="CA141" s="32"/>
      <c r="CB141" s="32"/>
      <c r="CC141" s="32"/>
      <c r="CD141" s="32"/>
      <c r="CE141" s="32">
        <v>1541</v>
      </c>
      <c r="CF141" s="32">
        <v>1033</v>
      </c>
      <c r="CG141" s="32">
        <v>0</v>
      </c>
      <c r="CH141" s="32">
        <v>0</v>
      </c>
      <c r="CI141" s="32">
        <f t="shared" si="10"/>
        <v>2574</v>
      </c>
      <c r="CJ141" s="60">
        <f>IF((Table1[[#This Row],["Volume
BA MC-0"]]-Table1[[#This Row],[Total Panjang Pipa Aktual
(Sum-&gt;)3]]-Table1[[#This Row],[Total Volume
tidak dapat dipasang]])&gt;=0,Table1[[#This Row],["Volume
BA MC-0"]]-Table1[[#This Row],[Total Panjang Pipa Aktual
(Sum-&gt;)3]]-Table1[[#This Row],[Total Volume
tidak dapat dipasang]],0)</f>
        <v>0</v>
      </c>
      <c r="CK141" s="42"/>
      <c r="CL141" s="113"/>
      <c r="CM141" s="35"/>
      <c r="CN141" s="113"/>
      <c r="CO141" s="113"/>
      <c r="CP1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1" s="61">
        <f>IFERROR(Table1[[#This Row],[Progres Keg. Umum
(%)]]*Table1[[#This Row],[Nilai RAB Jaringan
(file pa aji)]],0)</f>
        <v>0</v>
      </c>
      <c r="CR141" s="61">
        <f>IFERROR(Table1[[#This Row],[Progres MOS
(%)]]*Table1[[#This Row],[Nilai RAB Jaringan
(file pa aji)]],0)</f>
        <v>0</v>
      </c>
      <c r="CS141" s="61">
        <f>IFERROR(Table1[[#This Row],[Progres Pemasangan
(%)]]*Table1[[#This Row],[Nilai RAB Jaringan
(file pa aji)]],0)</f>
        <v>0</v>
      </c>
      <c r="CT141" s="61">
        <f>IFERROR(Table1[[#This Row],[Progres Perizinan
(%)]]*Table1[[#This Row],[Nilai RAB Jaringan
(file pa aji)]],0)</f>
        <v>0</v>
      </c>
      <c r="CU141" s="789">
        <v>14130141238</v>
      </c>
      <c r="CV141" s="299">
        <v>14130141238</v>
      </c>
      <c r="CW141" s="552">
        <v>14130141238</v>
      </c>
      <c r="CX141" s="789">
        <f>_xlfn.XLOOKUP(Table1[[#This Row],[Kode Program]],'[1]Breakdown VOWD Greenfield'!$E:$E,'[1]Breakdown VOWD Greenfield'!$AT:$AT)</f>
        <v>14130141238</v>
      </c>
      <c r="CY141" s="42"/>
      <c r="CZ141" s="300">
        <v>45530</v>
      </c>
      <c r="DA141" s="300">
        <v>45557</v>
      </c>
      <c r="DB141" s="301">
        <v>45531</v>
      </c>
      <c r="DC141" s="286" t="s">
        <v>990</v>
      </c>
      <c r="DD141" s="62">
        <v>21999757307</v>
      </c>
      <c r="DE1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1" s="301">
        <v>45534</v>
      </c>
      <c r="DG141" s="286" t="s">
        <v>991</v>
      </c>
      <c r="DH141" s="62">
        <v>21999757307</v>
      </c>
      <c r="DI1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41" s="300">
        <v>45558</v>
      </c>
      <c r="DK141" s="300">
        <v>45627</v>
      </c>
      <c r="DL141" s="301">
        <v>45625</v>
      </c>
      <c r="DM141" s="286" t="s">
        <v>992</v>
      </c>
      <c r="DN1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1" s="301">
        <v>45635</v>
      </c>
      <c r="DP141" s="286" t="s">
        <v>993</v>
      </c>
      <c r="DQ141" s="308" t="s">
        <v>371</v>
      </c>
      <c r="DR1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1" s="300">
        <v>45558</v>
      </c>
      <c r="DT141" s="300" t="e">
        <v>#N/A</v>
      </c>
      <c r="DU141" s="300">
        <v>45599</v>
      </c>
      <c r="DV141" s="300" t="e">
        <v>#N/A</v>
      </c>
      <c r="DW141" s="301">
        <v>45825</v>
      </c>
      <c r="DX141" s="4" t="s">
        <v>994</v>
      </c>
      <c r="EA1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1" s="301">
        <v>45965</v>
      </c>
      <c r="EC141" s="302"/>
      <c r="ED141" s="302"/>
      <c r="EE141" s="300" t="s">
        <v>995</v>
      </c>
      <c r="EF141" s="35">
        <v>1</v>
      </c>
      <c r="EG141" s="307">
        <v>1</v>
      </c>
      <c r="EH141" s="286" t="str">
        <f>IF(Table1[[#This Row],[PO Material Aktual 
(%)]]&gt;=100%,"Selesai PO = 100%",IF(Table1[[#This Row],[PO Material Aktual 
(%)]]&gt;=50%,"Proses PO &gt; 100%",IF(Table1[[#This Row],[PO Material Aktual 
(%)]]&gt;0%,"Proses PO &gt; 50%",IF(Table1[[#This Row],[PO Material Aktual 
(%)]]=0,"Belum PO = 0%"))))</f>
        <v>Selesai PO = 100%</v>
      </c>
      <c r="EI1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1" s="300">
        <v>45600</v>
      </c>
      <c r="EK141" s="300" t="e">
        <v>#N/A</v>
      </c>
      <c r="EL141" s="300">
        <v>45711</v>
      </c>
      <c r="EM141" s="300" t="e">
        <v>#N/A</v>
      </c>
      <c r="EN141" s="301">
        <v>46148</v>
      </c>
      <c r="EO141" s="302"/>
      <c r="EP141" s="302"/>
      <c r="EQ141" s="82">
        <v>1</v>
      </c>
      <c r="ER141" s="82">
        <v>1</v>
      </c>
      <c r="ES141" s="286" t="str">
        <f>IF(Table1[[#This Row],[Progres MOS]]&gt;=100%,"Selesai MOS = 100%",IF(Table1[[#This Row],[Progres MOS]]&gt;=50%,"Proses MOS &gt; 100%",IF(Table1[[#This Row],[Progres MOS]]&gt;0%,"Proses MOS &gt; 50%",IF(Table1[[#This Row],[Progres MOS]]=0,"Belum MOS = 0%"))))</f>
        <v>Selesai MOS = 100%</v>
      </c>
      <c r="ET1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1" s="42"/>
      <c r="EV141" s="300">
        <v>45558</v>
      </c>
      <c r="EW141" s="300" t="e">
        <v>#N/A</v>
      </c>
      <c r="EX141" s="300">
        <v>45655</v>
      </c>
      <c r="EY141" s="300" t="e">
        <v>#N/A</v>
      </c>
      <c r="EZ141" s="322" t="s">
        <v>259</v>
      </c>
      <c r="FA141" s="306" t="s">
        <v>259</v>
      </c>
      <c r="FB141" s="300" t="s">
        <v>260</v>
      </c>
      <c r="FC141" s="300">
        <v>45632</v>
      </c>
      <c r="FD141" s="300" t="s">
        <v>260</v>
      </c>
      <c r="FE141" s="300">
        <v>45715</v>
      </c>
      <c r="FF141" s="300">
        <v>45771</v>
      </c>
      <c r="FG141" s="300" t="s">
        <v>260</v>
      </c>
      <c r="FH141" s="300" t="s">
        <v>260</v>
      </c>
      <c r="FI141" s="300">
        <v>45930</v>
      </c>
      <c r="FJ141" s="300" t="s">
        <v>260</v>
      </c>
      <c r="FK141" s="300">
        <v>45992</v>
      </c>
      <c r="FL141" s="306" t="s">
        <v>259</v>
      </c>
      <c r="FM141" s="322">
        <v>45632</v>
      </c>
      <c r="FN141" s="308">
        <f>IF(Table1[[#This Row],[Tanggal Pengajuan Dokumen]]="","",Table1[[#This Row],[PLAN PERMIT
start]]-Table1[[#This Row],[Tanggal Pengajuan Dokumen]])</f>
        <v>-74</v>
      </c>
      <c r="FO141" s="407">
        <v>45992</v>
      </c>
      <c r="FP141" s="286"/>
      <c r="FQ141" s="308"/>
      <c r="FR141" s="308"/>
      <c r="FS141" s="308" t="str">
        <f t="shared" si="9"/>
        <v>Sudah Terbit</v>
      </c>
      <c r="FT1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1" s="314">
        <f ca="1">IF(Table1[[#This Row],[Status Izin]]="Selesai",Table1[[#This Row],[PLAN PERMIT
finish]]-Table1[[#This Row],[Tanggal Terbit/ Target Izin Terbit]],ROUNDUP(Table1[[#This Row],[PLAN PERMIT
finish]]-NOW(),0))</f>
        <v>-337</v>
      </c>
      <c r="FV1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1" s="314"/>
      <c r="FX141" s="42"/>
      <c r="FY141" s="310"/>
      <c r="FZ141" s="311">
        <v>45582</v>
      </c>
      <c r="GA1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1" s="300">
        <v>45629</v>
      </c>
      <c r="GC141" s="322">
        <v>45635</v>
      </c>
      <c r="GD1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1" s="300">
        <v>45636</v>
      </c>
      <c r="GF141" s="322">
        <v>45635</v>
      </c>
      <c r="GG1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1" s="300">
        <v>45642</v>
      </c>
      <c r="GI141" s="300">
        <v>45648</v>
      </c>
      <c r="GJ141" s="322">
        <v>45643</v>
      </c>
      <c r="GK1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1" s="300">
        <v>45656</v>
      </c>
      <c r="GM141" s="300" t="e">
        <v>#N/A</v>
      </c>
      <c r="GN141" s="300">
        <v>45788</v>
      </c>
      <c r="GO141" s="300" t="e">
        <v>#N/A</v>
      </c>
      <c r="GP141" s="286"/>
      <c r="GQ1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1" s="300" t="s">
        <v>261</v>
      </c>
      <c r="GS141" s="300" t="s">
        <v>261</v>
      </c>
      <c r="GT141" s="324">
        <v>45877</v>
      </c>
      <c r="GU141" s="314" t="str">
        <f>IF(Table1[[#This Row],[Hydro Tes Actual
(tanggal)]]&lt;&gt;"","Sudah","Belum")</f>
        <v>Sudah</v>
      </c>
      <c r="GV141" s="300" t="s">
        <v>261</v>
      </c>
      <c r="GW141" s="300" t="s">
        <v>261</v>
      </c>
      <c r="GX141" s="301">
        <v>45853</v>
      </c>
      <c r="GY141" s="314" t="str">
        <f>IF(Table1[[#This Row],[Interkoneksi Actual
(tanggal)]]&lt;&gt;"","Sudah","Belum")</f>
        <v>Sudah</v>
      </c>
      <c r="GZ141" s="300" t="s">
        <v>261</v>
      </c>
      <c r="HA141" s="300" t="s">
        <v>261</v>
      </c>
      <c r="HB141" s="301">
        <v>45954</v>
      </c>
      <c r="HC141" s="314" t="str">
        <f>IF(Table1[[#This Row],[Flushing Actual
(tanggal)]]&lt;&gt;"","Sudah","Belum")</f>
        <v>Sudah</v>
      </c>
      <c r="HD141" s="300">
        <v>45754</v>
      </c>
      <c r="HE141" s="300" t="e">
        <v>#N/A</v>
      </c>
      <c r="HF141" s="300">
        <v>45774</v>
      </c>
      <c r="HG141" s="322">
        <v>45959</v>
      </c>
      <c r="HH1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1" s="300" t="s">
        <v>261</v>
      </c>
      <c r="HJ141" s="300" t="s">
        <v>261</v>
      </c>
      <c r="HK141" s="301"/>
      <c r="HL141" s="286"/>
      <c r="HM141" s="300">
        <v>45793</v>
      </c>
      <c r="HN141" s="300">
        <v>45793</v>
      </c>
      <c r="HO141" s="300" t="e">
        <v>#N/A</v>
      </c>
      <c r="HP141" s="300"/>
      <c r="HQ141" s="301">
        <v>45982</v>
      </c>
      <c r="HR14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1" s="300">
        <v>45800</v>
      </c>
      <c r="HT141" s="300"/>
      <c r="HU141" s="300">
        <v>45800</v>
      </c>
      <c r="HV141" s="497"/>
      <c r="HW141" s="300">
        <v>46024</v>
      </c>
      <c r="HX1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1" s="42"/>
      <c r="HZ141" s="322"/>
      <c r="IA141" s="306"/>
      <c r="IC141" s="585">
        <f>IFERROR(ROUND((Table1[[#This Row],[PLAN TC
finish]]-Table1[[#This Row],[PLAN MC-0
start]])/30,2),"")</f>
        <v>4.4000000000000004</v>
      </c>
      <c r="ID141">
        <f>DATEDIF(Table1[[#This Row],[PLAN MC-0
start]],Table1[[#This Row],[PLAN TC
finish]],"m")</f>
        <v>4</v>
      </c>
    </row>
    <row r="142" spans="2:238" s="4" customFormat="1" ht="15" customHeight="1" x14ac:dyDescent="0.25">
      <c r="B142" s="281">
        <f>SUBTOTAL(3,$D$5:D142)</f>
        <v>138</v>
      </c>
      <c r="C142" s="318">
        <v>138</v>
      </c>
      <c r="D142" s="308" t="s">
        <v>629</v>
      </c>
      <c r="E142" s="308" t="s">
        <v>996</v>
      </c>
      <c r="F142" s="308" t="s">
        <v>997</v>
      </c>
      <c r="G142" s="319">
        <v>45935</v>
      </c>
      <c r="H142" s="284" t="s">
        <v>247</v>
      </c>
      <c r="I142" s="308" t="s">
        <v>278</v>
      </c>
      <c r="J142" s="285"/>
      <c r="K142" s="308" t="s">
        <v>915</v>
      </c>
      <c r="L142" s="286" t="s">
        <v>250</v>
      </c>
      <c r="M142" s="286" t="s">
        <v>269</v>
      </c>
      <c r="N142" s="94">
        <v>13982</v>
      </c>
      <c r="O142" s="113" t="s">
        <v>252</v>
      </c>
      <c r="P1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2" s="35" t="e">
        <v>#N/A</v>
      </c>
      <c r="S142" s="35">
        <v>1</v>
      </c>
      <c r="T142" s="35">
        <f>Table1[[#This Row],[Progres Total Aktual
(%)]]</f>
        <v>1</v>
      </c>
      <c r="U142" s="106">
        <f>Table1[[#This Row],[Progres Aktual
(%)]]-Table1[[#This Row],[Target Progres
(%)]]</f>
        <v>0</v>
      </c>
      <c r="V142" s="320">
        <f>Table1[[#This Row],["Volume
BA MC-0"]]</f>
        <v>14011</v>
      </c>
      <c r="W142" s="321">
        <f>Table1[[#This Row],[Total Panjang Pipa Aktual
(Sum-&gt;)3]]</f>
        <v>6139.2</v>
      </c>
      <c r="X142" s="42"/>
      <c r="Y142" s="62" t="s">
        <v>998</v>
      </c>
      <c r="Z142" s="62">
        <v>21298896877</v>
      </c>
      <c r="AA142" s="62">
        <f>Table1[[#This Row],[Nilai RAB Jaringan
(file pa aji)]]</f>
        <v>21298896877</v>
      </c>
      <c r="AB142" s="290">
        <f>SUM(Table1[[#This Row],[RAB Kegiatan Umum]:[RAB Perizinan]])</f>
        <v>0</v>
      </c>
      <c r="AC142" s="290"/>
      <c r="AD142" s="290"/>
      <c r="AE142" s="290"/>
      <c r="AF142" s="290"/>
      <c r="AG142" s="406">
        <v>6046462485</v>
      </c>
      <c r="AH142" s="35" t="e">
        <f>SUM(Table1[[#This Row],[Bobot Keg Umum]:[Bobot Perizinan]])</f>
        <v>#DIV/0!</v>
      </c>
      <c r="AI142" s="35" t="e">
        <f>Table1[[#This Row],[RAB Kegiatan Umum]]/Table1[[#This Row],[Nilai RAB Jaringan
(Exclude Ppn)]]</f>
        <v>#DIV/0!</v>
      </c>
      <c r="AJ142" s="35" t="e">
        <f>Table1[[#This Row],[RAB Pemasangan]]/Table1[[#This Row],[Nilai RAB Jaringan
(Exclude Ppn)]]</f>
        <v>#DIV/0!</v>
      </c>
      <c r="AK142" s="35" t="e">
        <f>Table1[[#This Row],[RAB Pengadaan]]/Table1[[#This Row],[Nilai RAB Jaringan
(Exclude Ppn)]]</f>
        <v>#DIV/0!</v>
      </c>
      <c r="AL142" s="35" t="e">
        <f>Table1[[#This Row],[RAB Perizinan]]/Table1[[#This Row],[Nilai RAB Jaringan
(Exclude Ppn)]]</f>
        <v>#DIV/0!</v>
      </c>
      <c r="AM142" s="42"/>
      <c r="AN142" s="256">
        <v>14011</v>
      </c>
      <c r="AO142" s="256">
        <f>SUM(Table1[[#This Row],[Pipa 63 mm]:[Pipa 1,800 mm]])</f>
        <v>14011</v>
      </c>
      <c r="AP142" s="256">
        <v>6158</v>
      </c>
      <c r="AQ142" s="256">
        <v>5817</v>
      </c>
      <c r="AR142" s="256">
        <v>422</v>
      </c>
      <c r="AS142" s="256">
        <v>1207</v>
      </c>
      <c r="AT142" s="256">
        <v>407</v>
      </c>
      <c r="AU142" s="256"/>
      <c r="AV142" s="256"/>
      <c r="AW142" s="256"/>
      <c r="AX142" s="256"/>
      <c r="AY142" s="256"/>
      <c r="AZ142" s="256"/>
      <c r="BA142" s="256"/>
      <c r="BB142" s="256"/>
      <c r="BC142" s="256"/>
      <c r="BD142" s="256"/>
      <c r="BE142" s="256"/>
      <c r="BF142" s="256"/>
      <c r="BG142" s="256"/>
      <c r="BH142" s="256"/>
      <c r="BI142" s="256"/>
      <c r="BJ142" s="36">
        <f>SUM(Table1[[#This Row],[Pipa 63 mm2]:[Pipa 1,800 mm21]])</f>
        <v>6139.2</v>
      </c>
      <c r="BK142" s="32">
        <v>1671.6</v>
      </c>
      <c r="BL142" s="32">
        <v>2960.1</v>
      </c>
      <c r="BM142" s="32"/>
      <c r="BN142" s="32">
        <v>1109.5</v>
      </c>
      <c r="BO142" s="32">
        <v>398</v>
      </c>
      <c r="BP142" s="32"/>
      <c r="BQ142" s="32"/>
      <c r="BR142" s="32"/>
      <c r="BS142" s="32"/>
      <c r="BT142" s="32"/>
      <c r="BU142" s="32"/>
      <c r="BV142" s="32"/>
      <c r="BW142" s="32"/>
      <c r="BX142" s="32"/>
      <c r="BY142" s="32"/>
      <c r="BZ142" s="32"/>
      <c r="CA142" s="32"/>
      <c r="CB142" s="32"/>
      <c r="CC142" s="32"/>
      <c r="CD142" s="32"/>
      <c r="CE142" s="32">
        <v>1816</v>
      </c>
      <c r="CF142" s="32">
        <v>4761</v>
      </c>
      <c r="CG142" s="32">
        <v>649</v>
      </c>
      <c r="CH142" s="32">
        <v>243</v>
      </c>
      <c r="CI142" s="32">
        <f t="shared" si="10"/>
        <v>7469</v>
      </c>
      <c r="CJ142" s="60">
        <f>IF((Table1[[#This Row],["Volume
BA MC-0"]]-Table1[[#This Row],[Total Panjang Pipa Aktual
(Sum-&gt;)3]]-Table1[[#This Row],[Total Volume
tidak dapat dipasang]])&gt;=0,Table1[[#This Row],["Volume
BA MC-0"]]-Table1[[#This Row],[Total Panjang Pipa Aktual
(Sum-&gt;)3]]-Table1[[#This Row],[Total Volume
tidak dapat dipasang]],0)</f>
        <v>402.80000000000018</v>
      </c>
      <c r="CK142" s="42"/>
      <c r="CL142" s="113"/>
      <c r="CM142" s="35"/>
      <c r="CN142" s="113"/>
      <c r="CO142" s="113"/>
      <c r="CP1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2" s="61">
        <f>IFERROR(Table1[[#This Row],[Progres Keg. Umum
(%)]]*Table1[[#This Row],[Nilai RAB Jaringan
(file pa aji)]],0)</f>
        <v>0</v>
      </c>
      <c r="CR142" s="61">
        <f>IFERROR(Table1[[#This Row],[Progres MOS
(%)]]*Table1[[#This Row],[Nilai RAB Jaringan
(file pa aji)]],0)</f>
        <v>0</v>
      </c>
      <c r="CS142" s="61">
        <f>IFERROR(Table1[[#This Row],[Progres Pemasangan
(%)]]*Table1[[#This Row],[Nilai RAB Jaringan
(file pa aji)]],0)</f>
        <v>0</v>
      </c>
      <c r="CT142" s="61">
        <f>IFERROR(Table1[[#This Row],[Progres Perizinan
(%)]]*Table1[[#This Row],[Nilai RAB Jaringan
(file pa aji)]],0)</f>
        <v>0</v>
      </c>
      <c r="CU142" s="789">
        <v>10646058145</v>
      </c>
      <c r="CV142" s="299">
        <v>10646058145</v>
      </c>
      <c r="CW142" s="552">
        <v>10646058145</v>
      </c>
      <c r="CX142" s="789">
        <f>_xlfn.XLOOKUP(Table1[[#This Row],[Kode Program]],'[1]Breakdown VOWD Greenfield'!$E:$E,'[1]Breakdown VOWD Greenfield'!$AT:$AT)</f>
        <v>10646058145</v>
      </c>
      <c r="CY142" s="42"/>
      <c r="CZ142" s="300">
        <v>45530</v>
      </c>
      <c r="DA142" s="300">
        <v>45557</v>
      </c>
      <c r="DB142" s="301">
        <v>45553</v>
      </c>
      <c r="DC142" s="286" t="s">
        <v>999</v>
      </c>
      <c r="DD142" s="62">
        <v>24328068004</v>
      </c>
      <c r="DE1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2" s="301">
        <v>45566</v>
      </c>
      <c r="DG142" s="286" t="s">
        <v>1000</v>
      </c>
      <c r="DH142" s="62">
        <v>24328068004</v>
      </c>
      <c r="DI1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2" s="300">
        <v>45558</v>
      </c>
      <c r="DK142" s="300">
        <v>45627</v>
      </c>
      <c r="DL142" s="301">
        <v>45626</v>
      </c>
      <c r="DM142" s="286" t="s">
        <v>1001</v>
      </c>
      <c r="DN1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2" s="301">
        <v>45635</v>
      </c>
      <c r="DP142" s="286" t="s">
        <v>1002</v>
      </c>
      <c r="DQ142" s="308" t="s">
        <v>275</v>
      </c>
      <c r="DR1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2" s="300">
        <v>45558</v>
      </c>
      <c r="DT142" s="300" t="e">
        <v>#N/A</v>
      </c>
      <c r="DU142" s="300">
        <v>45599</v>
      </c>
      <c r="DV142" s="300" t="e">
        <v>#N/A</v>
      </c>
      <c r="DW142" s="301">
        <v>45701</v>
      </c>
      <c r="DX142" s="286" t="s">
        <v>1003</v>
      </c>
      <c r="DY142" s="304"/>
      <c r="DZ142" s="304"/>
      <c r="EA1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2" s="301">
        <v>45813</v>
      </c>
      <c r="EC142" s="302"/>
      <c r="ED142" s="302"/>
      <c r="EE142" s="300" t="s">
        <v>1004</v>
      </c>
      <c r="EF142" s="35">
        <v>1</v>
      </c>
      <c r="EG142" s="307">
        <v>1</v>
      </c>
      <c r="EH142" s="286" t="str">
        <f>IF(Table1[[#This Row],[PO Material Aktual 
(%)]]&gt;=100%,"Selesai PO = 100%",IF(Table1[[#This Row],[PO Material Aktual 
(%)]]&gt;=50%,"Proses PO &gt; 100%",IF(Table1[[#This Row],[PO Material Aktual 
(%)]]&gt;0%,"Proses PO &gt; 50%",IF(Table1[[#This Row],[PO Material Aktual 
(%)]]=0,"Belum PO = 0%"))))</f>
        <v>Selesai PO = 100%</v>
      </c>
      <c r="EI1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2" s="300">
        <v>45600</v>
      </c>
      <c r="EK142" s="300" t="e">
        <v>#N/A</v>
      </c>
      <c r="EL142" s="300">
        <v>45711</v>
      </c>
      <c r="EM142" s="300" t="e">
        <v>#N/A</v>
      </c>
      <c r="EN142" s="301">
        <v>45933</v>
      </c>
      <c r="EO142" s="302"/>
      <c r="EP142" s="302"/>
      <c r="EQ142" s="82">
        <v>1</v>
      </c>
      <c r="ER142" s="82">
        <v>1</v>
      </c>
      <c r="ES142" s="286" t="str">
        <f>IF(Table1[[#This Row],[Progres MOS]]&gt;=100%,"Selesai MOS = 100%",IF(Table1[[#This Row],[Progres MOS]]&gt;=50%,"Proses MOS &gt; 100%",IF(Table1[[#This Row],[Progres MOS]]&gt;0%,"Proses MOS &gt; 50%",IF(Table1[[#This Row],[Progres MOS]]=0,"Belum MOS = 0%"))))</f>
        <v>Selesai MOS = 100%</v>
      </c>
      <c r="ET1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2" s="42"/>
      <c r="EV142" s="300">
        <v>45558</v>
      </c>
      <c r="EW142" s="300" t="e">
        <v>#N/A</v>
      </c>
      <c r="EX142" s="300">
        <v>45655</v>
      </c>
      <c r="EY142" s="300" t="e">
        <v>#N/A</v>
      </c>
      <c r="EZ142" s="322" t="s">
        <v>259</v>
      </c>
      <c r="FA142" s="306" t="s">
        <v>259</v>
      </c>
      <c r="FB142" s="300" t="s">
        <v>260</v>
      </c>
      <c r="FC142" s="300">
        <v>45723</v>
      </c>
      <c r="FD142" s="300" t="s">
        <v>260</v>
      </c>
      <c r="FE142" s="300">
        <v>45741</v>
      </c>
      <c r="FF142" s="300">
        <v>45819</v>
      </c>
      <c r="FG142" s="300" t="s">
        <v>260</v>
      </c>
      <c r="FH142" s="300" t="s">
        <v>260</v>
      </c>
      <c r="FI142" s="300">
        <v>45988</v>
      </c>
      <c r="FJ142" s="300" t="s">
        <v>260</v>
      </c>
      <c r="FK142" s="300">
        <v>46057</v>
      </c>
      <c r="FL142" s="306" t="s">
        <v>259</v>
      </c>
      <c r="FM142" s="322">
        <v>45723</v>
      </c>
      <c r="FN142" s="308">
        <f>IF(Table1[[#This Row],[Tanggal Pengajuan Dokumen]]="","",Table1[[#This Row],[PLAN PERMIT
start]]-Table1[[#This Row],[Tanggal Pengajuan Dokumen]])</f>
        <v>-165</v>
      </c>
      <c r="FO142" s="407">
        <v>46064</v>
      </c>
      <c r="FP142" s="286"/>
      <c r="FQ142" s="308"/>
      <c r="FR142" s="308"/>
      <c r="FS142" s="308" t="str">
        <f t="shared" si="9"/>
        <v>Sudah Terbit</v>
      </c>
      <c r="FT1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2" s="314">
        <f ca="1">IF(Table1[[#This Row],[Status Izin]]="Selesai",Table1[[#This Row],[PLAN PERMIT
finish]]-Table1[[#This Row],[Tanggal Terbit/ Target Izin Terbit]],ROUNDUP(Table1[[#This Row],[PLAN PERMIT
finish]]-NOW(),0))</f>
        <v>-409</v>
      </c>
      <c r="FV1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2" s="314"/>
      <c r="FX142" s="42"/>
      <c r="FY142" s="310"/>
      <c r="FZ142" s="311">
        <v>45582</v>
      </c>
      <c r="GA1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2" s="300">
        <v>45629</v>
      </c>
      <c r="GC142" s="322">
        <v>45635</v>
      </c>
      <c r="GD1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2" s="300">
        <v>45636</v>
      </c>
      <c r="GF142" s="322">
        <v>45635</v>
      </c>
      <c r="GG1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2" s="300">
        <v>45642</v>
      </c>
      <c r="GI142" s="300">
        <v>45648</v>
      </c>
      <c r="GJ142" s="322">
        <v>45649</v>
      </c>
      <c r="GK1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2" s="300">
        <v>45656</v>
      </c>
      <c r="GM142" s="300" t="e">
        <v>#N/A</v>
      </c>
      <c r="GN142" s="300">
        <v>45788</v>
      </c>
      <c r="GO142" s="300" t="e">
        <v>#N/A</v>
      </c>
      <c r="GP142" s="286"/>
      <c r="GQ1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2" s="300" t="s">
        <v>261</v>
      </c>
      <c r="GS142" s="300" t="s">
        <v>261</v>
      </c>
      <c r="GT142" s="324">
        <v>45786</v>
      </c>
      <c r="GU142" s="314" t="str">
        <f>IF(Table1[[#This Row],[Hydro Tes Actual
(tanggal)]]&lt;&gt;"","Sudah","Belum")</f>
        <v>Sudah</v>
      </c>
      <c r="GV142" s="300" t="s">
        <v>261</v>
      </c>
      <c r="GW142" s="300" t="s">
        <v>261</v>
      </c>
      <c r="GX142" s="301">
        <v>45792</v>
      </c>
      <c r="GY142" s="314" t="str">
        <f>IF(Table1[[#This Row],[Interkoneksi Actual
(tanggal)]]&lt;&gt;"","Sudah","Belum")</f>
        <v>Sudah</v>
      </c>
      <c r="GZ142" s="300" t="s">
        <v>261</v>
      </c>
      <c r="HA142" s="300" t="s">
        <v>261</v>
      </c>
      <c r="HB142" s="301">
        <v>45825</v>
      </c>
      <c r="HC142" s="314" t="str">
        <f>IF(Table1[[#This Row],[Flushing Actual
(tanggal)]]&lt;&gt;"","Sudah","Belum")</f>
        <v>Sudah</v>
      </c>
      <c r="HD142" s="300">
        <v>45754</v>
      </c>
      <c r="HE142" s="300" t="e">
        <v>#N/A</v>
      </c>
      <c r="HF142" s="300">
        <v>45774</v>
      </c>
      <c r="HG142" s="322">
        <v>45922</v>
      </c>
      <c r="HH1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2" s="300" t="s">
        <v>261</v>
      </c>
      <c r="HJ142" s="300" t="s">
        <v>261</v>
      </c>
      <c r="HK142" s="301"/>
      <c r="HL142" s="286"/>
      <c r="HM142" s="300">
        <v>45793</v>
      </c>
      <c r="HN142" s="300">
        <v>45793</v>
      </c>
      <c r="HO142" s="300" t="e">
        <v>#N/A</v>
      </c>
      <c r="HP142" s="300"/>
      <c r="HQ142" s="301">
        <v>45933</v>
      </c>
      <c r="HR1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2" s="300">
        <v>45800</v>
      </c>
      <c r="HT142" s="300"/>
      <c r="HU142" s="300">
        <v>45800</v>
      </c>
      <c r="HV142" s="497"/>
      <c r="HW142" s="300">
        <v>45934</v>
      </c>
      <c r="HX1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2" s="42"/>
      <c r="HZ142" s="322"/>
      <c r="IA142" s="306"/>
      <c r="IC142" s="585">
        <f>IFERROR(ROUND((Table1[[#This Row],[PLAN TC
finish]]-Table1[[#This Row],[PLAN MC-0
start]])/30,2),"")</f>
        <v>4.4000000000000004</v>
      </c>
      <c r="ID142">
        <f>DATEDIF(Table1[[#This Row],[PLAN MC-0
start]],Table1[[#This Row],[PLAN TC
finish]],"m")</f>
        <v>4</v>
      </c>
    </row>
    <row r="143" spans="2:238" s="4" customFormat="1" ht="15" customHeight="1" x14ac:dyDescent="0.25">
      <c r="B143" s="281">
        <f>SUBTOTAL(3,$D$5:D143)</f>
        <v>139</v>
      </c>
      <c r="C143" s="318">
        <v>139</v>
      </c>
      <c r="D143" s="308" t="s">
        <v>629</v>
      </c>
      <c r="E143" s="308" t="s">
        <v>1005</v>
      </c>
      <c r="F143" s="308" t="s">
        <v>1006</v>
      </c>
      <c r="G143" s="319">
        <v>45935</v>
      </c>
      <c r="H143" s="284" t="s">
        <v>247</v>
      </c>
      <c r="I143" s="308" t="s">
        <v>278</v>
      </c>
      <c r="J143" s="285"/>
      <c r="K143" s="308" t="s">
        <v>915</v>
      </c>
      <c r="L143" s="286" t="s">
        <v>250</v>
      </c>
      <c r="M143" s="286" t="s">
        <v>269</v>
      </c>
      <c r="N143" s="94">
        <v>9925</v>
      </c>
      <c r="O143" s="113" t="s">
        <v>252</v>
      </c>
      <c r="P1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3" s="35" t="e">
        <v>#N/A</v>
      </c>
      <c r="S143" s="35">
        <v>1</v>
      </c>
      <c r="T143" s="35">
        <f>Table1[[#This Row],[Progres Total Aktual
(%)]]</f>
        <v>1</v>
      </c>
      <c r="U143" s="106">
        <f>Table1[[#This Row],[Progres Aktual
(%)]]-Table1[[#This Row],[Target Progres
(%)]]</f>
        <v>0</v>
      </c>
      <c r="V143" s="320">
        <f>Table1[[#This Row],["Volume
BA MC-0"]]</f>
        <v>9781</v>
      </c>
      <c r="W143" s="321">
        <f>Table1[[#This Row],[Total Panjang Pipa Aktual
(Sum-&gt;)3]]</f>
        <v>7185.5999999999995</v>
      </c>
      <c r="X143" s="42"/>
      <c r="Y143" s="62" t="s">
        <v>1007</v>
      </c>
      <c r="Z143" s="62">
        <v>14849662982</v>
      </c>
      <c r="AA143" s="62">
        <f>Table1[[#This Row],[Nilai RAB Jaringan
(file pa aji)]]</f>
        <v>14849662982</v>
      </c>
      <c r="AB143" s="290">
        <f>SUM(Table1[[#This Row],[RAB Kegiatan Umum]:[RAB Perizinan]])</f>
        <v>0</v>
      </c>
      <c r="AC143" s="290"/>
      <c r="AD143" s="290"/>
      <c r="AE143" s="290"/>
      <c r="AF143" s="290"/>
      <c r="AG143" s="406">
        <v>4035757503</v>
      </c>
      <c r="AH143" s="35" t="e">
        <f>SUM(Table1[[#This Row],[Bobot Keg Umum]:[Bobot Perizinan]])</f>
        <v>#DIV/0!</v>
      </c>
      <c r="AI143" s="35" t="e">
        <f>Table1[[#This Row],[RAB Kegiatan Umum]]/Table1[[#This Row],[Nilai RAB Jaringan
(Exclude Ppn)]]</f>
        <v>#DIV/0!</v>
      </c>
      <c r="AJ143" s="35" t="e">
        <f>Table1[[#This Row],[RAB Pemasangan]]/Table1[[#This Row],[Nilai RAB Jaringan
(Exclude Ppn)]]</f>
        <v>#DIV/0!</v>
      </c>
      <c r="AK143" s="35" t="e">
        <f>Table1[[#This Row],[RAB Pengadaan]]/Table1[[#This Row],[Nilai RAB Jaringan
(Exclude Ppn)]]</f>
        <v>#DIV/0!</v>
      </c>
      <c r="AL143" s="35" t="e">
        <f>Table1[[#This Row],[RAB Perizinan]]/Table1[[#This Row],[Nilai RAB Jaringan
(Exclude Ppn)]]</f>
        <v>#DIV/0!</v>
      </c>
      <c r="AM143" s="42"/>
      <c r="AN143" s="256">
        <v>9781</v>
      </c>
      <c r="AO143" s="256">
        <f>SUM(Table1[[#This Row],[Pipa 63 mm]:[Pipa 1,800 mm]])</f>
        <v>9781</v>
      </c>
      <c r="AP143" s="256">
        <v>3945</v>
      </c>
      <c r="AQ143" s="256">
        <v>5091</v>
      </c>
      <c r="AR143" s="256">
        <v>500</v>
      </c>
      <c r="AS143" s="256">
        <v>245</v>
      </c>
      <c r="AT143" s="256"/>
      <c r="AU143" s="256"/>
      <c r="AV143" s="256"/>
      <c r="AW143" s="256"/>
      <c r="AX143" s="256"/>
      <c r="AY143" s="256"/>
      <c r="AZ143" s="256"/>
      <c r="BA143" s="256"/>
      <c r="BB143" s="256"/>
      <c r="BC143" s="256"/>
      <c r="BD143" s="256"/>
      <c r="BE143" s="256"/>
      <c r="BF143" s="256"/>
      <c r="BG143" s="256"/>
      <c r="BH143" s="256"/>
      <c r="BI143" s="256"/>
      <c r="BJ143" s="36">
        <f>SUM(Table1[[#This Row],[Pipa 63 mm2]:[Pipa 1,800 mm21]])</f>
        <v>7185.5999999999995</v>
      </c>
      <c r="BK143" s="32">
        <v>2664</v>
      </c>
      <c r="BL143" s="32">
        <v>4098.3999999999996</v>
      </c>
      <c r="BM143" s="32">
        <v>401.2</v>
      </c>
      <c r="BN143" s="32">
        <v>22</v>
      </c>
      <c r="BO143" s="32"/>
      <c r="BP143" s="32"/>
      <c r="BQ143" s="32"/>
      <c r="BR143" s="32"/>
      <c r="BS143" s="32"/>
      <c r="BT143" s="32"/>
      <c r="BU143" s="32"/>
      <c r="BV143" s="32"/>
      <c r="BW143" s="32"/>
      <c r="BX143" s="32"/>
      <c r="BY143" s="32"/>
      <c r="BZ143" s="32"/>
      <c r="CA143" s="32"/>
      <c r="CB143" s="32"/>
      <c r="CC143" s="32"/>
      <c r="CD143" s="32"/>
      <c r="CE143" s="32">
        <v>0</v>
      </c>
      <c r="CF143" s="32">
        <v>591</v>
      </c>
      <c r="CG143" s="32">
        <v>519</v>
      </c>
      <c r="CH143" s="32">
        <v>55</v>
      </c>
      <c r="CI143" s="32">
        <f t="shared" si="10"/>
        <v>1165</v>
      </c>
      <c r="CJ143" s="60">
        <f>IF((Table1[[#This Row],["Volume
BA MC-0"]]-Table1[[#This Row],[Total Panjang Pipa Aktual
(Sum-&gt;)3]]-Table1[[#This Row],[Total Volume
tidak dapat dipasang]])&gt;=0,Table1[[#This Row],["Volume
BA MC-0"]]-Table1[[#This Row],[Total Panjang Pipa Aktual
(Sum-&gt;)3]]-Table1[[#This Row],[Total Volume
tidak dapat dipasang]],0)</f>
        <v>1430.4000000000005</v>
      </c>
      <c r="CK143" s="42"/>
      <c r="CL143" s="113"/>
      <c r="CM143" s="35"/>
      <c r="CN143" s="113"/>
      <c r="CO143" s="113"/>
      <c r="CP1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3" s="61">
        <f>IFERROR(Table1[[#This Row],[Progres Keg. Umum
(%)]]*Table1[[#This Row],[Nilai RAB Jaringan
(file pa aji)]],0)</f>
        <v>0</v>
      </c>
      <c r="CR143" s="61">
        <f>IFERROR(Table1[[#This Row],[Progres MOS
(%)]]*Table1[[#This Row],[Nilai RAB Jaringan
(file pa aji)]],0)</f>
        <v>0</v>
      </c>
      <c r="CS143" s="61">
        <f>IFERROR(Table1[[#This Row],[Progres Pemasangan
(%)]]*Table1[[#This Row],[Nilai RAB Jaringan
(file pa aji)]],0)</f>
        <v>0</v>
      </c>
      <c r="CT143" s="61">
        <f>IFERROR(Table1[[#This Row],[Progres Perizinan
(%)]]*Table1[[#This Row],[Nilai RAB Jaringan
(file pa aji)]],0)</f>
        <v>0</v>
      </c>
      <c r="CU143" s="789">
        <v>10818527341</v>
      </c>
      <c r="CV143" s="299">
        <v>10818527341</v>
      </c>
      <c r="CW143" s="552">
        <v>10818527341</v>
      </c>
      <c r="CX143" s="789">
        <f>_xlfn.XLOOKUP(Table1[[#This Row],[Kode Program]],'[1]Breakdown VOWD Greenfield'!$E:$E,'[1]Breakdown VOWD Greenfield'!$AT:$AT)</f>
        <v>10818527341</v>
      </c>
      <c r="CY143" s="42"/>
      <c r="CZ143" s="300">
        <v>45530</v>
      </c>
      <c r="DA143" s="300">
        <v>45557</v>
      </c>
      <c r="DB143" s="301">
        <v>45553</v>
      </c>
      <c r="DC143" s="286" t="s">
        <v>1008</v>
      </c>
      <c r="DD143" s="62">
        <v>17182263383</v>
      </c>
      <c r="DE1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3" s="301">
        <v>45566</v>
      </c>
      <c r="DG143" s="286" t="s">
        <v>1009</v>
      </c>
      <c r="DH143" s="62">
        <v>17182263383</v>
      </c>
      <c r="DI1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3" s="300">
        <v>45558</v>
      </c>
      <c r="DK143" s="300">
        <v>45627</v>
      </c>
      <c r="DL143" s="301">
        <v>45626</v>
      </c>
      <c r="DM143" s="286" t="s">
        <v>657</v>
      </c>
      <c r="DN1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3" s="301">
        <v>45635</v>
      </c>
      <c r="DP143" s="286" t="s">
        <v>658</v>
      </c>
      <c r="DQ143" s="308" t="s">
        <v>275</v>
      </c>
      <c r="DR1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3" s="300">
        <v>45558</v>
      </c>
      <c r="DT143" s="300" t="e">
        <v>#N/A</v>
      </c>
      <c r="DU143" s="300">
        <v>45599</v>
      </c>
      <c r="DV143" s="300" t="e">
        <v>#N/A</v>
      </c>
      <c r="DW143" s="301">
        <v>45917</v>
      </c>
      <c r="DX143" s="286" t="s">
        <v>1010</v>
      </c>
      <c r="DY143" s="304"/>
      <c r="DZ143" s="304"/>
      <c r="EA1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3" s="301">
        <v>45937</v>
      </c>
      <c r="EC143" s="302"/>
      <c r="ED143" s="302"/>
      <c r="EE143" s="300" t="s">
        <v>1011</v>
      </c>
      <c r="EF143" s="35">
        <v>1</v>
      </c>
      <c r="EG143" s="307">
        <v>1</v>
      </c>
      <c r="EH143" s="286" t="str">
        <f>IF(Table1[[#This Row],[PO Material Aktual 
(%)]]&gt;=100%,"Selesai PO = 100%",IF(Table1[[#This Row],[PO Material Aktual 
(%)]]&gt;=50%,"Proses PO &gt; 100%",IF(Table1[[#This Row],[PO Material Aktual 
(%)]]&gt;0%,"Proses PO &gt; 50%",IF(Table1[[#This Row],[PO Material Aktual 
(%)]]=0,"Belum PO = 0%"))))</f>
        <v>Selesai PO = 100%</v>
      </c>
      <c r="EI1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3" s="300">
        <v>45600</v>
      </c>
      <c r="EK143" s="300" t="e">
        <v>#N/A</v>
      </c>
      <c r="EL143" s="300">
        <v>45711</v>
      </c>
      <c r="EM143" s="300" t="e">
        <v>#N/A</v>
      </c>
      <c r="EN143" s="301">
        <v>45964</v>
      </c>
      <c r="EO143" s="302"/>
      <c r="EP143" s="302"/>
      <c r="EQ143" s="82">
        <v>1</v>
      </c>
      <c r="ER143" s="82">
        <v>1</v>
      </c>
      <c r="ES143" s="286" t="str">
        <f>IF(Table1[[#This Row],[Progres MOS]]&gt;=100%,"Selesai MOS = 100%",IF(Table1[[#This Row],[Progres MOS]]&gt;=50%,"Proses MOS &gt; 100%",IF(Table1[[#This Row],[Progres MOS]]&gt;0%,"Proses MOS &gt; 50%",IF(Table1[[#This Row],[Progres MOS]]=0,"Belum MOS = 0%"))))</f>
        <v>Selesai MOS = 100%</v>
      </c>
      <c r="ET1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3" s="42"/>
      <c r="EV143" s="300">
        <v>45558</v>
      </c>
      <c r="EW143" s="300" t="e">
        <v>#N/A</v>
      </c>
      <c r="EX143" s="300">
        <v>45655</v>
      </c>
      <c r="EY143" s="300" t="e">
        <v>#N/A</v>
      </c>
      <c r="EZ143" s="322" t="s">
        <v>259</v>
      </c>
      <c r="FA143" s="306" t="s">
        <v>259</v>
      </c>
      <c r="FB143" s="300" t="s">
        <v>260</v>
      </c>
      <c r="FC143" s="300">
        <v>45670</v>
      </c>
      <c r="FD143" s="300" t="s">
        <v>260</v>
      </c>
      <c r="FE143" s="300">
        <v>45722</v>
      </c>
      <c r="FF143" s="300">
        <v>45819</v>
      </c>
      <c r="FG143" s="300" t="s">
        <v>260</v>
      </c>
      <c r="FH143" s="300" t="s">
        <v>260</v>
      </c>
      <c r="FI143" s="300">
        <v>45988</v>
      </c>
      <c r="FJ143" s="300" t="s">
        <v>260</v>
      </c>
      <c r="FK143" s="300">
        <v>46057</v>
      </c>
      <c r="FL143" s="306" t="s">
        <v>259</v>
      </c>
      <c r="FM143" s="322">
        <v>45670</v>
      </c>
      <c r="FN143" s="308">
        <f>IF(Table1[[#This Row],[Tanggal Pengajuan Dokumen]]="","",Table1[[#This Row],[PLAN PERMIT
start]]-Table1[[#This Row],[Tanggal Pengajuan Dokumen]])</f>
        <v>-112</v>
      </c>
      <c r="FO143" s="407">
        <v>46064</v>
      </c>
      <c r="FP143" s="286"/>
      <c r="FQ143" s="308"/>
      <c r="FR143" s="308"/>
      <c r="FS143" s="308" t="str">
        <f t="shared" si="9"/>
        <v>Sudah Terbit</v>
      </c>
      <c r="FT1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3" s="314">
        <f ca="1">IF(Table1[[#This Row],[Status Izin]]="Selesai",Table1[[#This Row],[PLAN PERMIT
finish]]-Table1[[#This Row],[Tanggal Terbit/ Target Izin Terbit]],ROUNDUP(Table1[[#This Row],[PLAN PERMIT
finish]]-NOW(),0))</f>
        <v>-409</v>
      </c>
      <c r="FV1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3" s="314"/>
      <c r="FX143" s="42"/>
      <c r="FY143" s="310"/>
      <c r="FZ143" s="311">
        <v>45582</v>
      </c>
      <c r="GA1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3" s="300">
        <v>45629</v>
      </c>
      <c r="GC143" s="322">
        <v>45635</v>
      </c>
      <c r="GD1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3" s="300">
        <v>45636</v>
      </c>
      <c r="GF143" s="322">
        <v>45635</v>
      </c>
      <c r="GG1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3" s="300">
        <v>45642</v>
      </c>
      <c r="GI143" s="300">
        <v>45648</v>
      </c>
      <c r="GJ143" s="322">
        <v>45650</v>
      </c>
      <c r="GK1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3" s="300">
        <v>45656</v>
      </c>
      <c r="GM143" s="300" t="e">
        <v>#N/A</v>
      </c>
      <c r="GN143" s="300">
        <v>45788</v>
      </c>
      <c r="GO143" s="300" t="e">
        <v>#N/A</v>
      </c>
      <c r="GP143" s="286"/>
      <c r="GQ1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3" s="300" t="s">
        <v>261</v>
      </c>
      <c r="GS143" s="300" t="s">
        <v>261</v>
      </c>
      <c r="GT143" s="324">
        <v>45813</v>
      </c>
      <c r="GU143" s="314" t="str">
        <f>IF(Table1[[#This Row],[Hydro Tes Actual
(tanggal)]]&lt;&gt;"","Sudah","Belum")</f>
        <v>Sudah</v>
      </c>
      <c r="GV143" s="300" t="s">
        <v>261</v>
      </c>
      <c r="GW143" s="300" t="s">
        <v>261</v>
      </c>
      <c r="GX143" s="301">
        <v>45913</v>
      </c>
      <c r="GY143" s="314" t="str">
        <f>IF(Table1[[#This Row],[Interkoneksi Actual
(tanggal)]]&lt;&gt;"","Sudah","Belum")</f>
        <v>Sudah</v>
      </c>
      <c r="GZ143" s="300" t="s">
        <v>261</v>
      </c>
      <c r="HA143" s="300" t="s">
        <v>261</v>
      </c>
      <c r="HB143" s="301">
        <v>45907</v>
      </c>
      <c r="HC143" s="314" t="str">
        <f>IF(Table1[[#This Row],[Flushing Actual
(tanggal)]]&lt;&gt;"","Sudah","Belum")</f>
        <v>Sudah</v>
      </c>
      <c r="HD143" s="300">
        <v>45754</v>
      </c>
      <c r="HE143" s="300" t="e">
        <v>#N/A</v>
      </c>
      <c r="HF143" s="300">
        <v>45774</v>
      </c>
      <c r="HG143" s="322">
        <v>45922</v>
      </c>
      <c r="HH1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3" s="300" t="s">
        <v>261</v>
      </c>
      <c r="HJ143" s="300" t="s">
        <v>261</v>
      </c>
      <c r="HK143" s="301"/>
      <c r="HL143" s="286"/>
      <c r="HM143" s="300">
        <v>45793</v>
      </c>
      <c r="HN143" s="300">
        <v>45793</v>
      </c>
      <c r="HO143" s="300" t="e">
        <v>#N/A</v>
      </c>
      <c r="HP143" s="300"/>
      <c r="HQ143" s="301">
        <v>45933</v>
      </c>
      <c r="HR1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3" s="300">
        <v>45800</v>
      </c>
      <c r="HT143" s="300"/>
      <c r="HU143" s="300">
        <v>45800</v>
      </c>
      <c r="HV143" s="497"/>
      <c r="HW143" s="300">
        <v>45934</v>
      </c>
      <c r="HX1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3" s="42"/>
      <c r="HZ143" s="322"/>
      <c r="IA143" s="306"/>
      <c r="IC143" s="585">
        <f>IFERROR(ROUND((Table1[[#This Row],[PLAN TC
finish]]-Table1[[#This Row],[PLAN MC-0
start]])/30,2),"")</f>
        <v>4.4000000000000004</v>
      </c>
      <c r="ID143">
        <f>DATEDIF(Table1[[#This Row],[PLAN MC-0
start]],Table1[[#This Row],[PLAN TC
finish]],"m")</f>
        <v>4</v>
      </c>
    </row>
    <row r="144" spans="2:238" s="4" customFormat="1" ht="15" customHeight="1" x14ac:dyDescent="0.25">
      <c r="B144" s="281">
        <f>SUBTOTAL(3,$D$5:D144)</f>
        <v>140</v>
      </c>
      <c r="C144" s="318">
        <v>140</v>
      </c>
      <c r="D144" s="308" t="s">
        <v>629</v>
      </c>
      <c r="E144" s="308" t="s">
        <v>1012</v>
      </c>
      <c r="F144" s="308" t="s">
        <v>1013</v>
      </c>
      <c r="G144" s="319">
        <v>45935</v>
      </c>
      <c r="H144" s="284" t="s">
        <v>247</v>
      </c>
      <c r="I144" s="308" t="s">
        <v>278</v>
      </c>
      <c r="J144" s="285"/>
      <c r="K144" s="308" t="s">
        <v>915</v>
      </c>
      <c r="L144" s="286" t="s">
        <v>250</v>
      </c>
      <c r="M144" s="286" t="s">
        <v>269</v>
      </c>
      <c r="N144" s="94">
        <v>12402</v>
      </c>
      <c r="O144" s="113" t="s">
        <v>252</v>
      </c>
      <c r="P1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4" s="35" t="e">
        <v>#N/A</v>
      </c>
      <c r="S144" s="35">
        <v>1</v>
      </c>
      <c r="T144" s="35">
        <f>Table1[[#This Row],[Progres Total Aktual
(%)]]</f>
        <v>1</v>
      </c>
      <c r="U144" s="106">
        <f>Table1[[#This Row],[Progres Aktual
(%)]]-Table1[[#This Row],[Target Progres
(%)]]</f>
        <v>0</v>
      </c>
      <c r="V144" s="320">
        <f>Table1[[#This Row],["Volume
BA MC-0"]]</f>
        <v>12262</v>
      </c>
      <c r="W144" s="321">
        <f>Table1[[#This Row],[Total Panjang Pipa Aktual
(Sum-&gt;)3]]</f>
        <v>7078.3999999999987</v>
      </c>
      <c r="X144" s="42"/>
      <c r="Y144" s="62" t="s">
        <v>1014</v>
      </c>
      <c r="Z144" s="62">
        <v>22496190377</v>
      </c>
      <c r="AA144" s="62">
        <f>Table1[[#This Row],[Nilai RAB Jaringan
(file pa aji)]]</f>
        <v>22496190377</v>
      </c>
      <c r="AB144" s="290">
        <f>SUM(Table1[[#This Row],[RAB Kegiatan Umum]:[RAB Perizinan]])</f>
        <v>0</v>
      </c>
      <c r="AC144" s="290"/>
      <c r="AD144" s="290"/>
      <c r="AE144" s="290"/>
      <c r="AF144" s="290"/>
      <c r="AG144" s="406">
        <v>5097475323</v>
      </c>
      <c r="AH144" s="35" t="e">
        <f>SUM(Table1[[#This Row],[Bobot Keg Umum]:[Bobot Perizinan]])</f>
        <v>#DIV/0!</v>
      </c>
      <c r="AI144" s="35" t="e">
        <f>Table1[[#This Row],[RAB Kegiatan Umum]]/Table1[[#This Row],[Nilai RAB Jaringan
(Exclude Ppn)]]</f>
        <v>#DIV/0!</v>
      </c>
      <c r="AJ144" s="35" t="e">
        <f>Table1[[#This Row],[RAB Pemasangan]]/Table1[[#This Row],[Nilai RAB Jaringan
(Exclude Ppn)]]</f>
        <v>#DIV/0!</v>
      </c>
      <c r="AK144" s="35" t="e">
        <f>Table1[[#This Row],[RAB Pengadaan]]/Table1[[#This Row],[Nilai RAB Jaringan
(Exclude Ppn)]]</f>
        <v>#DIV/0!</v>
      </c>
      <c r="AL144" s="35" t="e">
        <f>Table1[[#This Row],[RAB Perizinan]]/Table1[[#This Row],[Nilai RAB Jaringan
(Exclude Ppn)]]</f>
        <v>#DIV/0!</v>
      </c>
      <c r="AM144" s="42"/>
      <c r="AN144" s="256">
        <v>12262</v>
      </c>
      <c r="AO144" s="256">
        <f>SUM(Table1[[#This Row],[Pipa 63 mm]:[Pipa 1,800 mm]])</f>
        <v>12262</v>
      </c>
      <c r="AP144" s="256">
        <v>5112</v>
      </c>
      <c r="AQ144" s="256">
        <v>2765</v>
      </c>
      <c r="AR144" s="256">
        <v>2946</v>
      </c>
      <c r="AS144" s="256">
        <v>157</v>
      </c>
      <c r="AT144" s="256">
        <v>363</v>
      </c>
      <c r="AU144" s="256">
        <v>909</v>
      </c>
      <c r="AV144" s="256"/>
      <c r="AW144" s="256"/>
      <c r="AX144" s="256"/>
      <c r="AY144" s="256">
        <v>10</v>
      </c>
      <c r="AZ144" s="256"/>
      <c r="BA144" s="256"/>
      <c r="BB144" s="256"/>
      <c r="BC144" s="256"/>
      <c r="BD144" s="256"/>
      <c r="BE144" s="256"/>
      <c r="BF144" s="256"/>
      <c r="BG144" s="256"/>
      <c r="BH144" s="256"/>
      <c r="BI144" s="256"/>
      <c r="BJ144" s="36">
        <f>SUM(Table1[[#This Row],[Pipa 63 mm2]:[Pipa 1,800 mm21]])</f>
        <v>7078.3999999999987</v>
      </c>
      <c r="BK144" s="32">
        <v>1247.3</v>
      </c>
      <c r="BL144" s="32">
        <v>1960.6</v>
      </c>
      <c r="BM144" s="32">
        <v>2539.9</v>
      </c>
      <c r="BN144" s="32">
        <v>91.7</v>
      </c>
      <c r="BO144" s="32">
        <v>331.4</v>
      </c>
      <c r="BP144" s="32">
        <v>907.5</v>
      </c>
      <c r="BQ144" s="32"/>
      <c r="BR144" s="32"/>
      <c r="BS144" s="32"/>
      <c r="BT144" s="32"/>
      <c r="BU144" s="32"/>
      <c r="BV144" s="32"/>
      <c r="BW144" s="32"/>
      <c r="BX144" s="32"/>
      <c r="BY144" s="32"/>
      <c r="BZ144" s="32"/>
      <c r="CA144" s="32"/>
      <c r="CB144" s="32"/>
      <c r="CC144" s="32"/>
      <c r="CD144" s="32"/>
      <c r="CE144" s="32">
        <v>1231</v>
      </c>
      <c r="CF144" s="32">
        <v>1125</v>
      </c>
      <c r="CG144" s="32">
        <v>396</v>
      </c>
      <c r="CH144" s="32">
        <v>2245</v>
      </c>
      <c r="CI144" s="32">
        <f t="shared" si="10"/>
        <v>4997</v>
      </c>
      <c r="CJ144" s="60">
        <f>IF((Table1[[#This Row],["Volume
BA MC-0"]]-Table1[[#This Row],[Total Panjang Pipa Aktual
(Sum-&gt;)3]]-Table1[[#This Row],[Total Volume
tidak dapat dipasang]])&gt;=0,Table1[[#This Row],["Volume
BA MC-0"]]-Table1[[#This Row],[Total Panjang Pipa Aktual
(Sum-&gt;)3]]-Table1[[#This Row],[Total Volume
tidak dapat dipasang]],0)</f>
        <v>186.60000000000127</v>
      </c>
      <c r="CK144" s="42"/>
      <c r="CL144" s="113"/>
      <c r="CM144" s="35"/>
      <c r="CN144" s="113"/>
      <c r="CO144" s="113"/>
      <c r="CP1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4" s="61">
        <f>IFERROR(Table1[[#This Row],[Progres Keg. Umum
(%)]]*Table1[[#This Row],[Nilai RAB Jaringan
(file pa aji)]],0)</f>
        <v>0</v>
      </c>
      <c r="CR144" s="61">
        <f>IFERROR(Table1[[#This Row],[Progres MOS
(%)]]*Table1[[#This Row],[Nilai RAB Jaringan
(file pa aji)]],0)</f>
        <v>0</v>
      </c>
      <c r="CS144" s="61">
        <f>IFERROR(Table1[[#This Row],[Progres Pemasangan
(%)]]*Table1[[#This Row],[Nilai RAB Jaringan
(file pa aji)]],0)</f>
        <v>0</v>
      </c>
      <c r="CT144" s="61">
        <f>IFERROR(Table1[[#This Row],[Progres Perizinan
(%)]]*Table1[[#This Row],[Nilai RAB Jaringan
(file pa aji)]],0)</f>
        <v>0</v>
      </c>
      <c r="CU144" s="789">
        <v>11885983812</v>
      </c>
      <c r="CV144" s="299">
        <v>11885983812</v>
      </c>
      <c r="CW144" s="552">
        <v>11885983812</v>
      </c>
      <c r="CX144" s="789">
        <f>_xlfn.XLOOKUP(Table1[[#This Row],[Kode Program]],'[1]Breakdown VOWD Greenfield'!$E:$E,'[1]Breakdown VOWD Greenfield'!$AT:$AT)</f>
        <v>11885983812</v>
      </c>
      <c r="CY144" s="42"/>
      <c r="CZ144" s="300">
        <v>45530</v>
      </c>
      <c r="DA144" s="300">
        <v>45557</v>
      </c>
      <c r="DB144" s="301">
        <v>45553</v>
      </c>
      <c r="DC144" s="286" t="s">
        <v>1015</v>
      </c>
      <c r="DD144" s="62">
        <v>25556487913</v>
      </c>
      <c r="DE1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4" s="301">
        <v>45566</v>
      </c>
      <c r="DG144" s="286" t="s">
        <v>1016</v>
      </c>
      <c r="DH144" s="62">
        <v>25556487913</v>
      </c>
      <c r="DI1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4" s="300">
        <v>45558</v>
      </c>
      <c r="DK144" s="300">
        <v>45627</v>
      </c>
      <c r="DL144" s="301">
        <v>45617</v>
      </c>
      <c r="DM144" s="286" t="s">
        <v>1017</v>
      </c>
      <c r="DN1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4" s="301">
        <v>45635</v>
      </c>
      <c r="DP144" s="286" t="s">
        <v>1018</v>
      </c>
      <c r="DQ144" s="308" t="s">
        <v>275</v>
      </c>
      <c r="DR1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4" s="300">
        <v>45558</v>
      </c>
      <c r="DT144" s="300" t="e">
        <v>#N/A</v>
      </c>
      <c r="DU144" s="300">
        <v>45599</v>
      </c>
      <c r="DV144" s="300" t="e">
        <v>#N/A</v>
      </c>
      <c r="DW144" s="301">
        <v>45999</v>
      </c>
      <c r="DX144" s="286" t="s">
        <v>1019</v>
      </c>
      <c r="DY144" s="304"/>
      <c r="DZ144" s="304"/>
      <c r="EA1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4" s="301">
        <v>46002</v>
      </c>
      <c r="EC144" s="302"/>
      <c r="ED144" s="302"/>
      <c r="EE144" s="300" t="s">
        <v>1020</v>
      </c>
      <c r="EF144" s="35">
        <v>1</v>
      </c>
      <c r="EG144" s="307">
        <v>1</v>
      </c>
      <c r="EH144" s="286" t="str">
        <f>IF(Table1[[#This Row],[PO Material Aktual 
(%)]]&gt;=100%,"Selesai PO = 100%",IF(Table1[[#This Row],[PO Material Aktual 
(%)]]&gt;=50%,"Proses PO &gt; 100%",IF(Table1[[#This Row],[PO Material Aktual 
(%)]]&gt;0%,"Proses PO &gt; 50%",IF(Table1[[#This Row],[PO Material Aktual 
(%)]]=0,"Belum PO = 0%"))))</f>
        <v>Selesai PO = 100%</v>
      </c>
      <c r="EI1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4" s="300">
        <v>45600</v>
      </c>
      <c r="EK144" s="300" t="e">
        <v>#N/A</v>
      </c>
      <c r="EL144" s="300">
        <v>45711</v>
      </c>
      <c r="EM144" s="300" t="e">
        <v>#N/A</v>
      </c>
      <c r="EN144" s="301">
        <v>46030</v>
      </c>
      <c r="EO144" s="302"/>
      <c r="EP144" s="302"/>
      <c r="EQ144" s="82">
        <v>1</v>
      </c>
      <c r="ER144" s="82">
        <v>1</v>
      </c>
      <c r="ES144" s="286" t="str">
        <f>IF(Table1[[#This Row],[Progres MOS]]&gt;=100%,"Selesai MOS = 100%",IF(Table1[[#This Row],[Progres MOS]]&gt;=50%,"Proses MOS &gt; 100%",IF(Table1[[#This Row],[Progres MOS]]&gt;0%,"Proses MOS &gt; 50%",IF(Table1[[#This Row],[Progres MOS]]=0,"Belum MOS = 0%"))))</f>
        <v>Selesai MOS = 100%</v>
      </c>
      <c r="ET1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4" s="42"/>
      <c r="EV144" s="300">
        <v>45558</v>
      </c>
      <c r="EW144" s="300" t="e">
        <v>#N/A</v>
      </c>
      <c r="EX144" s="300">
        <v>45655</v>
      </c>
      <c r="EY144" s="300" t="e">
        <v>#N/A</v>
      </c>
      <c r="EZ144" s="322" t="s">
        <v>298</v>
      </c>
      <c r="FA144" s="306" t="s">
        <v>259</v>
      </c>
      <c r="FB144" s="300" t="s">
        <v>260</v>
      </c>
      <c r="FC144" s="300">
        <v>45762</v>
      </c>
      <c r="FD144" s="300" t="s">
        <v>260</v>
      </c>
      <c r="FE144" s="300">
        <v>45896</v>
      </c>
      <c r="FF144" s="300">
        <v>45911</v>
      </c>
      <c r="FG144" s="300" t="s">
        <v>260</v>
      </c>
      <c r="FH144" s="300" t="s">
        <v>260</v>
      </c>
      <c r="FI144" s="300">
        <v>46013</v>
      </c>
      <c r="FJ144" s="300" t="s">
        <v>260</v>
      </c>
      <c r="FK144" s="300">
        <v>46119</v>
      </c>
      <c r="FL144" s="306" t="s">
        <v>298</v>
      </c>
      <c r="FM144" s="322">
        <v>45762</v>
      </c>
      <c r="FN144" s="308">
        <f>IF(Table1[[#This Row],[Tanggal Pengajuan Dokumen]]="","",Table1[[#This Row],[PLAN PERMIT
start]]-Table1[[#This Row],[Tanggal Pengajuan Dokumen]])</f>
        <v>-204</v>
      </c>
      <c r="FO144" s="407">
        <v>46086</v>
      </c>
      <c r="FP144" s="286"/>
      <c r="FQ144" s="308"/>
      <c r="FR144" s="308"/>
      <c r="FS144" s="308" t="str">
        <f t="shared" si="9"/>
        <v>Sudah Terbit</v>
      </c>
      <c r="FT1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4" s="314">
        <f ca="1">IF(Table1[[#This Row],[Status Izin]]="Selesai",Table1[[#This Row],[PLAN PERMIT
finish]]-Table1[[#This Row],[Tanggal Terbit/ Target Izin Terbit]],ROUNDUP(Table1[[#This Row],[PLAN PERMIT
finish]]-NOW(),0))</f>
        <v>-431</v>
      </c>
      <c r="FV1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4" s="314"/>
      <c r="FX144" s="42"/>
      <c r="FY144" s="310"/>
      <c r="FZ144" s="311">
        <v>45582</v>
      </c>
      <c r="GA1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4" s="300">
        <v>45629</v>
      </c>
      <c r="GC144" s="322">
        <v>45635</v>
      </c>
      <c r="GD1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4" s="300">
        <v>45636</v>
      </c>
      <c r="GF144" s="322">
        <v>45635</v>
      </c>
      <c r="GG1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4" s="300">
        <v>45642</v>
      </c>
      <c r="GI144" s="300">
        <v>45648</v>
      </c>
      <c r="GJ144" s="322">
        <v>45656</v>
      </c>
      <c r="GK1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4" s="300">
        <v>45656</v>
      </c>
      <c r="GM144" s="300" t="e">
        <v>#N/A</v>
      </c>
      <c r="GN144" s="300">
        <v>45788</v>
      </c>
      <c r="GO144" s="300" t="e">
        <v>#N/A</v>
      </c>
      <c r="GP144" s="286"/>
      <c r="GQ1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4" s="300" t="s">
        <v>261</v>
      </c>
      <c r="GS144" s="300" t="s">
        <v>261</v>
      </c>
      <c r="GT144" s="324">
        <v>45873</v>
      </c>
      <c r="GU144" s="314" t="str">
        <f>IF(Table1[[#This Row],[Hydro Tes Actual
(tanggal)]]&lt;&gt;"","Sudah","Belum")</f>
        <v>Sudah</v>
      </c>
      <c r="GV144" s="300" t="s">
        <v>261</v>
      </c>
      <c r="GW144" s="300" t="s">
        <v>261</v>
      </c>
      <c r="GX144" s="301">
        <v>45909</v>
      </c>
      <c r="GY144" s="314" t="str">
        <f>IF(Table1[[#This Row],[Interkoneksi Actual
(tanggal)]]&lt;&gt;"","Sudah","Belum")</f>
        <v>Sudah</v>
      </c>
      <c r="GZ144" s="300" t="s">
        <v>261</v>
      </c>
      <c r="HA144" s="300" t="s">
        <v>261</v>
      </c>
      <c r="HB144" s="301">
        <v>45915</v>
      </c>
      <c r="HC144" s="314" t="str">
        <f>IF(Table1[[#This Row],[Flushing Actual
(tanggal)]]&lt;&gt;"","Sudah","Belum")</f>
        <v>Sudah</v>
      </c>
      <c r="HD144" s="300">
        <v>45754</v>
      </c>
      <c r="HE144" s="300" t="e">
        <v>#N/A</v>
      </c>
      <c r="HF144" s="300">
        <v>45774</v>
      </c>
      <c r="HG144" s="322">
        <v>45926</v>
      </c>
      <c r="HH1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4" s="300" t="s">
        <v>261</v>
      </c>
      <c r="HJ144" s="300" t="s">
        <v>261</v>
      </c>
      <c r="HK144" s="301"/>
      <c r="HL144" s="286"/>
      <c r="HM144" s="300">
        <v>45793</v>
      </c>
      <c r="HN144" s="300">
        <v>45793</v>
      </c>
      <c r="HO144" s="300" t="e">
        <v>#N/A</v>
      </c>
      <c r="HP144" s="300"/>
      <c r="HQ144" s="301">
        <v>45933</v>
      </c>
      <c r="HR14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4" s="300">
        <v>45800</v>
      </c>
      <c r="HT144" s="300"/>
      <c r="HU144" s="300">
        <v>45800</v>
      </c>
      <c r="HV144" s="497"/>
      <c r="HW144" s="300">
        <v>45934</v>
      </c>
      <c r="HX1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4" s="42"/>
      <c r="HZ144" s="322"/>
      <c r="IA144" s="306"/>
      <c r="IC144" s="585">
        <f>IFERROR(ROUND((Table1[[#This Row],[PLAN TC
finish]]-Table1[[#This Row],[PLAN MC-0
start]])/30,2),"")</f>
        <v>4.4000000000000004</v>
      </c>
      <c r="ID144">
        <f>DATEDIF(Table1[[#This Row],[PLAN MC-0
start]],Table1[[#This Row],[PLAN TC
finish]],"m")</f>
        <v>4</v>
      </c>
    </row>
    <row r="145" spans="2:238" s="4" customFormat="1" ht="15" customHeight="1" x14ac:dyDescent="0.25">
      <c r="B145" s="281">
        <f>SUBTOTAL(3,$D$5:D145)</f>
        <v>141</v>
      </c>
      <c r="C145" s="318">
        <v>141</v>
      </c>
      <c r="D145" s="308" t="s">
        <v>629</v>
      </c>
      <c r="E145" s="308" t="s">
        <v>1021</v>
      </c>
      <c r="F145" s="308" t="s">
        <v>1022</v>
      </c>
      <c r="G145" s="319">
        <v>45935</v>
      </c>
      <c r="H145" s="284" t="s">
        <v>247</v>
      </c>
      <c r="I145" s="308" t="s">
        <v>278</v>
      </c>
      <c r="J145" s="285"/>
      <c r="K145" s="308" t="s">
        <v>915</v>
      </c>
      <c r="L145" s="286" t="s">
        <v>250</v>
      </c>
      <c r="M145" s="286" t="s">
        <v>269</v>
      </c>
      <c r="N145" s="94">
        <v>20532</v>
      </c>
      <c r="O145" s="113" t="s">
        <v>252</v>
      </c>
      <c r="P14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5" s="35" t="e">
        <v>#N/A</v>
      </c>
      <c r="S145" s="35">
        <v>1</v>
      </c>
      <c r="T145" s="35">
        <f>Table1[[#This Row],[Progres Total Aktual
(%)]]</f>
        <v>1</v>
      </c>
      <c r="U145" s="106">
        <f>Table1[[#This Row],[Progres Aktual
(%)]]-Table1[[#This Row],[Target Progres
(%)]]</f>
        <v>0</v>
      </c>
      <c r="V145" s="320">
        <f>Table1[[#This Row],["Volume
BA MC-0"]]</f>
        <v>20459</v>
      </c>
      <c r="W145" s="321">
        <f>Table1[[#This Row],[Total Panjang Pipa Aktual
(Sum-&gt;)3]]</f>
        <v>14657</v>
      </c>
      <c r="X145" s="42"/>
      <c r="Y145" s="62" t="s">
        <v>1023</v>
      </c>
      <c r="Z145" s="62">
        <v>32072286461</v>
      </c>
      <c r="AA145" s="62">
        <f>Table1[[#This Row],[Nilai RAB Jaringan
(file pa aji)]]</f>
        <v>32072286461</v>
      </c>
      <c r="AB145" s="290">
        <f>SUM(Table1[[#This Row],[RAB Kegiatan Umum]:[RAB Perizinan]])</f>
        <v>0</v>
      </c>
      <c r="AC145" s="290"/>
      <c r="AD145" s="290"/>
      <c r="AE145" s="290"/>
      <c r="AF145" s="290"/>
      <c r="AG145" s="406">
        <v>7587798007</v>
      </c>
      <c r="AH145" s="35" t="e">
        <f>SUM(Table1[[#This Row],[Bobot Keg Umum]:[Bobot Perizinan]])</f>
        <v>#DIV/0!</v>
      </c>
      <c r="AI145" s="35" t="e">
        <f>Table1[[#This Row],[RAB Kegiatan Umum]]/Table1[[#This Row],[Nilai RAB Jaringan
(Exclude Ppn)]]</f>
        <v>#DIV/0!</v>
      </c>
      <c r="AJ145" s="35" t="e">
        <f>Table1[[#This Row],[RAB Pemasangan]]/Table1[[#This Row],[Nilai RAB Jaringan
(Exclude Ppn)]]</f>
        <v>#DIV/0!</v>
      </c>
      <c r="AK145" s="35" t="e">
        <f>Table1[[#This Row],[RAB Pengadaan]]/Table1[[#This Row],[Nilai RAB Jaringan
(Exclude Ppn)]]</f>
        <v>#DIV/0!</v>
      </c>
      <c r="AL145" s="35" t="e">
        <f>Table1[[#This Row],[RAB Perizinan]]/Table1[[#This Row],[Nilai RAB Jaringan
(Exclude Ppn)]]</f>
        <v>#DIV/0!</v>
      </c>
      <c r="AM145" s="42"/>
      <c r="AN145" s="256">
        <v>20459</v>
      </c>
      <c r="AO145" s="256">
        <f>SUM(Table1[[#This Row],[Pipa 63 mm]:[Pipa 1,800 mm]])</f>
        <v>20459</v>
      </c>
      <c r="AP145" s="256">
        <v>9276</v>
      </c>
      <c r="AQ145" s="256">
        <v>6532</v>
      </c>
      <c r="AR145" s="256">
        <v>3401</v>
      </c>
      <c r="AS145" s="256">
        <v>451</v>
      </c>
      <c r="AT145" s="256"/>
      <c r="AU145" s="256">
        <v>491</v>
      </c>
      <c r="AV145" s="256">
        <v>308</v>
      </c>
      <c r="AW145" s="256"/>
      <c r="AX145" s="256"/>
      <c r="AY145" s="256"/>
      <c r="AZ145" s="256"/>
      <c r="BA145" s="256"/>
      <c r="BB145" s="256"/>
      <c r="BC145" s="256"/>
      <c r="BD145" s="256"/>
      <c r="BE145" s="256"/>
      <c r="BF145" s="256"/>
      <c r="BG145" s="256"/>
      <c r="BH145" s="256"/>
      <c r="BI145" s="256"/>
      <c r="BJ145" s="36">
        <f>SUM(Table1[[#This Row],[Pipa 63 mm2]:[Pipa 1,800 mm21]])</f>
        <v>14657</v>
      </c>
      <c r="BK145" s="32">
        <v>5189</v>
      </c>
      <c r="BL145" s="32">
        <v>5376</v>
      </c>
      <c r="BM145" s="32">
        <v>2930</v>
      </c>
      <c r="BN145" s="32">
        <v>369</v>
      </c>
      <c r="BO145" s="32">
        <v>488</v>
      </c>
      <c r="BP145" s="32"/>
      <c r="BQ145" s="32">
        <v>305</v>
      </c>
      <c r="BR145" s="32"/>
      <c r="BS145" s="32"/>
      <c r="BT145" s="32"/>
      <c r="BU145" s="32"/>
      <c r="BV145" s="32"/>
      <c r="BW145" s="32"/>
      <c r="BX145" s="32"/>
      <c r="BY145" s="32"/>
      <c r="BZ145" s="32"/>
      <c r="CA145" s="32"/>
      <c r="CB145" s="32"/>
      <c r="CC145" s="32"/>
      <c r="CD145" s="32"/>
      <c r="CE145" s="32">
        <v>2142</v>
      </c>
      <c r="CF145" s="32">
        <v>1567</v>
      </c>
      <c r="CG145" s="32">
        <v>0</v>
      </c>
      <c r="CH145" s="32">
        <v>1689</v>
      </c>
      <c r="CI145" s="32">
        <f t="shared" si="10"/>
        <v>5398</v>
      </c>
      <c r="CJ145" s="60">
        <f>IF((Table1[[#This Row],["Volume
BA MC-0"]]-Table1[[#This Row],[Total Panjang Pipa Aktual
(Sum-&gt;)3]]-Table1[[#This Row],[Total Volume
tidak dapat dipasang]])&gt;=0,Table1[[#This Row],["Volume
BA MC-0"]]-Table1[[#This Row],[Total Panjang Pipa Aktual
(Sum-&gt;)3]]-Table1[[#This Row],[Total Volume
tidak dapat dipasang]],0)</f>
        <v>404</v>
      </c>
      <c r="CK145" s="42"/>
      <c r="CL145" s="113"/>
      <c r="CM145" s="35"/>
      <c r="CN145" s="113"/>
      <c r="CO145" s="113"/>
      <c r="CP1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5" s="61">
        <f>IFERROR(Table1[[#This Row],[Progres Keg. Umum
(%)]]*Table1[[#This Row],[Nilai RAB Jaringan
(file pa aji)]],0)</f>
        <v>0</v>
      </c>
      <c r="CR145" s="61">
        <f>IFERROR(Table1[[#This Row],[Progres MOS
(%)]]*Table1[[#This Row],[Nilai RAB Jaringan
(file pa aji)]],0)</f>
        <v>0</v>
      </c>
      <c r="CS145" s="61">
        <f>IFERROR(Table1[[#This Row],[Progres Pemasangan
(%)]]*Table1[[#This Row],[Nilai RAB Jaringan
(file pa aji)]],0)</f>
        <v>0</v>
      </c>
      <c r="CT145" s="61">
        <f>IFERROR(Table1[[#This Row],[Progres Perizinan
(%)]]*Table1[[#This Row],[Nilai RAB Jaringan
(file pa aji)]],0)</f>
        <v>0</v>
      </c>
      <c r="CU145" s="789">
        <v>20924776117</v>
      </c>
      <c r="CV145" s="299">
        <v>20924776117</v>
      </c>
      <c r="CW145" s="552">
        <v>20924776117</v>
      </c>
      <c r="CX145" s="789">
        <f>_xlfn.XLOOKUP(Table1[[#This Row],[Kode Program]],'[1]Breakdown VOWD Greenfield'!$E:$E,'[1]Breakdown VOWD Greenfield'!$AT:$AT)</f>
        <v>20924776117</v>
      </c>
      <c r="CY145" s="42"/>
      <c r="CZ145" s="300">
        <v>45530</v>
      </c>
      <c r="DA145" s="300">
        <v>45557</v>
      </c>
      <c r="DB145" s="301">
        <v>45553</v>
      </c>
      <c r="DC145" s="286" t="s">
        <v>1024</v>
      </c>
      <c r="DD145" s="62">
        <v>36935240824</v>
      </c>
      <c r="DE1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5" s="301">
        <v>45566</v>
      </c>
      <c r="DG145" s="286" t="s">
        <v>1025</v>
      </c>
      <c r="DH145" s="62">
        <v>36935240824</v>
      </c>
      <c r="DI1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5" s="300">
        <v>45558</v>
      </c>
      <c r="DK145" s="300">
        <v>45627</v>
      </c>
      <c r="DL145" s="301">
        <v>45626</v>
      </c>
      <c r="DM145" s="286" t="s">
        <v>1026</v>
      </c>
      <c r="DN1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5" s="301">
        <v>45635</v>
      </c>
      <c r="DP145" s="286" t="s">
        <v>1027</v>
      </c>
      <c r="DQ145" s="308" t="s">
        <v>275</v>
      </c>
      <c r="DR1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5" s="300">
        <v>45558</v>
      </c>
      <c r="DT145" s="300" t="e">
        <v>#N/A</v>
      </c>
      <c r="DU145" s="300">
        <v>45599</v>
      </c>
      <c r="DV145" s="300" t="e">
        <v>#N/A</v>
      </c>
      <c r="DW145" s="301">
        <v>45972</v>
      </c>
      <c r="DX145" s="286" t="s">
        <v>1028</v>
      </c>
      <c r="DY145" s="304"/>
      <c r="DZ145" s="304"/>
      <c r="EA1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5" s="301">
        <v>45973</v>
      </c>
      <c r="EC145" s="302"/>
      <c r="ED145" s="302"/>
      <c r="EE145" s="300" t="s">
        <v>1029</v>
      </c>
      <c r="EF145" s="35">
        <v>1</v>
      </c>
      <c r="EG145" s="307">
        <v>1</v>
      </c>
      <c r="EH145" s="286" t="str">
        <f>IF(Table1[[#This Row],[PO Material Aktual 
(%)]]&gt;=100%,"Selesai PO = 100%",IF(Table1[[#This Row],[PO Material Aktual 
(%)]]&gt;=50%,"Proses PO &gt; 100%",IF(Table1[[#This Row],[PO Material Aktual 
(%)]]&gt;0%,"Proses PO &gt; 50%",IF(Table1[[#This Row],[PO Material Aktual 
(%)]]=0,"Belum PO = 0%"))))</f>
        <v>Selesai PO = 100%</v>
      </c>
      <c r="EI1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5" s="300">
        <v>45600</v>
      </c>
      <c r="EK145" s="300" t="e">
        <v>#N/A</v>
      </c>
      <c r="EL145" s="300">
        <v>45711</v>
      </c>
      <c r="EM145" s="300" t="e">
        <v>#N/A</v>
      </c>
      <c r="EN145" s="301">
        <v>45919</v>
      </c>
      <c r="EO145" s="302"/>
      <c r="EP145" s="302"/>
      <c r="EQ145" s="82">
        <v>1</v>
      </c>
      <c r="ER145" s="82">
        <v>1</v>
      </c>
      <c r="ES145" s="286" t="str">
        <f>IF(Table1[[#This Row],[Progres MOS]]&gt;=100%,"Selesai MOS = 100%",IF(Table1[[#This Row],[Progres MOS]]&gt;=50%,"Proses MOS &gt; 100%",IF(Table1[[#This Row],[Progres MOS]]&gt;0%,"Proses MOS &gt; 50%",IF(Table1[[#This Row],[Progres MOS]]=0,"Belum MOS = 0%"))))</f>
        <v>Selesai MOS = 100%</v>
      </c>
      <c r="ET1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5" s="42"/>
      <c r="EV145" s="300">
        <v>45558</v>
      </c>
      <c r="EW145" s="300" t="e">
        <v>#N/A</v>
      </c>
      <c r="EX145" s="300">
        <v>45655</v>
      </c>
      <c r="EY145" s="300" t="e">
        <v>#N/A</v>
      </c>
      <c r="EZ145" s="322" t="s">
        <v>298</v>
      </c>
      <c r="FA145" s="306" t="s">
        <v>259</v>
      </c>
      <c r="FB145" s="300" t="s">
        <v>260</v>
      </c>
      <c r="FC145" s="300">
        <v>45733</v>
      </c>
      <c r="FD145" s="300" t="s">
        <v>260</v>
      </c>
      <c r="FE145" s="300">
        <v>45765</v>
      </c>
      <c r="FF145" s="300">
        <v>45911</v>
      </c>
      <c r="FG145" s="300" t="s">
        <v>260</v>
      </c>
      <c r="FH145" s="300" t="s">
        <v>260</v>
      </c>
      <c r="FI145" s="300">
        <v>46010</v>
      </c>
      <c r="FJ145" s="300" t="s">
        <v>260</v>
      </c>
      <c r="FK145" s="300">
        <v>46134</v>
      </c>
      <c r="FL145" s="306" t="s">
        <v>298</v>
      </c>
      <c r="FM145" s="322">
        <v>45733</v>
      </c>
      <c r="FN145" s="308">
        <f>IF(Table1[[#This Row],[Tanggal Pengajuan Dokumen]]="","",Table1[[#This Row],[PLAN PERMIT
start]]-Table1[[#This Row],[Tanggal Pengajuan Dokumen]])</f>
        <v>-175</v>
      </c>
      <c r="FO145" s="407">
        <v>46086</v>
      </c>
      <c r="FP145" s="286" t="s">
        <v>174</v>
      </c>
      <c r="FQ145" s="308"/>
      <c r="FR145" s="308"/>
      <c r="FS145" s="308" t="str">
        <f t="shared" si="9"/>
        <v>On Going</v>
      </c>
      <c r="FT1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5" s="314">
        <f ca="1">IF(Table1[[#This Row],[Status Izin]]="Selesai",Table1[[#This Row],[PLAN PERMIT
finish]]-Table1[[#This Row],[Tanggal Terbit/ Target Izin Terbit]],ROUNDUP(Table1[[#This Row],[PLAN PERMIT
finish]]-NOW(),0))</f>
        <v>-549</v>
      </c>
      <c r="FV1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5" s="314"/>
      <c r="FX145" s="42"/>
      <c r="FY145" s="310"/>
      <c r="FZ145" s="311">
        <v>45582</v>
      </c>
      <c r="GA1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5" s="300">
        <v>45629</v>
      </c>
      <c r="GC145" s="322">
        <v>45635</v>
      </c>
      <c r="GD1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5" s="300">
        <v>45636</v>
      </c>
      <c r="GF145" s="322">
        <v>45635</v>
      </c>
      <c r="GG1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5" s="300">
        <v>45642</v>
      </c>
      <c r="GI145" s="300">
        <v>45648</v>
      </c>
      <c r="GJ145" s="322">
        <v>45657</v>
      </c>
      <c r="GK1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5" s="300">
        <v>45656</v>
      </c>
      <c r="GM145" s="300" t="e">
        <v>#N/A</v>
      </c>
      <c r="GN145" s="300">
        <v>45788</v>
      </c>
      <c r="GO145" s="300" t="e">
        <v>#N/A</v>
      </c>
      <c r="GP145" s="286"/>
      <c r="GQ1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5" s="300" t="s">
        <v>261</v>
      </c>
      <c r="GS145" s="300" t="s">
        <v>261</v>
      </c>
      <c r="GT145" s="324">
        <v>45841</v>
      </c>
      <c r="GU145" s="314" t="str">
        <f>IF(Table1[[#This Row],[Hydro Tes Actual
(tanggal)]]&lt;&gt;"","Sudah","Belum")</f>
        <v>Sudah</v>
      </c>
      <c r="GV145" s="300" t="s">
        <v>261</v>
      </c>
      <c r="GW145" s="300" t="s">
        <v>261</v>
      </c>
      <c r="GX145" s="301">
        <v>45862</v>
      </c>
      <c r="GY145" s="314" t="str">
        <f>IF(Table1[[#This Row],[Interkoneksi Actual
(tanggal)]]&lt;&gt;"","Sudah","Belum")</f>
        <v>Sudah</v>
      </c>
      <c r="GZ145" s="300" t="s">
        <v>261</v>
      </c>
      <c r="HA145" s="300" t="s">
        <v>261</v>
      </c>
      <c r="HB145" s="301">
        <v>45891</v>
      </c>
      <c r="HC145" s="314" t="str">
        <f>IF(Table1[[#This Row],[Flushing Actual
(tanggal)]]&lt;&gt;"","Sudah","Belum")</f>
        <v>Sudah</v>
      </c>
      <c r="HD145" s="300">
        <v>45754</v>
      </c>
      <c r="HE145" s="300" t="e">
        <v>#N/A</v>
      </c>
      <c r="HF145" s="300">
        <v>45774</v>
      </c>
      <c r="HG145" s="322">
        <v>45919</v>
      </c>
      <c r="HH1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5" s="300" t="s">
        <v>261</v>
      </c>
      <c r="HJ145" s="300" t="s">
        <v>261</v>
      </c>
      <c r="HK145" s="301"/>
      <c r="HL145" s="286"/>
      <c r="HM145" s="300">
        <v>45793</v>
      </c>
      <c r="HN145" s="300">
        <v>45793</v>
      </c>
      <c r="HO145" s="300" t="e">
        <v>#N/A</v>
      </c>
      <c r="HP145" s="300"/>
      <c r="HQ145" s="301">
        <v>45933</v>
      </c>
      <c r="HR1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5" s="300">
        <v>45800</v>
      </c>
      <c r="HT145" s="300"/>
      <c r="HU145" s="300">
        <v>45800</v>
      </c>
      <c r="HV145" s="497"/>
      <c r="HW145" s="300">
        <v>45934</v>
      </c>
      <c r="HX1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5" s="42"/>
      <c r="HZ145" s="322"/>
      <c r="IA145" s="306"/>
      <c r="IC145" s="585">
        <f>IFERROR(ROUND((Table1[[#This Row],[PLAN TC
finish]]-Table1[[#This Row],[PLAN MC-0
start]])/30,2),"")</f>
        <v>4.4000000000000004</v>
      </c>
      <c r="ID145">
        <f>DATEDIF(Table1[[#This Row],[PLAN MC-0
start]],Table1[[#This Row],[PLAN TC
finish]],"m")</f>
        <v>4</v>
      </c>
    </row>
    <row r="146" spans="2:238" s="4" customFormat="1" ht="15" customHeight="1" x14ac:dyDescent="0.25">
      <c r="B146" s="281">
        <f>SUBTOTAL(3,$D$5:D146)</f>
        <v>142</v>
      </c>
      <c r="C146" s="318">
        <v>142</v>
      </c>
      <c r="D146" s="308" t="s">
        <v>629</v>
      </c>
      <c r="E146" s="308" t="s">
        <v>1030</v>
      </c>
      <c r="F146" s="308" t="s">
        <v>1031</v>
      </c>
      <c r="G146" s="319">
        <v>45935</v>
      </c>
      <c r="H146" s="284" t="s">
        <v>247</v>
      </c>
      <c r="I146" s="308" t="s">
        <v>278</v>
      </c>
      <c r="J146" s="285" t="s">
        <v>882</v>
      </c>
      <c r="K146" s="308" t="s">
        <v>915</v>
      </c>
      <c r="L146" s="286" t="s">
        <v>250</v>
      </c>
      <c r="M146" s="286" t="s">
        <v>269</v>
      </c>
      <c r="N146" s="94">
        <v>9608</v>
      </c>
      <c r="O146" s="113" t="s">
        <v>252</v>
      </c>
      <c r="P14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6" s="35" t="e">
        <v>#N/A</v>
      </c>
      <c r="S146" s="35">
        <v>1</v>
      </c>
      <c r="T146" s="35">
        <f>Table1[[#This Row],[Progres Total Aktual
(%)]]</f>
        <v>1</v>
      </c>
      <c r="U146" s="106">
        <f>Table1[[#This Row],[Progres Aktual
(%)]]-Table1[[#This Row],[Target Progres
(%)]]</f>
        <v>0</v>
      </c>
      <c r="V146" s="320">
        <f>Table1[[#This Row],["Volume
BA MC-0"]]</f>
        <v>10012</v>
      </c>
      <c r="W146" s="321">
        <f>Table1[[#This Row],[Total Panjang Pipa Aktual
(Sum-&gt;)3]]</f>
        <v>8562.5</v>
      </c>
      <c r="X146" s="42"/>
      <c r="Y146" s="62" t="s">
        <v>1032</v>
      </c>
      <c r="Z146" s="62">
        <v>18449037766</v>
      </c>
      <c r="AA146" s="62">
        <f>Table1[[#This Row],[Nilai RAB Jaringan
(file pa aji)]]</f>
        <v>18449037766</v>
      </c>
      <c r="AB146" s="290">
        <f>SUM(Table1[[#This Row],[RAB Kegiatan Umum]:[RAB Perizinan]])</f>
        <v>0</v>
      </c>
      <c r="AC146" s="290"/>
      <c r="AD146" s="290"/>
      <c r="AE146" s="290"/>
      <c r="AF146" s="290"/>
      <c r="AG146" s="406">
        <v>3590983822</v>
      </c>
      <c r="AH146" s="35" t="e">
        <f>SUM(Table1[[#This Row],[Bobot Keg Umum]:[Bobot Perizinan]])</f>
        <v>#DIV/0!</v>
      </c>
      <c r="AI146" s="35" t="e">
        <f>Table1[[#This Row],[RAB Kegiatan Umum]]/Table1[[#This Row],[Nilai RAB Jaringan
(Exclude Ppn)]]</f>
        <v>#DIV/0!</v>
      </c>
      <c r="AJ146" s="35" t="e">
        <f>Table1[[#This Row],[RAB Pemasangan]]/Table1[[#This Row],[Nilai RAB Jaringan
(Exclude Ppn)]]</f>
        <v>#DIV/0!</v>
      </c>
      <c r="AK146" s="35" t="e">
        <f>Table1[[#This Row],[RAB Pengadaan]]/Table1[[#This Row],[Nilai RAB Jaringan
(Exclude Ppn)]]</f>
        <v>#DIV/0!</v>
      </c>
      <c r="AL146" s="35" t="e">
        <f>Table1[[#This Row],[RAB Perizinan]]/Table1[[#This Row],[Nilai RAB Jaringan
(Exclude Ppn)]]</f>
        <v>#DIV/0!</v>
      </c>
      <c r="AM146" s="42"/>
      <c r="AN146" s="256">
        <v>10012</v>
      </c>
      <c r="AO146" s="256">
        <f>SUM(Table1[[#This Row],[Pipa 63 mm]:[Pipa 1,800 mm]])</f>
        <v>10012</v>
      </c>
      <c r="AP146" s="256">
        <v>3412</v>
      </c>
      <c r="AQ146" s="256">
        <v>2874</v>
      </c>
      <c r="AR146" s="256">
        <v>1966</v>
      </c>
      <c r="AS146" s="256">
        <v>833</v>
      </c>
      <c r="AT146" s="256">
        <v>380</v>
      </c>
      <c r="AU146" s="256">
        <v>63</v>
      </c>
      <c r="AV146" s="256"/>
      <c r="AW146" s="256"/>
      <c r="AX146" s="256">
        <v>484</v>
      </c>
      <c r="AY146" s="256"/>
      <c r="AZ146" s="256"/>
      <c r="BA146" s="256"/>
      <c r="BB146" s="256"/>
      <c r="BC146" s="256"/>
      <c r="BD146" s="256"/>
      <c r="BE146" s="256"/>
      <c r="BF146" s="256"/>
      <c r="BG146" s="256"/>
      <c r="BH146" s="256"/>
      <c r="BI146" s="256"/>
      <c r="BJ146" s="36">
        <f>SUM(Table1[[#This Row],[Pipa 63 mm2]:[Pipa 1,800 mm21]])</f>
        <v>8562.5</v>
      </c>
      <c r="BK146" s="32">
        <v>1989</v>
      </c>
      <c r="BL146" s="32">
        <v>2921</v>
      </c>
      <c r="BM146" s="32">
        <v>1844</v>
      </c>
      <c r="BN146" s="32">
        <v>870</v>
      </c>
      <c r="BO146" s="32">
        <v>496</v>
      </c>
      <c r="BP146" s="32">
        <v>78</v>
      </c>
      <c r="BQ146" s="32">
        <v>364.5</v>
      </c>
      <c r="BR146" s="32"/>
      <c r="BS146" s="32"/>
      <c r="BT146" s="32"/>
      <c r="BU146" s="32"/>
      <c r="BV146" s="32"/>
      <c r="BW146" s="32"/>
      <c r="BX146" s="32"/>
      <c r="BY146" s="32"/>
      <c r="BZ146" s="32"/>
      <c r="CA146" s="32"/>
      <c r="CB146" s="32"/>
      <c r="CC146" s="32"/>
      <c r="CD146" s="32"/>
      <c r="CE146" s="32">
        <v>147</v>
      </c>
      <c r="CF146" s="32">
        <v>677</v>
      </c>
      <c r="CG146" s="32">
        <v>0</v>
      </c>
      <c r="CH146" s="32">
        <v>623</v>
      </c>
      <c r="CI146" s="32">
        <f t="shared" si="10"/>
        <v>1447</v>
      </c>
      <c r="CJ146" s="60">
        <f>IF((Table1[[#This Row],["Volume
BA MC-0"]]-Table1[[#This Row],[Total Panjang Pipa Aktual
(Sum-&gt;)3]]-Table1[[#This Row],[Total Volume
tidak dapat dipasang]])&gt;=0,Table1[[#This Row],["Volume
BA MC-0"]]-Table1[[#This Row],[Total Panjang Pipa Aktual
(Sum-&gt;)3]]-Table1[[#This Row],[Total Volume
tidak dapat dipasang]],0)</f>
        <v>2.5</v>
      </c>
      <c r="CK146" s="42"/>
      <c r="CL146" s="113"/>
      <c r="CM146" s="35"/>
      <c r="CN146" s="113"/>
      <c r="CO146" s="113"/>
      <c r="CP1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6" s="61">
        <f>IFERROR(Table1[[#This Row],[Progres Keg. Umum
(%)]]*Table1[[#This Row],[Nilai RAB Jaringan
(file pa aji)]],0)</f>
        <v>0</v>
      </c>
      <c r="CR146" s="61">
        <f>IFERROR(Table1[[#This Row],[Progres MOS
(%)]]*Table1[[#This Row],[Nilai RAB Jaringan
(file pa aji)]],0)</f>
        <v>0</v>
      </c>
      <c r="CS146" s="61">
        <f>IFERROR(Table1[[#This Row],[Progres Pemasangan
(%)]]*Table1[[#This Row],[Nilai RAB Jaringan
(file pa aji)]],0)</f>
        <v>0</v>
      </c>
      <c r="CT146" s="61">
        <f>IFERROR(Table1[[#This Row],[Progres Perizinan
(%)]]*Table1[[#This Row],[Nilai RAB Jaringan
(file pa aji)]],0)</f>
        <v>0</v>
      </c>
      <c r="CU146" s="789">
        <v>14022937402</v>
      </c>
      <c r="CV146" s="299">
        <v>14022937402</v>
      </c>
      <c r="CW146" s="552">
        <v>14022937402</v>
      </c>
      <c r="CX146" s="789">
        <f>_xlfn.XLOOKUP(Table1[[#This Row],[Kode Program]],'[1]Breakdown VOWD Greenfield'!$E:$E,'[1]Breakdown VOWD Greenfield'!$AT:$AT)</f>
        <v>14022937402</v>
      </c>
      <c r="CY146" s="42"/>
      <c r="CZ146" s="300">
        <v>45530</v>
      </c>
      <c r="DA146" s="300">
        <v>45557</v>
      </c>
      <c r="DB146" s="301">
        <v>45553</v>
      </c>
      <c r="DC146" s="286" t="s">
        <v>1033</v>
      </c>
      <c r="DD146" s="62">
        <v>21183576358</v>
      </c>
      <c r="DE1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6" s="301">
        <v>45566</v>
      </c>
      <c r="DG146" s="286" t="s">
        <v>1034</v>
      </c>
      <c r="DH146" s="62">
        <v>21183576358</v>
      </c>
      <c r="DI1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6" s="300">
        <v>45558</v>
      </c>
      <c r="DK146" s="300">
        <v>45627</v>
      </c>
      <c r="DL146" s="301">
        <v>45621</v>
      </c>
      <c r="DM146" s="286" t="s">
        <v>1035</v>
      </c>
      <c r="DN1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6" s="301">
        <v>45636</v>
      </c>
      <c r="DP146" s="286" t="s">
        <v>1036</v>
      </c>
      <c r="DQ146" s="308" t="s">
        <v>275</v>
      </c>
      <c r="DR1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6" s="300">
        <v>45558</v>
      </c>
      <c r="DT146" s="300" t="e">
        <v>#N/A</v>
      </c>
      <c r="DU146" s="300">
        <v>45599</v>
      </c>
      <c r="DV146" s="300" t="e">
        <v>#N/A</v>
      </c>
      <c r="DW146" s="301">
        <v>45979</v>
      </c>
      <c r="DX146" s="286" t="s">
        <v>1037</v>
      </c>
      <c r="DY146" s="304"/>
      <c r="DZ146" s="304"/>
      <c r="EA1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6" s="301">
        <v>45992</v>
      </c>
      <c r="EC146" s="302"/>
      <c r="ED146" s="302"/>
      <c r="EE146" s="300" t="s">
        <v>1038</v>
      </c>
      <c r="EF146" s="35">
        <v>1</v>
      </c>
      <c r="EG146" s="307">
        <v>1</v>
      </c>
      <c r="EH146" s="286" t="str">
        <f>IF(Table1[[#This Row],[PO Material Aktual 
(%)]]&gt;=100%,"Selesai PO = 100%",IF(Table1[[#This Row],[PO Material Aktual 
(%)]]&gt;=50%,"Proses PO &gt; 100%",IF(Table1[[#This Row],[PO Material Aktual 
(%)]]&gt;0%,"Proses PO &gt; 50%",IF(Table1[[#This Row],[PO Material Aktual 
(%)]]=0,"Belum PO = 0%"))))</f>
        <v>Selesai PO = 100%</v>
      </c>
      <c r="EI1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6" s="300">
        <v>45600</v>
      </c>
      <c r="EK146" s="300" t="e">
        <v>#N/A</v>
      </c>
      <c r="EL146" s="300">
        <v>45711</v>
      </c>
      <c r="EM146" s="300" t="e">
        <v>#N/A</v>
      </c>
      <c r="EN146" s="301">
        <v>46160</v>
      </c>
      <c r="EO146" s="302"/>
      <c r="EP146" s="302"/>
      <c r="EQ146" s="82">
        <v>1</v>
      </c>
      <c r="ER146" s="82">
        <v>1</v>
      </c>
      <c r="ES146" s="286" t="str">
        <f>IF(Table1[[#This Row],[Progres MOS]]&gt;=100%,"Selesai MOS = 100%",IF(Table1[[#This Row],[Progres MOS]]&gt;=50%,"Proses MOS &gt; 100%",IF(Table1[[#This Row],[Progres MOS]]&gt;0%,"Proses MOS &gt; 50%",IF(Table1[[#This Row],[Progres MOS]]=0,"Belum MOS = 0%"))))</f>
        <v>Selesai MOS = 100%</v>
      </c>
      <c r="ET1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6" s="42"/>
      <c r="EV146" s="300">
        <v>45558</v>
      </c>
      <c r="EW146" s="300" t="e">
        <v>#N/A</v>
      </c>
      <c r="EX146" s="300">
        <v>45655</v>
      </c>
      <c r="EY146" s="300" t="e">
        <v>#N/A</v>
      </c>
      <c r="EZ146" s="322" t="s">
        <v>298</v>
      </c>
      <c r="FA146" s="306" t="s">
        <v>259</v>
      </c>
      <c r="FB146" s="300" t="s">
        <v>260</v>
      </c>
      <c r="FC146" s="300">
        <v>45728</v>
      </c>
      <c r="FD146" s="300" t="s">
        <v>260</v>
      </c>
      <c r="FE146" s="300">
        <v>45866</v>
      </c>
      <c r="FF146" s="300">
        <v>45911</v>
      </c>
      <c r="FG146" s="300" t="s">
        <v>260</v>
      </c>
      <c r="FH146" s="300" t="s">
        <v>260</v>
      </c>
      <c r="FI146" s="300">
        <v>46010</v>
      </c>
      <c r="FJ146" s="300" t="s">
        <v>260</v>
      </c>
      <c r="FK146" s="300">
        <v>46142</v>
      </c>
      <c r="FL146" s="306" t="s">
        <v>298</v>
      </c>
      <c r="FM146" s="322">
        <v>45728</v>
      </c>
      <c r="FN146" s="308">
        <f>IF(Table1[[#This Row],[Tanggal Pengajuan Dokumen]]="","",Table1[[#This Row],[PLAN PERMIT
start]]-Table1[[#This Row],[Tanggal Pengajuan Dokumen]])</f>
        <v>-170</v>
      </c>
      <c r="FO146" s="407">
        <v>46086</v>
      </c>
      <c r="FP146" s="286"/>
      <c r="FQ146" s="308"/>
      <c r="FR146" s="308"/>
      <c r="FS146" s="308" t="str">
        <f t="shared" si="9"/>
        <v>Sudah Terbit</v>
      </c>
      <c r="FT1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6" s="314">
        <f ca="1">IF(Table1[[#This Row],[Status Izin]]="Selesai",Table1[[#This Row],[PLAN PERMIT
finish]]-Table1[[#This Row],[Tanggal Terbit/ Target Izin Terbit]],ROUNDUP(Table1[[#This Row],[PLAN PERMIT
finish]]-NOW(),0))</f>
        <v>-431</v>
      </c>
      <c r="FV1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6" s="314"/>
      <c r="FX146" s="42"/>
      <c r="FY146" s="310"/>
      <c r="FZ146" s="311">
        <v>45582</v>
      </c>
      <c r="GA1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6" s="300">
        <v>45629</v>
      </c>
      <c r="GC146" s="322">
        <v>45635</v>
      </c>
      <c r="GD1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6" s="300">
        <v>45636</v>
      </c>
      <c r="GF146" s="322">
        <v>45635</v>
      </c>
      <c r="GG1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6" s="300">
        <v>45642</v>
      </c>
      <c r="GI146" s="300">
        <v>45648</v>
      </c>
      <c r="GJ146" s="322">
        <v>45660</v>
      </c>
      <c r="GK1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6" s="300">
        <v>45656</v>
      </c>
      <c r="GM146" s="300" t="e">
        <v>#N/A</v>
      </c>
      <c r="GN146" s="300">
        <v>45788</v>
      </c>
      <c r="GO146" s="300" t="e">
        <v>#N/A</v>
      </c>
      <c r="GP146" s="286"/>
      <c r="GQ1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6" s="300" t="s">
        <v>261</v>
      </c>
      <c r="GS146" s="300" t="s">
        <v>261</v>
      </c>
      <c r="GT146" s="324">
        <v>45873</v>
      </c>
      <c r="GU146" s="314" t="str">
        <f>IF(Table1[[#This Row],[Hydro Tes Actual
(tanggal)]]&lt;&gt;"","Sudah","Belum")</f>
        <v>Sudah</v>
      </c>
      <c r="GV146" s="300" t="s">
        <v>261</v>
      </c>
      <c r="GW146" s="300" t="s">
        <v>261</v>
      </c>
      <c r="GX146" s="301">
        <v>45800</v>
      </c>
      <c r="GY146" s="314" t="str">
        <f>IF(Table1[[#This Row],[Interkoneksi Actual
(tanggal)]]&lt;&gt;"","Sudah","Belum")</f>
        <v>Sudah</v>
      </c>
      <c r="GZ146" s="300" t="s">
        <v>261</v>
      </c>
      <c r="HA146" s="300" t="s">
        <v>261</v>
      </c>
      <c r="HB146" s="301">
        <v>46006</v>
      </c>
      <c r="HC146" s="314" t="str">
        <f>IF(Table1[[#This Row],[Flushing Actual
(tanggal)]]&lt;&gt;"","Sudah","Belum")</f>
        <v>Sudah</v>
      </c>
      <c r="HD146" s="300">
        <v>45754</v>
      </c>
      <c r="HE146" s="300" t="e">
        <v>#N/A</v>
      </c>
      <c r="HF146" s="300">
        <v>45774</v>
      </c>
      <c r="HG146" s="322">
        <v>46007</v>
      </c>
      <c r="HH1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6" s="300" t="s">
        <v>261</v>
      </c>
      <c r="HJ146" s="300" t="s">
        <v>261</v>
      </c>
      <c r="HK146" s="301"/>
      <c r="HL146" s="286"/>
      <c r="HM146" s="300">
        <v>45793</v>
      </c>
      <c r="HN146" s="300">
        <v>45793</v>
      </c>
      <c r="HO146" s="300" t="e">
        <v>#N/A</v>
      </c>
      <c r="HP146" s="300"/>
      <c r="HQ146" s="301">
        <v>46010</v>
      </c>
      <c r="HR1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6" s="300">
        <v>45800</v>
      </c>
      <c r="HT146" s="300"/>
      <c r="HU146" s="300">
        <v>45800</v>
      </c>
      <c r="HV146" s="497"/>
      <c r="HW146" s="300">
        <v>46024</v>
      </c>
      <c r="HX1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6" s="42"/>
      <c r="HZ146" s="322"/>
      <c r="IA146" s="306"/>
      <c r="IC146" s="585">
        <f>IFERROR(ROUND((Table1[[#This Row],[PLAN TC
finish]]-Table1[[#This Row],[PLAN MC-0
start]])/30,2),"")</f>
        <v>4.4000000000000004</v>
      </c>
      <c r="ID146">
        <f>DATEDIF(Table1[[#This Row],[PLAN MC-0
start]],Table1[[#This Row],[PLAN TC
finish]],"m")</f>
        <v>4</v>
      </c>
    </row>
    <row r="147" spans="2:238" s="4" customFormat="1" ht="15" customHeight="1" x14ac:dyDescent="0.25">
      <c r="B147" s="281">
        <f>SUBTOTAL(3,$D$5:D147)</f>
        <v>143</v>
      </c>
      <c r="C147" s="318">
        <v>143</v>
      </c>
      <c r="D147" s="308" t="s">
        <v>629</v>
      </c>
      <c r="E147" s="308" t="s">
        <v>1039</v>
      </c>
      <c r="F147" s="308" t="s">
        <v>1040</v>
      </c>
      <c r="G147" s="319">
        <v>45935</v>
      </c>
      <c r="H147" s="284" t="s">
        <v>247</v>
      </c>
      <c r="I147" s="308" t="s">
        <v>278</v>
      </c>
      <c r="J147" s="285" t="s">
        <v>882</v>
      </c>
      <c r="K147" s="308" t="s">
        <v>915</v>
      </c>
      <c r="L147" s="286" t="s">
        <v>250</v>
      </c>
      <c r="M147" s="286" t="s">
        <v>269</v>
      </c>
      <c r="N147" s="94">
        <v>11712</v>
      </c>
      <c r="O147" s="113" t="s">
        <v>252</v>
      </c>
      <c r="P14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7" s="35" t="e">
        <v>#N/A</v>
      </c>
      <c r="S147" s="35">
        <v>1</v>
      </c>
      <c r="T147" s="35">
        <f>Table1[[#This Row],[Progres Total Aktual
(%)]]</f>
        <v>1</v>
      </c>
      <c r="U147" s="106">
        <f>Table1[[#This Row],[Progres Aktual
(%)]]-Table1[[#This Row],[Target Progres
(%)]]</f>
        <v>0</v>
      </c>
      <c r="V147" s="320">
        <f>Table1[[#This Row],["Volume
BA MC-0"]]</f>
        <v>11607</v>
      </c>
      <c r="W147" s="321">
        <f>Table1[[#This Row],[Total Panjang Pipa Aktual
(Sum-&gt;)3]]</f>
        <v>8772</v>
      </c>
      <c r="X147" s="42"/>
      <c r="Y147" s="62" t="s">
        <v>1041</v>
      </c>
      <c r="Z147" s="62">
        <v>27488140030</v>
      </c>
      <c r="AA147" s="62">
        <f>Table1[[#This Row],[Nilai RAB Jaringan
(file pa aji)]]</f>
        <v>27488140030</v>
      </c>
      <c r="AB147" s="290">
        <f>SUM(Table1[[#This Row],[RAB Kegiatan Umum]:[RAB Perizinan]])</f>
        <v>0</v>
      </c>
      <c r="AC147" s="290"/>
      <c r="AD147" s="290"/>
      <c r="AE147" s="290"/>
      <c r="AF147" s="290"/>
      <c r="AG147" s="406">
        <v>3935324736</v>
      </c>
      <c r="AH147" s="35" t="e">
        <f>SUM(Table1[[#This Row],[Bobot Keg Umum]:[Bobot Perizinan]])</f>
        <v>#DIV/0!</v>
      </c>
      <c r="AI147" s="35" t="e">
        <f>Table1[[#This Row],[RAB Kegiatan Umum]]/Table1[[#This Row],[Nilai RAB Jaringan
(Exclude Ppn)]]</f>
        <v>#DIV/0!</v>
      </c>
      <c r="AJ147" s="35" t="e">
        <f>Table1[[#This Row],[RAB Pemasangan]]/Table1[[#This Row],[Nilai RAB Jaringan
(Exclude Ppn)]]</f>
        <v>#DIV/0!</v>
      </c>
      <c r="AK147" s="35" t="e">
        <f>Table1[[#This Row],[RAB Pengadaan]]/Table1[[#This Row],[Nilai RAB Jaringan
(Exclude Ppn)]]</f>
        <v>#DIV/0!</v>
      </c>
      <c r="AL147" s="35" t="e">
        <f>Table1[[#This Row],[RAB Perizinan]]/Table1[[#This Row],[Nilai RAB Jaringan
(Exclude Ppn)]]</f>
        <v>#DIV/0!</v>
      </c>
      <c r="AM147" s="42"/>
      <c r="AN147" s="256">
        <v>11607</v>
      </c>
      <c r="AO147" s="256">
        <f>SUM(Table1[[#This Row],[Pipa 63 mm]:[Pipa 1,800 mm]])</f>
        <v>11607</v>
      </c>
      <c r="AP147" s="256">
        <v>3712</v>
      </c>
      <c r="AQ147" s="256">
        <v>3804</v>
      </c>
      <c r="AR147" s="256">
        <v>3593</v>
      </c>
      <c r="AS147" s="256"/>
      <c r="AT147" s="256"/>
      <c r="AU147" s="256"/>
      <c r="AV147" s="256">
        <v>498</v>
      </c>
      <c r="AW147" s="256"/>
      <c r="AX147" s="256"/>
      <c r="AY147" s="256"/>
      <c r="AZ147" s="256"/>
      <c r="BA147" s="256"/>
      <c r="BB147" s="256"/>
      <c r="BC147" s="256"/>
      <c r="BD147" s="256"/>
      <c r="BE147" s="256"/>
      <c r="BF147" s="256"/>
      <c r="BG147" s="256"/>
      <c r="BH147" s="256"/>
      <c r="BI147" s="256"/>
      <c r="BJ147" s="36">
        <f>SUM(Table1[[#This Row],[Pipa 63 mm2]:[Pipa 1,800 mm21]])</f>
        <v>8772</v>
      </c>
      <c r="BK147" s="32">
        <v>1762.7</v>
      </c>
      <c r="BL147" s="32">
        <v>3257</v>
      </c>
      <c r="BM147" s="32">
        <v>3129.3</v>
      </c>
      <c r="BN147" s="32"/>
      <c r="BO147" s="32"/>
      <c r="BP147" s="32"/>
      <c r="BQ147" s="32">
        <v>623</v>
      </c>
      <c r="BR147" s="32"/>
      <c r="BS147" s="32"/>
      <c r="BT147" s="32"/>
      <c r="BU147" s="32"/>
      <c r="BV147" s="32"/>
      <c r="BW147" s="32"/>
      <c r="BX147" s="32"/>
      <c r="BY147" s="32"/>
      <c r="BZ147" s="32"/>
      <c r="CA147" s="32"/>
      <c r="CB147" s="32"/>
      <c r="CC147" s="32"/>
      <c r="CD147" s="32"/>
      <c r="CE147" s="32">
        <v>2833</v>
      </c>
      <c r="CF147" s="32">
        <v>0</v>
      </c>
      <c r="CG147" s="32">
        <v>0</v>
      </c>
      <c r="CH147" s="32">
        <v>0</v>
      </c>
      <c r="CI147" s="32">
        <f t="shared" si="10"/>
        <v>2833</v>
      </c>
      <c r="CJ147" s="60">
        <f>IF((Table1[[#This Row],["Volume
BA MC-0"]]-Table1[[#This Row],[Total Panjang Pipa Aktual
(Sum-&gt;)3]]-Table1[[#This Row],[Total Volume
tidak dapat dipasang]])&gt;=0,Table1[[#This Row],["Volume
BA MC-0"]]-Table1[[#This Row],[Total Panjang Pipa Aktual
(Sum-&gt;)3]]-Table1[[#This Row],[Total Volume
tidak dapat dipasang]],0)</f>
        <v>2</v>
      </c>
      <c r="CK147" s="42"/>
      <c r="CL147" s="113"/>
      <c r="CM147" s="35"/>
      <c r="CN147" s="113"/>
      <c r="CO147" s="113"/>
      <c r="CP1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7" s="61">
        <f>IFERROR(Table1[[#This Row],[Progres Keg. Umum
(%)]]*Table1[[#This Row],[Nilai RAB Jaringan
(file pa aji)]],0)</f>
        <v>0</v>
      </c>
      <c r="CR147" s="61">
        <f>IFERROR(Table1[[#This Row],[Progres MOS
(%)]]*Table1[[#This Row],[Nilai RAB Jaringan
(file pa aji)]],0)</f>
        <v>0</v>
      </c>
      <c r="CS147" s="61">
        <f>IFERROR(Table1[[#This Row],[Progres Pemasangan
(%)]]*Table1[[#This Row],[Nilai RAB Jaringan
(file pa aji)]],0)</f>
        <v>0</v>
      </c>
      <c r="CT147" s="61">
        <f>IFERROR(Table1[[#This Row],[Progres Perizinan
(%)]]*Table1[[#This Row],[Nilai RAB Jaringan
(file pa aji)]],0)</f>
        <v>0</v>
      </c>
      <c r="CU147" s="789">
        <v>13514278591</v>
      </c>
      <c r="CV147" s="299">
        <v>13514278591</v>
      </c>
      <c r="CW147" s="552">
        <v>13514278591</v>
      </c>
      <c r="CX147" s="789">
        <f>_xlfn.XLOOKUP(Table1[[#This Row],[Kode Program]],'[1]Breakdown VOWD Greenfield'!$E:$E,'[1]Breakdown VOWD Greenfield'!$AT:$AT)</f>
        <v>13514278591</v>
      </c>
      <c r="CY147" s="42"/>
      <c r="CZ147" s="300">
        <v>45530</v>
      </c>
      <c r="DA147" s="300">
        <v>45557</v>
      </c>
      <c r="DB147" s="301">
        <v>45553</v>
      </c>
      <c r="DC147" s="286" t="s">
        <v>1042</v>
      </c>
      <c r="DD147" s="62">
        <v>30777377128</v>
      </c>
      <c r="DE1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7" s="301">
        <v>45566</v>
      </c>
      <c r="DG147" s="286" t="s">
        <v>1043</v>
      </c>
      <c r="DH147" s="62">
        <v>30777377128</v>
      </c>
      <c r="DI1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7" s="300">
        <v>45558</v>
      </c>
      <c r="DK147" s="300">
        <v>45627</v>
      </c>
      <c r="DL147" s="301">
        <v>45924</v>
      </c>
      <c r="DM147" s="286" t="s">
        <v>1044</v>
      </c>
      <c r="DN1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47" s="301">
        <v>45966</v>
      </c>
      <c r="DP147" s="286" t="s">
        <v>1045</v>
      </c>
      <c r="DQ147" s="308" t="s">
        <v>365</v>
      </c>
      <c r="DR1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7" s="300">
        <v>45558</v>
      </c>
      <c r="DT147" s="300" t="e">
        <v>#N/A</v>
      </c>
      <c r="DU147" s="300">
        <v>45599</v>
      </c>
      <c r="DV147" s="300" t="e">
        <v>#N/A</v>
      </c>
      <c r="DW147" s="301">
        <v>45990</v>
      </c>
      <c r="DX147" s="286" t="s">
        <v>1046</v>
      </c>
      <c r="DY147" s="304"/>
      <c r="DZ147" s="304"/>
      <c r="EA1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7" s="301">
        <v>45994</v>
      </c>
      <c r="EC147" s="302"/>
      <c r="ED147" s="302"/>
      <c r="EE147" s="300" t="s">
        <v>1047</v>
      </c>
      <c r="EF147" s="35">
        <v>1</v>
      </c>
      <c r="EG147" s="307">
        <v>1</v>
      </c>
      <c r="EH147" s="286" t="str">
        <f>IF(Table1[[#This Row],[PO Material Aktual 
(%)]]&gt;=100%,"Selesai PO = 100%",IF(Table1[[#This Row],[PO Material Aktual 
(%)]]&gt;=50%,"Proses PO &gt; 100%",IF(Table1[[#This Row],[PO Material Aktual 
(%)]]&gt;0%,"Proses PO &gt; 50%",IF(Table1[[#This Row],[PO Material Aktual 
(%)]]=0,"Belum PO = 0%"))))</f>
        <v>Selesai PO = 100%</v>
      </c>
      <c r="EI1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7" s="300">
        <v>45600</v>
      </c>
      <c r="EK147" s="300" t="e">
        <v>#N/A</v>
      </c>
      <c r="EL147" s="300">
        <v>45711</v>
      </c>
      <c r="EM147" s="300" t="e">
        <v>#N/A</v>
      </c>
      <c r="EN147" s="301">
        <v>46095</v>
      </c>
      <c r="EO147" s="302"/>
      <c r="EP147" s="302"/>
      <c r="EQ147" s="82">
        <v>1</v>
      </c>
      <c r="ER147" s="82">
        <v>1</v>
      </c>
      <c r="ES147" s="286" t="str">
        <f>IF(Table1[[#This Row],[Progres MOS]]&gt;=100%,"Selesai MOS = 100%",IF(Table1[[#This Row],[Progres MOS]]&gt;=50%,"Proses MOS &gt; 100%",IF(Table1[[#This Row],[Progres MOS]]&gt;0%,"Proses MOS &gt; 50%",IF(Table1[[#This Row],[Progres MOS]]=0,"Belum MOS = 0%"))))</f>
        <v>Selesai MOS = 100%</v>
      </c>
      <c r="ET1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7" s="42"/>
      <c r="EV147" s="300">
        <v>45558</v>
      </c>
      <c r="EW147" s="300" t="e">
        <v>#N/A</v>
      </c>
      <c r="EX147" s="300">
        <v>45655</v>
      </c>
      <c r="EY147" s="300" t="e">
        <v>#N/A</v>
      </c>
      <c r="EZ147" s="322" t="s">
        <v>259</v>
      </c>
      <c r="FA147" s="306" t="s">
        <v>259</v>
      </c>
      <c r="FB147" s="300" t="s">
        <v>260</v>
      </c>
      <c r="FC147" s="300">
        <v>45763</v>
      </c>
      <c r="FD147" s="300" t="s">
        <v>260</v>
      </c>
      <c r="FE147" s="300">
        <v>45866</v>
      </c>
      <c r="FF147" s="300">
        <v>45880</v>
      </c>
      <c r="FG147" s="300" t="s">
        <v>260</v>
      </c>
      <c r="FH147" s="300" t="s">
        <v>260</v>
      </c>
      <c r="FI147" s="300">
        <v>45985</v>
      </c>
      <c r="FJ147" s="300" t="s">
        <v>260</v>
      </c>
      <c r="FK147" s="300">
        <v>46057</v>
      </c>
      <c r="FL147" s="306" t="s">
        <v>259</v>
      </c>
      <c r="FM147" s="322">
        <v>45763</v>
      </c>
      <c r="FN147" s="308">
        <f>IF(Table1[[#This Row],[Tanggal Pengajuan Dokumen]]="","",Table1[[#This Row],[PLAN PERMIT
start]]-Table1[[#This Row],[Tanggal Pengajuan Dokumen]])</f>
        <v>-205</v>
      </c>
      <c r="FO147" s="407">
        <v>46064</v>
      </c>
      <c r="FP147" s="286" t="s">
        <v>174</v>
      </c>
      <c r="FQ147" s="308"/>
      <c r="FR147" s="308"/>
      <c r="FS147" s="308" t="str">
        <f t="shared" si="9"/>
        <v>On Going</v>
      </c>
      <c r="FT1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47" s="314">
        <f ca="1">IF(Table1[[#This Row],[Status Izin]]="Selesai",Table1[[#This Row],[PLAN PERMIT
finish]]-Table1[[#This Row],[Tanggal Terbit/ Target Izin Terbit]],ROUNDUP(Table1[[#This Row],[PLAN PERMIT
finish]]-NOW(),0))</f>
        <v>-549</v>
      </c>
      <c r="FV1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7" s="314"/>
      <c r="FX147" s="42"/>
      <c r="FY147" s="310"/>
      <c r="FZ147" s="311">
        <v>45582</v>
      </c>
      <c r="GA1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7" s="300">
        <v>45629</v>
      </c>
      <c r="GC147" s="322">
        <v>45635</v>
      </c>
      <c r="GD1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7" s="300">
        <v>45636</v>
      </c>
      <c r="GF147" s="322">
        <v>45635</v>
      </c>
      <c r="GG1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7" s="300">
        <v>45642</v>
      </c>
      <c r="GI147" s="300">
        <v>45648</v>
      </c>
      <c r="GJ147" s="322">
        <v>45644</v>
      </c>
      <c r="GK1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47" s="300">
        <v>45656</v>
      </c>
      <c r="GM147" s="300" t="e">
        <v>#N/A</v>
      </c>
      <c r="GN147" s="300">
        <v>45788</v>
      </c>
      <c r="GO147" s="300" t="e">
        <v>#N/A</v>
      </c>
      <c r="GP147" s="286"/>
      <c r="GQ1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7" s="300" t="s">
        <v>261</v>
      </c>
      <c r="GS147" s="300" t="s">
        <v>261</v>
      </c>
      <c r="GT147" s="324">
        <v>45987</v>
      </c>
      <c r="GU147" s="314" t="str">
        <f>IF(Table1[[#This Row],[Hydro Tes Actual
(tanggal)]]&lt;&gt;"","Sudah","Belum")</f>
        <v>Sudah</v>
      </c>
      <c r="GV147" s="300" t="s">
        <v>261</v>
      </c>
      <c r="GW147" s="300" t="s">
        <v>261</v>
      </c>
      <c r="GX147" s="301">
        <v>45800</v>
      </c>
      <c r="GY147" s="314" t="str">
        <f>IF(Table1[[#This Row],[Interkoneksi Actual
(tanggal)]]&lt;&gt;"","Sudah","Belum")</f>
        <v>Sudah</v>
      </c>
      <c r="GZ147" s="300" t="s">
        <v>261</v>
      </c>
      <c r="HA147" s="300" t="s">
        <v>261</v>
      </c>
      <c r="HB147" s="301">
        <v>45950</v>
      </c>
      <c r="HC147" s="314" t="str">
        <f>IF(Table1[[#This Row],[Flushing Actual
(tanggal)]]&lt;&gt;"","Sudah","Belum")</f>
        <v>Sudah</v>
      </c>
      <c r="HD147" s="300">
        <v>45754</v>
      </c>
      <c r="HE147" s="300" t="e">
        <v>#N/A</v>
      </c>
      <c r="HF147" s="300">
        <v>45774</v>
      </c>
      <c r="HG147" s="322">
        <v>46008</v>
      </c>
      <c r="HH1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7" s="300" t="s">
        <v>261</v>
      </c>
      <c r="HJ147" s="300" t="s">
        <v>261</v>
      </c>
      <c r="HK147" s="301"/>
      <c r="HL147" s="286"/>
      <c r="HM147" s="300">
        <v>45793</v>
      </c>
      <c r="HN147" s="300">
        <v>45793</v>
      </c>
      <c r="HO147" s="300" t="e">
        <v>#N/A</v>
      </c>
      <c r="HP147" s="300"/>
      <c r="HQ147" s="301">
        <v>46015</v>
      </c>
      <c r="HR1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7" s="300">
        <v>45800</v>
      </c>
      <c r="HT147" s="300"/>
      <c r="HU147" s="300">
        <v>45800</v>
      </c>
      <c r="HV147" s="497"/>
      <c r="HW147" s="300">
        <v>46024</v>
      </c>
      <c r="HX1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7" s="42"/>
      <c r="HZ147" s="322"/>
      <c r="IA147" s="306"/>
      <c r="IC147" s="585">
        <f>IFERROR(ROUND((Table1[[#This Row],[PLAN TC
finish]]-Table1[[#This Row],[PLAN MC-0
start]])/30,2),"")</f>
        <v>4.4000000000000004</v>
      </c>
      <c r="ID147">
        <f>DATEDIF(Table1[[#This Row],[PLAN MC-0
start]],Table1[[#This Row],[PLAN TC
finish]],"m")</f>
        <v>4</v>
      </c>
    </row>
    <row r="148" spans="2:238" s="4" customFormat="1" ht="15" customHeight="1" x14ac:dyDescent="0.25">
      <c r="B148" s="281">
        <f>SUBTOTAL(3,$D$5:D148)</f>
        <v>144</v>
      </c>
      <c r="C148" s="318">
        <v>144</v>
      </c>
      <c r="D148" s="308" t="s">
        <v>629</v>
      </c>
      <c r="E148" s="308" t="s">
        <v>1048</v>
      </c>
      <c r="F148" s="308" t="s">
        <v>1049</v>
      </c>
      <c r="G148" s="319">
        <v>45935</v>
      </c>
      <c r="H148" s="284" t="s">
        <v>247</v>
      </c>
      <c r="I148" s="308" t="s">
        <v>278</v>
      </c>
      <c r="J148" s="285" t="s">
        <v>882</v>
      </c>
      <c r="K148" s="308" t="s">
        <v>915</v>
      </c>
      <c r="L148" s="286" t="s">
        <v>250</v>
      </c>
      <c r="M148" s="286" t="s">
        <v>269</v>
      </c>
      <c r="N148" s="94">
        <v>36979</v>
      </c>
      <c r="O148" s="113" t="s">
        <v>252</v>
      </c>
      <c r="P14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8" s="35" t="e">
        <v>#N/A</v>
      </c>
      <c r="S148" s="35">
        <v>1</v>
      </c>
      <c r="T148" s="35">
        <f>Table1[[#This Row],[Progres Total Aktual
(%)]]</f>
        <v>1</v>
      </c>
      <c r="U148" s="106">
        <f>Table1[[#This Row],[Progres Aktual
(%)]]-Table1[[#This Row],[Target Progres
(%)]]</f>
        <v>0</v>
      </c>
      <c r="V148" s="320">
        <f>Table1[[#This Row],["Volume
BA MC-0"]]</f>
        <v>44782</v>
      </c>
      <c r="W148" s="321">
        <f>Table1[[#This Row],[Total Panjang Pipa Aktual
(Sum-&gt;)3]]</f>
        <v>37737.200000000004</v>
      </c>
      <c r="X148" s="42"/>
      <c r="Y148" s="62" t="s">
        <v>1050</v>
      </c>
      <c r="Z148" s="62">
        <v>89206411490</v>
      </c>
      <c r="AA148" s="62">
        <f>Table1[[#This Row],[Nilai RAB Jaringan
(file pa aji)]]</f>
        <v>89206411490</v>
      </c>
      <c r="AB148" s="290">
        <f>SUM(Table1[[#This Row],[RAB Kegiatan Umum]:[RAB Perizinan]])</f>
        <v>0</v>
      </c>
      <c r="AC148" s="290"/>
      <c r="AD148" s="290"/>
      <c r="AE148" s="290"/>
      <c r="AF148" s="290"/>
      <c r="AG148" s="406">
        <v>4091098007</v>
      </c>
      <c r="AH148" s="35" t="e">
        <f>SUM(Table1[[#This Row],[Bobot Keg Umum]:[Bobot Perizinan]])</f>
        <v>#DIV/0!</v>
      </c>
      <c r="AI148" s="35" t="e">
        <f>Table1[[#This Row],[RAB Kegiatan Umum]]/Table1[[#This Row],[Nilai RAB Jaringan
(Exclude Ppn)]]</f>
        <v>#DIV/0!</v>
      </c>
      <c r="AJ148" s="35" t="e">
        <f>Table1[[#This Row],[RAB Pemasangan]]/Table1[[#This Row],[Nilai RAB Jaringan
(Exclude Ppn)]]</f>
        <v>#DIV/0!</v>
      </c>
      <c r="AK148" s="35" t="e">
        <f>Table1[[#This Row],[RAB Pengadaan]]/Table1[[#This Row],[Nilai RAB Jaringan
(Exclude Ppn)]]</f>
        <v>#DIV/0!</v>
      </c>
      <c r="AL148" s="35" t="e">
        <f>Table1[[#This Row],[RAB Perizinan]]/Table1[[#This Row],[Nilai RAB Jaringan
(Exclude Ppn)]]</f>
        <v>#DIV/0!</v>
      </c>
      <c r="AM148" s="42"/>
      <c r="AN148" s="256">
        <v>44782</v>
      </c>
      <c r="AO148" s="256">
        <f>SUM(Table1[[#This Row],[Pipa 63 mm]:[Pipa 1,800 mm]])</f>
        <v>44782</v>
      </c>
      <c r="AP148" s="256">
        <v>18645</v>
      </c>
      <c r="AQ148" s="256">
        <v>10444</v>
      </c>
      <c r="AR148" s="256">
        <v>5537</v>
      </c>
      <c r="AS148" s="256">
        <v>2050</v>
      </c>
      <c r="AT148" s="256">
        <v>335</v>
      </c>
      <c r="AU148" s="256">
        <v>3</v>
      </c>
      <c r="AV148" s="256"/>
      <c r="AW148" s="256"/>
      <c r="AX148" s="256">
        <v>7768</v>
      </c>
      <c r="AY148" s="256"/>
      <c r="AZ148" s="256"/>
      <c r="BA148" s="256"/>
      <c r="BB148" s="256"/>
      <c r="BC148" s="256"/>
      <c r="BD148" s="256"/>
      <c r="BE148" s="256"/>
      <c r="BF148" s="256"/>
      <c r="BG148" s="256"/>
      <c r="BH148" s="256"/>
      <c r="BI148" s="256"/>
      <c r="BJ148" s="36">
        <f>SUM(Table1[[#This Row],[Pipa 63 mm2]:[Pipa 1,800 mm21]])</f>
        <v>37737.200000000004</v>
      </c>
      <c r="BK148" s="32">
        <v>17525.7</v>
      </c>
      <c r="BL148" s="32">
        <v>10446.1</v>
      </c>
      <c r="BM148" s="32">
        <v>5384.4</v>
      </c>
      <c r="BN148" s="32">
        <v>2196</v>
      </c>
      <c r="BO148" s="32">
        <v>365</v>
      </c>
      <c r="BP148" s="32">
        <v>85</v>
      </c>
      <c r="BQ148" s="32"/>
      <c r="BR148" s="32"/>
      <c r="BS148" s="32">
        <v>1735</v>
      </c>
      <c r="BT148" s="32"/>
      <c r="BU148" s="32"/>
      <c r="BV148" s="32"/>
      <c r="BW148" s="32"/>
      <c r="BX148" s="32"/>
      <c r="BY148" s="32"/>
      <c r="BZ148" s="32"/>
      <c r="CA148" s="32"/>
      <c r="CB148" s="32"/>
      <c r="CC148" s="32"/>
      <c r="CD148" s="32"/>
      <c r="CE148" s="32">
        <v>7280</v>
      </c>
      <c r="CF148" s="32">
        <v>0</v>
      </c>
      <c r="CG148" s="32">
        <v>0</v>
      </c>
      <c r="CH148" s="32">
        <v>0</v>
      </c>
      <c r="CI148" s="32">
        <f t="shared" si="10"/>
        <v>7280</v>
      </c>
      <c r="CJ148" s="60">
        <f>IF((Table1[[#This Row],["Volume
BA MC-0"]]-Table1[[#This Row],[Total Panjang Pipa Aktual
(Sum-&gt;)3]]-Table1[[#This Row],[Total Volume
tidak dapat dipasang]])&gt;=0,Table1[[#This Row],["Volume
BA MC-0"]]-Table1[[#This Row],[Total Panjang Pipa Aktual
(Sum-&gt;)3]]-Table1[[#This Row],[Total Volume
tidak dapat dipasang]],0)</f>
        <v>0</v>
      </c>
      <c r="CK148" s="42"/>
      <c r="CL148" s="113"/>
      <c r="CM148" s="35"/>
      <c r="CN148" s="113"/>
      <c r="CO148" s="113"/>
      <c r="CP1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8" s="61">
        <f>IFERROR(Table1[[#This Row],[Progres Keg. Umum
(%)]]*Table1[[#This Row],[Nilai RAB Jaringan
(file pa aji)]],0)</f>
        <v>0</v>
      </c>
      <c r="CR148" s="61">
        <f>IFERROR(Table1[[#This Row],[Progres MOS
(%)]]*Table1[[#This Row],[Nilai RAB Jaringan
(file pa aji)]],0)</f>
        <v>0</v>
      </c>
      <c r="CS148" s="61">
        <f>IFERROR(Table1[[#This Row],[Progres Pemasangan
(%)]]*Table1[[#This Row],[Nilai RAB Jaringan
(file pa aji)]],0)</f>
        <v>0</v>
      </c>
      <c r="CT148" s="61">
        <f>IFERROR(Table1[[#This Row],[Progres Perizinan
(%)]]*Table1[[#This Row],[Nilai RAB Jaringan
(file pa aji)]],0)</f>
        <v>0</v>
      </c>
      <c r="CU148" s="789">
        <v>51887944446</v>
      </c>
      <c r="CV148" s="299">
        <v>51887944446</v>
      </c>
      <c r="CW148" s="552">
        <v>51887944446</v>
      </c>
      <c r="CX148" s="789">
        <f>_xlfn.XLOOKUP(Table1[[#This Row],[Kode Program]],'[1]Breakdown VOWD Greenfield'!$E:$E,'[1]Breakdown VOWD Greenfield'!$AT:$AT)</f>
        <v>51887944446</v>
      </c>
      <c r="CY148" s="42"/>
      <c r="CZ148" s="300">
        <v>45530</v>
      </c>
      <c r="DA148" s="300">
        <v>45557</v>
      </c>
      <c r="DB148" s="301">
        <v>45553</v>
      </c>
      <c r="DC148" s="286" t="s">
        <v>1051</v>
      </c>
      <c r="DD148" s="62">
        <v>101248487072</v>
      </c>
      <c r="DE1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8" s="301">
        <v>45565</v>
      </c>
      <c r="DG148" s="286" t="s">
        <v>1052</v>
      </c>
      <c r="DH148" s="62">
        <v>101248487072</v>
      </c>
      <c r="DI1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8" s="300">
        <v>45558</v>
      </c>
      <c r="DK148" s="300">
        <v>45627</v>
      </c>
      <c r="DL148" s="301">
        <v>45618</v>
      </c>
      <c r="DM148" s="286" t="s">
        <v>1053</v>
      </c>
      <c r="DN1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8" s="301">
        <v>45645</v>
      </c>
      <c r="DP148" s="286" t="s">
        <v>1054</v>
      </c>
      <c r="DQ148" s="308" t="s">
        <v>762</v>
      </c>
      <c r="DR1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8" s="300">
        <v>45558</v>
      </c>
      <c r="DT148" s="300" t="e">
        <v>#N/A</v>
      </c>
      <c r="DU148" s="300">
        <v>45599</v>
      </c>
      <c r="DV148" s="300" t="e">
        <v>#N/A</v>
      </c>
      <c r="DW148" s="301">
        <v>45993</v>
      </c>
      <c r="DX148" s="286" t="s">
        <v>1055</v>
      </c>
      <c r="DY148" s="304"/>
      <c r="DZ148" s="304"/>
      <c r="EA1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8" s="301">
        <v>45980</v>
      </c>
      <c r="EC148" s="302"/>
      <c r="ED148" s="302"/>
      <c r="EE148" s="300" t="s">
        <v>1056</v>
      </c>
      <c r="EF148" s="35">
        <v>1</v>
      </c>
      <c r="EG148" s="307">
        <v>1</v>
      </c>
      <c r="EH148" s="286" t="str">
        <f>IF(Table1[[#This Row],[PO Material Aktual 
(%)]]&gt;=100%,"Selesai PO = 100%",IF(Table1[[#This Row],[PO Material Aktual 
(%)]]&gt;=50%,"Proses PO &gt; 100%",IF(Table1[[#This Row],[PO Material Aktual 
(%)]]&gt;0%,"Proses PO &gt; 50%",IF(Table1[[#This Row],[PO Material Aktual 
(%)]]=0,"Belum PO = 0%"))))</f>
        <v>Selesai PO = 100%</v>
      </c>
      <c r="EI1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8" s="300">
        <v>45600</v>
      </c>
      <c r="EK148" s="300" t="e">
        <v>#N/A</v>
      </c>
      <c r="EL148" s="300">
        <v>45711</v>
      </c>
      <c r="EM148" s="300" t="e">
        <v>#N/A</v>
      </c>
      <c r="EN148" s="301">
        <v>46093</v>
      </c>
      <c r="EO148" s="302"/>
      <c r="EP148" s="302"/>
      <c r="EQ148" s="82">
        <v>1</v>
      </c>
      <c r="ER148" s="82">
        <v>1</v>
      </c>
      <c r="ES148" s="286" t="str">
        <f>IF(Table1[[#This Row],[Progres MOS]]&gt;=100%,"Selesai MOS = 100%",IF(Table1[[#This Row],[Progres MOS]]&gt;=50%,"Proses MOS &gt; 100%",IF(Table1[[#This Row],[Progres MOS]]&gt;0%,"Proses MOS &gt; 50%",IF(Table1[[#This Row],[Progres MOS]]=0,"Belum MOS = 0%"))))</f>
        <v>Selesai MOS = 100%</v>
      </c>
      <c r="ET1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8" s="42"/>
      <c r="EV148" s="300">
        <v>45558</v>
      </c>
      <c r="EW148" s="300" t="e">
        <v>#N/A</v>
      </c>
      <c r="EX148" s="300">
        <v>45655</v>
      </c>
      <c r="EY148" s="300" t="e">
        <v>#N/A</v>
      </c>
      <c r="EZ148" s="322" t="s">
        <v>259</v>
      </c>
      <c r="FA148" s="306" t="s">
        <v>259</v>
      </c>
      <c r="FB148" s="300" t="s">
        <v>260</v>
      </c>
      <c r="FC148" s="300" t="s">
        <v>282</v>
      </c>
      <c r="FD148" s="300" t="s">
        <v>282</v>
      </c>
      <c r="FE148" s="300" t="s">
        <v>282</v>
      </c>
      <c r="FF148" s="300" t="s">
        <v>282</v>
      </c>
      <c r="FG148" s="300" t="s">
        <v>282</v>
      </c>
      <c r="FH148" s="300" t="s">
        <v>282</v>
      </c>
      <c r="FI148" s="300" t="s">
        <v>282</v>
      </c>
      <c r="FJ148" s="300" t="s">
        <v>282</v>
      </c>
      <c r="FK148" s="300" t="s">
        <v>283</v>
      </c>
      <c r="FL148" s="306" t="s">
        <v>259</v>
      </c>
      <c r="FM148" s="322" t="s">
        <v>282</v>
      </c>
      <c r="FN148" s="308" t="e">
        <f>IF(Table1[[#This Row],[Tanggal Pengajuan Dokumen]]="","",Table1[[#This Row],[PLAN PERMIT
start]]-Table1[[#This Row],[Tanggal Pengajuan Dokumen]])</f>
        <v>#VALUE!</v>
      </c>
      <c r="FO148" s="407">
        <v>45672</v>
      </c>
      <c r="FP148" s="286"/>
      <c r="FQ148" s="308"/>
      <c r="FR148" s="308"/>
      <c r="FS148" s="308" t="str">
        <f t="shared" si="9"/>
        <v>Sudah Terbit</v>
      </c>
      <c r="FT1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8" s="314">
        <f ca="1">IF(Table1[[#This Row],[Status Izin]]="Selesai",Table1[[#This Row],[PLAN PERMIT
finish]]-Table1[[#This Row],[Tanggal Terbit/ Target Izin Terbit]],ROUNDUP(Table1[[#This Row],[PLAN PERMIT
finish]]-NOW(),0))</f>
        <v>-17</v>
      </c>
      <c r="FV1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8" s="314"/>
      <c r="FX148" s="42"/>
      <c r="FY148" s="310"/>
      <c r="FZ148" s="311">
        <v>45582</v>
      </c>
      <c r="GA1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8" s="300">
        <v>45629</v>
      </c>
      <c r="GC148" s="322">
        <v>45635</v>
      </c>
      <c r="GD1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8" s="300">
        <v>45636</v>
      </c>
      <c r="GF148" s="322">
        <v>45635</v>
      </c>
      <c r="GG1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8" s="300">
        <v>45642</v>
      </c>
      <c r="GI148" s="300">
        <v>45648</v>
      </c>
      <c r="GJ148" s="322">
        <v>45671</v>
      </c>
      <c r="GK1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8" s="300">
        <v>45656</v>
      </c>
      <c r="GM148" s="300" t="e">
        <v>#N/A</v>
      </c>
      <c r="GN148" s="300">
        <v>45788</v>
      </c>
      <c r="GO148" s="300" t="e">
        <v>#N/A</v>
      </c>
      <c r="GP148" s="286"/>
      <c r="GQ1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8" s="300" t="s">
        <v>261</v>
      </c>
      <c r="GS148" s="300" t="s">
        <v>261</v>
      </c>
      <c r="GT148" s="324">
        <v>45880</v>
      </c>
      <c r="GU148" s="314" t="str">
        <f>IF(Table1[[#This Row],[Hydro Tes Actual
(tanggal)]]&lt;&gt;"","Sudah","Belum")</f>
        <v>Sudah</v>
      </c>
      <c r="GV148" s="300" t="s">
        <v>261</v>
      </c>
      <c r="GW148" s="300" t="s">
        <v>261</v>
      </c>
      <c r="GX148" s="301">
        <v>45926</v>
      </c>
      <c r="GY148" s="314" t="str">
        <f>IF(Table1[[#This Row],[Interkoneksi Actual
(tanggal)]]&lt;&gt;"","Sudah","Belum")</f>
        <v>Sudah</v>
      </c>
      <c r="GZ148" s="300" t="s">
        <v>261</v>
      </c>
      <c r="HA148" s="300" t="s">
        <v>261</v>
      </c>
      <c r="HB148" s="301">
        <v>45940</v>
      </c>
      <c r="HC148" s="314" t="str">
        <f>IF(Table1[[#This Row],[Flushing Actual
(tanggal)]]&lt;&gt;"","Sudah","Belum")</f>
        <v>Sudah</v>
      </c>
      <c r="HD148" s="300">
        <v>45754</v>
      </c>
      <c r="HE148" s="300" t="e">
        <v>#N/A</v>
      </c>
      <c r="HF148" s="300">
        <v>45774</v>
      </c>
      <c r="HG148" s="322">
        <v>45973</v>
      </c>
      <c r="HH1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8" s="300" t="s">
        <v>261</v>
      </c>
      <c r="HJ148" s="300" t="s">
        <v>261</v>
      </c>
      <c r="HK148" s="301"/>
      <c r="HL148" s="286"/>
      <c r="HM148" s="300">
        <v>45793</v>
      </c>
      <c r="HN148" s="300">
        <v>45793</v>
      </c>
      <c r="HO148" s="300" t="e">
        <v>#N/A</v>
      </c>
      <c r="HP148" s="300"/>
      <c r="HQ148" s="301">
        <v>45986</v>
      </c>
      <c r="HR1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8" s="300">
        <v>45800</v>
      </c>
      <c r="HT148" s="300"/>
      <c r="HU148" s="300">
        <v>45800</v>
      </c>
      <c r="HV148" s="497"/>
      <c r="HW148" s="300">
        <v>46024</v>
      </c>
      <c r="HX1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8" s="42"/>
      <c r="HZ148" s="322"/>
      <c r="IA148" s="306"/>
      <c r="IC148" s="585">
        <f>IFERROR(ROUND((Table1[[#This Row],[PLAN TC
finish]]-Table1[[#This Row],[PLAN MC-0
start]])/30,2),"")</f>
        <v>4.4000000000000004</v>
      </c>
      <c r="ID148">
        <f>DATEDIF(Table1[[#This Row],[PLAN MC-0
start]],Table1[[#This Row],[PLAN TC
finish]],"m")</f>
        <v>4</v>
      </c>
    </row>
    <row r="149" spans="2:238" s="4" customFormat="1" ht="15" customHeight="1" x14ac:dyDescent="0.25">
      <c r="B149" s="281">
        <f>SUBTOTAL(3,$D$5:D149)</f>
        <v>145</v>
      </c>
      <c r="C149" s="318">
        <v>145</v>
      </c>
      <c r="D149" s="308" t="s">
        <v>629</v>
      </c>
      <c r="E149" s="308" t="s">
        <v>1057</v>
      </c>
      <c r="F149" s="308" t="s">
        <v>1058</v>
      </c>
      <c r="G149" s="319">
        <v>45935</v>
      </c>
      <c r="H149" s="284" t="s">
        <v>247</v>
      </c>
      <c r="I149" s="308" t="s">
        <v>278</v>
      </c>
      <c r="J149" s="285"/>
      <c r="K149" s="308" t="s">
        <v>915</v>
      </c>
      <c r="L149" s="286" t="s">
        <v>250</v>
      </c>
      <c r="M149" s="286" t="s">
        <v>269</v>
      </c>
      <c r="N149" s="94">
        <v>14552</v>
      </c>
      <c r="O149" s="113" t="s">
        <v>252</v>
      </c>
      <c r="P14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49" s="35" t="e">
        <v>#N/A</v>
      </c>
      <c r="S149" s="35">
        <v>1</v>
      </c>
      <c r="T149" s="35">
        <f>Table1[[#This Row],[Progres Total Aktual
(%)]]</f>
        <v>1</v>
      </c>
      <c r="U149" s="106">
        <f>Table1[[#This Row],[Progres Aktual
(%)]]-Table1[[#This Row],[Target Progres
(%)]]</f>
        <v>0</v>
      </c>
      <c r="V149" s="320">
        <f>Table1[[#This Row],["Volume
BA MC-0"]]</f>
        <v>14433</v>
      </c>
      <c r="W149" s="321">
        <f>Table1[[#This Row],[Total Panjang Pipa Aktual
(Sum-&gt;)3]]</f>
        <v>14560</v>
      </c>
      <c r="X149" s="42"/>
      <c r="Y149" s="62" t="s">
        <v>1059</v>
      </c>
      <c r="Z149" s="62">
        <v>28681401111</v>
      </c>
      <c r="AA149" s="62">
        <f>Table1[[#This Row],[Nilai RAB Jaringan
(file pa aji)]]</f>
        <v>28681401111</v>
      </c>
      <c r="AB149" s="290">
        <f>SUM(Table1[[#This Row],[RAB Kegiatan Umum]:[RAB Perizinan]])</f>
        <v>0</v>
      </c>
      <c r="AC149" s="290"/>
      <c r="AD149" s="290"/>
      <c r="AE149" s="290"/>
      <c r="AF149" s="290"/>
      <c r="AG149" s="406">
        <v>2594854748</v>
      </c>
      <c r="AH149" s="35" t="e">
        <f>SUM(Table1[[#This Row],[Bobot Keg Umum]:[Bobot Perizinan]])</f>
        <v>#DIV/0!</v>
      </c>
      <c r="AI149" s="35" t="e">
        <f>Table1[[#This Row],[RAB Kegiatan Umum]]/Table1[[#This Row],[Nilai RAB Jaringan
(Exclude Ppn)]]</f>
        <v>#DIV/0!</v>
      </c>
      <c r="AJ149" s="35" t="e">
        <f>Table1[[#This Row],[RAB Pemasangan]]/Table1[[#This Row],[Nilai RAB Jaringan
(Exclude Ppn)]]</f>
        <v>#DIV/0!</v>
      </c>
      <c r="AK149" s="35" t="e">
        <f>Table1[[#This Row],[RAB Pengadaan]]/Table1[[#This Row],[Nilai RAB Jaringan
(Exclude Ppn)]]</f>
        <v>#DIV/0!</v>
      </c>
      <c r="AL149" s="35" t="e">
        <f>Table1[[#This Row],[RAB Perizinan]]/Table1[[#This Row],[Nilai RAB Jaringan
(Exclude Ppn)]]</f>
        <v>#DIV/0!</v>
      </c>
      <c r="AM149" s="42"/>
      <c r="AN149" s="256">
        <v>14433</v>
      </c>
      <c r="AO149" s="256">
        <f>SUM(Table1[[#This Row],[Pipa 63 mm]:[Pipa 1,800 mm]])</f>
        <v>14433</v>
      </c>
      <c r="AP149" s="256">
        <v>7911</v>
      </c>
      <c r="AQ149" s="256">
        <v>3418</v>
      </c>
      <c r="AR149" s="256">
        <v>1321</v>
      </c>
      <c r="AS149" s="256">
        <v>1003</v>
      </c>
      <c r="AT149" s="256">
        <v>753</v>
      </c>
      <c r="AU149" s="256">
        <v>27</v>
      </c>
      <c r="AV149" s="256"/>
      <c r="AW149" s="256"/>
      <c r="AX149" s="256"/>
      <c r="AY149" s="256"/>
      <c r="AZ149" s="256"/>
      <c r="BA149" s="256"/>
      <c r="BB149" s="256"/>
      <c r="BC149" s="256"/>
      <c r="BD149" s="256"/>
      <c r="BE149" s="256"/>
      <c r="BF149" s="256"/>
      <c r="BG149" s="256"/>
      <c r="BH149" s="256"/>
      <c r="BI149" s="256"/>
      <c r="BJ149" s="36">
        <f>SUM(Table1[[#This Row],[Pipa 63 mm2]:[Pipa 1,800 mm21]])</f>
        <v>14560</v>
      </c>
      <c r="BK149" s="32">
        <v>7670</v>
      </c>
      <c r="BL149" s="32">
        <v>3476</v>
      </c>
      <c r="BM149" s="32">
        <v>1606</v>
      </c>
      <c r="BN149" s="32">
        <v>1017</v>
      </c>
      <c r="BO149" s="32">
        <v>760</v>
      </c>
      <c r="BP149" s="32">
        <v>31</v>
      </c>
      <c r="BQ149" s="32"/>
      <c r="BR149" s="32"/>
      <c r="BS149" s="32"/>
      <c r="BT149" s="32"/>
      <c r="BU149" s="32"/>
      <c r="BV149" s="32"/>
      <c r="BW149" s="32"/>
      <c r="BX149" s="32"/>
      <c r="BY149" s="32"/>
      <c r="BZ149" s="32"/>
      <c r="CA149" s="32"/>
      <c r="CB149" s="32"/>
      <c r="CC149" s="32"/>
      <c r="CD149" s="32"/>
      <c r="CE149" s="32">
        <v>0</v>
      </c>
      <c r="CF149" s="32">
        <v>300</v>
      </c>
      <c r="CG149" s="32">
        <v>0</v>
      </c>
      <c r="CH149" s="32">
        <v>0</v>
      </c>
      <c r="CI149" s="32">
        <f t="shared" si="10"/>
        <v>300</v>
      </c>
      <c r="CJ149" s="60">
        <f>IF((Table1[[#This Row],["Volume
BA MC-0"]]-Table1[[#This Row],[Total Panjang Pipa Aktual
(Sum-&gt;)3]]-Table1[[#This Row],[Total Volume
tidak dapat dipasang]])&gt;=0,Table1[[#This Row],["Volume
BA MC-0"]]-Table1[[#This Row],[Total Panjang Pipa Aktual
(Sum-&gt;)3]]-Table1[[#This Row],[Total Volume
tidak dapat dipasang]],0)</f>
        <v>0</v>
      </c>
      <c r="CK149" s="42"/>
      <c r="CL149" s="113"/>
      <c r="CM149" s="35"/>
      <c r="CN149" s="113"/>
      <c r="CO149" s="113"/>
      <c r="CP1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49" s="61">
        <f>IFERROR(Table1[[#This Row],[Progres Keg. Umum
(%)]]*Table1[[#This Row],[Nilai RAB Jaringan
(file pa aji)]],0)</f>
        <v>0</v>
      </c>
      <c r="CR149" s="61">
        <f>IFERROR(Table1[[#This Row],[Progres MOS
(%)]]*Table1[[#This Row],[Nilai RAB Jaringan
(file pa aji)]],0)</f>
        <v>0</v>
      </c>
      <c r="CS149" s="61">
        <f>IFERROR(Table1[[#This Row],[Progres Pemasangan
(%)]]*Table1[[#This Row],[Nilai RAB Jaringan
(file pa aji)]],0)</f>
        <v>0</v>
      </c>
      <c r="CT149" s="61">
        <f>IFERROR(Table1[[#This Row],[Progres Perizinan
(%)]]*Table1[[#This Row],[Nilai RAB Jaringan
(file pa aji)]],0)</f>
        <v>0</v>
      </c>
      <c r="CU149" s="789">
        <v>19864134680</v>
      </c>
      <c r="CV149" s="299">
        <v>19864134680</v>
      </c>
      <c r="CW149" s="552">
        <v>19864134680</v>
      </c>
      <c r="CX149" s="789">
        <f>_xlfn.XLOOKUP(Table1[[#This Row],[Kode Program]],'[1]Breakdown VOWD Greenfield'!$E:$E,'[1]Breakdown VOWD Greenfield'!$AT:$AT)</f>
        <v>19864134680</v>
      </c>
      <c r="CY149" s="42"/>
      <c r="CZ149" s="300">
        <v>45530</v>
      </c>
      <c r="DA149" s="300">
        <v>45557</v>
      </c>
      <c r="DB149" s="301">
        <v>45553</v>
      </c>
      <c r="DC149" s="286" t="s">
        <v>1060</v>
      </c>
      <c r="DD149" s="62">
        <v>31577752768</v>
      </c>
      <c r="DE1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49" s="301">
        <v>45565</v>
      </c>
      <c r="DG149" s="286" t="s">
        <v>1061</v>
      </c>
      <c r="DH149" s="62">
        <v>31577752768</v>
      </c>
      <c r="DI1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49" s="300">
        <v>45558</v>
      </c>
      <c r="DK149" s="300">
        <v>45627</v>
      </c>
      <c r="DL149" s="301">
        <v>45621</v>
      </c>
      <c r="DM149" s="286" t="s">
        <v>1062</v>
      </c>
      <c r="DN1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49" s="301">
        <v>45636</v>
      </c>
      <c r="DP149" s="286" t="s">
        <v>1063</v>
      </c>
      <c r="DQ149" s="308" t="s">
        <v>560</v>
      </c>
      <c r="DR1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49" s="300">
        <v>45558</v>
      </c>
      <c r="DT149" s="300" t="e">
        <v>#N/A</v>
      </c>
      <c r="DU149" s="300">
        <v>45599</v>
      </c>
      <c r="DV149" s="300" t="e">
        <v>#N/A</v>
      </c>
      <c r="DW149" s="301">
        <v>45911</v>
      </c>
      <c r="DX149" t="s">
        <v>1064</v>
      </c>
      <c r="DY149"/>
      <c r="DZ149"/>
      <c r="EA1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49" s="301">
        <v>45926</v>
      </c>
      <c r="EC149" s="302"/>
      <c r="ED149" s="302"/>
      <c r="EE149" s="300" t="s">
        <v>1065</v>
      </c>
      <c r="EF149" s="35">
        <v>1</v>
      </c>
      <c r="EG149" s="307">
        <v>1</v>
      </c>
      <c r="EH149" s="286" t="str">
        <f>IF(Table1[[#This Row],[PO Material Aktual 
(%)]]&gt;=100%,"Selesai PO = 100%",IF(Table1[[#This Row],[PO Material Aktual 
(%)]]&gt;=50%,"Proses PO &gt; 100%",IF(Table1[[#This Row],[PO Material Aktual 
(%)]]&gt;0%,"Proses PO &gt; 50%",IF(Table1[[#This Row],[PO Material Aktual 
(%)]]=0,"Belum PO = 0%"))))</f>
        <v>Selesai PO = 100%</v>
      </c>
      <c r="EI1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49" s="300">
        <v>45600</v>
      </c>
      <c r="EK149" s="300" t="e">
        <v>#N/A</v>
      </c>
      <c r="EL149" s="300">
        <v>45711</v>
      </c>
      <c r="EM149" s="300" t="e">
        <v>#N/A</v>
      </c>
      <c r="EN149" s="301">
        <v>45945</v>
      </c>
      <c r="EO149" s="302"/>
      <c r="EP149" s="302"/>
      <c r="EQ149" s="82">
        <v>1</v>
      </c>
      <c r="ER149" s="82">
        <v>1</v>
      </c>
      <c r="ES149" s="286" t="str">
        <f>IF(Table1[[#This Row],[Progres MOS]]&gt;=100%,"Selesai MOS = 100%",IF(Table1[[#This Row],[Progres MOS]]&gt;=50%,"Proses MOS &gt; 100%",IF(Table1[[#This Row],[Progres MOS]]&gt;0%,"Proses MOS &gt; 50%",IF(Table1[[#This Row],[Progres MOS]]=0,"Belum MOS = 0%"))))</f>
        <v>Selesai MOS = 100%</v>
      </c>
      <c r="ET1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49" s="42"/>
      <c r="EV149" s="300">
        <v>45558</v>
      </c>
      <c r="EW149" s="300" t="e">
        <v>#N/A</v>
      </c>
      <c r="EX149" s="300">
        <v>45655</v>
      </c>
      <c r="EY149" s="300" t="e">
        <v>#N/A</v>
      </c>
      <c r="EZ149" s="322" t="s">
        <v>259</v>
      </c>
      <c r="FA149" s="306" t="s">
        <v>259</v>
      </c>
      <c r="FB149" s="300" t="s">
        <v>260</v>
      </c>
      <c r="FC149" s="300" t="s">
        <v>282</v>
      </c>
      <c r="FD149" s="300" t="s">
        <v>282</v>
      </c>
      <c r="FE149" s="300" t="s">
        <v>282</v>
      </c>
      <c r="FF149" s="300" t="s">
        <v>282</v>
      </c>
      <c r="FG149" s="300" t="s">
        <v>282</v>
      </c>
      <c r="FH149" s="300" t="s">
        <v>282</v>
      </c>
      <c r="FI149" s="300" t="s">
        <v>282</v>
      </c>
      <c r="FJ149" s="300" t="s">
        <v>282</v>
      </c>
      <c r="FK149" s="300" t="s">
        <v>283</v>
      </c>
      <c r="FL149" s="306" t="s">
        <v>259</v>
      </c>
      <c r="FM149" s="322" t="s">
        <v>282</v>
      </c>
      <c r="FN149" s="308" t="e">
        <f>IF(Table1[[#This Row],[Tanggal Pengajuan Dokumen]]="","",Table1[[#This Row],[PLAN PERMIT
start]]-Table1[[#This Row],[Tanggal Pengajuan Dokumen]])</f>
        <v>#VALUE!</v>
      </c>
      <c r="FO149" s="407">
        <v>45672</v>
      </c>
      <c r="FP149" s="286"/>
      <c r="FQ149" s="308"/>
      <c r="FR149" s="308"/>
      <c r="FS149" s="308" t="str">
        <f t="shared" si="9"/>
        <v>Sudah Terbit</v>
      </c>
      <c r="FT1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49" s="314">
        <f ca="1">IF(Table1[[#This Row],[Status Izin]]="Selesai",Table1[[#This Row],[PLAN PERMIT
finish]]-Table1[[#This Row],[Tanggal Terbit/ Target Izin Terbit]],ROUNDUP(Table1[[#This Row],[PLAN PERMIT
finish]]-NOW(),0))</f>
        <v>-17</v>
      </c>
      <c r="FV1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49" s="314"/>
      <c r="FX149" s="42"/>
      <c r="FY149" s="310"/>
      <c r="FZ149" s="311">
        <v>45582</v>
      </c>
      <c r="GA1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49" s="300">
        <v>45629</v>
      </c>
      <c r="GC149" s="322">
        <v>45635</v>
      </c>
      <c r="GD1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49" s="300">
        <v>45636</v>
      </c>
      <c r="GF149" s="322">
        <v>45635</v>
      </c>
      <c r="GG1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49" s="300">
        <v>45642</v>
      </c>
      <c r="GI149" s="300">
        <v>45648</v>
      </c>
      <c r="GJ149" s="322">
        <v>45719</v>
      </c>
      <c r="GK1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49" s="300">
        <v>45656</v>
      </c>
      <c r="GM149" s="300" t="e">
        <v>#N/A</v>
      </c>
      <c r="GN149" s="300">
        <v>45788</v>
      </c>
      <c r="GO149" s="300" t="e">
        <v>#N/A</v>
      </c>
      <c r="GP149" s="286"/>
      <c r="GQ1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49" s="300" t="s">
        <v>261</v>
      </c>
      <c r="GS149" s="300" t="s">
        <v>261</v>
      </c>
      <c r="GT149" s="324">
        <v>45784</v>
      </c>
      <c r="GU149" s="314" t="str">
        <f>IF(Table1[[#This Row],[Hydro Tes Actual
(tanggal)]]&lt;&gt;"","Sudah","Belum")</f>
        <v>Sudah</v>
      </c>
      <c r="GV149" s="300" t="s">
        <v>261</v>
      </c>
      <c r="GW149" s="300" t="s">
        <v>261</v>
      </c>
      <c r="GX149" s="301">
        <v>45836</v>
      </c>
      <c r="GY149" s="314" t="str">
        <f>IF(Table1[[#This Row],[Interkoneksi Actual
(tanggal)]]&lt;&gt;"","Sudah","Belum")</f>
        <v>Sudah</v>
      </c>
      <c r="GZ149" s="300" t="s">
        <v>261</v>
      </c>
      <c r="HA149" s="300" t="s">
        <v>261</v>
      </c>
      <c r="HB149" s="301">
        <v>45859</v>
      </c>
      <c r="HC149" s="314" t="str">
        <f>IF(Table1[[#This Row],[Flushing Actual
(tanggal)]]&lt;&gt;"","Sudah","Belum")</f>
        <v>Sudah</v>
      </c>
      <c r="HD149" s="300">
        <v>45754</v>
      </c>
      <c r="HE149" s="300" t="e">
        <v>#N/A</v>
      </c>
      <c r="HF149" s="300">
        <v>45774</v>
      </c>
      <c r="HG149" s="322">
        <v>45926</v>
      </c>
      <c r="HH1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49" s="300" t="s">
        <v>261</v>
      </c>
      <c r="HJ149" s="300" t="s">
        <v>261</v>
      </c>
      <c r="HK149" s="301"/>
      <c r="HL149" s="286"/>
      <c r="HM149" s="300">
        <v>45793</v>
      </c>
      <c r="HN149" s="300">
        <v>45793</v>
      </c>
      <c r="HO149" s="300" t="e">
        <v>#N/A</v>
      </c>
      <c r="HP149" s="300"/>
      <c r="HQ149" s="301">
        <v>45933</v>
      </c>
      <c r="HR1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49" s="300">
        <v>45800</v>
      </c>
      <c r="HT149" s="300"/>
      <c r="HU149" s="300">
        <v>45800</v>
      </c>
      <c r="HV149" s="497"/>
      <c r="HW149" s="300">
        <v>45934</v>
      </c>
      <c r="HX1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49" s="42"/>
      <c r="HZ149" s="322"/>
      <c r="IA149" s="306"/>
      <c r="IC149" s="585">
        <f>IFERROR(ROUND((Table1[[#This Row],[PLAN TC
finish]]-Table1[[#This Row],[PLAN MC-0
start]])/30,2),"")</f>
        <v>4.4000000000000004</v>
      </c>
      <c r="ID149">
        <f>DATEDIF(Table1[[#This Row],[PLAN MC-0
start]],Table1[[#This Row],[PLAN TC
finish]],"m")</f>
        <v>4</v>
      </c>
    </row>
    <row r="150" spans="2:238" s="4" customFormat="1" ht="15" customHeight="1" x14ac:dyDescent="0.25">
      <c r="B150" s="281">
        <f>SUBTOTAL(3,$D$5:D150)</f>
        <v>146</v>
      </c>
      <c r="C150" s="318">
        <v>146</v>
      </c>
      <c r="D150" s="308" t="s">
        <v>629</v>
      </c>
      <c r="E150" s="308" t="s">
        <v>1066</v>
      </c>
      <c r="F150" s="308" t="s">
        <v>1067</v>
      </c>
      <c r="G150" s="319">
        <v>45935</v>
      </c>
      <c r="H150" s="284" t="s">
        <v>247</v>
      </c>
      <c r="I150" s="308" t="s">
        <v>278</v>
      </c>
      <c r="J150" s="285" t="s">
        <v>943</v>
      </c>
      <c r="K150" s="308" t="s">
        <v>915</v>
      </c>
      <c r="L150" s="286" t="s">
        <v>250</v>
      </c>
      <c r="M150" s="286" t="s">
        <v>269</v>
      </c>
      <c r="N150" s="94">
        <v>16606</v>
      </c>
      <c r="O150" s="113" t="s">
        <v>252</v>
      </c>
      <c r="P15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0" s="35" t="e">
        <v>#N/A</v>
      </c>
      <c r="S150" s="35">
        <v>1</v>
      </c>
      <c r="T150" s="35">
        <f>Table1[[#This Row],[Progres Total Aktual
(%)]]</f>
        <v>1</v>
      </c>
      <c r="U150" s="106">
        <f>Table1[[#This Row],[Progres Aktual
(%)]]-Table1[[#This Row],[Target Progres
(%)]]</f>
        <v>0</v>
      </c>
      <c r="V150" s="320">
        <f>Table1[[#This Row],["Volume
BA MC-0"]]</f>
        <v>16592</v>
      </c>
      <c r="W150" s="321">
        <f>Table1[[#This Row],[Total Panjang Pipa Aktual
(Sum-&gt;)3]]</f>
        <v>8710</v>
      </c>
      <c r="X150" s="42"/>
      <c r="Y150" s="62" t="s">
        <v>1068</v>
      </c>
      <c r="Z150" s="62">
        <v>27025525055</v>
      </c>
      <c r="AA150" s="62">
        <v>27025525055</v>
      </c>
      <c r="AB150" s="290">
        <f>SUM(Table1[[#This Row],[RAB Kegiatan Umum]:[RAB Perizinan]])</f>
        <v>0</v>
      </c>
      <c r="AC150" s="290"/>
      <c r="AD150" s="290"/>
      <c r="AE150" s="290"/>
      <c r="AF150" s="290"/>
      <c r="AG150" s="406">
        <v>6491236167</v>
      </c>
      <c r="AH150" s="35" t="e">
        <f>SUM(Table1[[#This Row],[Bobot Keg Umum]:[Bobot Perizinan]])</f>
        <v>#DIV/0!</v>
      </c>
      <c r="AI150" s="35" t="e">
        <f>Table1[[#This Row],[RAB Kegiatan Umum]]/Table1[[#This Row],[Nilai RAB Jaringan
(Exclude Ppn)]]</f>
        <v>#DIV/0!</v>
      </c>
      <c r="AJ150" s="35" t="e">
        <f>Table1[[#This Row],[RAB Pemasangan]]/Table1[[#This Row],[Nilai RAB Jaringan
(Exclude Ppn)]]</f>
        <v>#DIV/0!</v>
      </c>
      <c r="AK150" s="35" t="e">
        <f>Table1[[#This Row],[RAB Pengadaan]]/Table1[[#This Row],[Nilai RAB Jaringan
(Exclude Ppn)]]</f>
        <v>#DIV/0!</v>
      </c>
      <c r="AL150" s="35" t="e">
        <f>Table1[[#This Row],[RAB Perizinan]]/Table1[[#This Row],[Nilai RAB Jaringan
(Exclude Ppn)]]</f>
        <v>#DIV/0!</v>
      </c>
      <c r="AM150" s="42"/>
      <c r="AN150" s="256">
        <v>16592</v>
      </c>
      <c r="AO150" s="256">
        <f>SUM(Table1[[#This Row],[Pipa 63 mm]:[Pipa 1,800 mm]])</f>
        <v>16592</v>
      </c>
      <c r="AP150" s="256">
        <v>6312</v>
      </c>
      <c r="AQ150" s="256">
        <v>5269</v>
      </c>
      <c r="AR150" s="256">
        <v>3066</v>
      </c>
      <c r="AS150" s="256">
        <v>439</v>
      </c>
      <c r="AT150" s="256">
        <v>1433</v>
      </c>
      <c r="AU150" s="256">
        <v>73</v>
      </c>
      <c r="AV150" s="256"/>
      <c r="AW150" s="256"/>
      <c r="AX150" s="256"/>
      <c r="AY150" s="256"/>
      <c r="AZ150" s="256"/>
      <c r="BA150" s="256"/>
      <c r="BB150" s="256"/>
      <c r="BC150" s="256"/>
      <c r="BD150" s="256"/>
      <c r="BE150" s="256"/>
      <c r="BF150" s="256"/>
      <c r="BG150" s="256"/>
      <c r="BH150" s="256"/>
      <c r="BI150" s="256"/>
      <c r="BJ150" s="36">
        <f>SUM(Table1[[#This Row],[Pipa 63 mm2]:[Pipa 1,800 mm21]])</f>
        <v>8710</v>
      </c>
      <c r="BK150" s="32">
        <v>3096</v>
      </c>
      <c r="BL150" s="32">
        <v>2508</v>
      </c>
      <c r="BM150" s="32">
        <v>1344</v>
      </c>
      <c r="BN150" s="32">
        <v>386</v>
      </c>
      <c r="BO150" s="32">
        <v>1316</v>
      </c>
      <c r="BP150" s="32">
        <v>60</v>
      </c>
      <c r="BQ150" s="32"/>
      <c r="BR150" s="32"/>
      <c r="BS150" s="32"/>
      <c r="BT150" s="32"/>
      <c r="BU150" s="32"/>
      <c r="BV150" s="32"/>
      <c r="BW150" s="32"/>
      <c r="BX150" s="32"/>
      <c r="BY150" s="32"/>
      <c r="BZ150" s="32"/>
      <c r="CA150" s="32"/>
      <c r="CB150" s="32"/>
      <c r="CC150" s="32"/>
      <c r="CD150" s="32"/>
      <c r="CE150" s="32">
        <v>7034</v>
      </c>
      <c r="CF150" s="32">
        <v>0</v>
      </c>
      <c r="CG150" s="32">
        <v>0</v>
      </c>
      <c r="CH150" s="32">
        <v>0</v>
      </c>
      <c r="CI150" s="32">
        <f t="shared" si="10"/>
        <v>7034</v>
      </c>
      <c r="CJ150" s="60">
        <f>IF((Table1[[#This Row],["Volume
BA MC-0"]]-Table1[[#This Row],[Total Panjang Pipa Aktual
(Sum-&gt;)3]]-Table1[[#This Row],[Total Volume
tidak dapat dipasang]])&gt;=0,Table1[[#This Row],["Volume
BA MC-0"]]-Table1[[#This Row],[Total Panjang Pipa Aktual
(Sum-&gt;)3]]-Table1[[#This Row],[Total Volume
tidak dapat dipasang]],0)</f>
        <v>848</v>
      </c>
      <c r="CK150" s="42"/>
      <c r="CL150" s="113"/>
      <c r="CM150" s="35"/>
      <c r="CN150" s="113"/>
      <c r="CO150" s="113"/>
      <c r="CP1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0" s="61">
        <f>IFERROR(Table1[[#This Row],[Progres Keg. Umum
(%)]]*Table1[[#This Row],[Nilai RAB Jaringan
(file pa aji)]],0)</f>
        <v>0</v>
      </c>
      <c r="CR150" s="61">
        <f>IFERROR(Table1[[#This Row],[Progres MOS
(%)]]*Table1[[#This Row],[Nilai RAB Jaringan
(file pa aji)]],0)</f>
        <v>0</v>
      </c>
      <c r="CS150" s="61">
        <f>IFERROR(Table1[[#This Row],[Progres Pemasangan
(%)]]*Table1[[#This Row],[Nilai RAB Jaringan
(file pa aji)]],0)</f>
        <v>0</v>
      </c>
      <c r="CT150" s="61">
        <f>IFERROR(Table1[[#This Row],[Progres Perizinan
(%)]]*Table1[[#This Row],[Nilai RAB Jaringan
(file pa aji)]],0)</f>
        <v>0</v>
      </c>
      <c r="CU150" s="789">
        <v>13693910854</v>
      </c>
      <c r="CV150" s="299">
        <v>13693910854</v>
      </c>
      <c r="CW150" s="552">
        <v>13693910854</v>
      </c>
      <c r="CX150" s="789">
        <f>_xlfn.XLOOKUP(Table1[[#This Row],[Kode Program]],'[1]Breakdown VOWD Greenfield'!$E:$E,'[1]Breakdown VOWD Greenfield'!$AT:$AT)</f>
        <v>13693910854</v>
      </c>
      <c r="CY150" s="42"/>
      <c r="CZ150" s="300">
        <v>45530</v>
      </c>
      <c r="DA150" s="300">
        <v>45557</v>
      </c>
      <c r="DB150" s="301">
        <v>45531</v>
      </c>
      <c r="DC150" s="286" t="s">
        <v>1069</v>
      </c>
      <c r="DD150" s="62">
        <v>30619040272</v>
      </c>
      <c r="DE1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0" s="301">
        <v>45540</v>
      </c>
      <c r="DG150" s="286" t="s">
        <v>1070</v>
      </c>
      <c r="DH150" s="62">
        <v>30619040272</v>
      </c>
      <c r="DI1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0" s="300">
        <v>45558</v>
      </c>
      <c r="DK150" s="300">
        <v>45627</v>
      </c>
      <c r="DL150" s="301">
        <v>45593</v>
      </c>
      <c r="DM150" s="286" t="s">
        <v>1071</v>
      </c>
      <c r="DN1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0" s="301">
        <v>45604</v>
      </c>
      <c r="DP150" s="286" t="s">
        <v>1072</v>
      </c>
      <c r="DQ150" s="308" t="s">
        <v>344</v>
      </c>
      <c r="DR1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0" s="300">
        <v>45558</v>
      </c>
      <c r="DT150" s="300" t="e">
        <v>#N/A</v>
      </c>
      <c r="DU150" s="300">
        <v>45599</v>
      </c>
      <c r="DV150" s="300" t="e">
        <v>#N/A</v>
      </c>
      <c r="DW150" s="301">
        <v>45989</v>
      </c>
      <c r="DX150" s="286" t="s">
        <v>1073</v>
      </c>
      <c r="DY150" s="304"/>
      <c r="DZ150" s="304"/>
      <c r="EA1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0" s="301">
        <v>46001</v>
      </c>
      <c r="EC150" s="302"/>
      <c r="ED150" s="302"/>
      <c r="EE150" s="300" t="s">
        <v>1074</v>
      </c>
      <c r="EF150" s="35">
        <v>1</v>
      </c>
      <c r="EG150" s="307">
        <v>1</v>
      </c>
      <c r="EH150" s="286" t="str">
        <f>IF(Table1[[#This Row],[PO Material Aktual 
(%)]]&gt;=100%,"Selesai PO = 100%",IF(Table1[[#This Row],[PO Material Aktual 
(%)]]&gt;=50%,"Proses PO &gt; 100%",IF(Table1[[#This Row],[PO Material Aktual 
(%)]]&gt;0%,"Proses PO &gt; 50%",IF(Table1[[#This Row],[PO Material Aktual 
(%)]]=0,"Belum PO = 0%"))))</f>
        <v>Selesai PO = 100%</v>
      </c>
      <c r="EI1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0" s="300">
        <v>45600</v>
      </c>
      <c r="EK150" s="300" t="e">
        <v>#N/A</v>
      </c>
      <c r="EL150" s="300">
        <v>45711</v>
      </c>
      <c r="EM150" s="300" t="e">
        <v>#N/A</v>
      </c>
      <c r="EN150" s="301"/>
      <c r="EO150" s="302"/>
      <c r="EP150" s="302"/>
      <c r="EQ150" s="82">
        <v>0.891156462585034</v>
      </c>
      <c r="ER150" s="82">
        <v>0.891156462585034</v>
      </c>
      <c r="ES150" s="286" t="str">
        <f>IF(Table1[[#This Row],[Progres MOS]]&gt;=100%,"Selesai MOS = 100%",IF(Table1[[#This Row],[Progres MOS]]&gt;=50%,"Proses MOS &gt; 100%",IF(Table1[[#This Row],[Progres MOS]]&gt;0%,"Proses MOS &gt; 50%",IF(Table1[[#This Row],[Progres MOS]]=0,"Belum MOS = 0%"))))</f>
        <v>Proses MOS &gt; 100%</v>
      </c>
      <c r="ET1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0" s="42"/>
      <c r="EV150" s="300">
        <v>45558</v>
      </c>
      <c r="EW150" s="300" t="e">
        <v>#N/A</v>
      </c>
      <c r="EX150" s="300">
        <v>45655</v>
      </c>
      <c r="EY150" s="300" t="e">
        <v>#N/A</v>
      </c>
      <c r="EZ150" s="322" t="s">
        <v>298</v>
      </c>
      <c r="FA150" s="306" t="s">
        <v>259</v>
      </c>
      <c r="FB150" s="300" t="s">
        <v>260</v>
      </c>
      <c r="FC150" s="300">
        <v>45631</v>
      </c>
      <c r="FD150" s="300" t="s">
        <v>260</v>
      </c>
      <c r="FE150" s="300">
        <v>45722</v>
      </c>
      <c r="FF150" s="300">
        <v>45804</v>
      </c>
      <c r="FG150" s="300" t="s">
        <v>260</v>
      </c>
      <c r="FH150" s="300" t="s">
        <v>260</v>
      </c>
      <c r="FI150" s="300">
        <v>46022</v>
      </c>
      <c r="FJ150" s="300" t="s">
        <v>260</v>
      </c>
      <c r="FK150" s="300">
        <v>46119</v>
      </c>
      <c r="FL150" s="306" t="s">
        <v>298</v>
      </c>
      <c r="FM150" s="322">
        <v>45631</v>
      </c>
      <c r="FN150" s="308">
        <f>IF(Table1[[#This Row],[Tanggal Pengajuan Dokumen]]="","",Table1[[#This Row],[PLAN PERMIT
start]]-Table1[[#This Row],[Tanggal Pengajuan Dokumen]])</f>
        <v>-73</v>
      </c>
      <c r="FO150" s="407">
        <v>46086</v>
      </c>
      <c r="FP150" s="286" t="s">
        <v>174</v>
      </c>
      <c r="FQ150" s="308"/>
      <c r="FR150" s="308"/>
      <c r="FS150" s="308" t="str">
        <f t="shared" si="9"/>
        <v>On Going</v>
      </c>
      <c r="FT1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0" s="314">
        <f ca="1">IF(Table1[[#This Row],[Status Izin]]="Selesai",Table1[[#This Row],[PLAN PERMIT
finish]]-Table1[[#This Row],[Tanggal Terbit/ Target Izin Terbit]],ROUNDUP(Table1[[#This Row],[PLAN PERMIT
finish]]-NOW(),0))</f>
        <v>-549</v>
      </c>
      <c r="FV1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0" s="314"/>
      <c r="FX150" s="42"/>
      <c r="FY150" s="310"/>
      <c r="FZ150" s="311">
        <v>45582</v>
      </c>
      <c r="GA1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0" s="300">
        <v>45629</v>
      </c>
      <c r="GC150" s="322">
        <v>45597</v>
      </c>
      <c r="GD1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0" s="300">
        <v>45636</v>
      </c>
      <c r="GF150" s="322">
        <v>45597</v>
      </c>
      <c r="GG1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0" s="300">
        <v>45642</v>
      </c>
      <c r="GI150" s="300">
        <v>45648</v>
      </c>
      <c r="GJ150" s="322">
        <v>45607</v>
      </c>
      <c r="GK1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0" s="300">
        <v>45656</v>
      </c>
      <c r="GM150" s="300" t="e">
        <v>#N/A</v>
      </c>
      <c r="GN150" s="300">
        <v>45788</v>
      </c>
      <c r="GO150" s="300" t="e">
        <v>#N/A</v>
      </c>
      <c r="GP150" s="286"/>
      <c r="GQ1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0" s="300" t="s">
        <v>261</v>
      </c>
      <c r="GS150" s="300" t="s">
        <v>261</v>
      </c>
      <c r="GT150" s="324">
        <v>46074</v>
      </c>
      <c r="GU150" s="314" t="str">
        <f>IF(Table1[[#This Row],[Hydro Tes Actual
(tanggal)]]&lt;&gt;"","Sudah","Belum")</f>
        <v>Sudah</v>
      </c>
      <c r="GV150" s="300" t="s">
        <v>261</v>
      </c>
      <c r="GW150" s="300" t="s">
        <v>261</v>
      </c>
      <c r="GX150" s="301">
        <v>46063</v>
      </c>
      <c r="GY150" s="314" t="str">
        <f>IF(Table1[[#This Row],[Interkoneksi Actual
(tanggal)]]&lt;&gt;"","Sudah","Belum")</f>
        <v>Sudah</v>
      </c>
      <c r="GZ150" s="300" t="s">
        <v>261</v>
      </c>
      <c r="HA150" s="300" t="s">
        <v>261</v>
      </c>
      <c r="HB150" s="301">
        <v>46087</v>
      </c>
      <c r="HC150" s="314" t="str">
        <f>IF(Table1[[#This Row],[Flushing Actual
(tanggal)]]&lt;&gt;"","Sudah","Belum")</f>
        <v>Sudah</v>
      </c>
      <c r="HD150" s="300">
        <v>45754</v>
      </c>
      <c r="HE150" s="300" t="e">
        <v>#N/A</v>
      </c>
      <c r="HF150" s="300">
        <v>45774</v>
      </c>
      <c r="HG150" s="322">
        <v>46098</v>
      </c>
      <c r="HH1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0" s="300" t="s">
        <v>261</v>
      </c>
      <c r="HJ150" s="300" t="s">
        <v>261</v>
      </c>
      <c r="HK150" s="301"/>
      <c r="HL150" s="286"/>
      <c r="HM150" s="300">
        <v>45793</v>
      </c>
      <c r="HN150" s="300">
        <v>45793</v>
      </c>
      <c r="HO150" s="391"/>
      <c r="HP150" s="391"/>
      <c r="HQ150" s="301">
        <v>46176</v>
      </c>
      <c r="HR1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0" s="300">
        <v>45800</v>
      </c>
      <c r="HT150" s="300"/>
      <c r="HU150" s="300">
        <v>45800</v>
      </c>
      <c r="HV150" s="300">
        <v>46203</v>
      </c>
      <c r="HW150" s="300">
        <f>IF(Table1[[#This Row],[BA MC-100 Aktual
(Verifikasi)]]&lt;&gt;"",Table1[[#This Row],[BA MC-100 Aktual
(Verifikasi)]]+5,"")</f>
        <v>46181</v>
      </c>
      <c r="HX1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0" s="42"/>
      <c r="HZ150" s="322"/>
      <c r="IA150" s="306"/>
      <c r="IC150" s="585">
        <f>IFERROR(ROUND((Table1[[#This Row],[PLAN TC
finish]]-Table1[[#This Row],[PLAN MC-0
start]])/30,2),"")</f>
        <v>4.4000000000000004</v>
      </c>
      <c r="ID150">
        <f>DATEDIF(Table1[[#This Row],[PLAN MC-0
start]],Table1[[#This Row],[PLAN TC
finish]],"m")</f>
        <v>4</v>
      </c>
    </row>
    <row r="151" spans="2:238" s="4" customFormat="1" ht="15" customHeight="1" x14ac:dyDescent="0.25">
      <c r="B151" s="281">
        <f>SUBTOTAL(3,$D$5:D151)</f>
        <v>147</v>
      </c>
      <c r="C151" s="318">
        <v>147</v>
      </c>
      <c r="D151" s="308" t="s">
        <v>629</v>
      </c>
      <c r="E151" s="308" t="s">
        <v>1075</v>
      </c>
      <c r="F151" s="308" t="s">
        <v>1076</v>
      </c>
      <c r="G151" s="319">
        <v>45935</v>
      </c>
      <c r="H151" s="284" t="s">
        <v>247</v>
      </c>
      <c r="I151" s="308" t="s">
        <v>278</v>
      </c>
      <c r="J151" s="285" t="s">
        <v>943</v>
      </c>
      <c r="K151" s="308" t="s">
        <v>915</v>
      </c>
      <c r="L151" s="286" t="s">
        <v>250</v>
      </c>
      <c r="M151" s="286" t="s">
        <v>269</v>
      </c>
      <c r="N151" s="94">
        <v>22228</v>
      </c>
      <c r="O151" s="113" t="s">
        <v>252</v>
      </c>
      <c r="P15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51" s="35" t="e">
        <v>#N/A</v>
      </c>
      <c r="S151" s="35">
        <v>1</v>
      </c>
      <c r="T151" s="35">
        <f>Table1[[#This Row],[Progres Total Aktual
(%)]]</f>
        <v>0.78923650574282911</v>
      </c>
      <c r="U151" s="106">
        <f>Table1[[#This Row],[Progres Aktual
(%)]]-Table1[[#This Row],[Target Progres
(%)]]</f>
        <v>-0.21076349425717089</v>
      </c>
      <c r="V151" s="320">
        <f>Table1[[#This Row],["Volume
BA MC-0"]]</f>
        <v>22219</v>
      </c>
      <c r="W151" s="321">
        <f>Table1[[#This Row],[Total Panjang Pipa Aktual
(Sum-&gt;)3]]</f>
        <v>12914</v>
      </c>
      <c r="X151" s="42"/>
      <c r="Y151" s="62" t="s">
        <v>1077</v>
      </c>
      <c r="Z151" s="62">
        <v>36514112749</v>
      </c>
      <c r="AA151" s="62">
        <f>Table1[[#This Row],[Nilai RAB Jaringan
(file pa aji)]]</f>
        <v>36514112749</v>
      </c>
      <c r="AB151" s="290">
        <f>SUM(Table1[[#This Row],[RAB Kegiatan Umum]:[RAB Perizinan]])</f>
        <v>0</v>
      </c>
      <c r="AC151" s="290"/>
      <c r="AD151" s="290"/>
      <c r="AE151" s="290"/>
      <c r="AF151" s="290"/>
      <c r="AG151" s="406">
        <v>12056031301</v>
      </c>
      <c r="AH151" s="35" t="e">
        <f>SUM(Table1[[#This Row],[Bobot Keg Umum]:[Bobot Perizinan]])</f>
        <v>#DIV/0!</v>
      </c>
      <c r="AI151" s="35" t="e">
        <f>Table1[[#This Row],[RAB Kegiatan Umum]]/Table1[[#This Row],[Nilai RAB Jaringan
(Exclude Ppn)]]</f>
        <v>#DIV/0!</v>
      </c>
      <c r="AJ151" s="35" t="e">
        <f>Table1[[#This Row],[RAB Pemasangan]]/Table1[[#This Row],[Nilai RAB Jaringan
(Exclude Ppn)]]</f>
        <v>#DIV/0!</v>
      </c>
      <c r="AK151" s="35" t="e">
        <f>Table1[[#This Row],[RAB Pengadaan]]/Table1[[#This Row],[Nilai RAB Jaringan
(Exclude Ppn)]]</f>
        <v>#DIV/0!</v>
      </c>
      <c r="AL151" s="35" t="e">
        <f>Table1[[#This Row],[RAB Perizinan]]/Table1[[#This Row],[Nilai RAB Jaringan
(Exclude Ppn)]]</f>
        <v>#DIV/0!</v>
      </c>
      <c r="AM151" s="42"/>
      <c r="AN151" s="256">
        <v>22219</v>
      </c>
      <c r="AO151" s="256">
        <f>SUM(Table1[[#This Row],[Pipa 63 mm]:[Pipa 1,800 mm]])</f>
        <v>22219</v>
      </c>
      <c r="AP151" s="256">
        <v>8438</v>
      </c>
      <c r="AQ151" s="256">
        <v>9692</v>
      </c>
      <c r="AR151" s="256">
        <v>2134</v>
      </c>
      <c r="AS151" s="256">
        <v>951</v>
      </c>
      <c r="AT151" s="256">
        <v>344</v>
      </c>
      <c r="AU151" s="256">
        <v>499</v>
      </c>
      <c r="AV151" s="256">
        <v>161</v>
      </c>
      <c r="AW151" s="256"/>
      <c r="AX151" s="256"/>
      <c r="AY151" s="256"/>
      <c r="AZ151" s="256"/>
      <c r="BA151" s="256"/>
      <c r="BB151" s="256"/>
      <c r="BC151" s="256"/>
      <c r="BD151" s="256"/>
      <c r="BE151" s="256"/>
      <c r="BF151" s="256"/>
      <c r="BG151" s="256"/>
      <c r="BH151" s="256"/>
      <c r="BI151" s="256"/>
      <c r="BJ151" s="36">
        <f>SUM(Table1[[#This Row],[Pipa 63 mm2]:[Pipa 1,800 mm21]])</f>
        <v>12914</v>
      </c>
      <c r="BK151" s="32">
        <v>3571</v>
      </c>
      <c r="BL151" s="32">
        <v>5921</v>
      </c>
      <c r="BM151" s="32">
        <v>1471</v>
      </c>
      <c r="BN151" s="32">
        <v>993</v>
      </c>
      <c r="BO151" s="32">
        <v>265</v>
      </c>
      <c r="BP151" s="32">
        <v>507</v>
      </c>
      <c r="BQ151" s="32">
        <f>186</f>
        <v>186</v>
      </c>
      <c r="BR151" s="32"/>
      <c r="BS151" s="32"/>
      <c r="BT151" s="32"/>
      <c r="BU151" s="32"/>
      <c r="BV151" s="32"/>
      <c r="BW151" s="32"/>
      <c r="BX151" s="32"/>
      <c r="BY151" s="32"/>
      <c r="BZ151" s="32"/>
      <c r="CA151" s="32"/>
      <c r="CB151" s="32"/>
      <c r="CC151" s="32"/>
      <c r="CD151" s="32"/>
      <c r="CE151" s="32">
        <v>9045</v>
      </c>
      <c r="CF151" s="32">
        <v>0</v>
      </c>
      <c r="CG151" s="32">
        <v>0</v>
      </c>
      <c r="CH151" s="32">
        <v>0</v>
      </c>
      <c r="CI151" s="32">
        <f t="shared" si="10"/>
        <v>9045</v>
      </c>
      <c r="CJ151" s="60">
        <f>IF((Table1[[#This Row],["Volume
BA MC-0"]]-Table1[[#This Row],[Total Panjang Pipa Aktual
(Sum-&gt;)3]]-Table1[[#This Row],[Total Volume
tidak dapat dipasang]])&gt;=0,Table1[[#This Row],["Volume
BA MC-0"]]-Table1[[#This Row],[Total Panjang Pipa Aktual
(Sum-&gt;)3]]-Table1[[#This Row],[Total Volume
tidak dapat dipasang]],0)</f>
        <v>260</v>
      </c>
      <c r="CK151" s="42"/>
      <c r="CL151" s="113"/>
      <c r="CM151" s="35"/>
      <c r="CN151" s="113"/>
      <c r="CO151" s="113"/>
      <c r="CP1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0.78923650574282911</v>
      </c>
      <c r="CQ151" s="61">
        <f>IFERROR(Table1[[#This Row],[Progres Keg. Umum
(%)]]*Table1[[#This Row],[Nilai RAB Jaringan
(file pa aji)]],0)</f>
        <v>0</v>
      </c>
      <c r="CR151" s="61">
        <f>IFERROR(Table1[[#This Row],[Progres MOS
(%)]]*Table1[[#This Row],[Nilai RAB Jaringan
(file pa aji)]],0)</f>
        <v>0</v>
      </c>
      <c r="CS151" s="61">
        <f>IFERROR(Table1[[#This Row],[Progres Pemasangan
(%)]]*Table1[[#This Row],[Nilai RAB Jaringan
(file pa aji)]],0)</f>
        <v>0</v>
      </c>
      <c r="CT151" s="61">
        <f>IFERROR(Table1[[#This Row],[Progres Perizinan
(%)]]*Table1[[#This Row],[Nilai RAB Jaringan
(file pa aji)]],0)</f>
        <v>0</v>
      </c>
      <c r="CU151" s="789">
        <v>28818270756.32045</v>
      </c>
      <c r="CV151" s="299">
        <v>28818270756.32045</v>
      </c>
      <c r="CW151" s="552">
        <v>0</v>
      </c>
      <c r="CX151" s="789">
        <f>_xlfn.XLOOKUP(Table1[[#This Row],[Kode Program]],'[1]Breakdown VOWD Greenfield'!$E:$E,'[1]Breakdown VOWD Greenfield'!$AT:$AT)</f>
        <v>0</v>
      </c>
      <c r="CY151" s="42"/>
      <c r="CZ151" s="300">
        <v>45530</v>
      </c>
      <c r="DA151" s="300">
        <v>45557</v>
      </c>
      <c r="DB151" s="301">
        <v>45531</v>
      </c>
      <c r="DC151" s="286" t="s">
        <v>1078</v>
      </c>
      <c r="DD151" s="62">
        <v>41901010077</v>
      </c>
      <c r="DE1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1" s="301">
        <v>45540</v>
      </c>
      <c r="DG151" s="286" t="s">
        <v>1079</v>
      </c>
      <c r="DH151" s="62">
        <v>41901010077</v>
      </c>
      <c r="DI1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1" s="300">
        <v>45558</v>
      </c>
      <c r="DK151" s="300">
        <v>45627</v>
      </c>
      <c r="DL151" s="301">
        <v>45939</v>
      </c>
      <c r="DM151" s="286" t="s">
        <v>1080</v>
      </c>
      <c r="DN1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51" s="301">
        <v>45953</v>
      </c>
      <c r="DP151" s="286" t="s">
        <v>1081</v>
      </c>
      <c r="DQ151" s="308" t="s">
        <v>365</v>
      </c>
      <c r="DR1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1" s="300">
        <v>45558</v>
      </c>
      <c r="DT151" s="300" t="e">
        <v>#N/A</v>
      </c>
      <c r="DU151" s="300">
        <v>45599</v>
      </c>
      <c r="DV151" s="300" t="e">
        <v>#N/A</v>
      </c>
      <c r="DW151" s="301">
        <v>45992</v>
      </c>
      <c r="DX151" s="286" t="s">
        <v>1082</v>
      </c>
      <c r="DY151" s="304"/>
      <c r="DZ151" s="304"/>
      <c r="EA1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1" s="301">
        <v>46001</v>
      </c>
      <c r="EC151" s="302"/>
      <c r="ED151" s="302"/>
      <c r="EE151" s="300" t="s">
        <v>1074</v>
      </c>
      <c r="EF151" s="35">
        <v>0.99375000000000002</v>
      </c>
      <c r="EG151" s="307">
        <v>0.99375000000000002</v>
      </c>
      <c r="EH151" s="286" t="str">
        <f>IF(Table1[[#This Row],[PO Material Aktual 
(%)]]&gt;=100%,"Selesai PO = 100%",IF(Table1[[#This Row],[PO Material Aktual 
(%)]]&gt;=50%,"Proses PO &gt; 100%",IF(Table1[[#This Row],[PO Material Aktual 
(%)]]&gt;0%,"Proses PO &gt; 50%",IF(Table1[[#This Row],[PO Material Aktual 
(%)]]=0,"Belum PO = 0%"))))</f>
        <v>Proses PO &gt; 100%</v>
      </c>
      <c r="EI1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1" s="300">
        <v>45600</v>
      </c>
      <c r="EK151" s="300" t="e">
        <v>#N/A</v>
      </c>
      <c r="EL151" s="300">
        <v>45711</v>
      </c>
      <c r="EM151" s="300" t="e">
        <v>#N/A</v>
      </c>
      <c r="EN151" s="301"/>
      <c r="EO151" s="302"/>
      <c r="EP151" s="302"/>
      <c r="EQ151" s="82">
        <v>0.9375</v>
      </c>
      <c r="ER151" s="82">
        <v>0.9375</v>
      </c>
      <c r="ES151" s="286" t="str">
        <f>IF(Table1[[#This Row],[Progres MOS]]&gt;=100%,"Selesai MOS = 100%",IF(Table1[[#This Row],[Progres MOS]]&gt;=50%,"Proses MOS &gt; 100%",IF(Table1[[#This Row],[Progres MOS]]&gt;0%,"Proses MOS &gt; 50%",IF(Table1[[#This Row],[Progres MOS]]=0,"Belum MOS = 0%"))))</f>
        <v>Proses MOS &gt; 100%</v>
      </c>
      <c r="ET1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51" s="42"/>
      <c r="EV151" s="300">
        <v>45558</v>
      </c>
      <c r="EW151" s="300" t="e">
        <v>#N/A</v>
      </c>
      <c r="EX151" s="300">
        <v>45655</v>
      </c>
      <c r="EY151" s="300" t="e">
        <v>#N/A</v>
      </c>
      <c r="EZ151" s="322" t="s">
        <v>298</v>
      </c>
      <c r="FA151" s="306" t="s">
        <v>259</v>
      </c>
      <c r="FB151" s="300" t="s">
        <v>260</v>
      </c>
      <c r="FC151" s="300">
        <v>45631</v>
      </c>
      <c r="FD151" s="300" t="s">
        <v>260</v>
      </c>
      <c r="FE151" s="300">
        <v>45713</v>
      </c>
      <c r="FF151" s="300">
        <v>45784</v>
      </c>
      <c r="FG151" s="300" t="s">
        <v>260</v>
      </c>
      <c r="FH151" s="300" t="s">
        <v>260</v>
      </c>
      <c r="FI151" s="300">
        <v>45954</v>
      </c>
      <c r="FJ151" s="300" t="s">
        <v>260</v>
      </c>
      <c r="FK151" s="300">
        <v>46093</v>
      </c>
      <c r="FL151" s="306" t="s">
        <v>298</v>
      </c>
      <c r="FM151" s="322">
        <v>45631</v>
      </c>
      <c r="FN151" s="308">
        <f>IF(Table1[[#This Row],[Tanggal Pengajuan Dokumen]]="","",Table1[[#This Row],[PLAN PERMIT
start]]-Table1[[#This Row],[Tanggal Pengajuan Dokumen]])</f>
        <v>-73</v>
      </c>
      <c r="FO151" s="407">
        <v>46064</v>
      </c>
      <c r="FP151" s="286" t="s">
        <v>171</v>
      </c>
      <c r="FQ151" s="308"/>
      <c r="FR151" s="308"/>
      <c r="FS151" s="308" t="str">
        <f t="shared" si="9"/>
        <v>On Going</v>
      </c>
      <c r="FT1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1" s="314">
        <f ca="1">IF(Table1[[#This Row],[Status Izin]]="Selesai",Table1[[#This Row],[PLAN PERMIT
finish]]-Table1[[#This Row],[Tanggal Terbit/ Target Izin Terbit]],ROUNDUP(Table1[[#This Row],[PLAN PERMIT
finish]]-NOW(),0))</f>
        <v>-549</v>
      </c>
      <c r="FV1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1" s="314"/>
      <c r="FX151" s="42"/>
      <c r="FY151" s="310"/>
      <c r="FZ151" s="311">
        <v>45582</v>
      </c>
      <c r="GA1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1" s="300">
        <v>45629</v>
      </c>
      <c r="GC151" s="322">
        <v>45597</v>
      </c>
      <c r="GD1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1" s="300">
        <v>45636</v>
      </c>
      <c r="GF151" s="322">
        <v>45597</v>
      </c>
      <c r="GG1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1" s="300">
        <v>45642</v>
      </c>
      <c r="GI151" s="300">
        <v>45648</v>
      </c>
      <c r="GJ151" s="322">
        <v>45608</v>
      </c>
      <c r="GK1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1" s="300">
        <v>45656</v>
      </c>
      <c r="GM151" s="300" t="e">
        <v>#N/A</v>
      </c>
      <c r="GN151" s="300">
        <v>45788</v>
      </c>
      <c r="GO151" s="300" t="e">
        <v>#N/A</v>
      </c>
      <c r="GP151" s="286"/>
      <c r="GQ1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1" s="300" t="s">
        <v>261</v>
      </c>
      <c r="GS151" s="300" t="s">
        <v>261</v>
      </c>
      <c r="GT151" s="324">
        <v>46076</v>
      </c>
      <c r="GU151" s="314" t="str">
        <f>IF(Table1[[#This Row],[Hydro Tes Actual
(tanggal)]]&lt;&gt;"","Sudah","Belum")</f>
        <v>Sudah</v>
      </c>
      <c r="GV151" s="300" t="s">
        <v>261</v>
      </c>
      <c r="GW151" s="300" t="s">
        <v>261</v>
      </c>
      <c r="GX151" s="301">
        <v>46090</v>
      </c>
      <c r="GY151" s="314" t="str">
        <f>IF(Table1[[#This Row],[Interkoneksi Actual
(tanggal)]]&lt;&gt;"","Sudah","Belum")</f>
        <v>Sudah</v>
      </c>
      <c r="GZ151" s="300" t="s">
        <v>261</v>
      </c>
      <c r="HA151" s="300" t="s">
        <v>261</v>
      </c>
      <c r="HB151" s="301">
        <v>46093</v>
      </c>
      <c r="HC151" s="314" t="str">
        <f>IF(Table1[[#This Row],[Flushing Actual
(tanggal)]]&lt;&gt;"","Sudah","Belum")</f>
        <v>Sudah</v>
      </c>
      <c r="HD151" s="300">
        <v>45754</v>
      </c>
      <c r="HE151" s="300" t="e">
        <v>#N/A</v>
      </c>
      <c r="HF151" s="300">
        <v>45774</v>
      </c>
      <c r="HG151" s="322">
        <v>46111</v>
      </c>
      <c r="HH1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1" s="300" t="s">
        <v>261</v>
      </c>
      <c r="HJ151" s="300" t="s">
        <v>261</v>
      </c>
      <c r="HK151" s="301"/>
      <c r="HL151" s="286"/>
      <c r="HM151" s="300">
        <v>45793</v>
      </c>
      <c r="HN151" s="300">
        <v>45793</v>
      </c>
      <c r="HO151" s="391">
        <v>46198</v>
      </c>
      <c r="HP151" s="391"/>
      <c r="HQ151" s="301"/>
      <c r="HR1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51" s="300">
        <v>45800</v>
      </c>
      <c r="HT151" s="300"/>
      <c r="HU151" s="300">
        <v>45800</v>
      </c>
      <c r="HV151" s="300"/>
      <c r="HW151" s="300"/>
      <c r="HX1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51" s="42"/>
      <c r="HZ151" s="322"/>
      <c r="IA151" s="306"/>
      <c r="IC151" s="585">
        <f>IFERROR(ROUND((Table1[[#This Row],[PLAN TC
finish]]-Table1[[#This Row],[PLAN MC-0
start]])/30,2),"")</f>
        <v>4.4000000000000004</v>
      </c>
      <c r="ID151">
        <f>DATEDIF(Table1[[#This Row],[PLAN MC-0
start]],Table1[[#This Row],[PLAN TC
finish]],"m")</f>
        <v>4</v>
      </c>
    </row>
    <row r="152" spans="2:238" s="4" customFormat="1" ht="15" customHeight="1" x14ac:dyDescent="0.25">
      <c r="B152" s="281">
        <f>SUBTOTAL(3,$D$5:D152)</f>
        <v>148</v>
      </c>
      <c r="C152" s="318">
        <v>148</v>
      </c>
      <c r="D152" s="308" t="s">
        <v>629</v>
      </c>
      <c r="E152" s="308" t="s">
        <v>1083</v>
      </c>
      <c r="F152" s="308" t="s">
        <v>1084</v>
      </c>
      <c r="G152" s="319">
        <v>45935</v>
      </c>
      <c r="H152" s="308" t="s">
        <v>681</v>
      </c>
      <c r="I152" s="308" t="s">
        <v>278</v>
      </c>
      <c r="J152" s="285"/>
      <c r="K152" s="308" t="s">
        <v>915</v>
      </c>
      <c r="L152" s="286" t="s">
        <v>250</v>
      </c>
      <c r="M152" s="286" t="s">
        <v>269</v>
      </c>
      <c r="N152" s="94">
        <v>169</v>
      </c>
      <c r="O152" s="31" t="s">
        <v>252</v>
      </c>
      <c r="P15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2" s="35" t="e">
        <v>#N/A</v>
      </c>
      <c r="S152" s="35">
        <v>1</v>
      </c>
      <c r="T152" s="35">
        <f>Table1[[#This Row],[Progres Total Aktual
(%)]]</f>
        <v>1</v>
      </c>
      <c r="U152" s="106">
        <f>Table1[[#This Row],[Progres Aktual
(%)]]-Table1[[#This Row],[Target Progres
(%)]]</f>
        <v>0</v>
      </c>
      <c r="V152" s="320">
        <f>Table1[[#This Row],["Volume
BA MC-0"]]</f>
        <v>171</v>
      </c>
      <c r="W152" s="321">
        <f>Table1[[#This Row],[Total Panjang Pipa Aktual
(Sum-&gt;)3]]</f>
        <v>171.8</v>
      </c>
      <c r="X152" s="42"/>
      <c r="Y152" s="62" t="s">
        <v>1085</v>
      </c>
      <c r="Z152" s="62">
        <v>271031623</v>
      </c>
      <c r="AA152" s="62">
        <f>Table1[[#This Row],[Nilai RAB Jaringan
(file pa aji)]]</f>
        <v>271031623</v>
      </c>
      <c r="AB152" s="290">
        <f>SUM(Table1[[#This Row],[RAB Kegiatan Umum]:[RAB Perizinan]])</f>
        <v>0</v>
      </c>
      <c r="AC152" s="290"/>
      <c r="AD152" s="290"/>
      <c r="AE152" s="290"/>
      <c r="AF152" s="290"/>
      <c r="AG152" s="406">
        <v>20496483</v>
      </c>
      <c r="AH152" s="35" t="e">
        <f>SUM(Table1[[#This Row],[Bobot Keg Umum]:[Bobot Perizinan]])</f>
        <v>#DIV/0!</v>
      </c>
      <c r="AI152" s="35" t="e">
        <f>Table1[[#This Row],[RAB Kegiatan Umum]]/Table1[[#This Row],[Nilai RAB Jaringan
(Exclude Ppn)]]</f>
        <v>#DIV/0!</v>
      </c>
      <c r="AJ152" s="35" t="e">
        <f>Table1[[#This Row],[RAB Pemasangan]]/Table1[[#This Row],[Nilai RAB Jaringan
(Exclude Ppn)]]</f>
        <v>#DIV/0!</v>
      </c>
      <c r="AK152" s="35" t="e">
        <f>Table1[[#This Row],[RAB Pengadaan]]/Table1[[#This Row],[Nilai RAB Jaringan
(Exclude Ppn)]]</f>
        <v>#DIV/0!</v>
      </c>
      <c r="AL152" s="35" t="e">
        <f>Table1[[#This Row],[RAB Perizinan]]/Table1[[#This Row],[Nilai RAB Jaringan
(Exclude Ppn)]]</f>
        <v>#DIV/0!</v>
      </c>
      <c r="AM152" s="42"/>
      <c r="AN152" s="256">
        <v>171</v>
      </c>
      <c r="AO152" s="256">
        <f>SUM(Table1[[#This Row],[Pipa 63 mm]:[Pipa 1,800 mm]])</f>
        <v>171</v>
      </c>
      <c r="AP152" s="256">
        <v>171</v>
      </c>
      <c r="AQ152" s="256"/>
      <c r="AR152" s="256"/>
      <c r="AS152" s="256"/>
      <c r="AT152" s="256"/>
      <c r="AU152" s="256"/>
      <c r="AV152" s="256"/>
      <c r="AW152" s="256"/>
      <c r="AX152" s="256"/>
      <c r="AY152" s="256"/>
      <c r="AZ152" s="256"/>
      <c r="BA152" s="256"/>
      <c r="BB152" s="256"/>
      <c r="BC152" s="256"/>
      <c r="BD152" s="256"/>
      <c r="BE152" s="256"/>
      <c r="BF152" s="256"/>
      <c r="BG152" s="256"/>
      <c r="BH152" s="256"/>
      <c r="BI152" s="256"/>
      <c r="BJ152" s="36">
        <f>SUM(Table1[[#This Row],[Pipa 63 mm2]:[Pipa 1,800 mm21]])</f>
        <v>171.8</v>
      </c>
      <c r="BK152" s="32">
        <v>171.8</v>
      </c>
      <c r="BL152" s="32"/>
      <c r="BM152" s="32"/>
      <c r="BN152" s="32"/>
      <c r="BO152" s="32"/>
      <c r="BP152" s="32"/>
      <c r="BQ152" s="32"/>
      <c r="BR152" s="32"/>
      <c r="BS152" s="32"/>
      <c r="BT152" s="32"/>
      <c r="BU152" s="32"/>
      <c r="BV152" s="32"/>
      <c r="BW152" s="32"/>
      <c r="BX152" s="32"/>
      <c r="BY152" s="32"/>
      <c r="BZ152" s="32"/>
      <c r="CA152" s="32"/>
      <c r="CB152" s="32"/>
      <c r="CC152" s="32"/>
      <c r="CD152" s="32"/>
      <c r="CE152" s="32">
        <v>0</v>
      </c>
      <c r="CF152" s="32">
        <v>0</v>
      </c>
      <c r="CG152" s="32">
        <v>0</v>
      </c>
      <c r="CH152" s="32">
        <v>0</v>
      </c>
      <c r="CI152" s="32">
        <f t="shared" si="10"/>
        <v>0</v>
      </c>
      <c r="CJ152" s="60">
        <f>IF((Table1[[#This Row],["Volume
BA MC-0"]]-Table1[[#This Row],[Total Panjang Pipa Aktual
(Sum-&gt;)3]]-Table1[[#This Row],[Total Volume
tidak dapat dipasang]])&gt;=0,Table1[[#This Row],["Volume
BA MC-0"]]-Table1[[#This Row],[Total Panjang Pipa Aktual
(Sum-&gt;)3]]-Table1[[#This Row],[Total Volume
tidak dapat dipasang]],0)</f>
        <v>0</v>
      </c>
      <c r="CK152" s="42"/>
      <c r="CL152" s="113"/>
      <c r="CM152" s="35"/>
      <c r="CN152" s="113"/>
      <c r="CO152" s="113"/>
      <c r="CP1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2" s="61">
        <f>IFERROR(Table1[[#This Row],[Progres Keg. Umum
(%)]]*Table1[[#This Row],[Nilai RAB Jaringan
(file pa aji)]],0)</f>
        <v>0</v>
      </c>
      <c r="CR152" s="61">
        <f>IFERROR(Table1[[#This Row],[Progres MOS
(%)]]*Table1[[#This Row],[Nilai RAB Jaringan
(file pa aji)]],0)</f>
        <v>0</v>
      </c>
      <c r="CS152" s="61">
        <f>IFERROR(Table1[[#This Row],[Progres Pemasangan
(%)]]*Table1[[#This Row],[Nilai RAB Jaringan
(file pa aji)]],0)</f>
        <v>0</v>
      </c>
      <c r="CT152" s="61">
        <f>IFERROR(Table1[[#This Row],[Progres Perizinan
(%)]]*Table1[[#This Row],[Nilai RAB Jaringan
(file pa aji)]],0)</f>
        <v>0</v>
      </c>
      <c r="CU152" s="789">
        <v>234915769</v>
      </c>
      <c r="CV152" s="299">
        <v>234915769</v>
      </c>
      <c r="CW152" s="552">
        <v>234915769</v>
      </c>
      <c r="CX152" s="789">
        <f>_xlfn.XLOOKUP(Table1[[#This Row],[Kode Program]],'[1]Breakdown VOWD Greenfield'!$E:$E,'[1]Breakdown VOWD Greenfield'!$AT:$AT)</f>
        <v>234915769</v>
      </c>
      <c r="CY152" s="42"/>
      <c r="CZ152" s="300">
        <v>45593</v>
      </c>
      <c r="DA152" s="300">
        <v>45606</v>
      </c>
      <c r="DB152" s="301">
        <v>45621</v>
      </c>
      <c r="DC152" s="286" t="s">
        <v>1086</v>
      </c>
      <c r="DD152" s="62">
        <v>271031622</v>
      </c>
      <c r="DE1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52" s="301">
        <v>45625</v>
      </c>
      <c r="DG152" s="286" t="s">
        <v>1087</v>
      </c>
      <c r="DH152" s="62">
        <v>271031622</v>
      </c>
      <c r="DI1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2" s="300">
        <v>45607</v>
      </c>
      <c r="DK152" s="300">
        <v>45655</v>
      </c>
      <c r="DL152" s="301">
        <v>45650</v>
      </c>
      <c r="DM152" s="286" t="s">
        <v>1088</v>
      </c>
      <c r="DN1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2" s="301">
        <v>45667</v>
      </c>
      <c r="DP152" s="286" t="s">
        <v>1089</v>
      </c>
      <c r="DQ152" s="308" t="s">
        <v>371</v>
      </c>
      <c r="DR1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2" s="300">
        <v>45607</v>
      </c>
      <c r="DT152" s="300" t="e">
        <v>#N/A</v>
      </c>
      <c r="DU152" s="300">
        <v>45634</v>
      </c>
      <c r="DV152" s="300" t="e">
        <v>#N/A</v>
      </c>
      <c r="DW152" s="301">
        <v>45916</v>
      </c>
      <c r="DX152" s="286" t="s">
        <v>1090</v>
      </c>
      <c r="DY152" s="304"/>
      <c r="DZ152" s="304"/>
      <c r="EA1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2" s="301">
        <v>45924</v>
      </c>
      <c r="EC152" s="302"/>
      <c r="ED152" s="302"/>
      <c r="EE152" s="300" t="s">
        <v>1091</v>
      </c>
      <c r="EF152" s="35">
        <v>1</v>
      </c>
      <c r="EG152" s="307">
        <v>1</v>
      </c>
      <c r="EH152" s="286" t="str">
        <f>IF(Table1[[#This Row],[PO Material Aktual 
(%)]]&gt;=100%,"Selesai PO = 100%",IF(Table1[[#This Row],[PO Material Aktual 
(%)]]&gt;=50%,"Proses PO &gt; 100%",IF(Table1[[#This Row],[PO Material Aktual 
(%)]]&gt;0%,"Proses PO &gt; 50%",IF(Table1[[#This Row],[PO Material Aktual 
(%)]]=0,"Belum PO = 0%"))))</f>
        <v>Selesai PO = 100%</v>
      </c>
      <c r="EI1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2" s="300">
        <v>45635</v>
      </c>
      <c r="EK152" s="300" t="e">
        <v>#N/A</v>
      </c>
      <c r="EL152" s="300">
        <v>45683</v>
      </c>
      <c r="EM152" s="300" t="e">
        <v>#N/A</v>
      </c>
      <c r="EN152" s="301">
        <v>45932</v>
      </c>
      <c r="EO152" s="302"/>
      <c r="EP152" s="302"/>
      <c r="EQ152" s="82">
        <v>1</v>
      </c>
      <c r="ER152" s="82">
        <v>1</v>
      </c>
      <c r="ES152" s="286" t="str">
        <f>IF(Table1[[#This Row],[Progres MOS]]&gt;=100%,"Selesai MOS = 100%",IF(Table1[[#This Row],[Progres MOS]]&gt;=50%,"Proses MOS &gt; 100%",IF(Table1[[#This Row],[Progres MOS]]&gt;0%,"Proses MOS &gt; 50%",IF(Table1[[#This Row],[Progres MOS]]=0,"Belum MOS = 0%"))))</f>
        <v>Selesai MOS = 100%</v>
      </c>
      <c r="ET1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2" s="42"/>
      <c r="EV152" s="300">
        <v>45607</v>
      </c>
      <c r="EW152" s="300" t="e">
        <v>#N/A</v>
      </c>
      <c r="EX152" s="300">
        <v>45683</v>
      </c>
      <c r="EY152" s="300" t="e">
        <v>#N/A</v>
      </c>
      <c r="EZ152" s="322" t="s">
        <v>298</v>
      </c>
      <c r="FA152" s="306" t="s">
        <v>259</v>
      </c>
      <c r="FB152" s="300" t="s">
        <v>260</v>
      </c>
      <c r="FC152" s="300">
        <v>45840</v>
      </c>
      <c r="FD152" s="300" t="s">
        <v>260</v>
      </c>
      <c r="FE152" s="300">
        <v>45919</v>
      </c>
      <c r="FF152" s="300">
        <v>45937</v>
      </c>
      <c r="FG152" s="300" t="s">
        <v>260</v>
      </c>
      <c r="FH152" s="300" t="s">
        <v>260</v>
      </c>
      <c r="FI152" s="300">
        <v>46003</v>
      </c>
      <c r="FJ152" s="300" t="s">
        <v>260</v>
      </c>
      <c r="FK152" s="300">
        <v>46134</v>
      </c>
      <c r="FL152" s="306" t="s">
        <v>298</v>
      </c>
      <c r="FM152" s="322">
        <v>45840</v>
      </c>
      <c r="FN152" s="308">
        <f>IF(Table1[[#This Row],[Tanggal Pengajuan Dokumen]]="","",Table1[[#This Row],[PLAN PERMIT
start]]-Table1[[#This Row],[Tanggal Pengajuan Dokumen]])</f>
        <v>-233</v>
      </c>
      <c r="FO152" s="407">
        <v>46086</v>
      </c>
      <c r="FP152" s="286"/>
      <c r="FQ152" s="308"/>
      <c r="FR152" s="308"/>
      <c r="FS152" s="308" t="str">
        <f t="shared" si="9"/>
        <v>Sudah Terbit</v>
      </c>
      <c r="FT1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2" s="314">
        <f ca="1">IF(Table1[[#This Row],[Status Izin]]="Selesai",Table1[[#This Row],[PLAN PERMIT
finish]]-Table1[[#This Row],[Tanggal Terbit/ Target Izin Terbit]],ROUNDUP(Table1[[#This Row],[PLAN PERMIT
finish]]-NOW(),0))</f>
        <v>-403</v>
      </c>
      <c r="FV1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2" s="314"/>
      <c r="FX152" s="42"/>
      <c r="FY152" s="310"/>
      <c r="FZ152" s="311">
        <v>45582</v>
      </c>
      <c r="GA1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2" s="300">
        <v>45657</v>
      </c>
      <c r="GC152" s="322">
        <v>45870</v>
      </c>
      <c r="GD1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2" s="300">
        <v>45664</v>
      </c>
      <c r="GF152" s="322">
        <v>45870</v>
      </c>
      <c r="GG1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2" s="300">
        <v>45670</v>
      </c>
      <c r="GI152" s="300">
        <v>45676</v>
      </c>
      <c r="GJ152" s="322">
        <v>45643</v>
      </c>
      <c r="GK1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2" s="300">
        <v>45684</v>
      </c>
      <c r="GM152" s="300" t="e">
        <v>#N/A</v>
      </c>
      <c r="GN152" s="300">
        <v>45704</v>
      </c>
      <c r="GO152" s="300" t="e">
        <v>#N/A</v>
      </c>
      <c r="GP152" s="286"/>
      <c r="GQ1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2" s="300" t="s">
        <v>261</v>
      </c>
      <c r="GS152" s="300" t="s">
        <v>261</v>
      </c>
      <c r="GT152" s="324">
        <v>45679</v>
      </c>
      <c r="GU152" s="314" t="str">
        <f>IF(Table1[[#This Row],[Hydro Tes Actual
(tanggal)]]&lt;&gt;"","Sudah","Belum")</f>
        <v>Sudah</v>
      </c>
      <c r="GV152" s="300" t="s">
        <v>261</v>
      </c>
      <c r="GW152" s="300" t="s">
        <v>261</v>
      </c>
      <c r="GX152" s="301">
        <v>45700</v>
      </c>
      <c r="GY152" s="314" t="str">
        <f>IF(Table1[[#This Row],[Interkoneksi Actual
(tanggal)]]&lt;&gt;"","Sudah","Belum")</f>
        <v>Sudah</v>
      </c>
      <c r="GZ152" s="300" t="s">
        <v>261</v>
      </c>
      <c r="HA152" s="300" t="s">
        <v>261</v>
      </c>
      <c r="HB152" s="301">
        <v>45709</v>
      </c>
      <c r="HC152" s="314" t="str">
        <f>IF(Table1[[#This Row],[Flushing Actual
(tanggal)]]&lt;&gt;"","Sudah","Belum")</f>
        <v>Sudah</v>
      </c>
      <c r="HD152" s="300">
        <v>45695</v>
      </c>
      <c r="HE152" s="300" t="e">
        <v>#N/A</v>
      </c>
      <c r="HF152" s="300">
        <v>45704</v>
      </c>
      <c r="HG152" s="322">
        <v>45846</v>
      </c>
      <c r="HH1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2" s="300" t="s">
        <v>261</v>
      </c>
      <c r="HJ152" s="300" t="s">
        <v>261</v>
      </c>
      <c r="HK152" s="301"/>
      <c r="HL152" s="286"/>
      <c r="HM152" s="300">
        <v>45709</v>
      </c>
      <c r="HN152" s="300">
        <v>45709</v>
      </c>
      <c r="HO152" s="300" t="e">
        <v>#N/A</v>
      </c>
      <c r="HP152" s="300"/>
      <c r="HQ152" s="301">
        <v>45922</v>
      </c>
      <c r="HR1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2" s="300">
        <v>45716</v>
      </c>
      <c r="HT152" s="300"/>
      <c r="HU152" s="300">
        <v>45716</v>
      </c>
      <c r="HV152" s="497"/>
      <c r="HW152" s="300">
        <v>45931</v>
      </c>
      <c r="HX1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2" s="42"/>
      <c r="HZ152" s="322"/>
      <c r="IA152" s="306"/>
      <c r="IC152" s="585">
        <f>IFERROR(ROUND((Table1[[#This Row],[PLAN TC
finish]]-Table1[[#This Row],[PLAN MC-0
start]])/30,2),"")</f>
        <v>1.1299999999999999</v>
      </c>
      <c r="ID152">
        <f>DATEDIF(Table1[[#This Row],[PLAN MC-0
start]],Table1[[#This Row],[PLAN TC
finish]],"m")</f>
        <v>1</v>
      </c>
    </row>
    <row r="153" spans="2:238" s="4" customFormat="1" ht="15" customHeight="1" x14ac:dyDescent="0.25">
      <c r="B153" s="281">
        <f>SUBTOTAL(3,$D$5:D153)</f>
        <v>149</v>
      </c>
      <c r="C153" s="318">
        <v>149</v>
      </c>
      <c r="D153" s="308" t="s">
        <v>629</v>
      </c>
      <c r="E153" s="308" t="s">
        <v>1092</v>
      </c>
      <c r="F153" s="308" t="s">
        <v>1093</v>
      </c>
      <c r="G153" s="319">
        <v>45935</v>
      </c>
      <c r="H153" s="308" t="s">
        <v>681</v>
      </c>
      <c r="I153" s="308" t="s">
        <v>278</v>
      </c>
      <c r="J153" s="285"/>
      <c r="K153" s="308" t="s">
        <v>915</v>
      </c>
      <c r="L153" s="286" t="s">
        <v>250</v>
      </c>
      <c r="M153" s="286" t="s">
        <v>269</v>
      </c>
      <c r="N153" s="94">
        <v>84</v>
      </c>
      <c r="O153" s="31" t="s">
        <v>252</v>
      </c>
      <c r="P15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3" s="35" t="e">
        <v>#N/A</v>
      </c>
      <c r="S153" s="35">
        <v>1</v>
      </c>
      <c r="T153" s="35">
        <f>Table1[[#This Row],[Progres Total Aktual
(%)]]</f>
        <v>1</v>
      </c>
      <c r="U153" s="106">
        <f>Table1[[#This Row],[Progres Aktual
(%)]]-Table1[[#This Row],[Target Progres
(%)]]</f>
        <v>0</v>
      </c>
      <c r="V153" s="320">
        <f>Table1[[#This Row],["Volume
BA MC-0"]]</f>
        <v>94</v>
      </c>
      <c r="W153" s="321">
        <f>Table1[[#This Row],[Total Panjang Pipa Aktual
(Sum-&gt;)3]]</f>
        <v>93</v>
      </c>
      <c r="X153" s="42"/>
      <c r="Y153" s="62" t="s">
        <v>1094</v>
      </c>
      <c r="Z153" s="62">
        <v>162142314</v>
      </c>
      <c r="AA153" s="62">
        <f>Table1[[#This Row],[Nilai RAB Jaringan
(file pa aji)]]</f>
        <v>162142314</v>
      </c>
      <c r="AB153" s="290">
        <f>SUM(Table1[[#This Row],[RAB Kegiatan Umum]:[RAB Perizinan]])</f>
        <v>0</v>
      </c>
      <c r="AC153" s="290"/>
      <c r="AD153" s="290"/>
      <c r="AE153" s="290"/>
      <c r="AF153" s="290"/>
      <c r="AG153" s="406">
        <v>51241208</v>
      </c>
      <c r="AH153" s="35" t="e">
        <f>SUM(Table1[[#This Row],[Bobot Keg Umum]:[Bobot Perizinan]])</f>
        <v>#DIV/0!</v>
      </c>
      <c r="AI153" s="35" t="e">
        <f>Table1[[#This Row],[RAB Kegiatan Umum]]/Table1[[#This Row],[Nilai RAB Jaringan
(Exclude Ppn)]]</f>
        <v>#DIV/0!</v>
      </c>
      <c r="AJ153" s="35" t="e">
        <f>Table1[[#This Row],[RAB Pemasangan]]/Table1[[#This Row],[Nilai RAB Jaringan
(Exclude Ppn)]]</f>
        <v>#DIV/0!</v>
      </c>
      <c r="AK153" s="35" t="e">
        <f>Table1[[#This Row],[RAB Pengadaan]]/Table1[[#This Row],[Nilai RAB Jaringan
(Exclude Ppn)]]</f>
        <v>#DIV/0!</v>
      </c>
      <c r="AL153" s="35" t="e">
        <f>Table1[[#This Row],[RAB Perizinan]]/Table1[[#This Row],[Nilai RAB Jaringan
(Exclude Ppn)]]</f>
        <v>#DIV/0!</v>
      </c>
      <c r="AM153" s="42"/>
      <c r="AN153" s="256">
        <v>94</v>
      </c>
      <c r="AO153" s="256">
        <f>SUM(Table1[[#This Row],[Pipa 63 mm]:[Pipa 1,800 mm]])</f>
        <v>94</v>
      </c>
      <c r="AP153" s="256">
        <v>94</v>
      </c>
      <c r="AQ153" s="256"/>
      <c r="AR153" s="256"/>
      <c r="AS153" s="256"/>
      <c r="AT153" s="256"/>
      <c r="AU153" s="256"/>
      <c r="AV153" s="256"/>
      <c r="AW153" s="256"/>
      <c r="AX153" s="256"/>
      <c r="AY153" s="256"/>
      <c r="AZ153" s="256"/>
      <c r="BA153" s="256"/>
      <c r="BB153" s="256"/>
      <c r="BC153" s="256"/>
      <c r="BD153" s="256"/>
      <c r="BE153" s="256"/>
      <c r="BF153" s="256"/>
      <c r="BG153" s="256"/>
      <c r="BH153" s="256"/>
      <c r="BI153" s="256"/>
      <c r="BJ153" s="36">
        <f>SUM(Table1[[#This Row],[Pipa 63 mm2]:[Pipa 1,800 mm21]])</f>
        <v>93</v>
      </c>
      <c r="BK153" s="32">
        <v>93</v>
      </c>
      <c r="BL153" s="32"/>
      <c r="BM153" s="32"/>
      <c r="BN153" s="32"/>
      <c r="BO153" s="32"/>
      <c r="BP153" s="32"/>
      <c r="BQ153" s="32"/>
      <c r="BR153" s="32"/>
      <c r="BS153" s="32"/>
      <c r="BT153" s="32"/>
      <c r="BU153" s="32"/>
      <c r="BV153" s="32"/>
      <c r="BW153" s="32"/>
      <c r="BX153" s="32"/>
      <c r="BY153" s="32"/>
      <c r="BZ153" s="32"/>
      <c r="CA153" s="32"/>
      <c r="CB153" s="32"/>
      <c r="CC153" s="32"/>
      <c r="CD153" s="32"/>
      <c r="CE153" s="32">
        <v>0</v>
      </c>
      <c r="CF153" s="32">
        <v>0</v>
      </c>
      <c r="CG153" s="32">
        <v>0</v>
      </c>
      <c r="CH153" s="32">
        <v>0</v>
      </c>
      <c r="CI153" s="32">
        <f t="shared" si="10"/>
        <v>0</v>
      </c>
      <c r="CJ153" s="60">
        <f>IF((Table1[[#This Row],["Volume
BA MC-0"]]-Table1[[#This Row],[Total Panjang Pipa Aktual
(Sum-&gt;)3]]-Table1[[#This Row],[Total Volume
tidak dapat dipasang]])&gt;=0,Table1[[#This Row],["Volume
BA MC-0"]]-Table1[[#This Row],[Total Panjang Pipa Aktual
(Sum-&gt;)3]]-Table1[[#This Row],[Total Volume
tidak dapat dipasang]],0)</f>
        <v>1</v>
      </c>
      <c r="CK153" s="42"/>
      <c r="CL153" s="113"/>
      <c r="CM153" s="35"/>
      <c r="CN153" s="113"/>
      <c r="CO153" s="113"/>
      <c r="CP1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3" s="61">
        <f>IFERROR(Table1[[#This Row],[Progres Keg. Umum
(%)]]*Table1[[#This Row],[Nilai RAB Jaringan
(file pa aji)]],0)</f>
        <v>0</v>
      </c>
      <c r="CR153" s="61">
        <f>IFERROR(Table1[[#This Row],[Progres MOS
(%)]]*Table1[[#This Row],[Nilai RAB Jaringan
(file pa aji)]],0)</f>
        <v>0</v>
      </c>
      <c r="CS153" s="61">
        <f>IFERROR(Table1[[#This Row],[Progres Pemasangan
(%)]]*Table1[[#This Row],[Nilai RAB Jaringan
(file pa aji)]],0)</f>
        <v>0</v>
      </c>
      <c r="CT153" s="61">
        <f>IFERROR(Table1[[#This Row],[Progres Perizinan
(%)]]*Table1[[#This Row],[Nilai RAB Jaringan
(file pa aji)]],0)</f>
        <v>0</v>
      </c>
      <c r="CU153" s="789">
        <v>134885270</v>
      </c>
      <c r="CV153" s="299">
        <v>134885270</v>
      </c>
      <c r="CW153" s="552">
        <v>134885270</v>
      </c>
      <c r="CX153" s="789">
        <f>_xlfn.XLOOKUP(Table1[[#This Row],[Kode Program]],'[1]Breakdown VOWD Greenfield'!$E:$E,'[1]Breakdown VOWD Greenfield'!$AT:$AT)</f>
        <v>134885270</v>
      </c>
      <c r="CY153" s="42"/>
      <c r="CZ153" s="300">
        <v>45656</v>
      </c>
      <c r="DA153" s="300">
        <v>45669</v>
      </c>
      <c r="DB153" s="301">
        <v>45394</v>
      </c>
      <c r="DC153" s="286" t="s">
        <v>1095</v>
      </c>
      <c r="DD153" s="62">
        <v>162142313</v>
      </c>
      <c r="DE1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3" s="301">
        <v>45635</v>
      </c>
      <c r="DG153" s="286" t="s">
        <v>1096</v>
      </c>
      <c r="DH153" s="62">
        <v>161302313</v>
      </c>
      <c r="DI1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3" s="300">
        <v>45670</v>
      </c>
      <c r="DK153" s="300">
        <v>45718</v>
      </c>
      <c r="DL153" s="301">
        <v>45650</v>
      </c>
      <c r="DM153" s="286" t="s">
        <v>1097</v>
      </c>
      <c r="DN1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3" s="301">
        <v>45677</v>
      </c>
      <c r="DP153" s="286" t="s">
        <v>1098</v>
      </c>
      <c r="DQ153" s="308" t="s">
        <v>371</v>
      </c>
      <c r="DR1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53" s="300">
        <v>45670</v>
      </c>
      <c r="DT153" s="300" t="e">
        <v>#N/A</v>
      </c>
      <c r="DU153" s="300">
        <v>45697</v>
      </c>
      <c r="DV153" s="300" t="e">
        <v>#N/A</v>
      </c>
      <c r="DW153" s="301">
        <v>45738</v>
      </c>
      <c r="DX153" s="286" t="s">
        <v>1099</v>
      </c>
      <c r="DY153" s="304"/>
      <c r="DZ153" s="304"/>
      <c r="EA1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3" s="301">
        <v>45833</v>
      </c>
      <c r="EC153" s="302"/>
      <c r="ED153" s="302"/>
      <c r="EE153" s="300" t="s">
        <v>1100</v>
      </c>
      <c r="EF153" s="35">
        <v>1</v>
      </c>
      <c r="EG153" s="307">
        <v>1</v>
      </c>
      <c r="EH153" s="286" t="str">
        <f>IF(Table1[[#This Row],[PO Material Aktual 
(%)]]&gt;=100%,"Selesai PO = 100%",IF(Table1[[#This Row],[PO Material Aktual 
(%)]]&gt;=50%,"Proses PO &gt; 100%",IF(Table1[[#This Row],[PO Material Aktual 
(%)]]&gt;0%,"Proses PO &gt; 50%",IF(Table1[[#This Row],[PO Material Aktual 
(%)]]=0,"Belum PO = 0%"))))</f>
        <v>Selesai PO = 100%</v>
      </c>
      <c r="EI1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3" s="300">
        <v>45698</v>
      </c>
      <c r="EK153" s="300" t="e">
        <v>#N/A</v>
      </c>
      <c r="EL153" s="300">
        <v>45746</v>
      </c>
      <c r="EM153" s="300" t="e">
        <v>#N/A</v>
      </c>
      <c r="EN153" s="301">
        <v>45930</v>
      </c>
      <c r="EO153" s="302"/>
      <c r="EP153" s="302"/>
      <c r="EQ153" s="82">
        <v>1</v>
      </c>
      <c r="ER153" s="82">
        <v>1</v>
      </c>
      <c r="ES153" s="286" t="str">
        <f>IF(Table1[[#This Row],[Progres MOS]]&gt;=100%,"Selesai MOS = 100%",IF(Table1[[#This Row],[Progres MOS]]&gt;=50%,"Proses MOS &gt; 100%",IF(Table1[[#This Row],[Progres MOS]]&gt;0%,"Proses MOS &gt; 50%",IF(Table1[[#This Row],[Progres MOS]]=0,"Belum MOS = 0%"))))</f>
        <v>Selesai MOS = 100%</v>
      </c>
      <c r="ET1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3" s="42"/>
      <c r="EV153" s="300">
        <v>45670</v>
      </c>
      <c r="EW153" s="300" t="e">
        <v>#N/A</v>
      </c>
      <c r="EX153" s="300">
        <v>45746</v>
      </c>
      <c r="EY153" s="300" t="e">
        <v>#N/A</v>
      </c>
      <c r="EZ153" s="322" t="s">
        <v>298</v>
      </c>
      <c r="FA153" s="306" t="s">
        <v>259</v>
      </c>
      <c r="FB153" s="300" t="s">
        <v>260</v>
      </c>
      <c r="FC153" s="300">
        <v>45840</v>
      </c>
      <c r="FD153" s="300" t="s">
        <v>260</v>
      </c>
      <c r="FE153" s="300">
        <v>45919</v>
      </c>
      <c r="FF153" s="300">
        <v>45937</v>
      </c>
      <c r="FG153" s="300" t="s">
        <v>260</v>
      </c>
      <c r="FH153" s="300" t="s">
        <v>260</v>
      </c>
      <c r="FI153" s="300">
        <v>46003</v>
      </c>
      <c r="FJ153" s="300" t="s">
        <v>260</v>
      </c>
      <c r="FK153" s="300">
        <v>46134</v>
      </c>
      <c r="FL153" s="306" t="s">
        <v>298</v>
      </c>
      <c r="FM153" s="322">
        <v>45840</v>
      </c>
      <c r="FN153" s="308">
        <f>IF(Table1[[#This Row],[Tanggal Pengajuan Dokumen]]="","",Table1[[#This Row],[PLAN PERMIT
start]]-Table1[[#This Row],[Tanggal Pengajuan Dokumen]])</f>
        <v>-170</v>
      </c>
      <c r="FO153" s="407">
        <v>46086</v>
      </c>
      <c r="FP153" s="286"/>
      <c r="FQ153" s="308"/>
      <c r="FR153" s="308"/>
      <c r="FS153" s="308" t="str">
        <f t="shared" si="9"/>
        <v>Sudah Terbit</v>
      </c>
      <c r="FT1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3" s="314">
        <f ca="1">IF(Table1[[#This Row],[Status Izin]]="Selesai",Table1[[#This Row],[PLAN PERMIT
finish]]-Table1[[#This Row],[Tanggal Terbit/ Target Izin Terbit]],ROUNDUP(Table1[[#This Row],[PLAN PERMIT
finish]]-NOW(),0))</f>
        <v>-340</v>
      </c>
      <c r="FV1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3" s="314"/>
      <c r="FX153" s="42"/>
      <c r="FY153" s="310"/>
      <c r="FZ153" s="311">
        <v>45582</v>
      </c>
      <c r="GA1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3" s="300">
        <v>45720</v>
      </c>
      <c r="GC153" s="322">
        <v>45635</v>
      </c>
      <c r="GD1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3" s="300">
        <v>45727</v>
      </c>
      <c r="GF153" s="322">
        <v>45635</v>
      </c>
      <c r="GG1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3" s="300">
        <v>45733</v>
      </c>
      <c r="GI153" s="300">
        <v>45739</v>
      </c>
      <c r="GJ153" s="322">
        <v>46008</v>
      </c>
      <c r="GK1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3" s="300">
        <v>45747</v>
      </c>
      <c r="GM153" s="300" t="e">
        <v>#N/A</v>
      </c>
      <c r="GN153" s="300">
        <v>45760</v>
      </c>
      <c r="GO153" s="300" t="e">
        <v>#N/A</v>
      </c>
      <c r="GP153" s="286"/>
      <c r="GQ1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3" s="300" t="s">
        <v>261</v>
      </c>
      <c r="GS153" s="300" t="s">
        <v>261</v>
      </c>
      <c r="GT153" s="324">
        <v>45733</v>
      </c>
      <c r="GU153" s="314" t="str">
        <f>IF(Table1[[#This Row],[Hydro Tes Actual
(tanggal)]]&lt;&gt;"","Sudah","Belum")</f>
        <v>Sudah</v>
      </c>
      <c r="GV153" s="300" t="s">
        <v>261</v>
      </c>
      <c r="GW153" s="300" t="s">
        <v>261</v>
      </c>
      <c r="GX153" s="301">
        <v>45734</v>
      </c>
      <c r="GY153" s="314" t="str">
        <f>IF(Table1[[#This Row],[Interkoneksi Actual
(tanggal)]]&lt;&gt;"","Sudah","Belum")</f>
        <v>Sudah</v>
      </c>
      <c r="GZ153" s="300" t="s">
        <v>261</v>
      </c>
      <c r="HA153" s="300" t="s">
        <v>261</v>
      </c>
      <c r="HB153" s="301">
        <v>45828</v>
      </c>
      <c r="HC153" s="314" t="str">
        <f>IF(Table1[[#This Row],[Flushing Actual
(tanggal)]]&lt;&gt;"","Sudah","Belum")</f>
        <v>Sudah</v>
      </c>
      <c r="HD153" s="300">
        <v>45751</v>
      </c>
      <c r="HE153" s="300" t="e">
        <v>#N/A</v>
      </c>
      <c r="HF153" s="300">
        <v>45760</v>
      </c>
      <c r="HG153" s="322">
        <v>45849</v>
      </c>
      <c r="HH1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3" s="300" t="s">
        <v>261</v>
      </c>
      <c r="HJ153" s="300" t="s">
        <v>261</v>
      </c>
      <c r="HK153" s="301"/>
      <c r="HL153" s="286"/>
      <c r="HM153" s="300">
        <v>45765</v>
      </c>
      <c r="HN153" s="300">
        <v>45765</v>
      </c>
      <c r="HO153" s="300" t="e">
        <v>#N/A</v>
      </c>
      <c r="HP153" s="300"/>
      <c r="HQ153" s="301">
        <v>45922</v>
      </c>
      <c r="HR1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3" s="300">
        <v>45772</v>
      </c>
      <c r="HT153" s="300"/>
      <c r="HU153" s="300">
        <v>45772</v>
      </c>
      <c r="HV153" s="497"/>
      <c r="HW153" s="300">
        <v>45931</v>
      </c>
      <c r="HX1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3" s="42"/>
      <c r="HZ153" s="322"/>
      <c r="IA153" s="306"/>
      <c r="IC153" s="585">
        <f>IFERROR(ROUND((Table1[[#This Row],[PLAN TC
finish]]-Table1[[#This Row],[PLAN MC-0
start]])/30,2),"")</f>
        <v>0.9</v>
      </c>
      <c r="ID153">
        <f>DATEDIF(Table1[[#This Row],[PLAN MC-0
start]],Table1[[#This Row],[PLAN TC
finish]],"m")</f>
        <v>0</v>
      </c>
    </row>
    <row r="154" spans="2:238" s="4" customFormat="1" ht="15" customHeight="1" x14ac:dyDescent="0.25">
      <c r="B154" s="281">
        <f>SUBTOTAL(3,$D$5:D154)</f>
        <v>150</v>
      </c>
      <c r="C154" s="318">
        <v>150</v>
      </c>
      <c r="D154" s="308" t="s">
        <v>629</v>
      </c>
      <c r="E154" s="308" t="s">
        <v>1101</v>
      </c>
      <c r="F154" s="308" t="s">
        <v>1102</v>
      </c>
      <c r="G154" s="319">
        <v>45935</v>
      </c>
      <c r="H154" s="308" t="s">
        <v>681</v>
      </c>
      <c r="I154" s="308" t="s">
        <v>278</v>
      </c>
      <c r="J154" s="285"/>
      <c r="K154" s="308" t="s">
        <v>915</v>
      </c>
      <c r="L154" s="286" t="s">
        <v>250</v>
      </c>
      <c r="M154" s="286" t="s">
        <v>269</v>
      </c>
      <c r="N154" s="94">
        <v>95</v>
      </c>
      <c r="O154" s="31" t="s">
        <v>252</v>
      </c>
      <c r="P15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4" s="35" t="e">
        <v>#N/A</v>
      </c>
      <c r="S154" s="35">
        <v>1</v>
      </c>
      <c r="T154" s="35">
        <f>Table1[[#This Row],[Progres Total Aktual
(%)]]</f>
        <v>1</v>
      </c>
      <c r="U154" s="106">
        <f>Table1[[#This Row],[Progres Aktual
(%)]]-Table1[[#This Row],[Target Progres
(%)]]</f>
        <v>0</v>
      </c>
      <c r="V154" s="320">
        <f>Table1[[#This Row],["Volume
BA MC-0"]]</f>
        <v>93</v>
      </c>
      <c r="W154" s="321">
        <f>Table1[[#This Row],[Total Panjang Pipa Aktual
(Sum-&gt;)3]]</f>
        <v>80</v>
      </c>
      <c r="X154" s="42"/>
      <c r="Y154" s="62" t="s">
        <v>1103</v>
      </c>
      <c r="Z154" s="62">
        <v>213292967</v>
      </c>
      <c r="AA154" s="62">
        <f>Table1[[#This Row],[Nilai RAB Jaringan
(file pa aji)]]</f>
        <v>213292967</v>
      </c>
      <c r="AB154" s="290">
        <f>SUM(Table1[[#This Row],[RAB Kegiatan Umum]:[RAB Perizinan]])</f>
        <v>0</v>
      </c>
      <c r="AC154" s="290"/>
      <c r="AD154" s="290"/>
      <c r="AE154" s="290"/>
      <c r="AF154" s="290"/>
      <c r="AG154" s="406">
        <v>54783005</v>
      </c>
      <c r="AH154" s="35" t="e">
        <f>SUM(Table1[[#This Row],[Bobot Keg Umum]:[Bobot Perizinan]])</f>
        <v>#DIV/0!</v>
      </c>
      <c r="AI154" s="35" t="e">
        <f>Table1[[#This Row],[RAB Kegiatan Umum]]/Table1[[#This Row],[Nilai RAB Jaringan
(Exclude Ppn)]]</f>
        <v>#DIV/0!</v>
      </c>
      <c r="AJ154" s="35" t="e">
        <f>Table1[[#This Row],[RAB Pemasangan]]/Table1[[#This Row],[Nilai RAB Jaringan
(Exclude Ppn)]]</f>
        <v>#DIV/0!</v>
      </c>
      <c r="AK154" s="35" t="e">
        <f>Table1[[#This Row],[RAB Pengadaan]]/Table1[[#This Row],[Nilai RAB Jaringan
(Exclude Ppn)]]</f>
        <v>#DIV/0!</v>
      </c>
      <c r="AL154" s="35" t="e">
        <f>Table1[[#This Row],[RAB Perizinan]]/Table1[[#This Row],[Nilai RAB Jaringan
(Exclude Ppn)]]</f>
        <v>#DIV/0!</v>
      </c>
      <c r="AM154" s="42"/>
      <c r="AN154" s="256">
        <v>93</v>
      </c>
      <c r="AO154" s="256">
        <f>SUM(Table1[[#This Row],[Pipa 63 mm]:[Pipa 1,800 mm]])</f>
        <v>93</v>
      </c>
      <c r="AP154" s="256">
        <v>93</v>
      </c>
      <c r="AQ154" s="256"/>
      <c r="AR154" s="256"/>
      <c r="AS154" s="256"/>
      <c r="AT154" s="256"/>
      <c r="AU154" s="256"/>
      <c r="AV154" s="256"/>
      <c r="AW154" s="256"/>
      <c r="AX154" s="256"/>
      <c r="AY154" s="256"/>
      <c r="AZ154" s="256"/>
      <c r="BA154" s="256"/>
      <c r="BB154" s="256"/>
      <c r="BC154" s="256"/>
      <c r="BD154" s="256"/>
      <c r="BE154" s="256"/>
      <c r="BF154" s="256"/>
      <c r="BG154" s="256"/>
      <c r="BH154" s="256"/>
      <c r="BI154" s="256"/>
      <c r="BJ154" s="36">
        <f>SUM(Table1[[#This Row],[Pipa 63 mm2]:[Pipa 1,800 mm21]])</f>
        <v>80</v>
      </c>
      <c r="BK154" s="32">
        <v>80</v>
      </c>
      <c r="BL154" s="32"/>
      <c r="BM154" s="32"/>
      <c r="BN154" s="32"/>
      <c r="BO154" s="32"/>
      <c r="BP154" s="32"/>
      <c r="BQ154" s="32"/>
      <c r="BR154" s="32"/>
      <c r="BS154" s="32"/>
      <c r="BT154" s="32"/>
      <c r="BU154" s="32"/>
      <c r="BV154" s="32"/>
      <c r="BW154" s="32"/>
      <c r="BX154" s="32"/>
      <c r="BY154" s="32"/>
      <c r="BZ154" s="32"/>
      <c r="CA154" s="32"/>
      <c r="CB154" s="32"/>
      <c r="CC154" s="32"/>
      <c r="CD154" s="32"/>
      <c r="CE154" s="32">
        <v>0</v>
      </c>
      <c r="CF154" s="32">
        <v>0</v>
      </c>
      <c r="CG154" s="32">
        <v>0</v>
      </c>
      <c r="CH154" s="32">
        <v>0</v>
      </c>
      <c r="CI154" s="32">
        <f t="shared" si="10"/>
        <v>0</v>
      </c>
      <c r="CJ154" s="60">
        <f>IF((Table1[[#This Row],["Volume
BA MC-0"]]-Table1[[#This Row],[Total Panjang Pipa Aktual
(Sum-&gt;)3]]-Table1[[#This Row],[Total Volume
tidak dapat dipasang]])&gt;=0,Table1[[#This Row],["Volume
BA MC-0"]]-Table1[[#This Row],[Total Panjang Pipa Aktual
(Sum-&gt;)3]]-Table1[[#This Row],[Total Volume
tidak dapat dipasang]],0)</f>
        <v>13</v>
      </c>
      <c r="CK154" s="42"/>
      <c r="CL154" s="113"/>
      <c r="CM154" s="35"/>
      <c r="CN154" s="113"/>
      <c r="CO154" s="113"/>
      <c r="CP1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4" s="61">
        <f>IFERROR(Table1[[#This Row],[Progres Keg. Umum
(%)]]*Table1[[#This Row],[Nilai RAB Jaringan
(file pa aji)]],0)</f>
        <v>0</v>
      </c>
      <c r="CR154" s="61">
        <f>IFERROR(Table1[[#This Row],[Progres MOS
(%)]]*Table1[[#This Row],[Nilai RAB Jaringan
(file pa aji)]],0)</f>
        <v>0</v>
      </c>
      <c r="CS154" s="61">
        <f>IFERROR(Table1[[#This Row],[Progres Pemasangan
(%)]]*Table1[[#This Row],[Nilai RAB Jaringan
(file pa aji)]],0)</f>
        <v>0</v>
      </c>
      <c r="CT154" s="61">
        <f>IFERROR(Table1[[#This Row],[Progres Perizinan
(%)]]*Table1[[#This Row],[Nilai RAB Jaringan
(file pa aji)]],0)</f>
        <v>0</v>
      </c>
      <c r="CU154" s="789">
        <v>102618414</v>
      </c>
      <c r="CV154" s="299">
        <v>102618414</v>
      </c>
      <c r="CW154" s="552">
        <v>102618414</v>
      </c>
      <c r="CX154" s="789">
        <f>_xlfn.XLOOKUP(Table1[[#This Row],[Kode Program]],'[1]Breakdown VOWD Greenfield'!$E:$E,'[1]Breakdown VOWD Greenfield'!$AT:$AT)</f>
        <v>102618414</v>
      </c>
      <c r="CY154" s="42"/>
      <c r="CZ154" s="300">
        <v>45775</v>
      </c>
      <c r="DA154" s="300">
        <v>45802</v>
      </c>
      <c r="DB154" s="301">
        <v>45784</v>
      </c>
      <c r="DC154" s="286" t="s">
        <v>1104</v>
      </c>
      <c r="DD154" s="62">
        <v>213292967</v>
      </c>
      <c r="DE1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4" s="301">
        <v>45799</v>
      </c>
      <c r="DG154" s="286" t="s">
        <v>1105</v>
      </c>
      <c r="DH154" s="62">
        <v>213292967</v>
      </c>
      <c r="DI1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4" s="300">
        <v>45803</v>
      </c>
      <c r="DK154" s="300">
        <v>45872</v>
      </c>
      <c r="DL154" s="301">
        <v>45840</v>
      </c>
      <c r="DM154" s="286" t="s">
        <v>1106</v>
      </c>
      <c r="DN1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4" s="301">
        <v>45882</v>
      </c>
      <c r="DP154" s="286" t="s">
        <v>1107</v>
      </c>
      <c r="DQ154" s="308" t="s">
        <v>275</v>
      </c>
      <c r="DR1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4" s="300">
        <v>45803</v>
      </c>
      <c r="DT154" s="300" t="e">
        <v>#N/A</v>
      </c>
      <c r="DU154" s="300">
        <v>45844</v>
      </c>
      <c r="DV154" s="300" t="e">
        <v>#N/A</v>
      </c>
      <c r="DW154" s="301">
        <v>45840</v>
      </c>
      <c r="DX154" s="286" t="s">
        <v>1106</v>
      </c>
      <c r="DY154" s="304"/>
      <c r="DZ154" s="304"/>
      <c r="EA1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4" s="301">
        <v>45891</v>
      </c>
      <c r="EC154" s="302"/>
      <c r="ED154" s="302"/>
      <c r="EE154" s="300" t="s">
        <v>1108</v>
      </c>
      <c r="EF154" s="35">
        <v>1</v>
      </c>
      <c r="EG154" s="307">
        <v>1</v>
      </c>
      <c r="EH154" s="286" t="str">
        <f>IF(Table1[[#This Row],[PO Material Aktual 
(%)]]&gt;=100%,"Selesai PO = 100%",IF(Table1[[#This Row],[PO Material Aktual 
(%)]]&gt;=50%,"Proses PO &gt; 100%",IF(Table1[[#This Row],[PO Material Aktual 
(%)]]&gt;0%,"Proses PO &gt; 50%",IF(Table1[[#This Row],[PO Material Aktual 
(%)]]=0,"Belum PO = 0%"))))</f>
        <v>Selesai PO = 100%</v>
      </c>
      <c r="EI1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4" s="300">
        <v>45845</v>
      </c>
      <c r="EK154" s="300" t="e">
        <v>#N/A</v>
      </c>
      <c r="EL154" s="300">
        <v>45900</v>
      </c>
      <c r="EM154" s="300" t="e">
        <v>#N/A</v>
      </c>
      <c r="EN154" s="301">
        <v>46101</v>
      </c>
      <c r="EO154" s="302"/>
      <c r="EP154" s="302"/>
      <c r="EQ154" s="82">
        <v>1</v>
      </c>
      <c r="ER154" s="82">
        <v>1</v>
      </c>
      <c r="ES154" s="286" t="str">
        <f>IF(Table1[[#This Row],[Progres MOS]]&gt;=100%,"Selesai MOS = 100%",IF(Table1[[#This Row],[Progres MOS]]&gt;=50%,"Proses MOS &gt; 100%",IF(Table1[[#This Row],[Progres MOS]]&gt;0%,"Proses MOS &gt; 50%",IF(Table1[[#This Row],[Progres MOS]]=0,"Belum MOS = 0%"))))</f>
        <v>Selesai MOS = 100%</v>
      </c>
      <c r="ET1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4" s="42"/>
      <c r="EV154" s="300">
        <v>45803</v>
      </c>
      <c r="EW154" s="300" t="e">
        <v>#N/A</v>
      </c>
      <c r="EX154" s="300">
        <v>45900</v>
      </c>
      <c r="EY154" s="300" t="e">
        <v>#N/A</v>
      </c>
      <c r="EZ154" s="322" t="s">
        <v>298</v>
      </c>
      <c r="FA154" s="306" t="s">
        <v>259</v>
      </c>
      <c r="FB154" s="300" t="s">
        <v>260</v>
      </c>
      <c r="FC154" s="300">
        <v>45840</v>
      </c>
      <c r="FD154" s="300" t="s">
        <v>260</v>
      </c>
      <c r="FE154" s="300">
        <v>45919</v>
      </c>
      <c r="FF154" s="300">
        <v>45937</v>
      </c>
      <c r="FG154" s="300" t="s">
        <v>260</v>
      </c>
      <c r="FH154" s="300" t="s">
        <v>260</v>
      </c>
      <c r="FI154" s="300">
        <v>46003</v>
      </c>
      <c r="FJ154" s="300" t="s">
        <v>260</v>
      </c>
      <c r="FK154" s="300">
        <v>46134</v>
      </c>
      <c r="FL154" s="306" t="s">
        <v>298</v>
      </c>
      <c r="FM154" s="322">
        <v>45840</v>
      </c>
      <c r="FN154" s="308">
        <f>IF(Table1[[#This Row],[Tanggal Pengajuan Dokumen]]="","",Table1[[#This Row],[PLAN PERMIT
start]]-Table1[[#This Row],[Tanggal Pengajuan Dokumen]])</f>
        <v>-37</v>
      </c>
      <c r="FO154" s="407">
        <v>46086</v>
      </c>
      <c r="FP154" s="286"/>
      <c r="FQ154" s="308"/>
      <c r="FR154" s="308"/>
      <c r="FS154" s="308" t="str">
        <f t="shared" si="9"/>
        <v>Sudah Terbit</v>
      </c>
      <c r="FT1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4" s="314">
        <f ca="1">IF(Table1[[#This Row],[Status Izin]]="Selesai",Table1[[#This Row],[PLAN PERMIT
finish]]-Table1[[#This Row],[Tanggal Terbit/ Target Izin Terbit]],ROUNDUP(Table1[[#This Row],[PLAN PERMIT
finish]]-NOW(),0))</f>
        <v>-186</v>
      </c>
      <c r="FV1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4" s="314"/>
      <c r="FX154" s="42"/>
      <c r="FY154" s="310"/>
      <c r="FZ154" s="311">
        <v>45884</v>
      </c>
      <c r="GA1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4" s="300">
        <v>45874</v>
      </c>
      <c r="GC154" s="322">
        <v>45870</v>
      </c>
      <c r="GD1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4" s="300">
        <v>45881</v>
      </c>
      <c r="GF154" s="322">
        <v>45870</v>
      </c>
      <c r="GG1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4" s="300">
        <v>45887</v>
      </c>
      <c r="GI154" s="300">
        <v>45893</v>
      </c>
      <c r="GJ154" s="322">
        <v>45875</v>
      </c>
      <c r="GK1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4" s="300">
        <v>45901</v>
      </c>
      <c r="GM154" s="300" t="e">
        <v>#N/A</v>
      </c>
      <c r="GN154" s="300">
        <v>45914</v>
      </c>
      <c r="GO154" s="300" t="e">
        <v>#N/A</v>
      </c>
      <c r="GP154" s="286"/>
      <c r="GQ1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4" s="300" t="s">
        <v>261</v>
      </c>
      <c r="GS154" s="300" t="s">
        <v>261</v>
      </c>
      <c r="GT154" s="324">
        <v>45909</v>
      </c>
      <c r="GU154" s="314" t="str">
        <f>IF(Table1[[#This Row],[Hydro Tes Actual
(tanggal)]]&lt;&gt;"","Sudah","Belum")</f>
        <v>Sudah</v>
      </c>
      <c r="GV154" s="300" t="s">
        <v>261</v>
      </c>
      <c r="GW154" s="300" t="s">
        <v>261</v>
      </c>
      <c r="GX154" s="301">
        <v>45910</v>
      </c>
      <c r="GY154" s="314" t="str">
        <f>IF(Table1[[#This Row],[Interkoneksi Actual
(tanggal)]]&lt;&gt;"","Sudah","Belum")</f>
        <v>Sudah</v>
      </c>
      <c r="GZ154" s="300" t="s">
        <v>261</v>
      </c>
      <c r="HA154" s="300" t="s">
        <v>261</v>
      </c>
      <c r="HB154" s="301">
        <v>45915</v>
      </c>
      <c r="HC154" s="314" t="str">
        <f>IF(Table1[[#This Row],[Flushing Actual
(tanggal)]]&lt;&gt;"","Sudah","Belum")</f>
        <v>Sudah</v>
      </c>
      <c r="HD154" s="300">
        <v>45901</v>
      </c>
      <c r="HE154" s="300" t="e">
        <v>#N/A</v>
      </c>
      <c r="HF154" s="300">
        <v>45914</v>
      </c>
      <c r="HG154" s="322">
        <v>45919</v>
      </c>
      <c r="HH1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4" s="300" t="s">
        <v>261</v>
      </c>
      <c r="HJ154" s="300" t="s">
        <v>261</v>
      </c>
      <c r="HK154" s="301"/>
      <c r="HL154" s="286"/>
      <c r="HM154" s="300">
        <v>45919</v>
      </c>
      <c r="HN154" s="300">
        <v>45919</v>
      </c>
      <c r="HO154" s="300" t="e">
        <v>#N/A</v>
      </c>
      <c r="HP154" s="300"/>
      <c r="HQ154" s="301">
        <v>45929</v>
      </c>
      <c r="HR1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4" s="300">
        <v>45926</v>
      </c>
      <c r="HT154" s="300"/>
      <c r="HU154" s="300">
        <v>45926</v>
      </c>
      <c r="HV154" s="497"/>
      <c r="HW154" s="300">
        <v>45933</v>
      </c>
      <c r="HX1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4" s="42"/>
      <c r="HZ154" s="322"/>
      <c r="IA154" s="306"/>
      <c r="IC154" s="585">
        <f>IFERROR(ROUND((Table1[[#This Row],[PLAN TC
finish]]-Table1[[#This Row],[PLAN MC-0
start]])/30,2),"")</f>
        <v>0.9</v>
      </c>
      <c r="ID154">
        <f>DATEDIF(Table1[[#This Row],[PLAN MC-0
start]],Table1[[#This Row],[PLAN TC
finish]],"m")</f>
        <v>0</v>
      </c>
    </row>
    <row r="155" spans="2:238" s="4" customFormat="1" ht="15" customHeight="1" x14ac:dyDescent="0.25">
      <c r="B155" s="281">
        <f>SUBTOTAL(3,$D$5:D155)</f>
        <v>151</v>
      </c>
      <c r="C155" s="318">
        <v>151</v>
      </c>
      <c r="D155" s="308" t="s">
        <v>629</v>
      </c>
      <c r="E155" s="308" t="s">
        <v>1109</v>
      </c>
      <c r="F155" s="308" t="s">
        <v>1110</v>
      </c>
      <c r="G155" s="319">
        <v>45935</v>
      </c>
      <c r="H155" s="308" t="s">
        <v>681</v>
      </c>
      <c r="I155" s="308" t="s">
        <v>278</v>
      </c>
      <c r="J155" s="285"/>
      <c r="K155" s="308" t="s">
        <v>915</v>
      </c>
      <c r="L155" s="286" t="s">
        <v>250</v>
      </c>
      <c r="M155" s="286" t="s">
        <v>269</v>
      </c>
      <c r="N155" s="94">
        <v>254</v>
      </c>
      <c r="O155" s="31" t="s">
        <v>252</v>
      </c>
      <c r="P15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5" s="35" t="e">
        <v>#N/A</v>
      </c>
      <c r="S155" s="35">
        <v>1</v>
      </c>
      <c r="T155" s="35">
        <f>Table1[[#This Row],[Progres Total Aktual
(%)]]</f>
        <v>1</v>
      </c>
      <c r="U155" s="106">
        <f>Table1[[#This Row],[Progres Aktual
(%)]]-Table1[[#This Row],[Target Progres
(%)]]</f>
        <v>0</v>
      </c>
      <c r="V155" s="320">
        <f>Table1[[#This Row],["Volume
BA MC-0"]]</f>
        <v>210</v>
      </c>
      <c r="W155" s="321">
        <f>Table1[[#This Row],[Total Panjang Pipa Aktual
(Sum-&gt;)3]]</f>
        <v>210</v>
      </c>
      <c r="X155" s="42"/>
      <c r="Y155" s="62" t="s">
        <v>1111</v>
      </c>
      <c r="Z155" s="62">
        <v>362692214</v>
      </c>
      <c r="AA155" s="62">
        <f>Table1[[#This Row],[Nilai RAB Jaringan
(file pa aji)]]</f>
        <v>362692214</v>
      </c>
      <c r="AB155" s="290">
        <f>SUM(Table1[[#This Row],[RAB Kegiatan Umum]:[RAB Perizinan]])</f>
        <v>0</v>
      </c>
      <c r="AC155" s="290"/>
      <c r="AD155" s="290"/>
      <c r="AE155" s="290"/>
      <c r="AF155" s="290"/>
      <c r="AG155" s="406">
        <v>111673048</v>
      </c>
      <c r="AH155" s="35" t="e">
        <f>SUM(Table1[[#This Row],[Bobot Keg Umum]:[Bobot Perizinan]])</f>
        <v>#DIV/0!</v>
      </c>
      <c r="AI155" s="35" t="e">
        <f>Table1[[#This Row],[RAB Kegiatan Umum]]/Table1[[#This Row],[Nilai RAB Jaringan
(Exclude Ppn)]]</f>
        <v>#DIV/0!</v>
      </c>
      <c r="AJ155" s="35" t="e">
        <f>Table1[[#This Row],[RAB Pemasangan]]/Table1[[#This Row],[Nilai RAB Jaringan
(Exclude Ppn)]]</f>
        <v>#DIV/0!</v>
      </c>
      <c r="AK155" s="35" t="e">
        <f>Table1[[#This Row],[RAB Pengadaan]]/Table1[[#This Row],[Nilai RAB Jaringan
(Exclude Ppn)]]</f>
        <v>#DIV/0!</v>
      </c>
      <c r="AL155" s="35" t="e">
        <f>Table1[[#This Row],[RAB Perizinan]]/Table1[[#This Row],[Nilai RAB Jaringan
(Exclude Ppn)]]</f>
        <v>#DIV/0!</v>
      </c>
      <c r="AM155" s="42"/>
      <c r="AN155" s="256">
        <v>210</v>
      </c>
      <c r="AO155" s="256">
        <f>SUM(Table1[[#This Row],[Pipa 63 mm]:[Pipa 1,800 mm]])</f>
        <v>210</v>
      </c>
      <c r="AP155" s="256">
        <v>210</v>
      </c>
      <c r="AQ155" s="256"/>
      <c r="AR155" s="256"/>
      <c r="AS155" s="256"/>
      <c r="AT155" s="256"/>
      <c r="AU155" s="256"/>
      <c r="AV155" s="256"/>
      <c r="AW155" s="256"/>
      <c r="AX155" s="256"/>
      <c r="AY155" s="256"/>
      <c r="AZ155" s="256"/>
      <c r="BA155" s="256"/>
      <c r="BB155" s="256"/>
      <c r="BC155" s="256"/>
      <c r="BD155" s="256"/>
      <c r="BE155" s="256"/>
      <c r="BF155" s="256"/>
      <c r="BG155" s="256"/>
      <c r="BH155" s="256"/>
      <c r="BI155" s="256"/>
      <c r="BJ155" s="36">
        <f>SUM(Table1[[#This Row],[Pipa 63 mm2]:[Pipa 1,800 mm21]])</f>
        <v>210</v>
      </c>
      <c r="BK155" s="32">
        <v>210</v>
      </c>
      <c r="BL155" s="32"/>
      <c r="BM155" s="32"/>
      <c r="BN155" s="32"/>
      <c r="BO155" s="32"/>
      <c r="BP155" s="32"/>
      <c r="BQ155" s="32"/>
      <c r="BR155" s="32"/>
      <c r="BS155" s="32"/>
      <c r="BT155" s="32"/>
      <c r="BU155" s="32"/>
      <c r="BV155" s="32"/>
      <c r="BW155" s="32"/>
      <c r="BX155" s="32"/>
      <c r="BY155" s="32"/>
      <c r="BZ155" s="32"/>
      <c r="CA155" s="32"/>
      <c r="CB155" s="32"/>
      <c r="CC155" s="32"/>
      <c r="CD155" s="32"/>
      <c r="CE155" s="32">
        <v>0</v>
      </c>
      <c r="CF155" s="32">
        <v>0</v>
      </c>
      <c r="CG155" s="32">
        <v>0</v>
      </c>
      <c r="CH155" s="32">
        <v>0</v>
      </c>
      <c r="CI155" s="32">
        <f t="shared" si="10"/>
        <v>0</v>
      </c>
      <c r="CJ155" s="60">
        <f>IF((Table1[[#This Row],["Volume
BA MC-0"]]-Table1[[#This Row],[Total Panjang Pipa Aktual
(Sum-&gt;)3]]-Table1[[#This Row],[Total Volume
tidak dapat dipasang]])&gt;=0,Table1[[#This Row],["Volume
BA MC-0"]]-Table1[[#This Row],[Total Panjang Pipa Aktual
(Sum-&gt;)3]]-Table1[[#This Row],[Total Volume
tidak dapat dipasang]],0)</f>
        <v>0</v>
      </c>
      <c r="CK155" s="42"/>
      <c r="CL155" s="113"/>
      <c r="CM155" s="35"/>
      <c r="CN155" s="113"/>
      <c r="CO155" s="113"/>
      <c r="CP1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5" s="61">
        <f>IFERROR(Table1[[#This Row],[Progres Keg. Umum
(%)]]*Table1[[#This Row],[Nilai RAB Jaringan
(file pa aji)]],0)</f>
        <v>0</v>
      </c>
      <c r="CR155" s="61">
        <f>IFERROR(Table1[[#This Row],[Progres MOS
(%)]]*Table1[[#This Row],[Nilai RAB Jaringan
(file pa aji)]],0)</f>
        <v>0</v>
      </c>
      <c r="CS155" s="61">
        <f>IFERROR(Table1[[#This Row],[Progres Pemasangan
(%)]]*Table1[[#This Row],[Nilai RAB Jaringan
(file pa aji)]],0)</f>
        <v>0</v>
      </c>
      <c r="CT155" s="61">
        <f>IFERROR(Table1[[#This Row],[Progres Perizinan
(%)]]*Table1[[#This Row],[Nilai RAB Jaringan
(file pa aji)]],0)</f>
        <v>0</v>
      </c>
      <c r="CU155" s="789">
        <v>259186530</v>
      </c>
      <c r="CV155" s="299">
        <v>259186530</v>
      </c>
      <c r="CW155" s="552">
        <v>259186530</v>
      </c>
      <c r="CX155" s="789">
        <f>_xlfn.XLOOKUP(Table1[[#This Row],[Kode Program]],'[1]Breakdown VOWD Greenfield'!$E:$E,'[1]Breakdown VOWD Greenfield'!$AT:$AT)</f>
        <v>259186530</v>
      </c>
      <c r="CY155" s="42"/>
      <c r="CZ155" s="300">
        <v>45775</v>
      </c>
      <c r="DA155" s="300">
        <v>45802</v>
      </c>
      <c r="DB155" s="301">
        <v>45784</v>
      </c>
      <c r="DC155" s="286" t="s">
        <v>1112</v>
      </c>
      <c r="DD155" s="62">
        <v>362692215</v>
      </c>
      <c r="DE1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5" s="301">
        <v>45803</v>
      </c>
      <c r="DG155" s="286" t="s">
        <v>1113</v>
      </c>
      <c r="DH155" s="62">
        <v>362692215</v>
      </c>
      <c r="DI1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5" s="300">
        <v>45803</v>
      </c>
      <c r="DK155" s="300">
        <v>45872</v>
      </c>
      <c r="DL155" s="301">
        <v>45839</v>
      </c>
      <c r="DM155" s="286" t="s">
        <v>1114</v>
      </c>
      <c r="DN1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5" s="301">
        <v>45882</v>
      </c>
      <c r="DP155" s="286" t="s">
        <v>1115</v>
      </c>
      <c r="DQ155" s="308" t="s">
        <v>275</v>
      </c>
      <c r="DR1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5" s="300">
        <v>45803</v>
      </c>
      <c r="DT155" s="300" t="e">
        <v>#N/A</v>
      </c>
      <c r="DU155" s="300">
        <v>45844</v>
      </c>
      <c r="DV155" s="300" t="e">
        <v>#N/A</v>
      </c>
      <c r="DW155" s="301">
        <v>45839</v>
      </c>
      <c r="DX155" s="286" t="s">
        <v>1114</v>
      </c>
      <c r="DY155" s="304"/>
      <c r="DZ155" s="304"/>
      <c r="EA1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5" s="301">
        <v>45891</v>
      </c>
      <c r="EC155" s="302"/>
      <c r="ED155" s="302"/>
      <c r="EE155" s="300" t="s">
        <v>1116</v>
      </c>
      <c r="EF155" s="35">
        <v>1</v>
      </c>
      <c r="EG155" s="307">
        <v>1</v>
      </c>
      <c r="EH155" s="286" t="str">
        <f>IF(Table1[[#This Row],[PO Material Aktual 
(%)]]&gt;=100%,"Selesai PO = 100%",IF(Table1[[#This Row],[PO Material Aktual 
(%)]]&gt;=50%,"Proses PO &gt; 100%",IF(Table1[[#This Row],[PO Material Aktual 
(%)]]&gt;0%,"Proses PO &gt; 50%",IF(Table1[[#This Row],[PO Material Aktual 
(%)]]=0,"Belum PO = 0%"))))</f>
        <v>Selesai PO = 100%</v>
      </c>
      <c r="EI1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5" s="300">
        <v>45845</v>
      </c>
      <c r="EK155" s="300" t="e">
        <v>#N/A</v>
      </c>
      <c r="EL155" s="300">
        <v>45900</v>
      </c>
      <c r="EM155" s="300" t="e">
        <v>#N/A</v>
      </c>
      <c r="EN155" s="301">
        <v>46101</v>
      </c>
      <c r="EO155" s="302"/>
      <c r="EP155" s="302"/>
      <c r="EQ155" s="82">
        <v>1</v>
      </c>
      <c r="ER155" s="82">
        <v>1</v>
      </c>
      <c r="ES155" s="286" t="str">
        <f>IF(Table1[[#This Row],[Progres MOS]]&gt;=100%,"Selesai MOS = 100%",IF(Table1[[#This Row],[Progres MOS]]&gt;=50%,"Proses MOS &gt; 100%",IF(Table1[[#This Row],[Progres MOS]]&gt;0%,"Proses MOS &gt; 50%",IF(Table1[[#This Row],[Progres MOS]]=0,"Belum MOS = 0%"))))</f>
        <v>Selesai MOS = 100%</v>
      </c>
      <c r="ET1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5" s="42"/>
      <c r="EV155" s="300">
        <v>45803</v>
      </c>
      <c r="EW155" s="300" t="e">
        <v>#N/A</v>
      </c>
      <c r="EX155" s="300">
        <v>45900</v>
      </c>
      <c r="EY155" s="300" t="e">
        <v>#N/A</v>
      </c>
      <c r="EZ155" s="322" t="s">
        <v>298</v>
      </c>
      <c r="FA155" s="306" t="s">
        <v>259</v>
      </c>
      <c r="FB155" s="300" t="s">
        <v>260</v>
      </c>
      <c r="FC155" s="300">
        <v>45840</v>
      </c>
      <c r="FD155" s="300" t="s">
        <v>260</v>
      </c>
      <c r="FE155" s="300">
        <v>45919</v>
      </c>
      <c r="FF155" s="300">
        <v>45937</v>
      </c>
      <c r="FG155" s="300" t="s">
        <v>260</v>
      </c>
      <c r="FH155" s="300" t="s">
        <v>260</v>
      </c>
      <c r="FI155" s="300">
        <v>46003</v>
      </c>
      <c r="FJ155" s="300" t="s">
        <v>260</v>
      </c>
      <c r="FK155" s="300">
        <v>46134</v>
      </c>
      <c r="FL155" s="306" t="s">
        <v>298</v>
      </c>
      <c r="FM155" s="322">
        <v>45840</v>
      </c>
      <c r="FN155" s="308">
        <f>IF(Table1[[#This Row],[Tanggal Pengajuan Dokumen]]="","",Table1[[#This Row],[PLAN PERMIT
start]]-Table1[[#This Row],[Tanggal Pengajuan Dokumen]])</f>
        <v>-37</v>
      </c>
      <c r="FO155" s="407">
        <v>46086</v>
      </c>
      <c r="FP155" s="286"/>
      <c r="FQ155" s="308"/>
      <c r="FR155" s="308"/>
      <c r="FS155" s="308" t="str">
        <f t="shared" si="9"/>
        <v>Sudah Terbit</v>
      </c>
      <c r="FT1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5" s="314">
        <f ca="1">IF(Table1[[#This Row],[Status Izin]]="Selesai",Table1[[#This Row],[PLAN PERMIT
finish]]-Table1[[#This Row],[Tanggal Terbit/ Target Izin Terbit]],ROUNDUP(Table1[[#This Row],[PLAN PERMIT
finish]]-NOW(),0))</f>
        <v>-186</v>
      </c>
      <c r="FV1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5" s="314"/>
      <c r="FX155" s="42"/>
      <c r="FY155" s="310"/>
      <c r="FZ155" s="311">
        <v>45884</v>
      </c>
      <c r="GA1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5" s="300">
        <v>45874</v>
      </c>
      <c r="GC155" s="322">
        <v>45870</v>
      </c>
      <c r="GD1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5" s="300">
        <v>45881</v>
      </c>
      <c r="GF155" s="322">
        <v>45870</v>
      </c>
      <c r="GG1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5" s="300">
        <v>45887</v>
      </c>
      <c r="GI155" s="300">
        <v>45893</v>
      </c>
      <c r="GJ155" s="322">
        <v>45874</v>
      </c>
      <c r="GK1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5" s="300">
        <v>45901</v>
      </c>
      <c r="GM155" s="300" t="e">
        <v>#N/A</v>
      </c>
      <c r="GN155" s="300">
        <v>45914</v>
      </c>
      <c r="GO155" s="300" t="e">
        <v>#N/A</v>
      </c>
      <c r="GP155" s="286"/>
      <c r="GQ1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5" s="300" t="s">
        <v>261</v>
      </c>
      <c r="GS155" s="300" t="s">
        <v>261</v>
      </c>
      <c r="GT155" s="324">
        <v>45909</v>
      </c>
      <c r="GU155" s="314" t="str">
        <f>IF(Table1[[#This Row],[Hydro Tes Actual
(tanggal)]]&lt;&gt;"","Sudah","Belum")</f>
        <v>Sudah</v>
      </c>
      <c r="GV155" s="300" t="s">
        <v>261</v>
      </c>
      <c r="GW155" s="300" t="s">
        <v>261</v>
      </c>
      <c r="GX155" s="301">
        <v>45910</v>
      </c>
      <c r="GY155" s="314" t="str">
        <f>IF(Table1[[#This Row],[Interkoneksi Actual
(tanggal)]]&lt;&gt;"","Sudah","Belum")</f>
        <v>Sudah</v>
      </c>
      <c r="GZ155" s="300" t="s">
        <v>261</v>
      </c>
      <c r="HA155" s="300" t="s">
        <v>261</v>
      </c>
      <c r="HB155" s="301">
        <v>45915</v>
      </c>
      <c r="HC155" s="314" t="str">
        <f>IF(Table1[[#This Row],[Flushing Actual
(tanggal)]]&lt;&gt;"","Sudah","Belum")</f>
        <v>Sudah</v>
      </c>
      <c r="HD155" s="300">
        <v>45901</v>
      </c>
      <c r="HE155" s="300" t="e">
        <v>#N/A</v>
      </c>
      <c r="HF155" s="300">
        <v>45914</v>
      </c>
      <c r="HG155" s="322">
        <v>45919</v>
      </c>
      <c r="HH1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5" s="300" t="s">
        <v>261</v>
      </c>
      <c r="HJ155" s="300" t="s">
        <v>261</v>
      </c>
      <c r="HK155" s="301"/>
      <c r="HL155" s="286"/>
      <c r="HM155" s="300">
        <v>45919</v>
      </c>
      <c r="HN155" s="300">
        <v>45919</v>
      </c>
      <c r="HO155" s="300" t="e">
        <v>#N/A</v>
      </c>
      <c r="HP155" s="300"/>
      <c r="HQ155" s="301">
        <v>45929</v>
      </c>
      <c r="HR1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5" s="300">
        <v>45926</v>
      </c>
      <c r="HT155" s="300"/>
      <c r="HU155" s="300">
        <v>45926</v>
      </c>
      <c r="HV155" s="497"/>
      <c r="HW155" s="300">
        <v>45933</v>
      </c>
      <c r="HX1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5" s="42"/>
      <c r="HZ155" s="322"/>
      <c r="IA155" s="306"/>
      <c r="IC155" s="585">
        <f>IFERROR(ROUND((Table1[[#This Row],[PLAN TC
finish]]-Table1[[#This Row],[PLAN MC-0
start]])/30,2),"")</f>
        <v>0.9</v>
      </c>
      <c r="ID155">
        <f>DATEDIF(Table1[[#This Row],[PLAN MC-0
start]],Table1[[#This Row],[PLAN TC
finish]],"m")</f>
        <v>0</v>
      </c>
    </row>
    <row r="156" spans="2:238" s="4" customFormat="1" ht="15" customHeight="1" x14ac:dyDescent="0.25">
      <c r="B156" s="281">
        <f>SUBTOTAL(3,$D$5:D156)</f>
        <v>152</v>
      </c>
      <c r="C156" s="318">
        <v>152</v>
      </c>
      <c r="D156" s="308" t="s">
        <v>629</v>
      </c>
      <c r="E156" s="308" t="s">
        <v>1117</v>
      </c>
      <c r="F156" s="308" t="s">
        <v>1118</v>
      </c>
      <c r="G156" s="319">
        <v>45935</v>
      </c>
      <c r="H156" s="308" t="s">
        <v>681</v>
      </c>
      <c r="I156" s="308" t="s">
        <v>278</v>
      </c>
      <c r="J156" s="285" t="s">
        <v>882</v>
      </c>
      <c r="K156" s="308" t="s">
        <v>915</v>
      </c>
      <c r="L156" s="286" t="s">
        <v>250</v>
      </c>
      <c r="M156" s="286" t="s">
        <v>269</v>
      </c>
      <c r="N156" s="94">
        <v>264</v>
      </c>
      <c r="O156" s="31" t="s">
        <v>252</v>
      </c>
      <c r="P15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6" s="35" t="e">
        <v>#N/A</v>
      </c>
      <c r="S156" s="35">
        <v>1</v>
      </c>
      <c r="T156" s="35">
        <f>Table1[[#This Row],[Progres Total Aktual
(%)]]</f>
        <v>1</v>
      </c>
      <c r="U156" s="106">
        <f>Table1[[#This Row],[Progres Aktual
(%)]]-Table1[[#This Row],[Target Progres
(%)]]</f>
        <v>0</v>
      </c>
      <c r="V156" s="320">
        <f>Table1[[#This Row],["Volume
BA MC-0"]]</f>
        <v>254</v>
      </c>
      <c r="W156" s="321">
        <f>Table1[[#This Row],[Total Panjang Pipa Aktual
(Sum-&gt;)3]]</f>
        <v>263.2</v>
      </c>
      <c r="X156" s="42"/>
      <c r="Y156" s="62" t="s">
        <v>1119</v>
      </c>
      <c r="Z156" s="62">
        <v>358218320</v>
      </c>
      <c r="AA156" s="62">
        <f>Table1[[#This Row],[Nilai RAB Jaringan
(file pa aji)]]</f>
        <v>358218320</v>
      </c>
      <c r="AB156" s="290">
        <f>SUM(Table1[[#This Row],[RAB Kegiatan Umum]:[RAB Perizinan]])</f>
        <v>0</v>
      </c>
      <c r="AC156" s="290"/>
      <c r="AD156" s="290"/>
      <c r="AE156" s="290"/>
      <c r="AF156" s="290"/>
      <c r="AG156" s="406">
        <v>21070387</v>
      </c>
      <c r="AH156" s="35" t="e">
        <f>SUM(Table1[[#This Row],[Bobot Keg Umum]:[Bobot Perizinan]])</f>
        <v>#DIV/0!</v>
      </c>
      <c r="AI156" s="35" t="e">
        <f>Table1[[#This Row],[RAB Kegiatan Umum]]/Table1[[#This Row],[Nilai RAB Jaringan
(Exclude Ppn)]]</f>
        <v>#DIV/0!</v>
      </c>
      <c r="AJ156" s="35" t="e">
        <f>Table1[[#This Row],[RAB Pemasangan]]/Table1[[#This Row],[Nilai RAB Jaringan
(Exclude Ppn)]]</f>
        <v>#DIV/0!</v>
      </c>
      <c r="AK156" s="35" t="e">
        <f>Table1[[#This Row],[RAB Pengadaan]]/Table1[[#This Row],[Nilai RAB Jaringan
(Exclude Ppn)]]</f>
        <v>#DIV/0!</v>
      </c>
      <c r="AL156" s="35" t="e">
        <f>Table1[[#This Row],[RAB Perizinan]]/Table1[[#This Row],[Nilai RAB Jaringan
(Exclude Ppn)]]</f>
        <v>#DIV/0!</v>
      </c>
      <c r="AM156" s="42"/>
      <c r="AN156" s="256">
        <v>254</v>
      </c>
      <c r="AO156" s="256">
        <f>SUM(Table1[[#This Row],[Pipa 63 mm]:[Pipa 1,800 mm]])</f>
        <v>254</v>
      </c>
      <c r="AP156" s="256">
        <f>225+29</f>
        <v>254</v>
      </c>
      <c r="AQ156" s="256"/>
      <c r="AR156" s="256"/>
      <c r="AS156" s="256"/>
      <c r="AT156" s="256"/>
      <c r="AU156" s="256"/>
      <c r="AV156" s="256"/>
      <c r="AW156" s="256"/>
      <c r="AX156" s="256"/>
      <c r="AY156" s="256"/>
      <c r="AZ156" s="256"/>
      <c r="BA156" s="256"/>
      <c r="BB156" s="256"/>
      <c r="BC156" s="256"/>
      <c r="BD156" s="256"/>
      <c r="BE156" s="256"/>
      <c r="BF156" s="256"/>
      <c r="BG156" s="256"/>
      <c r="BH156" s="256"/>
      <c r="BI156" s="256"/>
      <c r="BJ156" s="36">
        <f>SUM(Table1[[#This Row],[Pipa 63 mm2]:[Pipa 1,800 mm21]])</f>
        <v>263.2</v>
      </c>
      <c r="BK156" s="32">
        <v>263.2</v>
      </c>
      <c r="BL156" s="32"/>
      <c r="BM156" s="32"/>
      <c r="BN156" s="32"/>
      <c r="BO156" s="32"/>
      <c r="BP156" s="32"/>
      <c r="BQ156" s="32"/>
      <c r="BR156" s="32"/>
      <c r="BS156" s="32"/>
      <c r="BT156" s="32"/>
      <c r="BU156" s="32"/>
      <c r="BV156" s="32"/>
      <c r="BW156" s="32"/>
      <c r="BX156" s="32"/>
      <c r="BY156" s="32"/>
      <c r="BZ156" s="32"/>
      <c r="CA156" s="32"/>
      <c r="CB156" s="32"/>
      <c r="CC156" s="32"/>
      <c r="CD156" s="32"/>
      <c r="CE156" s="32">
        <v>0</v>
      </c>
      <c r="CF156" s="32">
        <v>0</v>
      </c>
      <c r="CG156" s="32">
        <v>0</v>
      </c>
      <c r="CH156" s="32">
        <v>0</v>
      </c>
      <c r="CI156" s="32">
        <f t="shared" si="10"/>
        <v>0</v>
      </c>
      <c r="CJ156" s="60">
        <f>IF((Table1[[#This Row],["Volume
BA MC-0"]]-Table1[[#This Row],[Total Panjang Pipa Aktual
(Sum-&gt;)3]]-Table1[[#This Row],[Total Volume
tidak dapat dipasang]])&gt;=0,Table1[[#This Row],["Volume
BA MC-0"]]-Table1[[#This Row],[Total Panjang Pipa Aktual
(Sum-&gt;)3]]-Table1[[#This Row],[Total Volume
tidak dapat dipasang]],0)</f>
        <v>0</v>
      </c>
      <c r="CK156" s="42"/>
      <c r="CL156" s="113"/>
      <c r="CM156" s="35"/>
      <c r="CN156" s="113"/>
      <c r="CO156" s="113"/>
      <c r="CP1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6" s="61">
        <f>IFERROR(Table1[[#This Row],[Progres Keg. Umum
(%)]]*Table1[[#This Row],[Nilai RAB Jaringan
(file pa aji)]],0)</f>
        <v>0</v>
      </c>
      <c r="CR156" s="61">
        <f>IFERROR(Table1[[#This Row],[Progres MOS
(%)]]*Table1[[#This Row],[Nilai RAB Jaringan
(file pa aji)]],0)</f>
        <v>0</v>
      </c>
      <c r="CS156" s="61">
        <f>IFERROR(Table1[[#This Row],[Progres Pemasangan
(%)]]*Table1[[#This Row],[Nilai RAB Jaringan
(file pa aji)]],0)</f>
        <v>0</v>
      </c>
      <c r="CT156" s="61">
        <f>IFERROR(Table1[[#This Row],[Progres Perizinan
(%)]]*Table1[[#This Row],[Nilai RAB Jaringan
(file pa aji)]],0)</f>
        <v>0</v>
      </c>
      <c r="CU156" s="789">
        <v>351638883</v>
      </c>
      <c r="CV156" s="299">
        <v>351638883</v>
      </c>
      <c r="CW156" s="552">
        <v>351638883</v>
      </c>
      <c r="CX156" s="789">
        <f>_xlfn.XLOOKUP(Table1[[#This Row],[Kode Program]],'[1]Breakdown VOWD Greenfield'!$E:$E,'[1]Breakdown VOWD Greenfield'!$AT:$AT)</f>
        <v>351638883</v>
      </c>
      <c r="CY156" s="42"/>
      <c r="CZ156" s="300">
        <v>45775</v>
      </c>
      <c r="DA156" s="300">
        <v>45802</v>
      </c>
      <c r="DB156" s="301">
        <v>45784</v>
      </c>
      <c r="DC156" s="286" t="s">
        <v>1120</v>
      </c>
      <c r="DD156" s="62">
        <v>358218320</v>
      </c>
      <c r="DE1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6" s="301">
        <v>45803</v>
      </c>
      <c r="DG156" s="286" t="s">
        <v>1121</v>
      </c>
      <c r="DH156" s="62">
        <v>358218320</v>
      </c>
      <c r="DI1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56" s="300">
        <v>45803</v>
      </c>
      <c r="DK156" s="300">
        <v>45872</v>
      </c>
      <c r="DL156" s="301">
        <v>45840</v>
      </c>
      <c r="DM156" s="286" t="s">
        <v>1122</v>
      </c>
      <c r="DN1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6" s="301">
        <v>45882</v>
      </c>
      <c r="DP156" s="286" t="s">
        <v>1123</v>
      </c>
      <c r="DQ156" s="308" t="s">
        <v>275</v>
      </c>
      <c r="DR1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6" s="300">
        <v>45803</v>
      </c>
      <c r="DT156" s="300" t="e">
        <v>#N/A</v>
      </c>
      <c r="DU156" s="300">
        <v>45844</v>
      </c>
      <c r="DV156" s="300" t="e">
        <v>#N/A</v>
      </c>
      <c r="DW156" s="301">
        <v>45840</v>
      </c>
      <c r="DX156" s="286" t="s">
        <v>1122</v>
      </c>
      <c r="DY156" s="304"/>
      <c r="DZ156" s="304"/>
      <c r="EA1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6" s="301">
        <v>45891</v>
      </c>
      <c r="EC156" s="302"/>
      <c r="ED156" s="302"/>
      <c r="EE156" s="300" t="s">
        <v>1124</v>
      </c>
      <c r="EF156" s="35">
        <v>1</v>
      </c>
      <c r="EG156" s="307">
        <v>1</v>
      </c>
      <c r="EH156" s="286" t="str">
        <f>IF(Table1[[#This Row],[PO Material Aktual 
(%)]]&gt;=100%,"Selesai PO = 100%",IF(Table1[[#This Row],[PO Material Aktual 
(%)]]&gt;=50%,"Proses PO &gt; 100%",IF(Table1[[#This Row],[PO Material Aktual 
(%)]]&gt;0%,"Proses PO &gt; 50%",IF(Table1[[#This Row],[PO Material Aktual 
(%)]]=0,"Belum PO = 0%"))))</f>
        <v>Selesai PO = 100%</v>
      </c>
      <c r="EI1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6" s="300">
        <v>45845</v>
      </c>
      <c r="EK156" s="300" t="e">
        <v>#N/A</v>
      </c>
      <c r="EL156" s="300">
        <v>45900</v>
      </c>
      <c r="EM156" s="300" t="e">
        <v>#N/A</v>
      </c>
      <c r="EN156" s="301">
        <v>46036</v>
      </c>
      <c r="EO156" s="302"/>
      <c r="EP156" s="302"/>
      <c r="EQ156" s="82">
        <v>1</v>
      </c>
      <c r="ER156" s="82">
        <v>1</v>
      </c>
      <c r="ES156" s="286" t="str">
        <f>IF(Table1[[#This Row],[Progres MOS]]&gt;=100%,"Selesai MOS = 100%",IF(Table1[[#This Row],[Progres MOS]]&gt;=50%,"Proses MOS &gt; 100%",IF(Table1[[#This Row],[Progres MOS]]&gt;0%,"Proses MOS &gt; 50%",IF(Table1[[#This Row],[Progres MOS]]=0,"Belum MOS = 0%"))))</f>
        <v>Selesai MOS = 100%</v>
      </c>
      <c r="ET1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6" s="42"/>
      <c r="EV156" s="300">
        <v>45803</v>
      </c>
      <c r="EW156" s="300" t="e">
        <v>#N/A</v>
      </c>
      <c r="EX156" s="300">
        <v>45900</v>
      </c>
      <c r="EY156" s="300" t="e">
        <v>#N/A</v>
      </c>
      <c r="EZ156" s="322" t="s">
        <v>298</v>
      </c>
      <c r="FA156" s="306" t="s">
        <v>259</v>
      </c>
      <c r="FB156" s="300" t="s">
        <v>260</v>
      </c>
      <c r="FC156" s="300">
        <v>45840</v>
      </c>
      <c r="FD156" s="300" t="s">
        <v>260</v>
      </c>
      <c r="FE156" s="300">
        <v>45919</v>
      </c>
      <c r="FF156" s="300">
        <v>45937</v>
      </c>
      <c r="FG156" s="300" t="s">
        <v>260</v>
      </c>
      <c r="FH156" s="300" t="s">
        <v>260</v>
      </c>
      <c r="FI156" s="300">
        <v>46003</v>
      </c>
      <c r="FJ156" s="300" t="s">
        <v>260</v>
      </c>
      <c r="FK156" s="300">
        <v>46134</v>
      </c>
      <c r="FL156" s="306" t="s">
        <v>298</v>
      </c>
      <c r="FM156" s="322">
        <v>45840</v>
      </c>
      <c r="FN156" s="308">
        <f>IF(Table1[[#This Row],[Tanggal Pengajuan Dokumen]]="","",Table1[[#This Row],[PLAN PERMIT
start]]-Table1[[#This Row],[Tanggal Pengajuan Dokumen]])</f>
        <v>-37</v>
      </c>
      <c r="FO156" s="407">
        <v>46086</v>
      </c>
      <c r="FP156" s="286"/>
      <c r="FQ156" s="308"/>
      <c r="FR156" s="308"/>
      <c r="FS156" s="308" t="str">
        <f t="shared" si="9"/>
        <v>Sudah Terbit</v>
      </c>
      <c r="FT1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6" s="314">
        <f ca="1">IF(Table1[[#This Row],[Status Izin]]="Selesai",Table1[[#This Row],[PLAN PERMIT
finish]]-Table1[[#This Row],[Tanggal Terbit/ Target Izin Terbit]],ROUNDUP(Table1[[#This Row],[PLAN PERMIT
finish]]-NOW(),0))</f>
        <v>-186</v>
      </c>
      <c r="FV1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6" s="314"/>
      <c r="FX156" s="42"/>
      <c r="FY156" s="310"/>
      <c r="FZ156" s="311">
        <v>45884</v>
      </c>
      <c r="GA1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6" s="300">
        <v>45874</v>
      </c>
      <c r="GC156" s="322">
        <v>45870</v>
      </c>
      <c r="GD1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6" s="300">
        <v>45881</v>
      </c>
      <c r="GF156" s="322">
        <v>45870</v>
      </c>
      <c r="GG1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6" s="300">
        <v>45887</v>
      </c>
      <c r="GI156" s="300">
        <v>45893</v>
      </c>
      <c r="GJ156" s="322">
        <v>45877</v>
      </c>
      <c r="GK1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6" s="300">
        <v>45901</v>
      </c>
      <c r="GM156" s="300" t="e">
        <v>#N/A</v>
      </c>
      <c r="GN156" s="300">
        <v>45914</v>
      </c>
      <c r="GO156" s="300" t="e">
        <v>#N/A</v>
      </c>
      <c r="GP156" s="286"/>
      <c r="GQ1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6" s="300" t="s">
        <v>261</v>
      </c>
      <c r="GS156" s="300" t="s">
        <v>261</v>
      </c>
      <c r="GT156" s="324">
        <v>45937</v>
      </c>
      <c r="GU156" s="314" t="str">
        <f>IF(Table1[[#This Row],[Hydro Tes Actual
(tanggal)]]&lt;&gt;"","Sudah","Belum")</f>
        <v>Sudah</v>
      </c>
      <c r="GV156" s="300" t="s">
        <v>261</v>
      </c>
      <c r="GW156" s="300" t="s">
        <v>261</v>
      </c>
      <c r="GX156" s="301">
        <v>45943</v>
      </c>
      <c r="GY156" s="314" t="str">
        <f>IF(Table1[[#This Row],[Interkoneksi Actual
(tanggal)]]&lt;&gt;"","Sudah","Belum")</f>
        <v>Sudah</v>
      </c>
      <c r="GZ156" s="300" t="s">
        <v>261</v>
      </c>
      <c r="HA156" s="300" t="s">
        <v>261</v>
      </c>
      <c r="HB156" s="301">
        <v>45944</v>
      </c>
      <c r="HC156" s="314" t="str">
        <f>IF(Table1[[#This Row],[Flushing Actual
(tanggal)]]&lt;&gt;"","Sudah","Belum")</f>
        <v>Sudah</v>
      </c>
      <c r="HD156" s="300">
        <v>45901</v>
      </c>
      <c r="HE156" s="300" t="e">
        <v>#N/A</v>
      </c>
      <c r="HF156" s="300">
        <v>45914</v>
      </c>
      <c r="HG156" s="322">
        <v>45945</v>
      </c>
      <c r="HH1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6" s="300" t="s">
        <v>261</v>
      </c>
      <c r="HJ156" s="300" t="s">
        <v>261</v>
      </c>
      <c r="HK156" s="301"/>
      <c r="HL156" s="286"/>
      <c r="HM156" s="300">
        <v>45919</v>
      </c>
      <c r="HN156" s="300">
        <v>45919</v>
      </c>
      <c r="HO156" s="300" t="e">
        <v>#N/A</v>
      </c>
      <c r="HP156" s="300"/>
      <c r="HQ156" s="301">
        <v>45958</v>
      </c>
      <c r="HR1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6" s="300">
        <v>45926</v>
      </c>
      <c r="HT156" s="300"/>
      <c r="HU156" s="300">
        <v>45926</v>
      </c>
      <c r="HV156" s="497"/>
      <c r="HW156" s="300">
        <v>45978</v>
      </c>
      <c r="HX1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6" s="42"/>
      <c r="HZ156" s="322"/>
      <c r="IA156" s="306"/>
      <c r="IC156" s="585">
        <f>IFERROR(ROUND((Table1[[#This Row],[PLAN TC
finish]]-Table1[[#This Row],[PLAN MC-0
start]])/30,2),"")</f>
        <v>0.9</v>
      </c>
      <c r="ID156">
        <f>DATEDIF(Table1[[#This Row],[PLAN MC-0
start]],Table1[[#This Row],[PLAN TC
finish]],"m")</f>
        <v>0</v>
      </c>
    </row>
    <row r="157" spans="2:238" s="4" customFormat="1" ht="15" customHeight="1" x14ac:dyDescent="0.25">
      <c r="B157" s="281">
        <f>SUBTOTAL(3,$D$5:D157)</f>
        <v>153</v>
      </c>
      <c r="C157" s="318">
        <v>153</v>
      </c>
      <c r="D157" s="308" t="s">
        <v>629</v>
      </c>
      <c r="E157" s="308" t="s">
        <v>1125</v>
      </c>
      <c r="F157" s="308" t="s">
        <v>1126</v>
      </c>
      <c r="G157" s="319">
        <v>45935</v>
      </c>
      <c r="H157" s="308" t="s">
        <v>681</v>
      </c>
      <c r="I157" s="308" t="s">
        <v>278</v>
      </c>
      <c r="J157" s="285" t="s">
        <v>882</v>
      </c>
      <c r="K157" s="308" t="s">
        <v>915</v>
      </c>
      <c r="L157" s="286" t="s">
        <v>250</v>
      </c>
      <c r="M157" s="286" t="s">
        <v>269</v>
      </c>
      <c r="N157" s="94">
        <v>338</v>
      </c>
      <c r="O157" s="31" t="s">
        <v>252</v>
      </c>
      <c r="P15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7" s="35" t="e">
        <v>#N/A</v>
      </c>
      <c r="S157" s="35">
        <v>1</v>
      </c>
      <c r="T157" s="35">
        <f>Table1[[#This Row],[Progres Total Aktual
(%)]]</f>
        <v>1</v>
      </c>
      <c r="U157" s="106">
        <f>Table1[[#This Row],[Progres Aktual
(%)]]-Table1[[#This Row],[Target Progres
(%)]]</f>
        <v>0</v>
      </c>
      <c r="V157" s="320">
        <f>Table1[[#This Row],["Volume
BA MC-0"]]</f>
        <v>338</v>
      </c>
      <c r="W157" s="321">
        <f>Table1[[#This Row],[Total Panjang Pipa Aktual
(Sum-&gt;)3]]</f>
        <v>343</v>
      </c>
      <c r="X157" s="42"/>
      <c r="Y157" s="62" t="s">
        <v>1127</v>
      </c>
      <c r="Z157" s="62">
        <v>570095705</v>
      </c>
      <c r="AA157" s="62">
        <f>Table1[[#This Row],[Nilai RAB Jaringan
(file pa aji)]]</f>
        <v>570095705</v>
      </c>
      <c r="AB157" s="290">
        <f>SUM(Table1[[#This Row],[RAB Kegiatan Umum]:[RAB Perizinan]])</f>
        <v>0</v>
      </c>
      <c r="AC157" s="290"/>
      <c r="AD157" s="290"/>
      <c r="AE157" s="290"/>
      <c r="AF157" s="290"/>
      <c r="AG157" s="406">
        <v>31605580</v>
      </c>
      <c r="AH157" s="35" t="e">
        <f>SUM(Table1[[#This Row],[Bobot Keg Umum]:[Bobot Perizinan]])</f>
        <v>#DIV/0!</v>
      </c>
      <c r="AI157" s="35" t="e">
        <f>Table1[[#This Row],[RAB Kegiatan Umum]]/Table1[[#This Row],[Nilai RAB Jaringan
(Exclude Ppn)]]</f>
        <v>#DIV/0!</v>
      </c>
      <c r="AJ157" s="35" t="e">
        <f>Table1[[#This Row],[RAB Pemasangan]]/Table1[[#This Row],[Nilai RAB Jaringan
(Exclude Ppn)]]</f>
        <v>#DIV/0!</v>
      </c>
      <c r="AK157" s="35" t="e">
        <f>Table1[[#This Row],[RAB Pengadaan]]/Table1[[#This Row],[Nilai RAB Jaringan
(Exclude Ppn)]]</f>
        <v>#DIV/0!</v>
      </c>
      <c r="AL157" s="35" t="e">
        <f>Table1[[#This Row],[RAB Perizinan]]/Table1[[#This Row],[Nilai RAB Jaringan
(Exclude Ppn)]]</f>
        <v>#DIV/0!</v>
      </c>
      <c r="AM157" s="42"/>
      <c r="AN157" s="256">
        <v>338</v>
      </c>
      <c r="AO157" s="256">
        <f>SUM(Table1[[#This Row],[Pipa 63 mm]:[Pipa 1,800 mm]])</f>
        <v>338</v>
      </c>
      <c r="AP157" s="256"/>
      <c r="AQ157" s="256"/>
      <c r="AR157" s="256">
        <v>338</v>
      </c>
      <c r="AS157" s="256"/>
      <c r="AT157" s="256"/>
      <c r="AU157" s="256"/>
      <c r="AV157" s="256"/>
      <c r="AW157" s="256"/>
      <c r="AX157" s="256"/>
      <c r="AY157" s="256"/>
      <c r="AZ157" s="256"/>
      <c r="BA157" s="256"/>
      <c r="BB157" s="256"/>
      <c r="BC157" s="256"/>
      <c r="BD157" s="256"/>
      <c r="BE157" s="256"/>
      <c r="BF157" s="256"/>
      <c r="BG157" s="256"/>
      <c r="BH157" s="256"/>
      <c r="BI157" s="256"/>
      <c r="BJ157" s="36">
        <f>SUM(Table1[[#This Row],[Pipa 63 mm2]:[Pipa 1,800 mm21]])</f>
        <v>343</v>
      </c>
      <c r="BK157" s="32"/>
      <c r="BL157" s="32"/>
      <c r="BM157" s="32">
        <v>343</v>
      </c>
      <c r="BN157" s="32"/>
      <c r="BO157" s="32"/>
      <c r="BP157" s="32"/>
      <c r="BQ157" s="32"/>
      <c r="BR157" s="32"/>
      <c r="BS157" s="32"/>
      <c r="BT157" s="32"/>
      <c r="BU157" s="32"/>
      <c r="BV157" s="32"/>
      <c r="BW157" s="32"/>
      <c r="BX157" s="32"/>
      <c r="BY157" s="32"/>
      <c r="BZ157" s="32"/>
      <c r="CA157" s="32"/>
      <c r="CB157" s="32"/>
      <c r="CC157" s="32"/>
      <c r="CD157" s="32"/>
      <c r="CE157" s="32">
        <v>0</v>
      </c>
      <c r="CF157" s="32">
        <v>0</v>
      </c>
      <c r="CG157" s="32">
        <v>0</v>
      </c>
      <c r="CH157" s="32">
        <v>0</v>
      </c>
      <c r="CI157" s="32">
        <f t="shared" si="10"/>
        <v>0</v>
      </c>
      <c r="CJ157" s="60">
        <f>IF((Table1[[#This Row],["Volume
BA MC-0"]]-Table1[[#This Row],[Total Panjang Pipa Aktual
(Sum-&gt;)3]]-Table1[[#This Row],[Total Volume
tidak dapat dipasang]])&gt;=0,Table1[[#This Row],["Volume
BA MC-0"]]-Table1[[#This Row],[Total Panjang Pipa Aktual
(Sum-&gt;)3]]-Table1[[#This Row],[Total Volume
tidak dapat dipasang]],0)</f>
        <v>0</v>
      </c>
      <c r="CK157" s="42"/>
      <c r="CL157" s="113"/>
      <c r="CM157" s="35"/>
      <c r="CN157" s="113"/>
      <c r="CO157" s="113"/>
      <c r="CP1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7" s="61">
        <f>IFERROR(Table1[[#This Row],[Progres Keg. Umum
(%)]]*Table1[[#This Row],[Nilai RAB Jaringan
(file pa aji)]],0)</f>
        <v>0</v>
      </c>
      <c r="CR157" s="61">
        <f>IFERROR(Table1[[#This Row],[Progres MOS
(%)]]*Table1[[#This Row],[Nilai RAB Jaringan
(file pa aji)]],0)</f>
        <v>0</v>
      </c>
      <c r="CS157" s="61">
        <f>IFERROR(Table1[[#This Row],[Progres Pemasangan
(%)]]*Table1[[#This Row],[Nilai RAB Jaringan
(file pa aji)]],0)</f>
        <v>0</v>
      </c>
      <c r="CT157" s="61">
        <f>IFERROR(Table1[[#This Row],[Progres Perizinan
(%)]]*Table1[[#This Row],[Nilai RAB Jaringan
(file pa aji)]],0)</f>
        <v>0</v>
      </c>
      <c r="CU157" s="789">
        <v>566715706</v>
      </c>
      <c r="CV157" s="299">
        <v>566715706</v>
      </c>
      <c r="CW157" s="552">
        <v>566715706</v>
      </c>
      <c r="CX157" s="789">
        <f>_xlfn.XLOOKUP(Table1[[#This Row],[Kode Program]],'[1]Breakdown VOWD Greenfield'!$E:$E,'[1]Breakdown VOWD Greenfield'!$AT:$AT)</f>
        <v>566715706</v>
      </c>
      <c r="CY157" s="42"/>
      <c r="CZ157" s="300">
        <v>45775</v>
      </c>
      <c r="DA157" s="300">
        <v>45802</v>
      </c>
      <c r="DB157" s="301">
        <v>45784</v>
      </c>
      <c r="DC157" s="286" t="s">
        <v>1128</v>
      </c>
      <c r="DD157" s="62">
        <v>570095706</v>
      </c>
      <c r="DE1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7" s="301">
        <v>45799</v>
      </c>
      <c r="DG157" s="286" t="s">
        <v>1129</v>
      </c>
      <c r="DH157" s="62">
        <v>570095706</v>
      </c>
      <c r="DI1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7" s="300">
        <v>45803</v>
      </c>
      <c r="DK157" s="300">
        <v>45872</v>
      </c>
      <c r="DL157" s="301">
        <v>45840</v>
      </c>
      <c r="DM157" s="286" t="s">
        <v>1130</v>
      </c>
      <c r="DN1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7" s="301">
        <v>45882</v>
      </c>
      <c r="DP157" s="286" t="s">
        <v>1131</v>
      </c>
      <c r="DQ157" s="308" t="s">
        <v>275</v>
      </c>
      <c r="DR1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7" s="300">
        <v>45803</v>
      </c>
      <c r="DT157" s="300" t="e">
        <v>#N/A</v>
      </c>
      <c r="DU157" s="300">
        <v>45844</v>
      </c>
      <c r="DV157" s="300" t="e">
        <v>#N/A</v>
      </c>
      <c r="DW157" s="301">
        <v>45840</v>
      </c>
      <c r="DX157" s="286" t="s">
        <v>1130</v>
      </c>
      <c r="DY157" s="304"/>
      <c r="DZ157" s="304"/>
      <c r="EA1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7" s="301">
        <v>45890</v>
      </c>
      <c r="EC157" s="302"/>
      <c r="ED157" s="302"/>
      <c r="EE157" s="300" t="s">
        <v>1132</v>
      </c>
      <c r="EF157" s="35">
        <v>1</v>
      </c>
      <c r="EG157" s="307">
        <v>1</v>
      </c>
      <c r="EH157" s="286" t="str">
        <f>IF(Table1[[#This Row],[PO Material Aktual 
(%)]]&gt;=100%,"Selesai PO = 100%",IF(Table1[[#This Row],[PO Material Aktual 
(%)]]&gt;=50%,"Proses PO &gt; 100%",IF(Table1[[#This Row],[PO Material Aktual 
(%)]]&gt;0%,"Proses PO &gt; 50%",IF(Table1[[#This Row],[PO Material Aktual 
(%)]]=0,"Belum PO = 0%"))))</f>
        <v>Selesai PO = 100%</v>
      </c>
      <c r="EI1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7" s="300">
        <v>45845</v>
      </c>
      <c r="EK157" s="300" t="e">
        <v>#N/A</v>
      </c>
      <c r="EL157" s="300">
        <v>45900</v>
      </c>
      <c r="EM157" s="300" t="e">
        <v>#N/A</v>
      </c>
      <c r="EN157" s="301">
        <v>46038</v>
      </c>
      <c r="EO157" s="302"/>
      <c r="EP157" s="302"/>
      <c r="EQ157" s="82">
        <v>1</v>
      </c>
      <c r="ER157" s="82">
        <v>1</v>
      </c>
      <c r="ES157" s="286" t="str">
        <f>IF(Table1[[#This Row],[Progres MOS]]&gt;=100%,"Selesai MOS = 100%",IF(Table1[[#This Row],[Progres MOS]]&gt;=50%,"Proses MOS &gt; 100%",IF(Table1[[#This Row],[Progres MOS]]&gt;0%,"Proses MOS &gt; 50%",IF(Table1[[#This Row],[Progres MOS]]=0,"Belum MOS = 0%"))))</f>
        <v>Selesai MOS = 100%</v>
      </c>
      <c r="ET1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7" s="42"/>
      <c r="EV157" s="300">
        <v>45803</v>
      </c>
      <c r="EW157" s="300" t="e">
        <v>#N/A</v>
      </c>
      <c r="EX157" s="300">
        <v>45900</v>
      </c>
      <c r="EY157" s="300" t="e">
        <v>#N/A</v>
      </c>
      <c r="EZ157" s="322" t="s">
        <v>298</v>
      </c>
      <c r="FA157" s="306" t="s">
        <v>259</v>
      </c>
      <c r="FB157" s="300" t="s">
        <v>260</v>
      </c>
      <c r="FC157" s="300">
        <v>45840</v>
      </c>
      <c r="FD157" s="300" t="s">
        <v>260</v>
      </c>
      <c r="FE157" s="300">
        <v>45919</v>
      </c>
      <c r="FF157" s="300">
        <v>45937</v>
      </c>
      <c r="FG157" s="300" t="s">
        <v>260</v>
      </c>
      <c r="FH157" s="300" t="s">
        <v>260</v>
      </c>
      <c r="FI157" s="300">
        <v>46003</v>
      </c>
      <c r="FJ157" s="300" t="s">
        <v>260</v>
      </c>
      <c r="FK157" s="300">
        <v>46134</v>
      </c>
      <c r="FL157" s="306" t="s">
        <v>298</v>
      </c>
      <c r="FM157" s="322">
        <v>45840</v>
      </c>
      <c r="FN157" s="308">
        <f>IF(Table1[[#This Row],[Tanggal Pengajuan Dokumen]]="","",Table1[[#This Row],[PLAN PERMIT
start]]-Table1[[#This Row],[Tanggal Pengajuan Dokumen]])</f>
        <v>-37</v>
      </c>
      <c r="FO157" s="407">
        <v>46086</v>
      </c>
      <c r="FP157" s="286"/>
      <c r="FQ157" s="308"/>
      <c r="FR157" s="308"/>
      <c r="FS157" s="308" t="str">
        <f t="shared" si="9"/>
        <v>Sudah Terbit</v>
      </c>
      <c r="FT1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7" s="314">
        <f ca="1">IF(Table1[[#This Row],[Status Izin]]="Selesai",Table1[[#This Row],[PLAN PERMIT
finish]]-Table1[[#This Row],[Tanggal Terbit/ Target Izin Terbit]],ROUNDUP(Table1[[#This Row],[PLAN PERMIT
finish]]-NOW(),0))</f>
        <v>-186</v>
      </c>
      <c r="FV1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7" s="314"/>
      <c r="FX157" s="42"/>
      <c r="FY157" s="310"/>
      <c r="FZ157" s="311">
        <v>45884</v>
      </c>
      <c r="GA1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7" s="300">
        <v>45874</v>
      </c>
      <c r="GC157" s="322">
        <v>45870</v>
      </c>
      <c r="GD1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7" s="300">
        <v>45881</v>
      </c>
      <c r="GF157" s="322">
        <v>45870</v>
      </c>
      <c r="GG1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7" s="300">
        <v>45887</v>
      </c>
      <c r="GI157" s="300">
        <v>45893</v>
      </c>
      <c r="GJ157" s="322">
        <v>45509</v>
      </c>
      <c r="GK1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57" s="300">
        <v>45901</v>
      </c>
      <c r="GM157" s="300" t="e">
        <v>#N/A</v>
      </c>
      <c r="GN157" s="300">
        <v>45914</v>
      </c>
      <c r="GO157" s="300" t="e">
        <v>#N/A</v>
      </c>
      <c r="GP157" s="286"/>
      <c r="GQ1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7" s="300" t="s">
        <v>261</v>
      </c>
      <c r="GS157" s="300" t="s">
        <v>261</v>
      </c>
      <c r="GT157" s="324">
        <v>45937</v>
      </c>
      <c r="GU157" s="314" t="str">
        <f>IF(Table1[[#This Row],[Hydro Tes Actual
(tanggal)]]&lt;&gt;"","Sudah","Belum")</f>
        <v>Sudah</v>
      </c>
      <c r="GV157" s="300" t="s">
        <v>261</v>
      </c>
      <c r="GW157" s="300" t="s">
        <v>261</v>
      </c>
      <c r="GX157" s="301">
        <v>45944</v>
      </c>
      <c r="GY157" s="314" t="str">
        <f>IF(Table1[[#This Row],[Interkoneksi Actual
(tanggal)]]&lt;&gt;"","Sudah","Belum")</f>
        <v>Sudah</v>
      </c>
      <c r="GZ157" s="300" t="s">
        <v>261</v>
      </c>
      <c r="HA157" s="300" t="s">
        <v>261</v>
      </c>
      <c r="HB157" s="301">
        <v>45944</v>
      </c>
      <c r="HC157" s="314" t="str">
        <f>IF(Table1[[#This Row],[Flushing Actual
(tanggal)]]&lt;&gt;"","Sudah","Belum")</f>
        <v>Sudah</v>
      </c>
      <c r="HD157" s="300">
        <v>45901</v>
      </c>
      <c r="HE157" s="300" t="e">
        <v>#N/A</v>
      </c>
      <c r="HF157" s="300">
        <v>45914</v>
      </c>
      <c r="HG157" s="322">
        <v>45945</v>
      </c>
      <c r="HH1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7" s="300" t="s">
        <v>261</v>
      </c>
      <c r="HJ157" s="300" t="s">
        <v>261</v>
      </c>
      <c r="HK157" s="301"/>
      <c r="HL157" s="286"/>
      <c r="HM157" s="300">
        <v>45919</v>
      </c>
      <c r="HN157" s="300">
        <v>45919</v>
      </c>
      <c r="HO157" s="300" t="e">
        <v>#N/A</v>
      </c>
      <c r="HP157" s="300"/>
      <c r="HQ157" s="301">
        <v>45958</v>
      </c>
      <c r="HR1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7" s="300">
        <v>45926</v>
      </c>
      <c r="HT157" s="300"/>
      <c r="HU157" s="300">
        <v>45926</v>
      </c>
      <c r="HV157" s="497"/>
      <c r="HW157" s="300">
        <v>45978</v>
      </c>
      <c r="HX15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7" s="42"/>
      <c r="HZ157" s="322"/>
      <c r="IA157" s="306"/>
      <c r="IC157" s="585">
        <f>IFERROR(ROUND((Table1[[#This Row],[PLAN TC
finish]]-Table1[[#This Row],[PLAN MC-0
start]])/30,2),"")</f>
        <v>0.9</v>
      </c>
      <c r="ID157">
        <f>DATEDIF(Table1[[#This Row],[PLAN MC-0
start]],Table1[[#This Row],[PLAN TC
finish]],"m")</f>
        <v>0</v>
      </c>
    </row>
    <row r="158" spans="2:238" s="4" customFormat="1" ht="15" customHeight="1" x14ac:dyDescent="0.25">
      <c r="B158" s="281">
        <f>SUBTOTAL(3,$D$5:D158)</f>
        <v>154</v>
      </c>
      <c r="C158" s="318">
        <v>154</v>
      </c>
      <c r="D158" s="308" t="s">
        <v>629</v>
      </c>
      <c r="E158" s="308" t="s">
        <v>1133</v>
      </c>
      <c r="F158" s="308" t="s">
        <v>1134</v>
      </c>
      <c r="G158" s="319">
        <v>45935</v>
      </c>
      <c r="H158" s="308" t="s">
        <v>681</v>
      </c>
      <c r="I158" s="308" t="s">
        <v>278</v>
      </c>
      <c r="J158" s="285" t="s">
        <v>882</v>
      </c>
      <c r="K158" s="308" t="s">
        <v>915</v>
      </c>
      <c r="L158" s="286" t="s">
        <v>250</v>
      </c>
      <c r="M158" s="286" t="s">
        <v>269</v>
      </c>
      <c r="N158" s="94">
        <v>684</v>
      </c>
      <c r="O158" s="31" t="s">
        <v>252</v>
      </c>
      <c r="P15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8" s="35" t="e">
        <v>#N/A</v>
      </c>
      <c r="S158" s="35">
        <v>1</v>
      </c>
      <c r="T158" s="35">
        <f>Table1[[#This Row],[Progres Total Aktual
(%)]]</f>
        <v>1</v>
      </c>
      <c r="U158" s="106">
        <f>Table1[[#This Row],[Progres Aktual
(%)]]-Table1[[#This Row],[Target Progres
(%)]]</f>
        <v>0</v>
      </c>
      <c r="V158" s="320">
        <f>Table1[[#This Row],["Volume
BA MC-0"]]</f>
        <v>669</v>
      </c>
      <c r="W158" s="321">
        <f>Table1[[#This Row],[Total Panjang Pipa Aktual
(Sum-&gt;)3]]</f>
        <v>667.59999999999991</v>
      </c>
      <c r="X158" s="42"/>
      <c r="Y158" s="62" t="s">
        <v>1135</v>
      </c>
      <c r="Z158" s="62">
        <v>1241472727</v>
      </c>
      <c r="AA158" s="62">
        <f>Table1[[#This Row],[Nilai RAB Jaringan
(file pa aji)]]</f>
        <v>1241472727</v>
      </c>
      <c r="AB158" s="290">
        <f>SUM(Table1[[#This Row],[RAB Kegiatan Umum]:[RAB Perizinan]])</f>
        <v>0</v>
      </c>
      <c r="AC158" s="290"/>
      <c r="AD158" s="290"/>
      <c r="AE158" s="290"/>
      <c r="AF158" s="290"/>
      <c r="AG158" s="406">
        <v>252844636</v>
      </c>
      <c r="AH158" s="35" t="e">
        <f>SUM(Table1[[#This Row],[Bobot Keg Umum]:[Bobot Perizinan]])</f>
        <v>#DIV/0!</v>
      </c>
      <c r="AI158" s="35" t="e">
        <f>Table1[[#This Row],[RAB Kegiatan Umum]]/Table1[[#This Row],[Nilai RAB Jaringan
(Exclude Ppn)]]</f>
        <v>#DIV/0!</v>
      </c>
      <c r="AJ158" s="35" t="e">
        <f>Table1[[#This Row],[RAB Pemasangan]]/Table1[[#This Row],[Nilai RAB Jaringan
(Exclude Ppn)]]</f>
        <v>#DIV/0!</v>
      </c>
      <c r="AK158" s="35" t="e">
        <f>Table1[[#This Row],[RAB Pengadaan]]/Table1[[#This Row],[Nilai RAB Jaringan
(Exclude Ppn)]]</f>
        <v>#DIV/0!</v>
      </c>
      <c r="AL158" s="35" t="e">
        <f>Table1[[#This Row],[RAB Perizinan]]/Table1[[#This Row],[Nilai RAB Jaringan
(Exclude Ppn)]]</f>
        <v>#DIV/0!</v>
      </c>
      <c r="AM158" s="42"/>
      <c r="AN158" s="256">
        <v>669</v>
      </c>
      <c r="AO158" s="256">
        <f>SUM(Table1[[#This Row],[Pipa 63 mm]:[Pipa 1,800 mm]])</f>
        <v>669</v>
      </c>
      <c r="AP158" s="256">
        <v>526</v>
      </c>
      <c r="AQ158" s="256">
        <v>143</v>
      </c>
      <c r="AR158" s="256"/>
      <c r="AS158" s="256"/>
      <c r="AT158" s="256"/>
      <c r="AU158" s="256"/>
      <c r="AV158" s="256"/>
      <c r="AW158" s="256"/>
      <c r="AX158" s="256"/>
      <c r="AY158" s="256"/>
      <c r="AZ158" s="256"/>
      <c r="BA158" s="256"/>
      <c r="BB158" s="256"/>
      <c r="BC158" s="256"/>
      <c r="BD158" s="256"/>
      <c r="BE158" s="256"/>
      <c r="BF158" s="256"/>
      <c r="BG158" s="256"/>
      <c r="BH158" s="256"/>
      <c r="BI158" s="256"/>
      <c r="BJ158" s="36">
        <f>SUM(Table1[[#This Row],[Pipa 63 mm2]:[Pipa 1,800 mm21]])</f>
        <v>667.59999999999991</v>
      </c>
      <c r="BK158" s="32">
        <v>532.9</v>
      </c>
      <c r="BL158" s="32">
        <v>134.69999999999999</v>
      </c>
      <c r="BM158" s="32"/>
      <c r="BN158" s="32"/>
      <c r="BO158" s="32"/>
      <c r="BP158" s="32"/>
      <c r="BQ158" s="32"/>
      <c r="BR158" s="32"/>
      <c r="BS158" s="32"/>
      <c r="BT158" s="32"/>
      <c r="BU158" s="32"/>
      <c r="BV158" s="32"/>
      <c r="BW158" s="32"/>
      <c r="BX158" s="32"/>
      <c r="BY158" s="32"/>
      <c r="BZ158" s="32"/>
      <c r="CA158" s="32"/>
      <c r="CB158" s="32"/>
      <c r="CC158" s="32"/>
      <c r="CD158" s="32"/>
      <c r="CE158" s="32">
        <v>0</v>
      </c>
      <c r="CF158" s="32">
        <v>0</v>
      </c>
      <c r="CG158" s="32">
        <v>0</v>
      </c>
      <c r="CH158" s="32">
        <v>0</v>
      </c>
      <c r="CI158" s="32">
        <f t="shared" si="10"/>
        <v>0</v>
      </c>
      <c r="CJ158" s="60">
        <f>IF((Table1[[#This Row],["Volume
BA MC-0"]]-Table1[[#This Row],[Total Panjang Pipa Aktual
(Sum-&gt;)3]]-Table1[[#This Row],[Total Volume
tidak dapat dipasang]])&gt;=0,Table1[[#This Row],["Volume
BA MC-0"]]-Table1[[#This Row],[Total Panjang Pipa Aktual
(Sum-&gt;)3]]-Table1[[#This Row],[Total Volume
tidak dapat dipasang]],0)</f>
        <v>1.4000000000000909</v>
      </c>
      <c r="CK158" s="42"/>
      <c r="CL158" s="113"/>
      <c r="CM158" s="35"/>
      <c r="CN158" s="113"/>
      <c r="CO158" s="113"/>
      <c r="CP1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8" s="61">
        <f>IFERROR(Table1[[#This Row],[Progres Keg. Umum
(%)]]*Table1[[#This Row],[Nilai RAB Jaringan
(file pa aji)]],0)</f>
        <v>0</v>
      </c>
      <c r="CR158" s="61">
        <f>IFERROR(Table1[[#This Row],[Progres MOS
(%)]]*Table1[[#This Row],[Nilai RAB Jaringan
(file pa aji)]],0)</f>
        <v>0</v>
      </c>
      <c r="CS158" s="61">
        <f>IFERROR(Table1[[#This Row],[Progres Pemasangan
(%)]]*Table1[[#This Row],[Nilai RAB Jaringan
(file pa aji)]],0)</f>
        <v>0</v>
      </c>
      <c r="CT158" s="61">
        <f>IFERROR(Table1[[#This Row],[Progres Perizinan
(%)]]*Table1[[#This Row],[Nilai RAB Jaringan
(file pa aji)]],0)</f>
        <v>0</v>
      </c>
      <c r="CU158" s="789">
        <v>902399352</v>
      </c>
      <c r="CV158" s="299">
        <v>902399352</v>
      </c>
      <c r="CW158" s="552">
        <v>902399352</v>
      </c>
      <c r="CX158" s="789">
        <f>_xlfn.XLOOKUP(Table1[[#This Row],[Kode Program]],'[1]Breakdown VOWD Greenfield'!$E:$E,'[1]Breakdown VOWD Greenfield'!$AT:$AT)</f>
        <v>902399352</v>
      </c>
      <c r="CY158" s="42"/>
      <c r="CZ158" s="300">
        <v>45747</v>
      </c>
      <c r="DA158" s="300">
        <v>45774</v>
      </c>
      <c r="DB158" s="301">
        <v>45757</v>
      </c>
      <c r="DC158" s="286" t="s">
        <v>1136</v>
      </c>
      <c r="DD158" s="62">
        <v>1241472727</v>
      </c>
      <c r="DE1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8" s="301">
        <v>45763</v>
      </c>
      <c r="DG158" s="286" t="s">
        <v>1137</v>
      </c>
      <c r="DH158" s="62">
        <v>1241472727</v>
      </c>
      <c r="DI1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8" s="300">
        <v>45775</v>
      </c>
      <c r="DK158" s="300">
        <v>45837</v>
      </c>
      <c r="DL158" s="301">
        <v>45785</v>
      </c>
      <c r="DM158" s="286" t="s">
        <v>1138</v>
      </c>
      <c r="DN1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8" s="301">
        <v>45847</v>
      </c>
      <c r="DP158" s="286" t="s">
        <v>1139</v>
      </c>
      <c r="DQ158" s="308" t="s">
        <v>275</v>
      </c>
      <c r="DR1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8" s="300">
        <v>45775</v>
      </c>
      <c r="DT158" s="300" t="e">
        <v>#N/A</v>
      </c>
      <c r="DU158" s="300">
        <v>45816</v>
      </c>
      <c r="DV158" s="300" t="e">
        <v>#N/A</v>
      </c>
      <c r="DW158" s="301">
        <v>45785</v>
      </c>
      <c r="DX158" s="286" t="s">
        <v>1138</v>
      </c>
      <c r="DY158" s="304"/>
      <c r="DZ158" s="304"/>
      <c r="EA1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58" s="301">
        <v>45931</v>
      </c>
      <c r="EC158" s="302"/>
      <c r="ED158" s="302"/>
      <c r="EE158" s="300" t="s">
        <v>1140</v>
      </c>
      <c r="EF158" s="35">
        <v>1</v>
      </c>
      <c r="EG158" s="307">
        <v>1</v>
      </c>
      <c r="EH158" s="286" t="str">
        <f>IF(Table1[[#This Row],[PO Material Aktual 
(%)]]&gt;=100%,"Selesai PO = 100%",IF(Table1[[#This Row],[PO Material Aktual 
(%)]]&gt;=50%,"Proses PO &gt; 100%",IF(Table1[[#This Row],[PO Material Aktual 
(%)]]&gt;0%,"Proses PO &gt; 50%",IF(Table1[[#This Row],[PO Material Aktual 
(%)]]=0,"Belum PO = 0%"))))</f>
        <v>Selesai PO = 100%</v>
      </c>
      <c r="EI1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8" s="300">
        <v>45817</v>
      </c>
      <c r="EK158" s="300" t="e">
        <v>#N/A</v>
      </c>
      <c r="EL158" s="300">
        <v>45879</v>
      </c>
      <c r="EM158" s="300" t="e">
        <v>#N/A</v>
      </c>
      <c r="EN158" s="301">
        <v>46036</v>
      </c>
      <c r="EO158" s="302"/>
      <c r="EP158" s="302"/>
      <c r="EQ158" s="82">
        <v>1</v>
      </c>
      <c r="ER158" s="82">
        <v>1</v>
      </c>
      <c r="ES158" s="286" t="str">
        <f>IF(Table1[[#This Row],[Progres MOS]]&gt;=100%,"Selesai MOS = 100%",IF(Table1[[#This Row],[Progres MOS]]&gt;=50%,"Proses MOS &gt; 100%",IF(Table1[[#This Row],[Progres MOS]]&gt;0%,"Proses MOS &gt; 50%",IF(Table1[[#This Row],[Progres MOS]]=0,"Belum MOS = 0%"))))</f>
        <v>Selesai MOS = 100%</v>
      </c>
      <c r="ET1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8" s="42"/>
      <c r="EV158" s="300">
        <v>45775</v>
      </c>
      <c r="EW158" s="300" t="e">
        <v>#N/A</v>
      </c>
      <c r="EX158" s="300">
        <v>45865</v>
      </c>
      <c r="EY158" s="300" t="e">
        <v>#N/A</v>
      </c>
      <c r="EZ158" s="322" t="s">
        <v>298</v>
      </c>
      <c r="FA158" s="306" t="s">
        <v>298</v>
      </c>
      <c r="FB158" s="300" t="s">
        <v>260</v>
      </c>
      <c r="FC158" s="300">
        <v>45891</v>
      </c>
      <c r="FD158" s="300" t="s">
        <v>260</v>
      </c>
      <c r="FE158" s="300" t="s">
        <v>1141</v>
      </c>
      <c r="FF158" s="300">
        <v>45968</v>
      </c>
      <c r="FG158" s="300" t="s">
        <v>260</v>
      </c>
      <c r="FH158" s="300" t="s">
        <v>260</v>
      </c>
      <c r="FI158" s="300">
        <v>46003</v>
      </c>
      <c r="FJ158" s="300" t="s">
        <v>260</v>
      </c>
      <c r="FK158" s="300"/>
      <c r="FL158" s="306" t="s">
        <v>298</v>
      </c>
      <c r="FM158" s="322">
        <v>45891</v>
      </c>
      <c r="FN158" s="308">
        <f>IF(Table1[[#This Row],[Tanggal Pengajuan Dokumen]]="","",Table1[[#This Row],[PLAN PERMIT
start]]-Table1[[#This Row],[Tanggal Pengajuan Dokumen]])</f>
        <v>-116</v>
      </c>
      <c r="FO158" s="407">
        <v>46086</v>
      </c>
      <c r="FP158" s="286"/>
      <c r="FQ158" s="308"/>
      <c r="FR158" s="308"/>
      <c r="FS158" s="308" t="str">
        <f t="shared" si="9"/>
        <v>On Going</v>
      </c>
      <c r="FT1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58" s="314">
        <f ca="1">IF(Table1[[#This Row],[Status Izin]]="Selesai",Table1[[#This Row],[PLAN PERMIT
finish]]-Table1[[#This Row],[Tanggal Terbit/ Target Izin Terbit]],ROUNDUP(Table1[[#This Row],[PLAN PERMIT
finish]]-NOW(),0))</f>
        <v>-339</v>
      </c>
      <c r="FV1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58" s="314"/>
      <c r="FX158" s="42"/>
      <c r="FY158" s="310"/>
      <c r="FZ158" s="311">
        <v>45884</v>
      </c>
      <c r="GA1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158" s="300">
        <v>45839</v>
      </c>
      <c r="GC158" s="322">
        <v>45870</v>
      </c>
      <c r="GD1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58" s="300">
        <v>45846</v>
      </c>
      <c r="GF158" s="322">
        <v>45870</v>
      </c>
      <c r="GG1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58" s="300">
        <v>45852</v>
      </c>
      <c r="GI158" s="300">
        <v>45858</v>
      </c>
      <c r="GJ158" s="322">
        <v>45874</v>
      </c>
      <c r="GK1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8" s="300">
        <v>45866</v>
      </c>
      <c r="GM158" s="300" t="e">
        <v>#N/A</v>
      </c>
      <c r="GN158" s="300">
        <v>45914</v>
      </c>
      <c r="GO158" s="300" t="e">
        <v>#N/A</v>
      </c>
      <c r="GP158" s="286"/>
      <c r="GQ1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8" s="300" t="s">
        <v>261</v>
      </c>
      <c r="GS158" s="300" t="s">
        <v>261</v>
      </c>
      <c r="GT158" s="324">
        <v>45909</v>
      </c>
      <c r="GU158" s="314" t="str">
        <f>IF(Table1[[#This Row],[Hydro Tes Actual
(tanggal)]]&lt;&gt;"","Sudah","Belum")</f>
        <v>Sudah</v>
      </c>
      <c r="GV158" s="300" t="s">
        <v>261</v>
      </c>
      <c r="GW158" s="300" t="s">
        <v>261</v>
      </c>
      <c r="GX158" s="301">
        <v>45958</v>
      </c>
      <c r="GY158" s="314" t="str">
        <f>IF(Table1[[#This Row],[Interkoneksi Actual
(tanggal)]]&lt;&gt;"","Sudah","Belum")</f>
        <v>Sudah</v>
      </c>
      <c r="GZ158" s="300" t="s">
        <v>261</v>
      </c>
      <c r="HA158" s="300" t="s">
        <v>261</v>
      </c>
      <c r="HB158" s="301">
        <v>45964</v>
      </c>
      <c r="HC158" s="314" t="str">
        <f>IF(Table1[[#This Row],[Flushing Actual
(tanggal)]]&lt;&gt;"","Sudah","Belum")</f>
        <v>Sudah</v>
      </c>
      <c r="HD158" s="300">
        <v>45894</v>
      </c>
      <c r="HE158" s="300" t="e">
        <v>#N/A</v>
      </c>
      <c r="HF158" s="300">
        <v>45907</v>
      </c>
      <c r="HG158" s="322">
        <v>45996</v>
      </c>
      <c r="HH1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8" s="300" t="s">
        <v>261</v>
      </c>
      <c r="HJ158" s="300" t="s">
        <v>261</v>
      </c>
      <c r="HK158" s="301"/>
      <c r="HL158" s="286"/>
      <c r="HM158" s="300">
        <v>45919</v>
      </c>
      <c r="HN158" s="300">
        <v>45919</v>
      </c>
      <c r="HO158" s="300" t="e">
        <v>#N/A</v>
      </c>
      <c r="HP158" s="300"/>
      <c r="HQ158" s="301">
        <v>46001</v>
      </c>
      <c r="HR1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8" s="300">
        <v>45926</v>
      </c>
      <c r="HT158" s="300"/>
      <c r="HU158" s="300">
        <v>45926</v>
      </c>
      <c r="HV158" s="497"/>
      <c r="HW158" s="300">
        <v>46021</v>
      </c>
      <c r="HX1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8" s="42"/>
      <c r="HZ158" s="322"/>
      <c r="IA158" s="306"/>
      <c r="IC158" s="585">
        <f>IFERROR(ROUND((Table1[[#This Row],[PLAN TC
finish]]-Table1[[#This Row],[PLAN MC-0
start]])/30,2),"")</f>
        <v>1.83</v>
      </c>
      <c r="ID158">
        <f>DATEDIF(Table1[[#This Row],[PLAN MC-0
start]],Table1[[#This Row],[PLAN TC
finish]],"m")</f>
        <v>1</v>
      </c>
    </row>
    <row r="159" spans="2:238" s="4" customFormat="1" ht="15" customHeight="1" x14ac:dyDescent="0.25">
      <c r="B159" s="281">
        <f>SUBTOTAL(3,$D$5:D159)</f>
        <v>155</v>
      </c>
      <c r="C159" s="318">
        <v>155</v>
      </c>
      <c r="D159" s="308" t="s">
        <v>244</v>
      </c>
      <c r="E159" s="308" t="s">
        <v>1142</v>
      </c>
      <c r="F159" s="308" t="s">
        <v>1143</v>
      </c>
      <c r="G159" s="319">
        <v>45935</v>
      </c>
      <c r="H159" s="284" t="s">
        <v>247</v>
      </c>
      <c r="I159" s="308" t="s">
        <v>248</v>
      </c>
      <c r="J159" s="285" t="s">
        <v>882</v>
      </c>
      <c r="K159" s="308" t="s">
        <v>249</v>
      </c>
      <c r="L159" s="286" t="s">
        <v>250</v>
      </c>
      <c r="M159" s="286" t="s">
        <v>251</v>
      </c>
      <c r="N159" s="94">
        <v>5684</v>
      </c>
      <c r="O159" s="113" t="s">
        <v>252</v>
      </c>
      <c r="P15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59" s="35" t="e">
        <v>#N/A</v>
      </c>
      <c r="S159" s="35">
        <v>1</v>
      </c>
      <c r="T159" s="35">
        <f>Table1[[#This Row],[Progres Total Aktual
(%)]]</f>
        <v>1</v>
      </c>
      <c r="U159" s="106">
        <f>Table1[[#This Row],[Progres Aktual
(%)]]-Table1[[#This Row],[Target Progres
(%)]]</f>
        <v>0</v>
      </c>
      <c r="V159" s="320">
        <f>Table1[[#This Row],["Volume
BA MC-0"]]</f>
        <v>5440</v>
      </c>
      <c r="W159" s="321">
        <f>Table1[[#This Row],[Total Panjang Pipa Aktual
(Sum-&gt;)3]]</f>
        <v>5649.0300000000007</v>
      </c>
      <c r="X159" s="42"/>
      <c r="Y159" s="62" t="s">
        <v>253</v>
      </c>
      <c r="Z159" s="62">
        <v>363985840579</v>
      </c>
      <c r="AA159" s="62">
        <f>Table1[[#This Row],[Nilai RAB Jaringan
(file pa aji)]]</f>
        <v>363985840579</v>
      </c>
      <c r="AB159" s="290">
        <f>SUM(Table1[[#This Row],[RAB Kegiatan Umum]:[RAB Perizinan]])</f>
        <v>0</v>
      </c>
      <c r="AC159" s="290"/>
      <c r="AD159" s="290"/>
      <c r="AE159" s="290"/>
      <c r="AF159" s="290"/>
      <c r="AG159" s="406">
        <v>0</v>
      </c>
      <c r="AH159" s="35" t="e">
        <f>SUM(Table1[[#This Row],[Bobot Keg Umum]:[Bobot Perizinan]])</f>
        <v>#DIV/0!</v>
      </c>
      <c r="AI159" s="35" t="e">
        <f>Table1[[#This Row],[RAB Kegiatan Umum]]/Table1[[#This Row],[Nilai RAB Jaringan
(Exclude Ppn)]]</f>
        <v>#DIV/0!</v>
      </c>
      <c r="AJ159" s="35" t="e">
        <f>Table1[[#This Row],[RAB Pemasangan]]/Table1[[#This Row],[Nilai RAB Jaringan
(Exclude Ppn)]]</f>
        <v>#DIV/0!</v>
      </c>
      <c r="AK159" s="35" t="e">
        <f>Table1[[#This Row],[RAB Pengadaan]]/Table1[[#This Row],[Nilai RAB Jaringan
(Exclude Ppn)]]</f>
        <v>#DIV/0!</v>
      </c>
      <c r="AL159" s="35" t="e">
        <f>Table1[[#This Row],[RAB Perizinan]]/Table1[[#This Row],[Nilai RAB Jaringan
(Exclude Ppn)]]</f>
        <v>#DIV/0!</v>
      </c>
      <c r="AM159" s="42"/>
      <c r="AN159" s="256">
        <v>5440</v>
      </c>
      <c r="AO159" s="256">
        <f>SUM(Table1[[#This Row],[Pipa 63 mm]:[Pipa 1,800 mm]])</f>
        <v>0</v>
      </c>
      <c r="AP159" s="256"/>
      <c r="AQ159" s="256"/>
      <c r="AR159" s="256"/>
      <c r="AS159" s="256"/>
      <c r="AT159" s="256"/>
      <c r="AU159" s="256"/>
      <c r="AV159" s="256"/>
      <c r="AW159" s="256"/>
      <c r="AX159" s="256"/>
      <c r="AY159" s="256"/>
      <c r="AZ159" s="256"/>
      <c r="BA159" s="256"/>
      <c r="BB159" s="256"/>
      <c r="BC159" s="256"/>
      <c r="BD159" s="256"/>
      <c r="BE159" s="256"/>
      <c r="BF159" s="256"/>
      <c r="BG159" s="256"/>
      <c r="BH159" s="256"/>
      <c r="BI159" s="256"/>
      <c r="BJ159" s="36">
        <f>SUM(Table1[[#This Row],[Pipa 63 mm2]:[Pipa 1,800 mm21]])</f>
        <v>5649.0300000000007</v>
      </c>
      <c r="BK159" s="32"/>
      <c r="BL159" s="32"/>
      <c r="BM159" s="32"/>
      <c r="BN159" s="32"/>
      <c r="BO159" s="32"/>
      <c r="BP159" s="32"/>
      <c r="BQ159" s="32"/>
      <c r="BR159" s="32"/>
      <c r="BS159" s="32">
        <v>53</v>
      </c>
      <c r="BT159" s="32">
        <v>174</v>
      </c>
      <c r="BU159" s="32"/>
      <c r="BV159" s="32"/>
      <c r="BW159" s="32">
        <f>36+10.12</f>
        <v>46.12</v>
      </c>
      <c r="BX159" s="32"/>
      <c r="BY159" s="32"/>
      <c r="BZ159" s="32"/>
      <c r="CA159" s="32">
        <f>6+4.1</f>
        <v>10.1</v>
      </c>
      <c r="CB159" s="32">
        <f>5015.5+137.21+213.1</f>
        <v>5365.81</v>
      </c>
      <c r="CC159" s="32"/>
      <c r="CD159" s="32"/>
      <c r="CE159" s="32">
        <v>0</v>
      </c>
      <c r="CF159" s="32">
        <v>0</v>
      </c>
      <c r="CG159" s="32">
        <v>0</v>
      </c>
      <c r="CH159" s="32">
        <v>0</v>
      </c>
      <c r="CI159" s="32">
        <f t="shared" si="10"/>
        <v>0</v>
      </c>
      <c r="CJ159" s="60">
        <f>IF((Table1[[#This Row],["Volume
BA MC-0"]]-Table1[[#This Row],[Total Panjang Pipa Aktual
(Sum-&gt;)3]]-Table1[[#This Row],[Total Volume
tidak dapat dipasang]])&gt;=0,Table1[[#This Row],["Volume
BA MC-0"]]-Table1[[#This Row],[Total Panjang Pipa Aktual
(Sum-&gt;)3]]-Table1[[#This Row],[Total Volume
tidak dapat dipasang]],0)</f>
        <v>0</v>
      </c>
      <c r="CK159" s="42"/>
      <c r="CL159" s="113"/>
      <c r="CM159" s="35"/>
      <c r="CN159" s="113"/>
      <c r="CO159" s="113"/>
      <c r="CP1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59" s="61">
        <f>IFERROR(Table1[[#This Row],[Progres Keg. Umum
(%)]]*Table1[[#This Row],[Nilai RAB Jaringan
(file pa aji)]],0)</f>
        <v>0</v>
      </c>
      <c r="CR159" s="61">
        <f>IFERROR(Table1[[#This Row],[Progres MOS
(%)]]*Table1[[#This Row],[Nilai RAB Jaringan
(file pa aji)]],0)</f>
        <v>0</v>
      </c>
      <c r="CS159" s="61">
        <f>IFERROR(Table1[[#This Row],[Progres Pemasangan
(%)]]*Table1[[#This Row],[Nilai RAB Jaringan
(file pa aji)]],0)</f>
        <v>0</v>
      </c>
      <c r="CT159" s="61">
        <f>IFERROR(Table1[[#This Row],[Progres Perizinan
(%)]]*Table1[[#This Row],[Nilai RAB Jaringan
(file pa aji)]],0)</f>
        <v>0</v>
      </c>
      <c r="CU159" s="789">
        <v>338409885061</v>
      </c>
      <c r="CV159" s="299">
        <v>338409885061</v>
      </c>
      <c r="CW159" s="552">
        <v>338409885061</v>
      </c>
      <c r="CX159" s="789">
        <f>_xlfn.XLOOKUP(Table1[[#This Row],[Kode Program]],'[1]Breakdown VOWD Greenfield'!$E:$E,'[1]Breakdown VOWD Greenfield'!$AT:$AT)</f>
        <v>338409885061</v>
      </c>
      <c r="CY159" s="42"/>
      <c r="CZ159" s="300">
        <v>45348</v>
      </c>
      <c r="DA159" s="300">
        <v>45382</v>
      </c>
      <c r="DB159" s="301">
        <v>45240</v>
      </c>
      <c r="DC159" s="286" t="s">
        <v>254</v>
      </c>
      <c r="DD159" s="62">
        <v>537590677279</v>
      </c>
      <c r="DE1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59" s="301">
        <v>45250</v>
      </c>
      <c r="DG159" s="286" t="s">
        <v>255</v>
      </c>
      <c r="DH159" s="62">
        <v>537590677279</v>
      </c>
      <c r="DI1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59" s="300">
        <v>45383</v>
      </c>
      <c r="DK159" s="300">
        <v>45536</v>
      </c>
      <c r="DL159" s="301">
        <v>45520</v>
      </c>
      <c r="DM159" s="327" t="s">
        <v>256</v>
      </c>
      <c r="DN1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59" s="301">
        <v>45657</v>
      </c>
      <c r="DP159" s="286" t="s">
        <v>257</v>
      </c>
      <c r="DQ159" s="308" t="s">
        <v>258</v>
      </c>
      <c r="DR1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59" s="300">
        <v>45383</v>
      </c>
      <c r="DT159" s="300" t="e">
        <v>#N/A</v>
      </c>
      <c r="DU159" s="300">
        <v>45431</v>
      </c>
      <c r="DV159" s="300" t="e">
        <v>#N/A</v>
      </c>
      <c r="DW159" s="301">
        <v>45974</v>
      </c>
      <c r="DX159" s="286" t="s">
        <v>1144</v>
      </c>
      <c r="DY159" s="304"/>
      <c r="DZ159" s="304"/>
      <c r="EA1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59" s="301">
        <v>46002</v>
      </c>
      <c r="EC159" s="302"/>
      <c r="ED159" s="302"/>
      <c r="EE159" s="300" t="s">
        <v>1145</v>
      </c>
      <c r="EF159" s="35">
        <v>1</v>
      </c>
      <c r="EG159" s="307">
        <v>1</v>
      </c>
      <c r="EH159" s="286" t="str">
        <f>IF(Table1[[#This Row],[PO Material Aktual 
(%)]]&gt;=100%,"Selesai PO = 100%",IF(Table1[[#This Row],[PO Material Aktual 
(%)]]&gt;=50%,"Proses PO &gt; 100%",IF(Table1[[#This Row],[PO Material Aktual 
(%)]]&gt;0%,"Proses PO &gt; 50%",IF(Table1[[#This Row],[PO Material Aktual 
(%)]]=0,"Belum PO = 0%"))))</f>
        <v>Selesai PO = 100%</v>
      </c>
      <c r="EI1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59" s="300">
        <v>45432</v>
      </c>
      <c r="EK159" s="300" t="e">
        <v>#N/A</v>
      </c>
      <c r="EL159" s="300">
        <v>45620</v>
      </c>
      <c r="EM159" s="300" t="e">
        <v>#N/A</v>
      </c>
      <c r="EN159" s="301">
        <v>46149</v>
      </c>
      <c r="EO159" s="302"/>
      <c r="EP159" s="302"/>
      <c r="EQ159" s="82">
        <v>1</v>
      </c>
      <c r="ER159" s="82">
        <v>1</v>
      </c>
      <c r="ES159" s="286" t="str">
        <f>IF(Table1[[#This Row],[Progres MOS]]&gt;=100%,"Selesai MOS = 100%",IF(Table1[[#This Row],[Progres MOS]]&gt;=50%,"Proses MOS &gt; 100%",IF(Table1[[#This Row],[Progres MOS]]&gt;0%,"Proses MOS &gt; 50%",IF(Table1[[#This Row],[Progres MOS]]=0,"Belum MOS = 0%"))))</f>
        <v>Selesai MOS = 100%</v>
      </c>
      <c r="ET1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59" s="42"/>
      <c r="EV159" s="300">
        <v>45383</v>
      </c>
      <c r="EW159" s="300" t="e">
        <v>#N/A</v>
      </c>
      <c r="EX159" s="300">
        <v>45564</v>
      </c>
      <c r="EY159" s="300" t="e">
        <v>#N/A</v>
      </c>
      <c r="EZ159" s="322" t="s">
        <v>259</v>
      </c>
      <c r="FA159" s="306" t="s">
        <v>259</v>
      </c>
      <c r="FB159" s="300" t="s">
        <v>260</v>
      </c>
      <c r="FC159" s="300">
        <v>45014</v>
      </c>
      <c r="FD159" s="300" t="s">
        <v>260</v>
      </c>
      <c r="FE159" s="300"/>
      <c r="FF159" s="300">
        <v>45100</v>
      </c>
      <c r="FG159" s="300" t="s">
        <v>260</v>
      </c>
      <c r="FH159" s="300" t="s">
        <v>260</v>
      </c>
      <c r="FI159" s="300">
        <v>45187</v>
      </c>
      <c r="FJ159" s="300" t="s">
        <v>260</v>
      </c>
      <c r="FK159" s="300">
        <v>45434</v>
      </c>
      <c r="FL159" s="306" t="s">
        <v>259</v>
      </c>
      <c r="FM159" s="322">
        <v>45014</v>
      </c>
      <c r="FN159" s="308">
        <f>IF(Table1[[#This Row],[Tanggal Pengajuan Dokumen]]="","",Table1[[#This Row],[PLAN PERMIT
start]]-Table1[[#This Row],[Tanggal Pengajuan Dokumen]])</f>
        <v>369</v>
      </c>
      <c r="FO159" s="407">
        <v>45439</v>
      </c>
      <c r="FP159" s="286"/>
      <c r="FQ159" s="308"/>
      <c r="FR159" s="308"/>
      <c r="FS159" s="308" t="str">
        <f t="shared" si="9"/>
        <v>Sudah Terbit</v>
      </c>
      <c r="FT1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59" s="314">
        <f ca="1">IF(Table1[[#This Row],[Status Izin]]="Selesai",Table1[[#This Row],[PLAN PERMIT
finish]]-Table1[[#This Row],[Tanggal Terbit/ Target Izin Terbit]],ROUNDUP(Table1[[#This Row],[PLAN PERMIT
finish]]-NOW(),0))</f>
        <v>125</v>
      </c>
      <c r="FV1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59" s="314"/>
      <c r="FX159" s="42"/>
      <c r="FY159" s="310"/>
      <c r="FZ159" s="311"/>
      <c r="GA1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59" s="300">
        <v>45538</v>
      </c>
      <c r="GC159" s="322">
        <v>45414</v>
      </c>
      <c r="GD1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59" s="300">
        <v>45545</v>
      </c>
      <c r="GF159" s="322">
        <v>45414</v>
      </c>
      <c r="GG1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59" s="300">
        <v>45551</v>
      </c>
      <c r="GI159" s="300">
        <v>45557</v>
      </c>
      <c r="GJ159" s="322">
        <v>45565</v>
      </c>
      <c r="GK1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59" s="300">
        <v>45565</v>
      </c>
      <c r="GM159" s="300" t="e">
        <v>#N/A</v>
      </c>
      <c r="GN159" s="300">
        <v>45739</v>
      </c>
      <c r="GO159" s="300" t="e">
        <v>#N/A</v>
      </c>
      <c r="GP159" s="286"/>
      <c r="GQ1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59" s="300" t="s">
        <v>261</v>
      </c>
      <c r="GS159" s="300" t="s">
        <v>261</v>
      </c>
      <c r="GT159" s="324" t="s">
        <v>1146</v>
      </c>
      <c r="GU159" s="314" t="str">
        <f>IF(Table1[[#This Row],[Hydro Tes Actual
(tanggal)]]&lt;&gt;"","Sudah","Belum")</f>
        <v>Sudah</v>
      </c>
      <c r="GV159" s="300" t="s">
        <v>261</v>
      </c>
      <c r="GW159" s="300" t="s">
        <v>261</v>
      </c>
      <c r="GX159" s="301">
        <v>45899</v>
      </c>
      <c r="GY159" s="314" t="str">
        <f>IF(Table1[[#This Row],[Interkoneksi Actual
(tanggal)]]&lt;&gt;"","Sudah","Belum")</f>
        <v>Sudah</v>
      </c>
      <c r="GZ159" s="300" t="s">
        <v>261</v>
      </c>
      <c r="HA159" s="300" t="s">
        <v>261</v>
      </c>
      <c r="HB159" s="301">
        <v>45958</v>
      </c>
      <c r="HC159" s="314" t="str">
        <f>IF(Table1[[#This Row],[Flushing Actual
(tanggal)]]&lt;&gt;"","Sudah","Belum")</f>
        <v>Sudah</v>
      </c>
      <c r="HD159" s="300">
        <v>45698</v>
      </c>
      <c r="HE159" s="300" t="e">
        <v>#N/A</v>
      </c>
      <c r="HF159" s="300">
        <v>45718</v>
      </c>
      <c r="HG159" s="301">
        <v>45960</v>
      </c>
      <c r="HH1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59" s="300" t="s">
        <v>261</v>
      </c>
      <c r="HJ159" s="300" t="s">
        <v>261</v>
      </c>
      <c r="HK159" s="301"/>
      <c r="HL159" s="286"/>
      <c r="HM159" s="300">
        <v>45737</v>
      </c>
      <c r="HN159" s="300">
        <v>45737</v>
      </c>
      <c r="HO159" s="300" t="e">
        <v>#N/A</v>
      </c>
      <c r="HP159" s="300"/>
      <c r="HQ159" s="301">
        <v>45964</v>
      </c>
      <c r="HR1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59" s="300">
        <v>45744</v>
      </c>
      <c r="HT159" s="300"/>
      <c r="HU159" s="300">
        <v>45744</v>
      </c>
      <c r="HV159" s="497"/>
      <c r="HW159" s="301">
        <v>45993</v>
      </c>
      <c r="HX1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59" s="42"/>
      <c r="HZ159" s="322"/>
      <c r="IA159" s="306"/>
      <c r="IC159" s="585">
        <f>IFERROR(ROUND((Table1[[#This Row],[PLAN TC
finish]]-Table1[[#This Row],[PLAN MC-0
start]])/30,2),"")</f>
        <v>5.57</v>
      </c>
      <c r="ID159">
        <f>DATEDIF(Table1[[#This Row],[PLAN MC-0
start]],Table1[[#This Row],[PLAN TC
finish]],"m")</f>
        <v>5</v>
      </c>
    </row>
    <row r="160" spans="2:238" s="4" customFormat="1" ht="15" customHeight="1" x14ac:dyDescent="0.25">
      <c r="B160" s="281">
        <f>SUBTOTAL(3,$D$5:D160)</f>
        <v>156</v>
      </c>
      <c r="C160" s="318">
        <v>156</v>
      </c>
      <c r="D160" s="308" t="s">
        <v>244</v>
      </c>
      <c r="E160" s="308" t="s">
        <v>1147</v>
      </c>
      <c r="F160" s="308" t="s">
        <v>1148</v>
      </c>
      <c r="G160" s="319">
        <v>45935</v>
      </c>
      <c r="H160" s="284" t="s">
        <v>247</v>
      </c>
      <c r="I160" s="308" t="s">
        <v>248</v>
      </c>
      <c r="J160" s="285" t="s">
        <v>882</v>
      </c>
      <c r="K160" s="308" t="s">
        <v>249</v>
      </c>
      <c r="L160" s="286" t="s">
        <v>250</v>
      </c>
      <c r="M160" s="286" t="s">
        <v>251</v>
      </c>
      <c r="N160" s="94">
        <v>2664</v>
      </c>
      <c r="O160" s="113" t="s">
        <v>252</v>
      </c>
      <c r="P16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0" s="35" t="e">
        <v>#N/A</v>
      </c>
      <c r="S160" s="35">
        <v>1</v>
      </c>
      <c r="T160" s="35">
        <f>Table1[[#This Row],[Progres Total Aktual
(%)]]</f>
        <v>1</v>
      </c>
      <c r="U160" s="106">
        <f>Table1[[#This Row],[Progres Aktual
(%)]]-Table1[[#This Row],[Target Progres
(%)]]</f>
        <v>0</v>
      </c>
      <c r="V160" s="320">
        <f>Table1[[#This Row],["Volume
BA MC-0"]]</f>
        <v>2200</v>
      </c>
      <c r="W160" s="321">
        <f>Table1[[#This Row],[Total Panjang Pipa Aktual
(Sum-&gt;)3]]</f>
        <v>2315.4549999999999</v>
      </c>
      <c r="X160" s="42"/>
      <c r="Y160" s="62" t="s">
        <v>1149</v>
      </c>
      <c r="Z160" s="62">
        <v>114246425234</v>
      </c>
      <c r="AA160" s="62">
        <f>Table1[[#This Row],[Nilai RAB Jaringan
(file pa aji)]]</f>
        <v>114246425234</v>
      </c>
      <c r="AB160" s="290">
        <f>SUM(Table1[[#This Row],[RAB Kegiatan Umum]:[RAB Perizinan]])</f>
        <v>0</v>
      </c>
      <c r="AC160" s="290"/>
      <c r="AD160" s="290"/>
      <c r="AE160" s="290"/>
      <c r="AF160" s="290"/>
      <c r="AG160" s="406">
        <v>0</v>
      </c>
      <c r="AH160" s="35" t="e">
        <f>SUM(Table1[[#This Row],[Bobot Keg Umum]:[Bobot Perizinan]])</f>
        <v>#DIV/0!</v>
      </c>
      <c r="AI160" s="35" t="e">
        <f>Table1[[#This Row],[RAB Kegiatan Umum]]/Table1[[#This Row],[Nilai RAB Jaringan
(Exclude Ppn)]]</f>
        <v>#DIV/0!</v>
      </c>
      <c r="AJ160" s="35" t="e">
        <f>Table1[[#This Row],[RAB Pemasangan]]/Table1[[#This Row],[Nilai RAB Jaringan
(Exclude Ppn)]]</f>
        <v>#DIV/0!</v>
      </c>
      <c r="AK160" s="35" t="e">
        <f>Table1[[#This Row],[RAB Pengadaan]]/Table1[[#This Row],[Nilai RAB Jaringan
(Exclude Ppn)]]</f>
        <v>#DIV/0!</v>
      </c>
      <c r="AL160" s="35" t="e">
        <f>Table1[[#This Row],[RAB Perizinan]]/Table1[[#This Row],[Nilai RAB Jaringan
(Exclude Ppn)]]</f>
        <v>#DIV/0!</v>
      </c>
      <c r="AM160" s="42"/>
      <c r="AN160" s="256">
        <v>2200</v>
      </c>
      <c r="AO160" s="256">
        <f>SUM(Table1[[#This Row],[Pipa 63 mm]:[Pipa 1,800 mm]])</f>
        <v>0</v>
      </c>
      <c r="AP160" s="256"/>
      <c r="AQ160" s="256"/>
      <c r="AR160" s="256"/>
      <c r="AS160" s="256"/>
      <c r="AT160" s="256"/>
      <c r="AU160" s="256"/>
      <c r="AV160" s="256"/>
      <c r="AW160" s="256"/>
      <c r="AX160" s="256"/>
      <c r="AY160" s="256"/>
      <c r="AZ160" s="256"/>
      <c r="BA160" s="256"/>
      <c r="BB160" s="256"/>
      <c r="BC160" s="256"/>
      <c r="BD160" s="256"/>
      <c r="BE160" s="256"/>
      <c r="BF160" s="256"/>
      <c r="BG160" s="256"/>
      <c r="BH160" s="256"/>
      <c r="BI160" s="256"/>
      <c r="BJ160" s="36">
        <f>SUM(Table1[[#This Row],[Pipa 63 mm2]:[Pipa 1,800 mm21]])</f>
        <v>2315.4549999999999</v>
      </c>
      <c r="BK160" s="32"/>
      <c r="BL160" s="32"/>
      <c r="BM160" s="32"/>
      <c r="BN160" s="32"/>
      <c r="BO160" s="32"/>
      <c r="BP160" s="32"/>
      <c r="BQ160" s="32">
        <v>5.5</v>
      </c>
      <c r="BR160" s="32"/>
      <c r="BS160" s="32">
        <v>24.93</v>
      </c>
      <c r="BT160" s="32"/>
      <c r="BU160" s="32"/>
      <c r="BV160" s="32"/>
      <c r="BW160" s="32"/>
      <c r="BX160" s="32"/>
      <c r="BY160" s="32">
        <f>1198.4+1012.43+74.195</f>
        <v>2285.0250000000001</v>
      </c>
      <c r="BZ160" s="32"/>
      <c r="CA160" s="32"/>
      <c r="CB160" s="32"/>
      <c r="CC160" s="32"/>
      <c r="CD160" s="32"/>
      <c r="CE160" s="32">
        <v>0</v>
      </c>
      <c r="CF160" s="32">
        <v>0</v>
      </c>
      <c r="CG160" s="32">
        <v>0</v>
      </c>
      <c r="CH160" s="32">
        <v>0</v>
      </c>
      <c r="CI160" s="32">
        <f t="shared" si="10"/>
        <v>0</v>
      </c>
      <c r="CJ160" s="60">
        <f>IF((Table1[[#This Row],["Volume
BA MC-0"]]-Table1[[#This Row],[Total Panjang Pipa Aktual
(Sum-&gt;)3]]-Table1[[#This Row],[Total Volume
tidak dapat dipasang]])&gt;=0,Table1[[#This Row],["Volume
BA MC-0"]]-Table1[[#This Row],[Total Panjang Pipa Aktual
(Sum-&gt;)3]]-Table1[[#This Row],[Total Volume
tidak dapat dipasang]],0)</f>
        <v>0</v>
      </c>
      <c r="CK160" s="42"/>
      <c r="CL160" s="113"/>
      <c r="CM160" s="35"/>
      <c r="CN160" s="113"/>
      <c r="CO160" s="113"/>
      <c r="CP1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0" s="61">
        <f>IFERROR(Table1[[#This Row],[Progres Keg. Umum
(%)]]*Table1[[#This Row],[Nilai RAB Jaringan
(file pa aji)]],0)</f>
        <v>0</v>
      </c>
      <c r="CR160" s="61">
        <f>IFERROR(Table1[[#This Row],[Progres MOS
(%)]]*Table1[[#This Row],[Nilai RAB Jaringan
(file pa aji)]],0)</f>
        <v>0</v>
      </c>
      <c r="CS160" s="61">
        <f>IFERROR(Table1[[#This Row],[Progres Pemasangan
(%)]]*Table1[[#This Row],[Nilai RAB Jaringan
(file pa aji)]],0)</f>
        <v>0</v>
      </c>
      <c r="CT160" s="61">
        <f>IFERROR(Table1[[#This Row],[Progres Perizinan
(%)]]*Table1[[#This Row],[Nilai RAB Jaringan
(file pa aji)]],0)</f>
        <v>0</v>
      </c>
      <c r="CU160" s="789">
        <v>103314635149</v>
      </c>
      <c r="CV160" s="299">
        <v>103314635149</v>
      </c>
      <c r="CW160" s="552">
        <v>103314635149</v>
      </c>
      <c r="CX160" s="789">
        <f>_xlfn.XLOOKUP(Table1[[#This Row],[Kode Program]],'[1]Breakdown VOWD Greenfield'!$E:$E,'[1]Breakdown VOWD Greenfield'!$AT:$AT)</f>
        <v>103314635149</v>
      </c>
      <c r="CY160" s="42"/>
      <c r="CZ160" s="300">
        <v>45565</v>
      </c>
      <c r="DA160" s="300">
        <v>45599</v>
      </c>
      <c r="DB160" s="301">
        <v>45240</v>
      </c>
      <c r="DC160" s="286" t="s">
        <v>254</v>
      </c>
      <c r="DD160" s="62">
        <v>114235820435</v>
      </c>
      <c r="DE1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0" s="301">
        <v>45250</v>
      </c>
      <c r="DG160" s="286" t="s">
        <v>255</v>
      </c>
      <c r="DH160" s="62">
        <v>114235820435</v>
      </c>
      <c r="DI1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0" s="300">
        <v>45600</v>
      </c>
      <c r="DK160" s="300">
        <v>45648</v>
      </c>
      <c r="DL160" s="301">
        <v>45317</v>
      </c>
      <c r="DM160" s="286" t="s">
        <v>1150</v>
      </c>
      <c r="DN1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0" s="301">
        <v>45320</v>
      </c>
      <c r="DP160" s="286" t="s">
        <v>1151</v>
      </c>
      <c r="DQ160" s="308" t="s">
        <v>258</v>
      </c>
      <c r="DR1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0" s="300">
        <v>45600</v>
      </c>
      <c r="DT160" s="300" t="e">
        <v>#N/A</v>
      </c>
      <c r="DU160" s="300">
        <v>45648</v>
      </c>
      <c r="DV160" s="300" t="e">
        <v>#N/A</v>
      </c>
      <c r="DW160" s="301">
        <v>45911</v>
      </c>
      <c r="DX160" s="286" t="s">
        <v>1152</v>
      </c>
      <c r="DY160" s="304"/>
      <c r="DZ160" s="304"/>
      <c r="EA1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0" s="301">
        <v>45903</v>
      </c>
      <c r="EC160" s="302"/>
      <c r="ED160" s="302"/>
      <c r="EE160" s="300" t="s">
        <v>1153</v>
      </c>
      <c r="EF160" s="35">
        <v>1</v>
      </c>
      <c r="EG160" s="307">
        <v>1</v>
      </c>
      <c r="EH160" s="286" t="str">
        <f>IF(Table1[[#This Row],[PO Material Aktual 
(%)]]&gt;=100%,"Selesai PO = 100%",IF(Table1[[#This Row],[PO Material Aktual 
(%)]]&gt;=50%,"Proses PO &gt; 100%",IF(Table1[[#This Row],[PO Material Aktual 
(%)]]&gt;0%,"Proses PO &gt; 50%",IF(Table1[[#This Row],[PO Material Aktual 
(%)]]=0,"Belum PO = 0%"))))</f>
        <v>Selesai PO = 100%</v>
      </c>
      <c r="EI1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0" s="300">
        <v>45649</v>
      </c>
      <c r="EK160" s="300" t="e">
        <v>#N/A</v>
      </c>
      <c r="EL160" s="300">
        <v>45837</v>
      </c>
      <c r="EM160" s="300" t="e">
        <v>#N/A</v>
      </c>
      <c r="EN160" s="301">
        <v>46151</v>
      </c>
      <c r="EO160" s="302"/>
      <c r="EP160" s="302"/>
      <c r="EQ160" s="82">
        <v>1</v>
      </c>
      <c r="ER160" s="82">
        <v>1</v>
      </c>
      <c r="ES160" s="286" t="str">
        <f>IF(Table1[[#This Row],[Progres MOS]]&gt;=100%,"Selesai MOS = 100%",IF(Table1[[#This Row],[Progres MOS]]&gt;=50%,"Proses MOS &gt; 100%",IF(Table1[[#This Row],[Progres MOS]]&gt;0%,"Proses MOS &gt; 50%",IF(Table1[[#This Row],[Progres MOS]]=0,"Belum MOS = 0%"))))</f>
        <v>Selesai MOS = 100%</v>
      </c>
      <c r="ET1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0" s="42"/>
      <c r="EV160" s="300">
        <v>45600</v>
      </c>
      <c r="EW160" s="300" t="e">
        <v>#N/A</v>
      </c>
      <c r="EX160" s="300">
        <v>45746</v>
      </c>
      <c r="EY160" s="300" t="e">
        <v>#N/A</v>
      </c>
      <c r="EZ160" s="322" t="s">
        <v>259</v>
      </c>
      <c r="FA160" s="322" t="s">
        <v>259</v>
      </c>
      <c r="FB160" s="301" t="s">
        <v>260</v>
      </c>
      <c r="FC160" s="300">
        <v>45013</v>
      </c>
      <c r="FD160" s="301" t="s">
        <v>260</v>
      </c>
      <c r="FE160" s="301"/>
      <c r="FF160" s="301">
        <v>45100</v>
      </c>
      <c r="FG160" s="301" t="s">
        <v>260</v>
      </c>
      <c r="FH160" s="301" t="s">
        <v>260</v>
      </c>
      <c r="FI160" s="301">
        <v>45169</v>
      </c>
      <c r="FJ160" s="301" t="s">
        <v>260</v>
      </c>
      <c r="FK160" s="301">
        <v>45301</v>
      </c>
      <c r="FL160" s="322" t="s">
        <v>259</v>
      </c>
      <c r="FM160" s="322">
        <v>45013</v>
      </c>
      <c r="FN160" s="308">
        <f>IF(Table1[[#This Row],[Tanggal Pengajuan Dokumen]]="","",Table1[[#This Row],[PLAN PERMIT
start]]-Table1[[#This Row],[Tanggal Pengajuan Dokumen]])</f>
        <v>587</v>
      </c>
      <c r="FO160" s="407">
        <v>45301</v>
      </c>
      <c r="FP160" s="286"/>
      <c r="FQ160" s="308"/>
      <c r="FR160" s="308"/>
      <c r="FS160" s="308" t="str">
        <f t="shared" si="9"/>
        <v>Sudah Terbit</v>
      </c>
      <c r="FT1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0" s="314">
        <f ca="1">IF(Table1[[#This Row],[Status Izin]]="Selesai",Table1[[#This Row],[PLAN PERMIT
finish]]-Table1[[#This Row],[Tanggal Terbit/ Target Izin Terbit]],ROUNDUP(Table1[[#This Row],[PLAN PERMIT
finish]]-NOW(),0))</f>
        <v>445</v>
      </c>
      <c r="FV1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0" s="314"/>
      <c r="FX160" s="42"/>
      <c r="FY160" s="310"/>
      <c r="FZ160" s="311"/>
      <c r="GA1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0" s="300">
        <v>45718</v>
      </c>
      <c r="GC160" s="322">
        <v>45611</v>
      </c>
      <c r="GD1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0" s="300">
        <v>45711</v>
      </c>
      <c r="GF160" s="322">
        <v>45625</v>
      </c>
      <c r="GG1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0" s="300">
        <v>45705</v>
      </c>
      <c r="GI160" s="300">
        <v>45711</v>
      </c>
      <c r="GJ160" s="322">
        <v>45615</v>
      </c>
      <c r="GK1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0" s="300">
        <v>45747</v>
      </c>
      <c r="GM160" s="300" t="e">
        <v>#N/A</v>
      </c>
      <c r="GN160" s="300">
        <v>45907</v>
      </c>
      <c r="GO160" s="300" t="e">
        <v>#N/A</v>
      </c>
      <c r="GP160" s="286"/>
      <c r="GQ1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0" s="300" t="s">
        <v>261</v>
      </c>
      <c r="GS160" s="300" t="s">
        <v>261</v>
      </c>
      <c r="GT160" s="324" t="s">
        <v>1154</v>
      </c>
      <c r="GU160" s="314" t="str">
        <f>IF(Table1[[#This Row],[Hydro Tes Actual
(tanggal)]]&lt;&gt;"","Sudah","Belum")</f>
        <v>Sudah</v>
      </c>
      <c r="GV160" s="300" t="s">
        <v>261</v>
      </c>
      <c r="GW160" s="300" t="s">
        <v>261</v>
      </c>
      <c r="GX160" s="301">
        <v>45755</v>
      </c>
      <c r="GY160" s="314" t="str">
        <f>IF(Table1[[#This Row],[Interkoneksi Actual
(tanggal)]]&lt;&gt;"","Sudah","Belum")</f>
        <v>Sudah</v>
      </c>
      <c r="GZ160" s="300" t="s">
        <v>261</v>
      </c>
      <c r="HA160" s="300" t="s">
        <v>261</v>
      </c>
      <c r="HB160" s="301">
        <v>45952</v>
      </c>
      <c r="HC160" s="314" t="str">
        <f>IF(Table1[[#This Row],[Flushing Actual
(tanggal)]]&lt;&gt;"","Sudah","Belum")</f>
        <v>Sudah</v>
      </c>
      <c r="HD160" s="300">
        <v>45889</v>
      </c>
      <c r="HE160" s="300" t="e">
        <v>#N/A</v>
      </c>
      <c r="HF160" s="300">
        <v>45898</v>
      </c>
      <c r="HG160" s="301">
        <v>45954</v>
      </c>
      <c r="HH1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0" s="300" t="s">
        <v>261</v>
      </c>
      <c r="HJ160" s="300" t="s">
        <v>261</v>
      </c>
      <c r="HK160" s="301"/>
      <c r="HL160" s="286"/>
      <c r="HM160" s="300">
        <v>45910</v>
      </c>
      <c r="HN160" s="300">
        <v>45910</v>
      </c>
      <c r="HO160" s="300" t="e">
        <v>#N/A</v>
      </c>
      <c r="HP160" s="300"/>
      <c r="HQ160" s="301">
        <v>45955</v>
      </c>
      <c r="HR1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0" s="300">
        <v>45926</v>
      </c>
      <c r="HT160" s="300"/>
      <c r="HU160" s="300">
        <v>45926</v>
      </c>
      <c r="HV160" s="497"/>
      <c r="HW160" s="301">
        <v>45980</v>
      </c>
      <c r="HX1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0" s="42"/>
      <c r="HZ160" s="322"/>
      <c r="IA160" s="306"/>
      <c r="IC160" s="585">
        <f>IFERROR(ROUND((Table1[[#This Row],[PLAN TC
finish]]-Table1[[#This Row],[PLAN MC-0
start]])/30,2),"")</f>
        <v>6.43</v>
      </c>
      <c r="ID160">
        <f>DATEDIF(Table1[[#This Row],[PLAN MC-0
start]],Table1[[#This Row],[PLAN TC
finish]],"m")</f>
        <v>6</v>
      </c>
    </row>
    <row r="161" spans="1:238" s="4" customFormat="1" ht="15" customHeight="1" x14ac:dyDescent="0.25">
      <c r="B161" s="281">
        <f>SUBTOTAL(3,$D$5:D161)</f>
        <v>157</v>
      </c>
      <c r="C161" s="318">
        <v>157</v>
      </c>
      <c r="D161" s="308" t="s">
        <v>244</v>
      </c>
      <c r="E161" s="308" t="s">
        <v>1155</v>
      </c>
      <c r="F161" s="308" t="s">
        <v>1156</v>
      </c>
      <c r="G161" s="319">
        <v>45935</v>
      </c>
      <c r="H161" s="284" t="s">
        <v>247</v>
      </c>
      <c r="I161" s="308" t="s">
        <v>248</v>
      </c>
      <c r="J161" s="285"/>
      <c r="K161" s="308" t="s">
        <v>249</v>
      </c>
      <c r="L161" s="286" t="s">
        <v>250</v>
      </c>
      <c r="M161" s="286" t="s">
        <v>251</v>
      </c>
      <c r="N161" s="94">
        <v>3331</v>
      </c>
      <c r="O161" s="113" t="s">
        <v>252</v>
      </c>
      <c r="P16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1" s="35" t="e">
        <v>#N/A</v>
      </c>
      <c r="S161" s="35">
        <v>1</v>
      </c>
      <c r="T161" s="35">
        <f>Table1[[#This Row],[Progres Total Aktual
(%)]]</f>
        <v>1</v>
      </c>
      <c r="U161" s="106">
        <f>Table1[[#This Row],[Progres Aktual
(%)]]-Table1[[#This Row],[Target Progres
(%)]]</f>
        <v>0</v>
      </c>
      <c r="V161" s="320">
        <f>Table1[[#This Row],["Volume
BA MC-0"]]</f>
        <v>3064.7</v>
      </c>
      <c r="W161" s="321">
        <f>Table1[[#This Row],[Total Panjang Pipa Aktual
(Sum-&gt;)3]]</f>
        <v>3213.5</v>
      </c>
      <c r="X161" s="42"/>
      <c r="Y161" s="62" t="s">
        <v>1157</v>
      </c>
      <c r="Z161" s="62">
        <v>186272869919</v>
      </c>
      <c r="AA161" s="62">
        <f>Table1[[#This Row],[Nilai RAB Jaringan
(file pa aji)]]</f>
        <v>186272869919</v>
      </c>
      <c r="AB161" s="290">
        <f>SUM(Table1[[#This Row],[RAB Kegiatan Umum]:[RAB Perizinan]])</f>
        <v>0</v>
      </c>
      <c r="AC161" s="290"/>
      <c r="AD161" s="290"/>
      <c r="AE161" s="290"/>
      <c r="AF161" s="290"/>
      <c r="AG161" s="406">
        <v>0</v>
      </c>
      <c r="AH161" s="35" t="e">
        <f>SUM(Table1[[#This Row],[Bobot Keg Umum]:[Bobot Perizinan]])</f>
        <v>#DIV/0!</v>
      </c>
      <c r="AI161" s="35" t="e">
        <f>Table1[[#This Row],[RAB Kegiatan Umum]]/Table1[[#This Row],[Nilai RAB Jaringan
(Exclude Ppn)]]</f>
        <v>#DIV/0!</v>
      </c>
      <c r="AJ161" s="35" t="e">
        <f>Table1[[#This Row],[RAB Pemasangan]]/Table1[[#This Row],[Nilai RAB Jaringan
(Exclude Ppn)]]</f>
        <v>#DIV/0!</v>
      </c>
      <c r="AK161" s="35" t="e">
        <f>Table1[[#This Row],[RAB Pengadaan]]/Table1[[#This Row],[Nilai RAB Jaringan
(Exclude Ppn)]]</f>
        <v>#DIV/0!</v>
      </c>
      <c r="AL161" s="35" t="e">
        <f>Table1[[#This Row],[RAB Perizinan]]/Table1[[#This Row],[Nilai RAB Jaringan
(Exclude Ppn)]]</f>
        <v>#DIV/0!</v>
      </c>
      <c r="AM161" s="42"/>
      <c r="AN161" s="256">
        <v>3064.7</v>
      </c>
      <c r="AO161" s="256">
        <f>SUM(Table1[[#This Row],[Pipa 63 mm]:[Pipa 1,800 mm]])</f>
        <v>0</v>
      </c>
      <c r="AP161" s="256"/>
      <c r="AQ161" s="256"/>
      <c r="AR161" s="256"/>
      <c r="AS161" s="256"/>
      <c r="AT161" s="256"/>
      <c r="AU161" s="256"/>
      <c r="AV161" s="256"/>
      <c r="AW161" s="256"/>
      <c r="AX161" s="256"/>
      <c r="AY161" s="256"/>
      <c r="AZ161" s="256"/>
      <c r="BA161" s="256"/>
      <c r="BB161" s="256"/>
      <c r="BC161" s="256"/>
      <c r="BD161" s="256"/>
      <c r="BE161" s="256"/>
      <c r="BF161" s="256"/>
      <c r="BG161" s="256"/>
      <c r="BH161" s="256"/>
      <c r="BI161" s="256"/>
      <c r="BJ161" s="36">
        <f>SUM(Table1[[#This Row],[Pipa 63 mm2]:[Pipa 1,800 mm21]])</f>
        <v>3213.5</v>
      </c>
      <c r="BK161" s="32"/>
      <c r="BL161" s="32"/>
      <c r="BM161" s="32"/>
      <c r="BN161" s="32"/>
      <c r="BO161" s="32"/>
      <c r="BP161" s="32"/>
      <c r="BQ161" s="32"/>
      <c r="BR161" s="32"/>
      <c r="BS161" s="32">
        <v>24</v>
      </c>
      <c r="BT161" s="32"/>
      <c r="BU161" s="32"/>
      <c r="BV161" s="32"/>
      <c r="BW161" s="32"/>
      <c r="BX161" s="32"/>
      <c r="BY161" s="32">
        <v>13</v>
      </c>
      <c r="BZ161" s="32">
        <f>2464+595+85.9+31.6</f>
        <v>3176.5</v>
      </c>
      <c r="CA161" s="32"/>
      <c r="CB161" s="32"/>
      <c r="CC161" s="32"/>
      <c r="CD161" s="32"/>
      <c r="CE161" s="32">
        <v>0</v>
      </c>
      <c r="CF161" s="32">
        <v>0</v>
      </c>
      <c r="CG161" s="32">
        <v>0</v>
      </c>
      <c r="CH161" s="32">
        <v>0</v>
      </c>
      <c r="CI161" s="32">
        <f t="shared" si="10"/>
        <v>0</v>
      </c>
      <c r="CJ161" s="60">
        <f>IF((Table1[[#This Row],["Volume
BA MC-0"]]-Table1[[#This Row],[Total Panjang Pipa Aktual
(Sum-&gt;)3]]-Table1[[#This Row],[Total Volume
tidak dapat dipasang]])&gt;=0,Table1[[#This Row],["Volume
BA MC-0"]]-Table1[[#This Row],[Total Panjang Pipa Aktual
(Sum-&gt;)3]]-Table1[[#This Row],[Total Volume
tidak dapat dipasang]],0)</f>
        <v>0</v>
      </c>
      <c r="CK161" s="42"/>
      <c r="CL161" s="113"/>
      <c r="CM161" s="35"/>
      <c r="CN161" s="113"/>
      <c r="CO161" s="113"/>
      <c r="CP1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1" s="61">
        <f>IFERROR(Table1[[#This Row],[Progres Keg. Umum
(%)]]*Table1[[#This Row],[Nilai RAB Jaringan
(file pa aji)]],0)</f>
        <v>0</v>
      </c>
      <c r="CR161" s="61">
        <f>IFERROR(Table1[[#This Row],[Progres MOS
(%)]]*Table1[[#This Row],[Nilai RAB Jaringan
(file pa aji)]],0)</f>
        <v>0</v>
      </c>
      <c r="CS161" s="61">
        <f>IFERROR(Table1[[#This Row],[Progres Pemasangan
(%)]]*Table1[[#This Row],[Nilai RAB Jaringan
(file pa aji)]],0)</f>
        <v>0</v>
      </c>
      <c r="CT161" s="61">
        <f>IFERROR(Table1[[#This Row],[Progres Perizinan
(%)]]*Table1[[#This Row],[Nilai RAB Jaringan
(file pa aji)]],0)</f>
        <v>0</v>
      </c>
      <c r="CU161" s="789">
        <v>160978046199</v>
      </c>
      <c r="CV161" s="299">
        <v>160978046199</v>
      </c>
      <c r="CW161" s="552">
        <v>160978046199</v>
      </c>
      <c r="CX161" s="789">
        <f>_xlfn.XLOOKUP(Table1[[#This Row],[Kode Program]],'[1]Breakdown VOWD Greenfield'!$E:$E,'[1]Breakdown VOWD Greenfield'!$AT:$AT)</f>
        <v>160978046199</v>
      </c>
      <c r="CY161" s="42"/>
      <c r="CZ161" s="300">
        <v>45565</v>
      </c>
      <c r="DA161" s="300">
        <v>45599</v>
      </c>
      <c r="DB161" s="301">
        <v>45274</v>
      </c>
      <c r="DC161" s="286" t="s">
        <v>1158</v>
      </c>
      <c r="DD161" s="62">
        <v>186278481398</v>
      </c>
      <c r="DE1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1" s="301">
        <v>45281</v>
      </c>
      <c r="DG161" s="286" t="s">
        <v>1159</v>
      </c>
      <c r="DH161" s="62">
        <v>186272869919</v>
      </c>
      <c r="DI1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1" s="300">
        <v>45600</v>
      </c>
      <c r="DK161" s="300">
        <v>45648</v>
      </c>
      <c r="DL161" s="301">
        <v>45317</v>
      </c>
      <c r="DM161" s="327" t="s">
        <v>1150</v>
      </c>
      <c r="DN1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1" s="301">
        <v>45320</v>
      </c>
      <c r="DP161" s="286" t="s">
        <v>1151</v>
      </c>
      <c r="DQ161" s="308" t="s">
        <v>258</v>
      </c>
      <c r="DR1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1" s="300">
        <v>45600</v>
      </c>
      <c r="DT161" s="300" t="e">
        <v>#N/A</v>
      </c>
      <c r="DU161" s="300">
        <v>45648</v>
      </c>
      <c r="DV161" s="300" t="e">
        <v>#N/A</v>
      </c>
      <c r="DW161" s="301">
        <v>45274</v>
      </c>
      <c r="DX161" s="286" t="s">
        <v>1160</v>
      </c>
      <c r="DY161" s="304"/>
      <c r="DZ161" s="304"/>
      <c r="EA1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61" s="301">
        <v>45937</v>
      </c>
      <c r="EC161" s="302"/>
      <c r="ED161" s="302"/>
      <c r="EE161" s="300" t="s">
        <v>1161</v>
      </c>
      <c r="EF161" s="35">
        <v>1</v>
      </c>
      <c r="EG161" s="307">
        <v>1</v>
      </c>
      <c r="EH161" s="286" t="str">
        <f>IF(Table1[[#This Row],[PO Material Aktual 
(%)]]&gt;=100%,"Selesai PO = 100%",IF(Table1[[#This Row],[PO Material Aktual 
(%)]]&gt;=50%,"Proses PO &gt; 100%",IF(Table1[[#This Row],[PO Material Aktual 
(%)]]&gt;0%,"Proses PO &gt; 50%",IF(Table1[[#This Row],[PO Material Aktual 
(%)]]=0,"Belum PO = 0%"))))</f>
        <v>Selesai PO = 100%</v>
      </c>
      <c r="EI1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1" s="300">
        <v>45649</v>
      </c>
      <c r="EK161" s="300" t="e">
        <v>#N/A</v>
      </c>
      <c r="EL161" s="300">
        <v>45837</v>
      </c>
      <c r="EM161" s="300" t="e">
        <v>#N/A</v>
      </c>
      <c r="EN161" s="301">
        <v>46156</v>
      </c>
      <c r="EO161" s="302"/>
      <c r="EP161" s="302"/>
      <c r="EQ161" s="82">
        <v>1</v>
      </c>
      <c r="ER161" s="82">
        <v>1</v>
      </c>
      <c r="ES161" s="286" t="str">
        <f>IF(Table1[[#This Row],[Progres MOS]]&gt;=100%,"Selesai MOS = 100%",IF(Table1[[#This Row],[Progres MOS]]&gt;=50%,"Proses MOS &gt; 100%",IF(Table1[[#This Row],[Progres MOS]]&gt;0%,"Proses MOS &gt; 50%",IF(Table1[[#This Row],[Progres MOS]]=0,"Belum MOS = 0%"))))</f>
        <v>Selesai MOS = 100%</v>
      </c>
      <c r="ET1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1" s="42"/>
      <c r="EV161" s="300">
        <v>45600</v>
      </c>
      <c r="EW161" s="300" t="e">
        <v>#N/A</v>
      </c>
      <c r="EX161" s="300">
        <v>45746</v>
      </c>
      <c r="EY161" s="300" t="e">
        <v>#N/A</v>
      </c>
      <c r="EZ161" s="322" t="s">
        <v>259</v>
      </c>
      <c r="FA161" s="322" t="s">
        <v>259</v>
      </c>
      <c r="FB161" s="301" t="s">
        <v>260</v>
      </c>
      <c r="FC161" s="300">
        <v>45012</v>
      </c>
      <c r="FD161" s="301" t="s">
        <v>260</v>
      </c>
      <c r="FE161" s="301"/>
      <c r="FF161" s="301">
        <v>45100</v>
      </c>
      <c r="FG161" s="301" t="s">
        <v>260</v>
      </c>
      <c r="FH161" s="301" t="s">
        <v>260</v>
      </c>
      <c r="FI161" s="301">
        <v>45189</v>
      </c>
      <c r="FJ161" s="301" t="s">
        <v>260</v>
      </c>
      <c r="FK161" s="301">
        <v>45301</v>
      </c>
      <c r="FL161" s="322" t="s">
        <v>259</v>
      </c>
      <c r="FM161" s="322">
        <v>45012</v>
      </c>
      <c r="FN161" s="308">
        <f>IF(Table1[[#This Row],[Tanggal Pengajuan Dokumen]]="","",Table1[[#This Row],[PLAN PERMIT
start]]-Table1[[#This Row],[Tanggal Pengajuan Dokumen]])</f>
        <v>588</v>
      </c>
      <c r="FO161" s="407">
        <v>45299</v>
      </c>
      <c r="FP161" s="286"/>
      <c r="FQ161" s="308"/>
      <c r="FR161" s="308"/>
      <c r="FS161" s="308" t="str">
        <f t="shared" si="9"/>
        <v>Sudah Terbit</v>
      </c>
      <c r="FT1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1" s="314">
        <f ca="1">IF(Table1[[#This Row],[Status Izin]]="Selesai",Table1[[#This Row],[PLAN PERMIT
finish]]-Table1[[#This Row],[Tanggal Terbit/ Target Izin Terbit]],ROUNDUP(Table1[[#This Row],[PLAN PERMIT
finish]]-NOW(),0))</f>
        <v>447</v>
      </c>
      <c r="FV1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61" s="314"/>
      <c r="FX161" s="42"/>
      <c r="FY161" s="310"/>
      <c r="FZ161" s="311"/>
      <c r="GA1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1" s="300">
        <v>45718</v>
      </c>
      <c r="GC161" s="322">
        <v>45611</v>
      </c>
      <c r="GD1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1" s="300">
        <v>45711</v>
      </c>
      <c r="GF161" s="322">
        <v>45625</v>
      </c>
      <c r="GG1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61" s="300">
        <v>45705</v>
      </c>
      <c r="GI161" s="300">
        <v>45711</v>
      </c>
      <c r="GJ161" s="322">
        <v>45615</v>
      </c>
      <c r="GK1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1" s="300">
        <v>45747</v>
      </c>
      <c r="GM161" s="300" t="e">
        <v>#N/A</v>
      </c>
      <c r="GN161" s="300">
        <v>45907</v>
      </c>
      <c r="GO161" s="300" t="e">
        <v>#N/A</v>
      </c>
      <c r="GP161" s="286"/>
      <c r="GQ1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1" s="300" t="s">
        <v>261</v>
      </c>
      <c r="GS161" s="300" t="s">
        <v>261</v>
      </c>
      <c r="GT161" s="324" t="s">
        <v>1162</v>
      </c>
      <c r="GU161" s="314" t="str">
        <f>IF(Table1[[#This Row],[Hydro Tes Actual
(tanggal)]]&lt;&gt;"","Sudah","Belum")</f>
        <v>Sudah</v>
      </c>
      <c r="GV161" s="300" t="s">
        <v>261</v>
      </c>
      <c r="GW161" s="300" t="s">
        <v>261</v>
      </c>
      <c r="GX161" s="301">
        <v>45904</v>
      </c>
      <c r="GY161" s="314" t="str">
        <f>IF(Table1[[#This Row],[Interkoneksi Actual
(tanggal)]]&lt;&gt;"","Sudah","Belum")</f>
        <v>Sudah</v>
      </c>
      <c r="GZ161" s="300" t="s">
        <v>261</v>
      </c>
      <c r="HA161" s="300" t="s">
        <v>261</v>
      </c>
      <c r="HB161" s="301">
        <v>45931</v>
      </c>
      <c r="HC161" s="314" t="str">
        <f>IF(Table1[[#This Row],[Flushing Actual
(tanggal)]]&lt;&gt;"","Sudah","Belum")</f>
        <v>Sudah</v>
      </c>
      <c r="HD161" s="300">
        <v>45889</v>
      </c>
      <c r="HE161" s="300" t="e">
        <v>#N/A</v>
      </c>
      <c r="HF161" s="300">
        <v>45898</v>
      </c>
      <c r="HG161" s="301">
        <v>45932</v>
      </c>
      <c r="HH1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1" s="300" t="s">
        <v>261</v>
      </c>
      <c r="HJ161" s="300" t="s">
        <v>261</v>
      </c>
      <c r="HK161" s="301"/>
      <c r="HL161" s="286"/>
      <c r="HM161" s="300">
        <v>45910</v>
      </c>
      <c r="HN161" s="300">
        <v>45910</v>
      </c>
      <c r="HO161" s="300" t="e">
        <v>#N/A</v>
      </c>
      <c r="HP161" s="300"/>
      <c r="HQ161" s="301">
        <v>45934</v>
      </c>
      <c r="HR1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1" s="300">
        <v>45926</v>
      </c>
      <c r="HT161" s="300"/>
      <c r="HU161" s="300">
        <v>45926</v>
      </c>
      <c r="HV161" s="497"/>
      <c r="HW161" s="301">
        <v>45934</v>
      </c>
      <c r="HX1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1" s="42"/>
      <c r="HZ161" s="322"/>
      <c r="IA161" s="306"/>
      <c r="IC161" s="585">
        <f>IFERROR(ROUND((Table1[[#This Row],[PLAN TC
finish]]-Table1[[#This Row],[PLAN MC-0
start]])/30,2),"")</f>
        <v>6.43</v>
      </c>
      <c r="ID161">
        <f>DATEDIF(Table1[[#This Row],[PLAN MC-0
start]],Table1[[#This Row],[PLAN TC
finish]],"m")</f>
        <v>6</v>
      </c>
    </row>
    <row r="162" spans="1:238" s="4" customFormat="1" ht="15" customHeight="1" x14ac:dyDescent="0.25">
      <c r="B162" s="281">
        <f>SUBTOTAL(3,$D$5:D162)</f>
        <v>158</v>
      </c>
      <c r="C162" s="318">
        <v>158</v>
      </c>
      <c r="D162" s="308" t="s">
        <v>244</v>
      </c>
      <c r="E162" s="308" t="s">
        <v>1163</v>
      </c>
      <c r="F162" s="308" t="s">
        <v>1164</v>
      </c>
      <c r="G162" s="319">
        <v>45935</v>
      </c>
      <c r="H162" s="284" t="s">
        <v>247</v>
      </c>
      <c r="I162" s="308" t="s">
        <v>248</v>
      </c>
      <c r="J162" s="285" t="s">
        <v>882</v>
      </c>
      <c r="K162" s="308" t="s">
        <v>1165</v>
      </c>
      <c r="L162" s="286" t="s">
        <v>250</v>
      </c>
      <c r="M162" s="286" t="s">
        <v>269</v>
      </c>
      <c r="N162" s="94">
        <v>250</v>
      </c>
      <c r="O162" s="113" t="s">
        <v>252</v>
      </c>
      <c r="P16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2" s="35" t="e">
        <v>#N/A</v>
      </c>
      <c r="S162" s="35">
        <v>1</v>
      </c>
      <c r="T162" s="35">
        <f>Table1[[#This Row],[Progres Total Aktual
(%)]]</f>
        <v>1</v>
      </c>
      <c r="U162" s="106">
        <f>Table1[[#This Row],[Progres Aktual
(%)]]-Table1[[#This Row],[Target Progres
(%)]]</f>
        <v>0</v>
      </c>
      <c r="V162" s="320">
        <f>Table1[[#This Row],["Volume
BA MC-0"]]</f>
        <v>260</v>
      </c>
      <c r="W162" s="321">
        <f>Table1[[#This Row],[Total Panjang Pipa Aktual
(Sum-&gt;)3]]</f>
        <v>255</v>
      </c>
      <c r="X162" s="42"/>
      <c r="Y162" s="62" t="s">
        <v>1166</v>
      </c>
      <c r="Z162" s="62">
        <v>5562221360</v>
      </c>
      <c r="AA162" s="62">
        <f>Table1[[#This Row],[Nilai RAB Jaringan
(file pa aji)]]</f>
        <v>5562221360</v>
      </c>
      <c r="AB162" s="290">
        <f>SUM(Table1[[#This Row],[RAB Kegiatan Umum]:[RAB Perizinan]])</f>
        <v>0</v>
      </c>
      <c r="AC162" s="290"/>
      <c r="AD162" s="290"/>
      <c r="AE162" s="290"/>
      <c r="AF162" s="290"/>
      <c r="AG162" s="406">
        <v>0</v>
      </c>
      <c r="AH162" s="35" t="e">
        <f>SUM(Table1[[#This Row],[Bobot Keg Umum]:[Bobot Perizinan]])</f>
        <v>#DIV/0!</v>
      </c>
      <c r="AI162" s="35" t="e">
        <f>Table1[[#This Row],[RAB Kegiatan Umum]]/Table1[[#This Row],[Nilai RAB Jaringan
(Exclude Ppn)]]</f>
        <v>#DIV/0!</v>
      </c>
      <c r="AJ162" s="35" t="e">
        <f>Table1[[#This Row],[RAB Pemasangan]]/Table1[[#This Row],[Nilai RAB Jaringan
(Exclude Ppn)]]</f>
        <v>#DIV/0!</v>
      </c>
      <c r="AK162" s="35" t="e">
        <f>Table1[[#This Row],[RAB Pengadaan]]/Table1[[#This Row],[Nilai RAB Jaringan
(Exclude Ppn)]]</f>
        <v>#DIV/0!</v>
      </c>
      <c r="AL162" s="35" t="e">
        <f>Table1[[#This Row],[RAB Perizinan]]/Table1[[#This Row],[Nilai RAB Jaringan
(Exclude Ppn)]]</f>
        <v>#DIV/0!</v>
      </c>
      <c r="AM162" s="42"/>
      <c r="AN162" s="256">
        <v>260</v>
      </c>
      <c r="AO162" s="256">
        <f>SUM(Table1[[#This Row],[Pipa 63 mm]:[Pipa 1,800 mm]])</f>
        <v>0</v>
      </c>
      <c r="AP162" s="256"/>
      <c r="AQ162" s="256"/>
      <c r="AR162" s="256"/>
      <c r="AS162" s="256"/>
      <c r="AT162" s="256"/>
      <c r="AU162" s="256"/>
      <c r="AV162" s="256"/>
      <c r="AW162" s="256"/>
      <c r="AX162" s="256"/>
      <c r="AY162" s="256"/>
      <c r="AZ162" s="256"/>
      <c r="BA162" s="256"/>
      <c r="BB162" s="256"/>
      <c r="BC162" s="256"/>
      <c r="BD162" s="256"/>
      <c r="BE162" s="256"/>
      <c r="BF162" s="256"/>
      <c r="BG162" s="256"/>
      <c r="BH162" s="256"/>
      <c r="BI162" s="256"/>
      <c r="BJ162" s="36">
        <f>SUM(Table1[[#This Row],[Pipa 63 mm2]:[Pipa 1,800 mm21]])</f>
        <v>255</v>
      </c>
      <c r="BK162" s="32"/>
      <c r="BL162" s="32"/>
      <c r="BM162" s="32"/>
      <c r="BN162" s="32"/>
      <c r="BO162" s="32"/>
      <c r="BP162" s="32"/>
      <c r="BQ162" s="32"/>
      <c r="BR162" s="32"/>
      <c r="BS162" s="32"/>
      <c r="BT162" s="32">
        <v>255</v>
      </c>
      <c r="BU162" s="32"/>
      <c r="BV162" s="32"/>
      <c r="BW162" s="32"/>
      <c r="BX162" s="32"/>
      <c r="BY162" s="32"/>
      <c r="BZ162" s="32"/>
      <c r="CA162" s="32"/>
      <c r="CB162" s="32"/>
      <c r="CC162" s="32"/>
      <c r="CD162" s="32"/>
      <c r="CE162" s="32">
        <v>0</v>
      </c>
      <c r="CF162" s="32">
        <v>0</v>
      </c>
      <c r="CG162" s="32">
        <v>0</v>
      </c>
      <c r="CH162" s="32">
        <v>0</v>
      </c>
      <c r="CI162" s="32">
        <f t="shared" si="10"/>
        <v>0</v>
      </c>
      <c r="CJ162" s="60">
        <f>IF((Table1[[#This Row],["Volume
BA MC-0"]]-Table1[[#This Row],[Total Panjang Pipa Aktual
(Sum-&gt;)3]]-Table1[[#This Row],[Total Volume
tidak dapat dipasang]])&gt;=0,Table1[[#This Row],["Volume
BA MC-0"]]-Table1[[#This Row],[Total Panjang Pipa Aktual
(Sum-&gt;)3]]-Table1[[#This Row],[Total Volume
tidak dapat dipasang]],0)</f>
        <v>5</v>
      </c>
      <c r="CK162" s="42"/>
      <c r="CL162" s="113"/>
      <c r="CM162" s="35"/>
      <c r="CN162" s="113"/>
      <c r="CO162" s="113"/>
      <c r="CP1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2" s="61">
        <f>IFERROR(Table1[[#This Row],[Progres Keg. Umum
(%)]]*Table1[[#This Row],[Nilai RAB Jaringan
(file pa aji)]],0)</f>
        <v>0</v>
      </c>
      <c r="CR162" s="61">
        <f>IFERROR(Table1[[#This Row],[Progres MOS
(%)]]*Table1[[#This Row],[Nilai RAB Jaringan
(file pa aji)]],0)</f>
        <v>0</v>
      </c>
      <c r="CS162" s="61">
        <f>IFERROR(Table1[[#This Row],[Progres Pemasangan
(%)]]*Table1[[#This Row],[Nilai RAB Jaringan
(file pa aji)]],0)</f>
        <v>0</v>
      </c>
      <c r="CT162" s="61">
        <f>IFERROR(Table1[[#This Row],[Progres Perizinan
(%)]]*Table1[[#This Row],[Nilai RAB Jaringan
(file pa aji)]],0)</f>
        <v>0</v>
      </c>
      <c r="CU162" s="789">
        <v>5334213266</v>
      </c>
      <c r="CV162" s="299">
        <v>5334213266</v>
      </c>
      <c r="CW162" s="552">
        <v>5334213266</v>
      </c>
      <c r="CX162" s="789">
        <f>_xlfn.XLOOKUP(Table1[[#This Row],[Kode Program]],'[1]Breakdown VOWD Greenfield'!$E:$E,'[1]Breakdown VOWD Greenfield'!$AT:$AT)</f>
        <v>5334213266</v>
      </c>
      <c r="CY162" s="42"/>
      <c r="CZ162" s="300">
        <v>45656</v>
      </c>
      <c r="DA162" s="300">
        <v>45683</v>
      </c>
      <c r="DB162" s="301">
        <v>45632</v>
      </c>
      <c r="DC162" s="286" t="s">
        <v>1167</v>
      </c>
      <c r="DD162" s="62">
        <v>5777723608.4500008</v>
      </c>
      <c r="DE1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2" s="301">
        <v>45666</v>
      </c>
      <c r="DG162" s="286" t="s">
        <v>1168</v>
      </c>
      <c r="DH162" s="62">
        <v>5770966008</v>
      </c>
      <c r="DI1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2" s="300">
        <v>45684</v>
      </c>
      <c r="DK162" s="300">
        <v>45725</v>
      </c>
      <c r="DL162" s="301">
        <v>45707</v>
      </c>
      <c r="DM162" s="286" t="s">
        <v>1169</v>
      </c>
      <c r="DN1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2" s="301">
        <v>45769</v>
      </c>
      <c r="DP162" s="286" t="s">
        <v>1170</v>
      </c>
      <c r="DQ162" s="308" t="s">
        <v>275</v>
      </c>
      <c r="DR1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2" s="300">
        <v>45684</v>
      </c>
      <c r="DT162" s="300" t="e">
        <v>#N/A</v>
      </c>
      <c r="DU162" s="300">
        <v>45725</v>
      </c>
      <c r="DV162" s="300" t="e">
        <v>#N/A</v>
      </c>
      <c r="DW162" s="301">
        <v>45917</v>
      </c>
      <c r="DX162" s="286" t="s">
        <v>1171</v>
      </c>
      <c r="DY162" s="304"/>
      <c r="DZ162" s="304"/>
      <c r="EA1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2" s="301">
        <v>45923</v>
      </c>
      <c r="EC162" s="302"/>
      <c r="ED162" s="302"/>
      <c r="EE162" s="300" t="s">
        <v>1172</v>
      </c>
      <c r="EF162" s="35">
        <v>1</v>
      </c>
      <c r="EG162" s="307">
        <v>1</v>
      </c>
      <c r="EH162" s="286" t="str">
        <f>IF(Table1[[#This Row],[PO Material Aktual 
(%)]]&gt;=100%,"Selesai PO = 100%",IF(Table1[[#This Row],[PO Material Aktual 
(%)]]&gt;=50%,"Proses PO &gt; 100%",IF(Table1[[#This Row],[PO Material Aktual 
(%)]]&gt;0%,"Proses PO &gt; 50%",IF(Table1[[#This Row],[PO Material Aktual 
(%)]]=0,"Belum PO = 0%"))))</f>
        <v>Selesai PO = 100%</v>
      </c>
      <c r="EI1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2" s="300">
        <v>45726</v>
      </c>
      <c r="EK162" s="300" t="e">
        <v>#N/A</v>
      </c>
      <c r="EL162" s="300">
        <v>45837</v>
      </c>
      <c r="EM162" s="300" t="e">
        <v>#N/A</v>
      </c>
      <c r="EN162" s="301">
        <v>46071</v>
      </c>
      <c r="EO162" s="302"/>
      <c r="EP162" s="302"/>
      <c r="EQ162" s="82">
        <v>1</v>
      </c>
      <c r="ER162" s="82">
        <v>1</v>
      </c>
      <c r="ES162" s="286" t="str">
        <f>IF(Table1[[#This Row],[Progres MOS]]&gt;=100%,"Selesai MOS = 100%",IF(Table1[[#This Row],[Progres MOS]]&gt;=50%,"Proses MOS &gt; 100%",IF(Table1[[#This Row],[Progres MOS]]&gt;0%,"Proses MOS &gt; 50%",IF(Table1[[#This Row],[Progres MOS]]=0,"Belum MOS = 0%"))))</f>
        <v>Selesai MOS = 100%</v>
      </c>
      <c r="ET1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2" s="42"/>
      <c r="EV162" s="300">
        <v>45684</v>
      </c>
      <c r="EW162" s="300" t="e">
        <v>#N/A</v>
      </c>
      <c r="EX162" s="300">
        <v>45774</v>
      </c>
      <c r="EY162" s="300" t="e">
        <v>#N/A</v>
      </c>
      <c r="EZ162" s="322" t="s">
        <v>298</v>
      </c>
      <c r="FA162" s="322" t="s">
        <v>259</v>
      </c>
      <c r="FB162" s="301" t="s">
        <v>260</v>
      </c>
      <c r="FC162" s="300">
        <v>45783</v>
      </c>
      <c r="FD162" s="301" t="s">
        <v>260</v>
      </c>
      <c r="FE162" s="301">
        <v>45880</v>
      </c>
      <c r="FF162" s="301">
        <v>45944</v>
      </c>
      <c r="FG162" s="301" t="s">
        <v>260</v>
      </c>
      <c r="FH162" s="301" t="s">
        <v>260</v>
      </c>
      <c r="FI162" s="301">
        <v>46013</v>
      </c>
      <c r="FJ162" s="301" t="s">
        <v>260</v>
      </c>
      <c r="FK162" s="301">
        <v>46094</v>
      </c>
      <c r="FL162" s="322" t="s">
        <v>298</v>
      </c>
      <c r="FM162" s="322">
        <v>45783</v>
      </c>
      <c r="FN162" s="308">
        <f>IF(Table1[[#This Row],[Tanggal Pengajuan Dokumen]]="","",Table1[[#This Row],[PLAN PERMIT
start]]-Table1[[#This Row],[Tanggal Pengajuan Dokumen]])</f>
        <v>-99</v>
      </c>
      <c r="FO162" s="407">
        <v>46086</v>
      </c>
      <c r="FP162" s="286"/>
      <c r="FQ162" s="308"/>
      <c r="FR162" s="308"/>
      <c r="FS162" s="308" t="str">
        <f t="shared" si="9"/>
        <v>Sudah Terbit</v>
      </c>
      <c r="FT1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2" s="314">
        <f ca="1">IF(Table1[[#This Row],[Status Izin]]="Selesai",Table1[[#This Row],[PLAN PERMIT
finish]]-Table1[[#This Row],[Tanggal Terbit/ Target Izin Terbit]],ROUNDUP(Table1[[#This Row],[PLAN PERMIT
finish]]-NOW(),0))</f>
        <v>-312</v>
      </c>
      <c r="FV1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2" s="314"/>
      <c r="FX162" s="42"/>
      <c r="FY162" s="310"/>
      <c r="FZ162" s="311"/>
      <c r="GA1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2" s="300">
        <v>45760</v>
      </c>
      <c r="GC162" s="322">
        <v>45777</v>
      </c>
      <c r="GD1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2" s="300">
        <v>45760</v>
      </c>
      <c r="GF162" s="322">
        <v>45768</v>
      </c>
      <c r="GG1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2" s="300">
        <v>45754</v>
      </c>
      <c r="GI162" s="300">
        <v>45760</v>
      </c>
      <c r="GJ162" s="322">
        <v>45791</v>
      </c>
      <c r="GK1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2" s="300">
        <v>45775</v>
      </c>
      <c r="GM162" s="300" t="e">
        <v>#N/A</v>
      </c>
      <c r="GN162" s="300">
        <v>45893</v>
      </c>
      <c r="GO162" s="300" t="e">
        <v>#N/A</v>
      </c>
      <c r="GP162" s="286"/>
      <c r="GQ1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2" s="300" t="s">
        <v>261</v>
      </c>
      <c r="GS162" s="300" t="s">
        <v>261</v>
      </c>
      <c r="GT162" s="324">
        <v>45929</v>
      </c>
      <c r="GU162" s="314" t="str">
        <f>IF(Table1[[#This Row],[Hydro Tes Actual
(tanggal)]]&lt;&gt;"","Sudah","Belum")</f>
        <v>Sudah</v>
      </c>
      <c r="GV162" s="300" t="s">
        <v>261</v>
      </c>
      <c r="GW162" s="300" t="s">
        <v>261</v>
      </c>
      <c r="GX162" s="301" t="s">
        <v>1173</v>
      </c>
      <c r="GY162" s="314" t="str">
        <f>IF(Table1[[#This Row],[Interkoneksi Actual
(tanggal)]]&lt;&gt;"","Sudah","Belum")</f>
        <v>Sudah</v>
      </c>
      <c r="GZ162" s="300" t="s">
        <v>261</v>
      </c>
      <c r="HA162" s="300" t="s">
        <v>261</v>
      </c>
      <c r="HB162" s="301">
        <v>45946</v>
      </c>
      <c r="HC162" s="314" t="str">
        <f>IF(Table1[[#This Row],[Flushing Actual
(tanggal)]]&lt;&gt;"","Sudah","Belum")</f>
        <v>Sudah</v>
      </c>
      <c r="HD162" s="300">
        <v>45875</v>
      </c>
      <c r="HE162" s="300" t="e">
        <v>#N/A</v>
      </c>
      <c r="HF162" s="300">
        <v>45884</v>
      </c>
      <c r="HG162" s="301">
        <v>45959</v>
      </c>
      <c r="HH1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2" s="300" t="s">
        <v>261</v>
      </c>
      <c r="HJ162" s="300" t="s">
        <v>261</v>
      </c>
      <c r="HK162" s="301"/>
      <c r="HL162" s="286"/>
      <c r="HM162" s="300">
        <v>45896</v>
      </c>
      <c r="HN162" s="300">
        <v>45896</v>
      </c>
      <c r="HO162" s="300" t="e">
        <v>#N/A</v>
      </c>
      <c r="HP162" s="300"/>
      <c r="HQ162" s="301">
        <v>45961</v>
      </c>
      <c r="HR1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2" s="300">
        <v>45912</v>
      </c>
      <c r="HT162" s="300"/>
      <c r="HU162" s="300">
        <v>45912</v>
      </c>
      <c r="HV162" s="497"/>
      <c r="HW162" s="301">
        <v>46000</v>
      </c>
      <c r="HX1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2" s="42"/>
      <c r="HZ162" s="322"/>
      <c r="IA162" s="306"/>
      <c r="IC162" s="585">
        <f>IFERROR(ROUND((Table1[[#This Row],[PLAN TC
finish]]-Table1[[#This Row],[PLAN MC-0
start]])/30,2),"")</f>
        <v>4.33</v>
      </c>
      <c r="ID162">
        <f>DATEDIF(Table1[[#This Row],[PLAN MC-0
start]],Table1[[#This Row],[PLAN TC
finish]],"m")</f>
        <v>4</v>
      </c>
    </row>
    <row r="163" spans="1:238" s="4" customFormat="1" ht="15" customHeight="1" x14ac:dyDescent="0.25">
      <c r="B163" s="281">
        <f>SUBTOTAL(3,$D$5:D163)</f>
        <v>159</v>
      </c>
      <c r="C163" s="318">
        <v>159</v>
      </c>
      <c r="D163" s="308" t="s">
        <v>244</v>
      </c>
      <c r="E163" s="308" t="s">
        <v>1174</v>
      </c>
      <c r="F163" s="308" t="s">
        <v>1175</v>
      </c>
      <c r="G163" s="319">
        <v>45935</v>
      </c>
      <c r="H163" s="284" t="s">
        <v>247</v>
      </c>
      <c r="I163" s="285" t="s">
        <v>325</v>
      </c>
      <c r="J163" s="285"/>
      <c r="K163" s="308" t="s">
        <v>1165</v>
      </c>
      <c r="L163" s="286" t="s">
        <v>326</v>
      </c>
      <c r="M163" s="286" t="s">
        <v>269</v>
      </c>
      <c r="N163" s="94">
        <v>1</v>
      </c>
      <c r="O163" s="113" t="s">
        <v>327</v>
      </c>
      <c r="P16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3" s="35" t="e">
        <v>#N/A</v>
      </c>
      <c r="S163" s="35">
        <v>1</v>
      </c>
      <c r="T163" s="35">
        <f>Table1[[#This Row],[Progres Total Aktual
(%)]]</f>
        <v>1</v>
      </c>
      <c r="U163" s="106">
        <f>Table1[[#This Row],[Progres Aktual
(%)]]-Table1[[#This Row],[Target Progres
(%)]]</f>
        <v>0</v>
      </c>
      <c r="V163" s="320">
        <f>Table1[[#This Row],["Volume
BA MC-0"]]</f>
        <v>0</v>
      </c>
      <c r="W163" s="321">
        <f>Table1[[#This Row],[Total Panjang Pipa Aktual
(Sum-&gt;)3]]</f>
        <v>1</v>
      </c>
      <c r="X163" s="42"/>
      <c r="Y163" s="62" t="s">
        <v>1176</v>
      </c>
      <c r="Z163" s="62">
        <v>14593095668</v>
      </c>
      <c r="AA163" s="62">
        <f>Table1[[#This Row],[Nilai RAB Jaringan
(file pa aji)]]</f>
        <v>14593095668</v>
      </c>
      <c r="AB163" s="290">
        <f>SUM(Table1[[#This Row],[RAB Kegiatan Umum]:[RAB Perizinan]])</f>
        <v>0</v>
      </c>
      <c r="AC163" s="290"/>
      <c r="AD163" s="290"/>
      <c r="AE163" s="290"/>
      <c r="AF163" s="290"/>
      <c r="AG163" s="406">
        <v>0</v>
      </c>
      <c r="AH163" s="35" t="e">
        <f>SUM(Table1[[#This Row],[Bobot Keg Umum]:[Bobot Perizinan]])</f>
        <v>#DIV/0!</v>
      </c>
      <c r="AI163" s="35" t="e">
        <f>Table1[[#This Row],[RAB Kegiatan Umum]]/Table1[[#This Row],[Nilai RAB Jaringan
(Exclude Ppn)]]</f>
        <v>#DIV/0!</v>
      </c>
      <c r="AJ163" s="35" t="e">
        <f>Table1[[#This Row],[RAB Pemasangan]]/Table1[[#This Row],[Nilai RAB Jaringan
(Exclude Ppn)]]</f>
        <v>#DIV/0!</v>
      </c>
      <c r="AK163" s="35" t="e">
        <f>Table1[[#This Row],[RAB Pengadaan]]/Table1[[#This Row],[Nilai RAB Jaringan
(Exclude Ppn)]]</f>
        <v>#DIV/0!</v>
      </c>
      <c r="AL163" s="35" t="e">
        <f>Table1[[#This Row],[RAB Perizinan]]/Table1[[#This Row],[Nilai RAB Jaringan
(Exclude Ppn)]]</f>
        <v>#DIV/0!</v>
      </c>
      <c r="AM163" s="42"/>
      <c r="AN163" s="256">
        <v>0</v>
      </c>
      <c r="AO163" s="256">
        <f>SUM(Table1[[#This Row],[Pipa 63 mm]:[Pipa 1,800 mm]])</f>
        <v>0</v>
      </c>
      <c r="AP163" s="256"/>
      <c r="AQ163" s="256"/>
      <c r="AR163" s="256"/>
      <c r="AS163" s="256"/>
      <c r="AT163" s="256"/>
      <c r="AU163" s="256"/>
      <c r="AV163" s="256"/>
      <c r="AW163" s="256"/>
      <c r="AX163" s="256"/>
      <c r="AY163" s="256"/>
      <c r="AZ163" s="256"/>
      <c r="BA163" s="256"/>
      <c r="BB163" s="256"/>
      <c r="BC163" s="256"/>
      <c r="BD163" s="256"/>
      <c r="BE163" s="256"/>
      <c r="BF163" s="256"/>
      <c r="BG163" s="256"/>
      <c r="BH163" s="256"/>
      <c r="BI163" s="256"/>
      <c r="BJ163" s="36">
        <v>1</v>
      </c>
      <c r="BK163" s="32"/>
      <c r="BL163" s="32"/>
      <c r="BM163" s="32"/>
      <c r="BN163" s="32"/>
      <c r="BO163" s="32"/>
      <c r="BP163" s="32"/>
      <c r="BQ163" s="32"/>
      <c r="BR163" s="32"/>
      <c r="BS163" s="32"/>
      <c r="BT163" s="32"/>
      <c r="BU163" s="32"/>
      <c r="BV163" s="32"/>
      <c r="BW163" s="32"/>
      <c r="BX163" s="32"/>
      <c r="BY163" s="32"/>
      <c r="BZ163" s="32"/>
      <c r="CA163" s="32"/>
      <c r="CB163" s="32"/>
      <c r="CC163" s="32"/>
      <c r="CD163" s="32"/>
      <c r="CE163" s="32">
        <v>0</v>
      </c>
      <c r="CF163" s="32">
        <v>0</v>
      </c>
      <c r="CG163" s="32">
        <v>0</v>
      </c>
      <c r="CH163" s="32">
        <v>0</v>
      </c>
      <c r="CI163" s="32">
        <f t="shared" si="10"/>
        <v>0</v>
      </c>
      <c r="CJ163" s="60">
        <f>IF((Table1[[#This Row],["Volume
BA MC-0"]]-Table1[[#This Row],[Total Panjang Pipa Aktual
(Sum-&gt;)3]]-Table1[[#This Row],[Total Volume
tidak dapat dipasang]])&gt;=0,Table1[[#This Row],["Volume
BA MC-0"]]-Table1[[#This Row],[Total Panjang Pipa Aktual
(Sum-&gt;)3]]-Table1[[#This Row],[Total Volume
tidak dapat dipasang]],0)</f>
        <v>0</v>
      </c>
      <c r="CK163" s="42"/>
      <c r="CL163" s="113"/>
      <c r="CM163" s="35"/>
      <c r="CN163" s="113"/>
      <c r="CO163" s="113"/>
      <c r="CP1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3" s="61">
        <f>IFERROR(Table1[[#This Row],[Progres Keg. Umum
(%)]]*Table1[[#This Row],[Nilai RAB Jaringan
(file pa aji)]],0)</f>
        <v>0</v>
      </c>
      <c r="CR163" s="61">
        <f>IFERROR(Table1[[#This Row],[Progres MOS
(%)]]*Table1[[#This Row],[Nilai RAB Jaringan
(file pa aji)]],0)</f>
        <v>0</v>
      </c>
      <c r="CS163" s="61">
        <f>IFERROR(Table1[[#This Row],[Progres Pemasangan
(%)]]*Table1[[#This Row],[Nilai RAB Jaringan
(file pa aji)]],0)</f>
        <v>0</v>
      </c>
      <c r="CT163" s="61">
        <f>IFERROR(Table1[[#This Row],[Progres Perizinan
(%)]]*Table1[[#This Row],[Nilai RAB Jaringan
(file pa aji)]],0)</f>
        <v>0</v>
      </c>
      <c r="CU163" s="789">
        <v>24521224684</v>
      </c>
      <c r="CV163" s="299">
        <v>24521224684</v>
      </c>
      <c r="CW163" s="552">
        <v>24521224684</v>
      </c>
      <c r="CX163" s="789">
        <f>_xlfn.XLOOKUP(Table1[[#This Row],[Kode Program]],'[1]Breakdown VOWD Greenfield'!$E:$E,'[1]Breakdown VOWD Greenfield'!$AT:$AT)</f>
        <v>24521224684</v>
      </c>
      <c r="CY163" s="42"/>
      <c r="CZ163" s="300">
        <v>45348</v>
      </c>
      <c r="DA163" s="300">
        <v>45382</v>
      </c>
      <c r="DB163" s="301">
        <v>45245</v>
      </c>
      <c r="DC163" s="286" t="s">
        <v>1177</v>
      </c>
      <c r="DD163" s="62">
        <v>5946912057</v>
      </c>
      <c r="DE1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3" s="301">
        <v>45254</v>
      </c>
      <c r="DG163" s="286" t="s">
        <v>1178</v>
      </c>
      <c r="DH163" s="62">
        <v>5946912057</v>
      </c>
      <c r="DI1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3" s="300">
        <v>45383</v>
      </c>
      <c r="DK163" s="300">
        <v>45536</v>
      </c>
      <c r="DL163" s="301">
        <v>45454</v>
      </c>
      <c r="DM163" s="327" t="s">
        <v>1179</v>
      </c>
      <c r="DN1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3" s="301">
        <v>45443</v>
      </c>
      <c r="DP163" s="286" t="s">
        <v>1180</v>
      </c>
      <c r="DQ163" s="308" t="s">
        <v>1181</v>
      </c>
      <c r="DR1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63" s="300">
        <v>45383</v>
      </c>
      <c r="DT163" s="300" t="e">
        <v>#N/A</v>
      </c>
      <c r="DU163" s="300">
        <v>45431</v>
      </c>
      <c r="DV163" s="300" t="e">
        <v>#N/A</v>
      </c>
      <c r="DW163" s="301">
        <v>45846</v>
      </c>
      <c r="DX163" s="286" t="s">
        <v>1182</v>
      </c>
      <c r="DY163" s="304"/>
      <c r="DZ163" s="304"/>
      <c r="EA1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3" s="301">
        <v>45873</v>
      </c>
      <c r="EC163" s="302"/>
      <c r="ED163" s="302"/>
      <c r="EE163" s="300" t="s">
        <v>1183</v>
      </c>
      <c r="EF163" s="35">
        <v>1</v>
      </c>
      <c r="EG163" s="307">
        <v>1</v>
      </c>
      <c r="EH163" s="286" t="str">
        <f>IF(Table1[[#This Row],[PO Material Aktual 
(%)]]&gt;=100%,"Selesai PO = 100%",IF(Table1[[#This Row],[PO Material Aktual 
(%)]]&gt;=50%,"Proses PO &gt; 100%",IF(Table1[[#This Row],[PO Material Aktual 
(%)]]&gt;0%,"Proses PO &gt; 50%",IF(Table1[[#This Row],[PO Material Aktual 
(%)]]=0,"Belum PO = 0%"))))</f>
        <v>Selesai PO = 100%</v>
      </c>
      <c r="EI1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3" s="300">
        <v>45432</v>
      </c>
      <c r="EK163" s="300" t="e">
        <v>#N/A</v>
      </c>
      <c r="EL163" s="300">
        <v>45620</v>
      </c>
      <c r="EM163" s="300" t="e">
        <v>#N/A</v>
      </c>
      <c r="EN163" s="301">
        <v>46140</v>
      </c>
      <c r="EO163" s="302"/>
      <c r="EP163" s="302"/>
      <c r="EQ163" s="82">
        <v>1</v>
      </c>
      <c r="ER163" s="82">
        <v>1</v>
      </c>
      <c r="ES163" s="286" t="str">
        <f>IF(Table1[[#This Row],[Progres MOS]]&gt;=100%,"Selesai MOS = 100%",IF(Table1[[#This Row],[Progres MOS]]&gt;=50%,"Proses MOS &gt; 100%",IF(Table1[[#This Row],[Progres MOS]]&gt;0%,"Proses MOS &gt; 50%",IF(Table1[[#This Row],[Progres MOS]]=0,"Belum MOS = 0%"))))</f>
        <v>Selesai MOS = 100%</v>
      </c>
      <c r="ET1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3" s="42"/>
      <c r="EV163" s="300">
        <v>45383</v>
      </c>
      <c r="EW163" s="300" t="e">
        <v>#N/A</v>
      </c>
      <c r="EX163" s="300">
        <v>45564</v>
      </c>
      <c r="EY163" s="300" t="e">
        <v>#N/A</v>
      </c>
      <c r="EZ163" s="322" t="s">
        <v>259</v>
      </c>
      <c r="FA163" s="354"/>
      <c r="FB163" s="300"/>
      <c r="FC163" s="300" t="s">
        <v>282</v>
      </c>
      <c r="FD163" s="300" t="s">
        <v>282</v>
      </c>
      <c r="FE163" s="300" t="s">
        <v>282</v>
      </c>
      <c r="FF163" s="300" t="s">
        <v>282</v>
      </c>
      <c r="FG163" s="300" t="s">
        <v>282</v>
      </c>
      <c r="FH163" s="300" t="s">
        <v>282</v>
      </c>
      <c r="FI163" s="300" t="s">
        <v>282</v>
      </c>
      <c r="FJ163" s="300" t="s">
        <v>282</v>
      </c>
      <c r="FK163" s="300" t="s">
        <v>283</v>
      </c>
      <c r="FL163" s="306" t="str">
        <f>Table1[[#This Row],[IPPJU]]</f>
        <v>10.Izin Terbit</v>
      </c>
      <c r="FM163" s="306"/>
      <c r="FN163" s="284" t="str">
        <f>IF(Table1[[#This Row],[Tanggal Pengajuan Dokumen]]="","",Table1[[#This Row],[PLAN PERMIT
start]]-Table1[[#This Row],[Tanggal Pengajuan Dokumen]])</f>
        <v/>
      </c>
      <c r="FO163" s="407">
        <v>45443</v>
      </c>
      <c r="FP163" s="286"/>
      <c r="FQ163" s="308"/>
      <c r="FR163" s="308"/>
      <c r="FS163" s="308" t="str">
        <f t="shared" si="9"/>
        <v>Sudah Terbit</v>
      </c>
      <c r="FT1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3" s="314">
        <f ca="1">IF(Table1[[#This Row],[Status Izin]]="Selesai",Table1[[#This Row],[PLAN PERMIT
finish]]-Table1[[#This Row],[Tanggal Terbit/ Target Izin Terbit]],ROUNDUP(Table1[[#This Row],[PLAN PERMIT
finish]]-NOW(),0))</f>
        <v>121</v>
      </c>
      <c r="FV1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3" s="314"/>
      <c r="FX163" s="42"/>
      <c r="FY163" s="310"/>
      <c r="FZ163" s="311"/>
      <c r="GA1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3" s="300">
        <v>45538</v>
      </c>
      <c r="GC163" s="322">
        <v>45387</v>
      </c>
      <c r="GD1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3" s="300">
        <v>45545</v>
      </c>
      <c r="GF163" s="322">
        <v>45553</v>
      </c>
      <c r="GG1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3" s="300">
        <v>45551</v>
      </c>
      <c r="GI163" s="300">
        <v>45557</v>
      </c>
      <c r="GJ163" s="322">
        <v>45737</v>
      </c>
      <c r="GK1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3" s="300">
        <v>45565</v>
      </c>
      <c r="GM163" s="300" t="e">
        <v>#N/A</v>
      </c>
      <c r="GN163" s="300">
        <v>45753</v>
      </c>
      <c r="GO163" s="300" t="e">
        <v>#N/A</v>
      </c>
      <c r="GP163" s="286"/>
      <c r="GQ1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3" s="300" t="s">
        <v>261</v>
      </c>
      <c r="GS163" s="300" t="s">
        <v>261</v>
      </c>
      <c r="GT163" s="324"/>
      <c r="GU163" s="314" t="str">
        <f>IF(Table1[[#This Row],[Hydro Tes Actual
(tanggal)]]&lt;&gt;"","Sudah","Belum")</f>
        <v>Belum</v>
      </c>
      <c r="GV163" s="300" t="s">
        <v>261</v>
      </c>
      <c r="GW163" s="300" t="s">
        <v>261</v>
      </c>
      <c r="GX163" s="301"/>
      <c r="GY163" s="314" t="str">
        <f>IF(Table1[[#This Row],[Interkoneksi Actual
(tanggal)]]&lt;&gt;"","Sudah","Belum")</f>
        <v>Belum</v>
      </c>
      <c r="GZ163" s="300" t="s">
        <v>261</v>
      </c>
      <c r="HA163" s="300" t="s">
        <v>261</v>
      </c>
      <c r="HB163" s="301"/>
      <c r="HC163" s="314" t="str">
        <f>IF(Table1[[#This Row],[Flushing Actual
(tanggal)]]&lt;&gt;"","Sudah","Belum")</f>
        <v>Belum</v>
      </c>
      <c r="HD163" s="300">
        <v>45726</v>
      </c>
      <c r="HE163" s="300" t="e">
        <v>#N/A</v>
      </c>
      <c r="HF163" s="300">
        <v>45746</v>
      </c>
      <c r="HG163" s="301">
        <v>45909</v>
      </c>
      <c r="HH1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3" s="300" t="s">
        <v>261</v>
      </c>
      <c r="HJ163" s="300" t="s">
        <v>261</v>
      </c>
      <c r="HK163" s="301"/>
      <c r="HL163" s="286"/>
      <c r="HM163" s="300">
        <v>45765</v>
      </c>
      <c r="HN163" s="300">
        <v>45765</v>
      </c>
      <c r="HO163" s="300" t="e">
        <v>#N/A</v>
      </c>
      <c r="HP163" s="300"/>
      <c r="HQ163" s="301">
        <v>45934</v>
      </c>
      <c r="HR1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3" s="300">
        <v>45772</v>
      </c>
      <c r="HT163" s="300"/>
      <c r="HU163" s="300">
        <v>45772</v>
      </c>
      <c r="HV163" s="497"/>
      <c r="HW163" s="301">
        <v>45934</v>
      </c>
      <c r="HX1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3" s="42"/>
      <c r="HZ163" s="322"/>
      <c r="IA163" s="306"/>
      <c r="IC163" s="585">
        <f>IFERROR(ROUND((Table1[[#This Row],[PLAN TC
finish]]-Table1[[#This Row],[PLAN MC-0
start]])/30,2),"")</f>
        <v>6.5</v>
      </c>
      <c r="ID163">
        <f>DATEDIF(Table1[[#This Row],[PLAN MC-0
start]],Table1[[#This Row],[PLAN TC
finish]],"m")</f>
        <v>6</v>
      </c>
    </row>
    <row r="164" spans="1:238" s="4" customFormat="1" ht="15" customHeight="1" x14ac:dyDescent="0.25">
      <c r="B164" s="281">
        <f>SUBTOTAL(3,$D$5:D164)</f>
        <v>160</v>
      </c>
      <c r="C164" s="318">
        <v>160</v>
      </c>
      <c r="D164" s="308" t="s">
        <v>244</v>
      </c>
      <c r="E164" s="308" t="s">
        <v>1184</v>
      </c>
      <c r="F164" s="308" t="s">
        <v>1185</v>
      </c>
      <c r="G164" s="319">
        <v>45935</v>
      </c>
      <c r="H164" s="284" t="s">
        <v>247</v>
      </c>
      <c r="I164" s="285" t="s">
        <v>325</v>
      </c>
      <c r="J164" s="285"/>
      <c r="K164" s="308" t="s">
        <v>1165</v>
      </c>
      <c r="L164" s="286" t="s">
        <v>326</v>
      </c>
      <c r="M164" s="286" t="s">
        <v>269</v>
      </c>
      <c r="N164" s="94">
        <v>1</v>
      </c>
      <c r="O164" s="113" t="s">
        <v>327</v>
      </c>
      <c r="P16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4" s="35" t="e">
        <v>#N/A</v>
      </c>
      <c r="S164" s="35">
        <v>1</v>
      </c>
      <c r="T164" s="35">
        <f>Table1[[#This Row],[Progres Total Aktual
(%)]]</f>
        <v>1</v>
      </c>
      <c r="U164" s="106">
        <f>Table1[[#This Row],[Progres Aktual
(%)]]-Table1[[#This Row],[Target Progres
(%)]]</f>
        <v>0</v>
      </c>
      <c r="V164" s="320">
        <f>Table1[[#This Row],["Volume
BA MC-0"]]</f>
        <v>0</v>
      </c>
      <c r="W164" s="321">
        <f>Table1[[#This Row],[Total Panjang Pipa Aktual
(Sum-&gt;)3]]</f>
        <v>1</v>
      </c>
      <c r="X164" s="42"/>
      <c r="Y164" s="62" t="s">
        <v>1176</v>
      </c>
      <c r="Z164" s="62">
        <v>8743980378</v>
      </c>
      <c r="AA164" s="62">
        <f>Table1[[#This Row],[Nilai RAB Jaringan
(file pa aji)]]</f>
        <v>8743980378</v>
      </c>
      <c r="AB164" s="290">
        <f>SUM(Table1[[#This Row],[RAB Kegiatan Umum]:[RAB Perizinan]])</f>
        <v>0</v>
      </c>
      <c r="AC164" s="290"/>
      <c r="AD164" s="290"/>
      <c r="AE164" s="290"/>
      <c r="AF164" s="290"/>
      <c r="AG164" s="406">
        <v>0</v>
      </c>
      <c r="AH164" s="35" t="e">
        <f>SUM(Table1[[#This Row],[Bobot Keg Umum]:[Bobot Perizinan]])</f>
        <v>#DIV/0!</v>
      </c>
      <c r="AI164" s="35" t="e">
        <f>Table1[[#This Row],[RAB Kegiatan Umum]]/Table1[[#This Row],[Nilai RAB Jaringan
(Exclude Ppn)]]</f>
        <v>#DIV/0!</v>
      </c>
      <c r="AJ164" s="35" t="e">
        <f>Table1[[#This Row],[RAB Pemasangan]]/Table1[[#This Row],[Nilai RAB Jaringan
(Exclude Ppn)]]</f>
        <v>#DIV/0!</v>
      </c>
      <c r="AK164" s="35" t="e">
        <f>Table1[[#This Row],[RAB Pengadaan]]/Table1[[#This Row],[Nilai RAB Jaringan
(Exclude Ppn)]]</f>
        <v>#DIV/0!</v>
      </c>
      <c r="AL164" s="35" t="e">
        <f>Table1[[#This Row],[RAB Perizinan]]/Table1[[#This Row],[Nilai RAB Jaringan
(Exclude Ppn)]]</f>
        <v>#DIV/0!</v>
      </c>
      <c r="AM164" s="42"/>
      <c r="AN164" s="256">
        <v>0</v>
      </c>
      <c r="AO164" s="256">
        <f>SUM(Table1[[#This Row],[Pipa 63 mm]:[Pipa 1,800 mm]])</f>
        <v>0</v>
      </c>
      <c r="AP164" s="256"/>
      <c r="AQ164" s="256"/>
      <c r="AR164" s="256"/>
      <c r="AS164" s="256"/>
      <c r="AT164" s="256"/>
      <c r="AU164" s="256"/>
      <c r="AV164" s="256"/>
      <c r="AW164" s="256"/>
      <c r="AX164" s="256"/>
      <c r="AY164" s="256"/>
      <c r="AZ164" s="256"/>
      <c r="BA164" s="256"/>
      <c r="BB164" s="256"/>
      <c r="BC164" s="256"/>
      <c r="BD164" s="256"/>
      <c r="BE164" s="256"/>
      <c r="BF164" s="256"/>
      <c r="BG164" s="256"/>
      <c r="BH164" s="256"/>
      <c r="BI164" s="256"/>
      <c r="BJ164" s="36">
        <v>1</v>
      </c>
      <c r="BK164" s="32"/>
      <c r="BL164" s="32"/>
      <c r="BM164" s="32"/>
      <c r="BN164" s="32"/>
      <c r="BO164" s="32"/>
      <c r="BP164" s="32"/>
      <c r="BQ164" s="32"/>
      <c r="BR164" s="32"/>
      <c r="BS164" s="32"/>
      <c r="BT164" s="32"/>
      <c r="BU164" s="32"/>
      <c r="BV164" s="32"/>
      <c r="BW164" s="32"/>
      <c r="BX164" s="32"/>
      <c r="BY164" s="32"/>
      <c r="BZ164" s="32"/>
      <c r="CA164" s="32"/>
      <c r="CB164" s="32"/>
      <c r="CC164" s="32"/>
      <c r="CD164" s="32"/>
      <c r="CE164" s="32">
        <v>0</v>
      </c>
      <c r="CF164" s="32">
        <v>0</v>
      </c>
      <c r="CG164" s="32">
        <v>0</v>
      </c>
      <c r="CH164" s="32">
        <v>0</v>
      </c>
      <c r="CI164" s="32">
        <f t="shared" si="10"/>
        <v>0</v>
      </c>
      <c r="CJ164" s="60">
        <f>IF((Table1[[#This Row],["Volume
BA MC-0"]]-Table1[[#This Row],[Total Panjang Pipa Aktual
(Sum-&gt;)3]]-Table1[[#This Row],[Total Volume
tidak dapat dipasang]])&gt;=0,Table1[[#This Row],["Volume
BA MC-0"]]-Table1[[#This Row],[Total Panjang Pipa Aktual
(Sum-&gt;)3]]-Table1[[#This Row],[Total Volume
tidak dapat dipasang]],0)</f>
        <v>0</v>
      </c>
      <c r="CK164" s="42"/>
      <c r="CL164" s="113"/>
      <c r="CM164" s="35"/>
      <c r="CN164" s="113"/>
      <c r="CO164" s="113"/>
      <c r="CP1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4" s="61">
        <f>IFERROR(Table1[[#This Row],[Progres Keg. Umum
(%)]]*Table1[[#This Row],[Nilai RAB Jaringan
(file pa aji)]],0)</f>
        <v>0</v>
      </c>
      <c r="CR164" s="61">
        <f>IFERROR(Table1[[#This Row],[Progres MOS
(%)]]*Table1[[#This Row],[Nilai RAB Jaringan
(file pa aji)]],0)</f>
        <v>0</v>
      </c>
      <c r="CS164" s="61">
        <f>IFERROR(Table1[[#This Row],[Progres Pemasangan
(%)]]*Table1[[#This Row],[Nilai RAB Jaringan
(file pa aji)]],0)</f>
        <v>0</v>
      </c>
      <c r="CT164" s="61">
        <f>IFERROR(Table1[[#This Row],[Progres Perizinan
(%)]]*Table1[[#This Row],[Nilai RAB Jaringan
(file pa aji)]],0)</f>
        <v>0</v>
      </c>
      <c r="CU164" s="789">
        <v>8252684868</v>
      </c>
      <c r="CV164" s="299">
        <v>8252684868</v>
      </c>
      <c r="CW164" s="552">
        <v>8252684868</v>
      </c>
      <c r="CX164" s="789">
        <f>_xlfn.XLOOKUP(Table1[[#This Row],[Kode Program]],'[1]Breakdown VOWD Greenfield'!$E:$E,'[1]Breakdown VOWD Greenfield'!$AT:$AT)</f>
        <v>8252684868</v>
      </c>
      <c r="CY164" s="42"/>
      <c r="CZ164" s="300">
        <v>45348</v>
      </c>
      <c r="DA164" s="300">
        <v>45382</v>
      </c>
      <c r="DB164" s="301">
        <v>45274</v>
      </c>
      <c r="DC164" s="286" t="s">
        <v>1186</v>
      </c>
      <c r="DD164" s="62">
        <v>8743980378</v>
      </c>
      <c r="DE1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4" s="301">
        <v>45281</v>
      </c>
      <c r="DG164" s="286" t="s">
        <v>1187</v>
      </c>
      <c r="DH164" s="62">
        <v>8743980378</v>
      </c>
      <c r="DI1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4" s="300">
        <v>45383</v>
      </c>
      <c r="DK164" s="300">
        <v>45536</v>
      </c>
      <c r="DL164" s="301">
        <v>45922</v>
      </c>
      <c r="DM164" s="286" t="s">
        <v>1188</v>
      </c>
      <c r="DN1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4" s="301">
        <v>45958</v>
      </c>
      <c r="DP164" s="286" t="s">
        <v>1189</v>
      </c>
      <c r="DQ164" s="308" t="s">
        <v>1190</v>
      </c>
      <c r="DR1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4" s="300">
        <v>45383</v>
      </c>
      <c r="DT164" s="300" t="e">
        <v>#N/A</v>
      </c>
      <c r="DU164" s="300">
        <v>45431</v>
      </c>
      <c r="DV164" s="300" t="e">
        <v>#N/A</v>
      </c>
      <c r="DW164" s="301">
        <v>45709</v>
      </c>
      <c r="DX164" s="286" t="s">
        <v>1191</v>
      </c>
      <c r="DY164" s="304"/>
      <c r="DZ164" s="304"/>
      <c r="EA1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4" s="301">
        <v>45721</v>
      </c>
      <c r="EC164" s="302"/>
      <c r="ED164" s="302"/>
      <c r="EE164" s="300" t="s">
        <v>1192</v>
      </c>
      <c r="EF164" s="35">
        <v>1</v>
      </c>
      <c r="EG164" s="307">
        <v>1</v>
      </c>
      <c r="EH164" s="286" t="str">
        <f>IF(Table1[[#This Row],[PO Material Aktual 
(%)]]&gt;=100%,"Selesai PO = 100%",IF(Table1[[#This Row],[PO Material Aktual 
(%)]]&gt;=50%,"Proses PO &gt; 100%",IF(Table1[[#This Row],[PO Material Aktual 
(%)]]&gt;0%,"Proses PO &gt; 50%",IF(Table1[[#This Row],[PO Material Aktual 
(%)]]=0,"Belum PO = 0%"))))</f>
        <v>Selesai PO = 100%</v>
      </c>
      <c r="EI1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4" s="300">
        <v>45432</v>
      </c>
      <c r="EK164" s="300" t="e">
        <v>#N/A</v>
      </c>
      <c r="EL164" s="300">
        <v>45620</v>
      </c>
      <c r="EM164" s="300" t="e">
        <v>#N/A</v>
      </c>
      <c r="EN164" s="301">
        <v>46066</v>
      </c>
      <c r="EO164" s="302"/>
      <c r="EP164" s="302"/>
      <c r="EQ164" s="82">
        <v>1</v>
      </c>
      <c r="ER164" s="82">
        <v>1</v>
      </c>
      <c r="ES164" s="286" t="str">
        <f>IF(Table1[[#This Row],[Progres MOS]]&gt;=100%,"Selesai MOS = 100%",IF(Table1[[#This Row],[Progres MOS]]&gt;=50%,"Proses MOS &gt; 100%",IF(Table1[[#This Row],[Progres MOS]]&gt;0%,"Proses MOS &gt; 50%",IF(Table1[[#This Row],[Progres MOS]]=0,"Belum MOS = 0%"))))</f>
        <v>Selesai MOS = 100%</v>
      </c>
      <c r="ET1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4" s="42"/>
      <c r="EV164" s="300">
        <v>45383</v>
      </c>
      <c r="EW164" s="300" t="e">
        <v>#N/A</v>
      </c>
      <c r="EX164" s="300">
        <v>45564</v>
      </c>
      <c r="EY164" s="300" t="e">
        <v>#N/A</v>
      </c>
      <c r="EZ164" s="322" t="s">
        <v>259</v>
      </c>
      <c r="FA164" s="354"/>
      <c r="FB164" s="300"/>
      <c r="FC164" s="300" t="s">
        <v>282</v>
      </c>
      <c r="FD164" s="300" t="s">
        <v>282</v>
      </c>
      <c r="FE164" s="300" t="s">
        <v>282</v>
      </c>
      <c r="FF164" s="300" t="s">
        <v>282</v>
      </c>
      <c r="FG164" s="300" t="s">
        <v>282</v>
      </c>
      <c r="FH164" s="300" t="s">
        <v>282</v>
      </c>
      <c r="FI164" s="300" t="s">
        <v>282</v>
      </c>
      <c r="FJ164" s="300" t="s">
        <v>282</v>
      </c>
      <c r="FK164" s="300" t="s">
        <v>283</v>
      </c>
      <c r="FL164" s="306" t="str">
        <f>Table1[[#This Row],[IPPJU]]</f>
        <v>10.Izin Terbit</v>
      </c>
      <c r="FM164" s="306"/>
      <c r="FN164" s="284" t="str">
        <f>IF(Table1[[#This Row],[Tanggal Pengajuan Dokumen]]="","",Table1[[#This Row],[PLAN PERMIT
start]]-Table1[[#This Row],[Tanggal Pengajuan Dokumen]])</f>
        <v/>
      </c>
      <c r="FO164" s="407">
        <v>45443</v>
      </c>
      <c r="FP164" s="286"/>
      <c r="FQ164" s="308"/>
      <c r="FR164" s="308"/>
      <c r="FS164" s="308" t="str">
        <f t="shared" si="9"/>
        <v>Sudah Terbit</v>
      </c>
      <c r="FT1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4" s="314">
        <f ca="1">IF(Table1[[#This Row],[Status Izin]]="Selesai",Table1[[#This Row],[PLAN PERMIT
finish]]-Table1[[#This Row],[Tanggal Terbit/ Target Izin Terbit]],ROUNDUP(Table1[[#This Row],[PLAN PERMIT
finish]]-NOW(),0))</f>
        <v>121</v>
      </c>
      <c r="FV1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4" s="314"/>
      <c r="FX164" s="42"/>
      <c r="FY164" s="310"/>
      <c r="FZ164" s="311"/>
      <c r="GA1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4" s="300">
        <v>45538</v>
      </c>
      <c r="GC164" s="322">
        <v>45387</v>
      </c>
      <c r="GD1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4" s="300">
        <v>45545</v>
      </c>
      <c r="GF164" s="322">
        <v>45553</v>
      </c>
      <c r="GG1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4" s="300">
        <v>45551</v>
      </c>
      <c r="GI164" s="300">
        <v>45557</v>
      </c>
      <c r="GJ164" s="322">
        <v>45737</v>
      </c>
      <c r="GK1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4" s="300">
        <v>45565</v>
      </c>
      <c r="GM164" s="300" t="e">
        <v>#N/A</v>
      </c>
      <c r="GN164" s="300">
        <v>45753</v>
      </c>
      <c r="GO164" s="300" t="e">
        <v>#N/A</v>
      </c>
      <c r="GP164" s="286"/>
      <c r="GQ1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4" s="300" t="s">
        <v>261</v>
      </c>
      <c r="GS164" s="300" t="s">
        <v>261</v>
      </c>
      <c r="GT164" s="324" t="s">
        <v>1193</v>
      </c>
      <c r="GU164" s="314" t="str">
        <f>IF(Table1[[#This Row],[Hydro Tes Actual
(tanggal)]]&lt;&gt;"","Sudah","Belum")</f>
        <v>Sudah</v>
      </c>
      <c r="GV164" s="300" t="s">
        <v>261</v>
      </c>
      <c r="GW164" s="300" t="s">
        <v>261</v>
      </c>
      <c r="GX164" s="301">
        <v>45999</v>
      </c>
      <c r="GY164" s="314" t="str">
        <f>IF(Table1[[#This Row],[Interkoneksi Actual
(tanggal)]]&lt;&gt;"","Sudah","Belum")</f>
        <v>Sudah</v>
      </c>
      <c r="GZ164" s="300" t="s">
        <v>261</v>
      </c>
      <c r="HA164" s="300" t="s">
        <v>261</v>
      </c>
      <c r="HB164" s="301"/>
      <c r="HC164" s="314" t="str">
        <f>IF(Table1[[#This Row],[Flushing Actual
(tanggal)]]&lt;&gt;"","Sudah","Belum")</f>
        <v>Belum</v>
      </c>
      <c r="HD164" s="300">
        <v>45726</v>
      </c>
      <c r="HE164" s="300" t="e">
        <v>#N/A</v>
      </c>
      <c r="HF164" s="300">
        <v>45746</v>
      </c>
      <c r="HG164" s="301">
        <v>45909</v>
      </c>
      <c r="HH1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4" s="300" t="s">
        <v>261</v>
      </c>
      <c r="HJ164" s="300" t="s">
        <v>261</v>
      </c>
      <c r="HK164" s="301"/>
      <c r="HL164" s="286"/>
      <c r="HM164" s="300">
        <v>45765</v>
      </c>
      <c r="HN164" s="300">
        <v>45765</v>
      </c>
      <c r="HO164" s="300" t="e">
        <v>#N/A</v>
      </c>
      <c r="HP164" s="300"/>
      <c r="HQ164" s="301">
        <v>45934</v>
      </c>
      <c r="HR1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4" s="300">
        <v>45772</v>
      </c>
      <c r="HT164" s="300"/>
      <c r="HU164" s="300">
        <v>45772</v>
      </c>
      <c r="HV164" s="497"/>
      <c r="HW164" s="301">
        <v>45934</v>
      </c>
      <c r="HX1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4" s="42"/>
      <c r="HZ164" s="322"/>
      <c r="IA164" s="306"/>
      <c r="IC164" s="585">
        <f>IFERROR(ROUND((Table1[[#This Row],[PLAN TC
finish]]-Table1[[#This Row],[PLAN MC-0
start]])/30,2),"")</f>
        <v>6.5</v>
      </c>
      <c r="ID164">
        <f>DATEDIF(Table1[[#This Row],[PLAN MC-0
start]],Table1[[#This Row],[PLAN TC
finish]],"m")</f>
        <v>6</v>
      </c>
    </row>
    <row r="165" spans="1:238" s="4" customFormat="1" ht="15" customHeight="1" x14ac:dyDescent="0.25">
      <c r="B165" s="281">
        <f>SUBTOTAL(3,$D$5:D165)</f>
        <v>161</v>
      </c>
      <c r="C165" s="318">
        <v>161</v>
      </c>
      <c r="D165" s="308" t="s">
        <v>244</v>
      </c>
      <c r="E165" s="308" t="s">
        <v>1194</v>
      </c>
      <c r="F165" s="308" t="s">
        <v>1195</v>
      </c>
      <c r="G165" s="319">
        <v>45935</v>
      </c>
      <c r="H165" s="284" t="s">
        <v>247</v>
      </c>
      <c r="I165" s="285" t="s">
        <v>325</v>
      </c>
      <c r="J165" s="285"/>
      <c r="K165" s="308" t="s">
        <v>1165</v>
      </c>
      <c r="L165" s="286" t="s">
        <v>326</v>
      </c>
      <c r="M165" s="286" t="s">
        <v>269</v>
      </c>
      <c r="N165" s="94">
        <v>1</v>
      </c>
      <c r="O165" s="113" t="s">
        <v>327</v>
      </c>
      <c r="P16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5" s="35" t="e">
        <v>#N/A</v>
      </c>
      <c r="S165" s="35">
        <v>1</v>
      </c>
      <c r="T165" s="35">
        <f>Table1[[#This Row],[Progres Total Aktual
(%)]]</f>
        <v>1</v>
      </c>
      <c r="U165" s="106">
        <f>Table1[[#This Row],[Progres Aktual
(%)]]-Table1[[#This Row],[Target Progres
(%)]]</f>
        <v>0</v>
      </c>
      <c r="V165" s="320">
        <f>Table1[[#This Row],["Volume
BA MC-0"]]</f>
        <v>0</v>
      </c>
      <c r="W165" s="321">
        <f>Table1[[#This Row],[Total Panjang Pipa Aktual
(Sum-&gt;)3]]</f>
        <v>1</v>
      </c>
      <c r="X165" s="42"/>
      <c r="Y165" s="62" t="s">
        <v>1176</v>
      </c>
      <c r="Z165" s="62">
        <v>11893824115</v>
      </c>
      <c r="AA165" s="62">
        <f>Table1[[#This Row],[Nilai RAB Jaringan
(file pa aji)]]</f>
        <v>11893824115</v>
      </c>
      <c r="AB165" s="290">
        <f>SUM(Table1[[#This Row],[RAB Kegiatan Umum]:[RAB Perizinan]])</f>
        <v>0</v>
      </c>
      <c r="AC165" s="290"/>
      <c r="AD165" s="290"/>
      <c r="AE165" s="290"/>
      <c r="AF165" s="290"/>
      <c r="AG165" s="406">
        <v>0</v>
      </c>
      <c r="AH165" s="35" t="e">
        <f>SUM(Table1[[#This Row],[Bobot Keg Umum]:[Bobot Perizinan]])</f>
        <v>#DIV/0!</v>
      </c>
      <c r="AI165" s="35" t="e">
        <f>Table1[[#This Row],[RAB Kegiatan Umum]]/Table1[[#This Row],[Nilai RAB Jaringan
(Exclude Ppn)]]</f>
        <v>#DIV/0!</v>
      </c>
      <c r="AJ165" s="35" t="e">
        <f>Table1[[#This Row],[RAB Pemasangan]]/Table1[[#This Row],[Nilai RAB Jaringan
(Exclude Ppn)]]</f>
        <v>#DIV/0!</v>
      </c>
      <c r="AK165" s="35" t="e">
        <f>Table1[[#This Row],[RAB Pengadaan]]/Table1[[#This Row],[Nilai RAB Jaringan
(Exclude Ppn)]]</f>
        <v>#DIV/0!</v>
      </c>
      <c r="AL165" s="35" t="e">
        <f>Table1[[#This Row],[RAB Perizinan]]/Table1[[#This Row],[Nilai RAB Jaringan
(Exclude Ppn)]]</f>
        <v>#DIV/0!</v>
      </c>
      <c r="AM165" s="42"/>
      <c r="AN165" s="256">
        <v>0</v>
      </c>
      <c r="AO165" s="256">
        <f>SUM(Table1[[#This Row],[Pipa 63 mm]:[Pipa 1,800 mm]])</f>
        <v>0</v>
      </c>
      <c r="AP165" s="256"/>
      <c r="AQ165" s="256"/>
      <c r="AR165" s="256"/>
      <c r="AS165" s="256"/>
      <c r="AT165" s="256"/>
      <c r="AU165" s="256"/>
      <c r="AV165" s="256"/>
      <c r="AW165" s="256"/>
      <c r="AX165" s="256"/>
      <c r="AY165" s="256"/>
      <c r="AZ165" s="256"/>
      <c r="BA165" s="256"/>
      <c r="BB165" s="256"/>
      <c r="BC165" s="256"/>
      <c r="BD165" s="256"/>
      <c r="BE165" s="256"/>
      <c r="BF165" s="256"/>
      <c r="BG165" s="256"/>
      <c r="BH165" s="256"/>
      <c r="BI165" s="256"/>
      <c r="BJ165" s="36">
        <v>1</v>
      </c>
      <c r="BK165" s="32"/>
      <c r="BL165" s="32"/>
      <c r="BM165" s="32"/>
      <c r="BN165" s="32"/>
      <c r="BO165" s="32"/>
      <c r="BP165" s="32"/>
      <c r="BQ165" s="32"/>
      <c r="BR165" s="32"/>
      <c r="BS165" s="32"/>
      <c r="BT165" s="32"/>
      <c r="BU165" s="32"/>
      <c r="BV165" s="32"/>
      <c r="BW165" s="32"/>
      <c r="BX165" s="32"/>
      <c r="BY165" s="32"/>
      <c r="BZ165" s="32"/>
      <c r="CA165" s="32"/>
      <c r="CB165" s="32"/>
      <c r="CC165" s="32"/>
      <c r="CD165" s="32"/>
      <c r="CE165" s="32">
        <v>0</v>
      </c>
      <c r="CF165" s="32">
        <v>0</v>
      </c>
      <c r="CG165" s="32">
        <v>0</v>
      </c>
      <c r="CH165" s="32">
        <v>0</v>
      </c>
      <c r="CI165" s="32">
        <f t="shared" si="10"/>
        <v>0</v>
      </c>
      <c r="CJ165" s="60">
        <f>IF((Table1[[#This Row],["Volume
BA MC-0"]]-Table1[[#This Row],[Total Panjang Pipa Aktual
(Sum-&gt;)3]]-Table1[[#This Row],[Total Volume
tidak dapat dipasang]])&gt;=0,Table1[[#This Row],["Volume
BA MC-0"]]-Table1[[#This Row],[Total Panjang Pipa Aktual
(Sum-&gt;)3]]-Table1[[#This Row],[Total Volume
tidak dapat dipasang]],0)</f>
        <v>0</v>
      </c>
      <c r="CK165" s="42"/>
      <c r="CL165" s="113"/>
      <c r="CM165" s="35"/>
      <c r="CN165" s="113"/>
      <c r="CO165" s="113"/>
      <c r="CP1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5" s="61">
        <f>IFERROR(Table1[[#This Row],[Progres Keg. Umum
(%)]]*Table1[[#This Row],[Nilai RAB Jaringan
(file pa aji)]],0)</f>
        <v>0</v>
      </c>
      <c r="CR165" s="61">
        <f>IFERROR(Table1[[#This Row],[Progres MOS
(%)]]*Table1[[#This Row],[Nilai RAB Jaringan
(file pa aji)]],0)</f>
        <v>0</v>
      </c>
      <c r="CS165" s="61">
        <f>IFERROR(Table1[[#This Row],[Progres Pemasangan
(%)]]*Table1[[#This Row],[Nilai RAB Jaringan
(file pa aji)]],0)</f>
        <v>0</v>
      </c>
      <c r="CT165" s="61">
        <f>IFERROR(Table1[[#This Row],[Progres Perizinan
(%)]]*Table1[[#This Row],[Nilai RAB Jaringan
(file pa aji)]],0)</f>
        <v>0</v>
      </c>
      <c r="CU165" s="789">
        <v>11893824115</v>
      </c>
      <c r="CV165" s="299">
        <v>11893824115</v>
      </c>
      <c r="CW165" s="552">
        <v>11893824115</v>
      </c>
      <c r="CX165" s="789">
        <f>_xlfn.XLOOKUP(Table1[[#This Row],[Kode Program]],'[1]Breakdown VOWD Greenfield'!$E:$E,'[1]Breakdown VOWD Greenfield'!$AT:$AT)</f>
        <v>11893824115</v>
      </c>
      <c r="CY165" s="42"/>
      <c r="CZ165" s="300">
        <v>45348</v>
      </c>
      <c r="DA165" s="300">
        <v>45382</v>
      </c>
      <c r="DB165" s="301">
        <v>45579</v>
      </c>
      <c r="DC165" s="286" t="s">
        <v>1196</v>
      </c>
      <c r="DD165" s="62">
        <v>11893824115</v>
      </c>
      <c r="DE1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5" s="301">
        <v>45588</v>
      </c>
      <c r="DG165" s="286" t="s">
        <v>1197</v>
      </c>
      <c r="DH165" s="62">
        <v>11893824115</v>
      </c>
      <c r="DI1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5" s="300">
        <v>45383</v>
      </c>
      <c r="DK165" s="300">
        <v>45536</v>
      </c>
      <c r="DL165" s="301">
        <v>45834</v>
      </c>
      <c r="DM165" s="286" t="s">
        <v>1198</v>
      </c>
      <c r="DN1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5" s="301">
        <v>45882</v>
      </c>
      <c r="DP165" s="286" t="s">
        <v>1199</v>
      </c>
      <c r="DQ165" s="308" t="s">
        <v>1200</v>
      </c>
      <c r="DR1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5" s="300">
        <v>45383</v>
      </c>
      <c r="DT165" s="300" t="e">
        <v>#N/A</v>
      </c>
      <c r="DU165" s="300">
        <v>45431</v>
      </c>
      <c r="DV165" s="300" t="e">
        <v>#N/A</v>
      </c>
      <c r="DW165" s="301">
        <v>45930</v>
      </c>
      <c r="DX165" s="286" t="s">
        <v>1201</v>
      </c>
      <c r="DY165" s="304"/>
      <c r="DZ165" s="304"/>
      <c r="EA1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5" s="301">
        <v>45971</v>
      </c>
      <c r="EC165" s="302"/>
      <c r="ED165" s="302"/>
      <c r="EE165" s="300" t="s">
        <v>1202</v>
      </c>
      <c r="EF165" s="35">
        <v>1</v>
      </c>
      <c r="EG165" s="307">
        <v>1</v>
      </c>
      <c r="EH165" s="286" t="str">
        <f>IF(Table1[[#This Row],[PO Material Aktual 
(%)]]&gt;=100%,"Selesai PO = 100%",IF(Table1[[#This Row],[PO Material Aktual 
(%)]]&gt;=50%,"Proses PO &gt; 100%",IF(Table1[[#This Row],[PO Material Aktual 
(%)]]&gt;0%,"Proses PO &gt; 50%",IF(Table1[[#This Row],[PO Material Aktual 
(%)]]=0,"Belum PO = 0%"))))</f>
        <v>Selesai PO = 100%</v>
      </c>
      <c r="EI1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5" s="300">
        <v>45432</v>
      </c>
      <c r="EK165" s="300" t="e">
        <v>#N/A</v>
      </c>
      <c r="EL165" s="300">
        <v>45620</v>
      </c>
      <c r="EM165" s="300" t="e">
        <v>#N/A</v>
      </c>
      <c r="EN165" s="301">
        <v>46031</v>
      </c>
      <c r="EO165" s="302"/>
      <c r="EP165" s="302"/>
      <c r="EQ165" s="82">
        <v>1</v>
      </c>
      <c r="ER165" s="82">
        <v>1</v>
      </c>
      <c r="ES165" s="286" t="str">
        <f>IF(Table1[[#This Row],[Progres MOS]]&gt;=100%,"Selesai MOS = 100%",IF(Table1[[#This Row],[Progres MOS]]&gt;=50%,"Proses MOS &gt; 100%",IF(Table1[[#This Row],[Progres MOS]]&gt;0%,"Proses MOS &gt; 50%",IF(Table1[[#This Row],[Progres MOS]]=0,"Belum MOS = 0%"))))</f>
        <v>Selesai MOS = 100%</v>
      </c>
      <c r="ET1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5" s="42"/>
      <c r="EV165" s="300">
        <v>45383</v>
      </c>
      <c r="EW165" s="300" t="e">
        <v>#N/A</v>
      </c>
      <c r="EX165" s="300">
        <v>45564</v>
      </c>
      <c r="EY165" s="300" t="e">
        <v>#N/A</v>
      </c>
      <c r="EZ165" s="322" t="s">
        <v>259</v>
      </c>
      <c r="FA165" s="354"/>
      <c r="FB165" s="300"/>
      <c r="FC165" s="300" t="s">
        <v>282</v>
      </c>
      <c r="FD165" s="300" t="s">
        <v>282</v>
      </c>
      <c r="FE165" s="300" t="s">
        <v>282</v>
      </c>
      <c r="FF165" s="300" t="s">
        <v>282</v>
      </c>
      <c r="FG165" s="300" t="s">
        <v>282</v>
      </c>
      <c r="FH165" s="300" t="s">
        <v>282</v>
      </c>
      <c r="FI165" s="300" t="s">
        <v>282</v>
      </c>
      <c r="FJ165" s="300" t="s">
        <v>282</v>
      </c>
      <c r="FK165" s="300" t="s">
        <v>283</v>
      </c>
      <c r="FL165" s="306" t="str">
        <f>Table1[[#This Row],[IPPJU]]</f>
        <v>10.Izin Terbit</v>
      </c>
      <c r="FM165" s="306"/>
      <c r="FN165" s="284" t="str">
        <f>IF(Table1[[#This Row],[Tanggal Pengajuan Dokumen]]="","",Table1[[#This Row],[PLAN PERMIT
start]]-Table1[[#This Row],[Tanggal Pengajuan Dokumen]])</f>
        <v/>
      </c>
      <c r="FO165" s="407">
        <v>45443</v>
      </c>
      <c r="FP165" s="286"/>
      <c r="FQ165" s="308"/>
      <c r="FR165" s="308"/>
      <c r="FS165" s="308" t="str">
        <f t="shared" si="9"/>
        <v>Sudah Terbit</v>
      </c>
      <c r="FT1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5" s="314">
        <f ca="1">IF(Table1[[#This Row],[Status Izin]]="Selesai",Table1[[#This Row],[PLAN PERMIT
finish]]-Table1[[#This Row],[Tanggal Terbit/ Target Izin Terbit]],ROUNDUP(Table1[[#This Row],[PLAN PERMIT
finish]]-NOW(),0))</f>
        <v>121</v>
      </c>
      <c r="FV1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5" s="314"/>
      <c r="FX165" s="42"/>
      <c r="FY165" s="310"/>
      <c r="FZ165" s="311"/>
      <c r="GA1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5" s="300">
        <v>45538</v>
      </c>
      <c r="GC165" s="322">
        <v>45387</v>
      </c>
      <c r="GD1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5" s="300">
        <v>45545</v>
      </c>
      <c r="GF165" s="322">
        <v>45553</v>
      </c>
      <c r="GG1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5" s="300">
        <v>45551</v>
      </c>
      <c r="GI165" s="300">
        <v>45557</v>
      </c>
      <c r="GJ165" s="322">
        <v>45372</v>
      </c>
      <c r="GK1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65" s="300">
        <v>45565</v>
      </c>
      <c r="GM165" s="300" t="e">
        <v>#N/A</v>
      </c>
      <c r="GN165" s="300">
        <v>45753</v>
      </c>
      <c r="GO165" s="300" t="e">
        <v>#N/A</v>
      </c>
      <c r="GP165" s="286"/>
      <c r="GQ1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5" s="300" t="s">
        <v>261</v>
      </c>
      <c r="GS165" s="300" t="s">
        <v>261</v>
      </c>
      <c r="GT165" s="324"/>
      <c r="GU165" s="314" t="str">
        <f>IF(Table1[[#This Row],[Hydro Tes Actual
(tanggal)]]&lt;&gt;"","Sudah","Belum")</f>
        <v>Belum</v>
      </c>
      <c r="GV165" s="300" t="s">
        <v>261</v>
      </c>
      <c r="GW165" s="300" t="s">
        <v>261</v>
      </c>
      <c r="GX165" s="301"/>
      <c r="GY165" s="314" t="str">
        <f>IF(Table1[[#This Row],[Interkoneksi Actual
(tanggal)]]&lt;&gt;"","Sudah","Belum")</f>
        <v>Belum</v>
      </c>
      <c r="GZ165" s="300" t="s">
        <v>261</v>
      </c>
      <c r="HA165" s="300" t="s">
        <v>261</v>
      </c>
      <c r="HB165" s="301"/>
      <c r="HC165" s="314" t="str">
        <f>IF(Table1[[#This Row],[Flushing Actual
(tanggal)]]&lt;&gt;"","Sudah","Belum")</f>
        <v>Belum</v>
      </c>
      <c r="HD165" s="300">
        <v>45726</v>
      </c>
      <c r="HE165" s="300" t="e">
        <v>#N/A</v>
      </c>
      <c r="HF165" s="300">
        <v>45746</v>
      </c>
      <c r="HG165" s="301">
        <v>45917</v>
      </c>
      <c r="HH1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5" s="300" t="s">
        <v>261</v>
      </c>
      <c r="HJ165" s="300" t="s">
        <v>261</v>
      </c>
      <c r="HK165" s="301"/>
      <c r="HL165" s="286"/>
      <c r="HM165" s="300">
        <v>45765</v>
      </c>
      <c r="HN165" s="300">
        <v>45765</v>
      </c>
      <c r="HO165" s="300" t="e">
        <v>#N/A</v>
      </c>
      <c r="HP165" s="300"/>
      <c r="HQ165" s="301">
        <v>45934</v>
      </c>
      <c r="HR1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5" s="300">
        <v>45772</v>
      </c>
      <c r="HT165" s="300"/>
      <c r="HU165" s="300">
        <v>45772</v>
      </c>
      <c r="HV165" s="497"/>
      <c r="HW165" s="301">
        <v>45934</v>
      </c>
      <c r="HX1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5" s="42"/>
      <c r="HZ165" s="322"/>
      <c r="IA165" s="306"/>
      <c r="IC165" s="585">
        <f>IFERROR(ROUND((Table1[[#This Row],[PLAN TC
finish]]-Table1[[#This Row],[PLAN MC-0
start]])/30,2),"")</f>
        <v>6.5</v>
      </c>
      <c r="ID165">
        <f>DATEDIF(Table1[[#This Row],[PLAN MC-0
start]],Table1[[#This Row],[PLAN TC
finish]],"m")</f>
        <v>6</v>
      </c>
    </row>
    <row r="166" spans="1:238" s="4" customFormat="1" ht="15" customHeight="1" x14ac:dyDescent="0.25">
      <c r="B166" s="281">
        <f>SUBTOTAL(3,$D$5:D166)</f>
        <v>162</v>
      </c>
      <c r="C166" s="318">
        <v>162</v>
      </c>
      <c r="D166" s="308" t="s">
        <v>244</v>
      </c>
      <c r="E166" s="308" t="s">
        <v>1203</v>
      </c>
      <c r="F166" s="370" t="s">
        <v>1204</v>
      </c>
      <c r="G166" s="319">
        <v>45935</v>
      </c>
      <c r="H166" s="284" t="s">
        <v>247</v>
      </c>
      <c r="I166" s="285" t="s">
        <v>325</v>
      </c>
      <c r="J166" s="285"/>
      <c r="K166" s="308" t="s">
        <v>1165</v>
      </c>
      <c r="L166" s="286" t="s">
        <v>326</v>
      </c>
      <c r="M166" s="286" t="s">
        <v>269</v>
      </c>
      <c r="N166" s="94">
        <v>1</v>
      </c>
      <c r="O166" s="113" t="s">
        <v>327</v>
      </c>
      <c r="P16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66" s="35" t="e">
        <v>#N/A</v>
      </c>
      <c r="S166" s="35">
        <v>1</v>
      </c>
      <c r="T166" s="35">
        <f>Table1[[#This Row],[Progres Total Aktual
(%)]]</f>
        <v>1</v>
      </c>
      <c r="U166" s="106">
        <f>Table1[[#This Row],[Progres Aktual
(%)]]-Table1[[#This Row],[Target Progres
(%)]]</f>
        <v>0</v>
      </c>
      <c r="V166" s="320">
        <f>Table1[[#This Row],["Volume
BA MC-0"]]</f>
        <v>0</v>
      </c>
      <c r="W166" s="321">
        <f>Table1[[#This Row],[Total Panjang Pipa Aktual
(Sum-&gt;)3]]</f>
        <v>1</v>
      </c>
      <c r="X166" s="42"/>
      <c r="Y166" s="62" t="s">
        <v>1176</v>
      </c>
      <c r="Z166" s="62">
        <v>666568323</v>
      </c>
      <c r="AA166" s="62">
        <f>Table1[[#This Row],[Nilai RAB Jaringan
(file pa aji)]]</f>
        <v>666568323</v>
      </c>
      <c r="AB166" s="290">
        <f>SUM(Table1[[#This Row],[RAB Kegiatan Umum]:[RAB Perizinan]])</f>
        <v>0</v>
      </c>
      <c r="AC166" s="290"/>
      <c r="AD166" s="290"/>
      <c r="AE166" s="290"/>
      <c r="AF166" s="290"/>
      <c r="AG166" s="406">
        <v>0</v>
      </c>
      <c r="AH166" s="35" t="e">
        <f>SUM(Table1[[#This Row],[Bobot Keg Umum]:[Bobot Perizinan]])</f>
        <v>#DIV/0!</v>
      </c>
      <c r="AI166" s="35" t="e">
        <f>Table1[[#This Row],[RAB Kegiatan Umum]]/Table1[[#This Row],[Nilai RAB Jaringan
(Exclude Ppn)]]</f>
        <v>#DIV/0!</v>
      </c>
      <c r="AJ166" s="35" t="e">
        <f>Table1[[#This Row],[RAB Pemasangan]]/Table1[[#This Row],[Nilai RAB Jaringan
(Exclude Ppn)]]</f>
        <v>#DIV/0!</v>
      </c>
      <c r="AK166" s="35" t="e">
        <f>Table1[[#This Row],[RAB Pengadaan]]/Table1[[#This Row],[Nilai RAB Jaringan
(Exclude Ppn)]]</f>
        <v>#DIV/0!</v>
      </c>
      <c r="AL166" s="35" t="e">
        <f>Table1[[#This Row],[RAB Perizinan]]/Table1[[#This Row],[Nilai RAB Jaringan
(Exclude Ppn)]]</f>
        <v>#DIV/0!</v>
      </c>
      <c r="AM166" s="42"/>
      <c r="AN166" s="256">
        <v>0</v>
      </c>
      <c r="AO166" s="256">
        <f>SUM(Table1[[#This Row],[Pipa 63 mm]:[Pipa 1,800 mm]])</f>
        <v>0</v>
      </c>
      <c r="AP166" s="256"/>
      <c r="AQ166" s="256"/>
      <c r="AR166" s="256"/>
      <c r="AS166" s="256"/>
      <c r="AT166" s="256"/>
      <c r="AU166" s="256"/>
      <c r="AV166" s="256"/>
      <c r="AW166" s="256"/>
      <c r="AX166" s="256"/>
      <c r="AY166" s="256"/>
      <c r="AZ166" s="256"/>
      <c r="BA166" s="256"/>
      <c r="BB166" s="256"/>
      <c r="BC166" s="256"/>
      <c r="BD166" s="256"/>
      <c r="BE166" s="256"/>
      <c r="BF166" s="256"/>
      <c r="BG166" s="256"/>
      <c r="BH166" s="256"/>
      <c r="BI166" s="256"/>
      <c r="BJ166" s="36">
        <v>1</v>
      </c>
      <c r="BK166" s="32"/>
      <c r="BL166" s="32"/>
      <c r="BM166" s="32"/>
      <c r="BN166" s="32"/>
      <c r="BO166" s="32"/>
      <c r="BP166" s="32"/>
      <c r="BQ166" s="32"/>
      <c r="BR166" s="32"/>
      <c r="BS166" s="32"/>
      <c r="BT166" s="32"/>
      <c r="BU166" s="32"/>
      <c r="BV166" s="32"/>
      <c r="BW166" s="32"/>
      <c r="BX166" s="32"/>
      <c r="BY166" s="32"/>
      <c r="BZ166" s="32"/>
      <c r="CA166" s="32"/>
      <c r="CB166" s="32"/>
      <c r="CC166" s="32"/>
      <c r="CD166" s="32"/>
      <c r="CE166" s="32">
        <v>0</v>
      </c>
      <c r="CF166" s="32">
        <v>0</v>
      </c>
      <c r="CG166" s="32">
        <v>0</v>
      </c>
      <c r="CH166" s="32">
        <v>0</v>
      </c>
      <c r="CI166" s="32">
        <f t="shared" si="10"/>
        <v>0</v>
      </c>
      <c r="CJ166" s="60">
        <f>IF((Table1[[#This Row],["Volume
BA MC-0"]]-Table1[[#This Row],[Total Panjang Pipa Aktual
(Sum-&gt;)3]]-Table1[[#This Row],[Total Volume
tidak dapat dipasang]])&gt;=0,Table1[[#This Row],["Volume
BA MC-0"]]-Table1[[#This Row],[Total Panjang Pipa Aktual
(Sum-&gt;)3]]-Table1[[#This Row],[Total Volume
tidak dapat dipasang]],0)</f>
        <v>0</v>
      </c>
      <c r="CK166" s="42"/>
      <c r="CL166" s="113"/>
      <c r="CM166" s="35"/>
      <c r="CN166" s="113"/>
      <c r="CO166" s="113"/>
      <c r="CP1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66" s="61">
        <f>IFERROR(Table1[[#This Row],[Progres Keg. Umum
(%)]]*Table1[[#This Row],[Nilai RAB Jaringan
(file pa aji)]],0)</f>
        <v>0</v>
      </c>
      <c r="CR166" s="61">
        <f>IFERROR(Table1[[#This Row],[Progres MOS
(%)]]*Table1[[#This Row],[Nilai RAB Jaringan
(file pa aji)]],0)</f>
        <v>0</v>
      </c>
      <c r="CS166" s="61">
        <f>IFERROR(Table1[[#This Row],[Progres Pemasangan
(%)]]*Table1[[#This Row],[Nilai RAB Jaringan
(file pa aji)]],0)</f>
        <v>0</v>
      </c>
      <c r="CT166" s="61">
        <f>IFERROR(Table1[[#This Row],[Progres Perizinan
(%)]]*Table1[[#This Row],[Nilai RAB Jaringan
(file pa aji)]],0)</f>
        <v>0</v>
      </c>
      <c r="CU166" s="789">
        <v>360909675</v>
      </c>
      <c r="CV166" s="299">
        <v>360909675</v>
      </c>
      <c r="CW166" s="552">
        <v>360909675</v>
      </c>
      <c r="CX166" s="789">
        <f>_xlfn.XLOOKUP(Table1[[#This Row],[Kode Program]],'[1]Breakdown VOWD Greenfield'!$E:$E,'[1]Breakdown VOWD Greenfield'!$AT:$AT)</f>
        <v>360909675</v>
      </c>
      <c r="CY166" s="42"/>
      <c r="CZ166" s="300">
        <v>45348</v>
      </c>
      <c r="DA166" s="300">
        <v>45382</v>
      </c>
      <c r="DB166" s="301">
        <v>45609</v>
      </c>
      <c r="DC166" s="286" t="s">
        <v>1205</v>
      </c>
      <c r="DD166" s="62">
        <v>666568323</v>
      </c>
      <c r="DE1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66" s="301">
        <v>45617</v>
      </c>
      <c r="DG166" s="286" t="s">
        <v>1206</v>
      </c>
      <c r="DH166" s="62">
        <v>666568322.63999999</v>
      </c>
      <c r="DI1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66" s="300">
        <v>45383</v>
      </c>
      <c r="DK166" s="300">
        <v>45536</v>
      </c>
      <c r="DL166" s="301">
        <v>45666</v>
      </c>
      <c r="DM166" s="286" t="s">
        <v>1207</v>
      </c>
      <c r="DN1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66" s="301">
        <v>45677</v>
      </c>
      <c r="DP166" s="286" t="s">
        <v>1208</v>
      </c>
      <c r="DQ166" s="308" t="s">
        <v>1209</v>
      </c>
      <c r="DR1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6" s="300">
        <v>45383</v>
      </c>
      <c r="DT166" s="300" t="e">
        <v>#N/A</v>
      </c>
      <c r="DU166" s="300">
        <v>45431</v>
      </c>
      <c r="DV166" s="300" t="e">
        <v>#N/A</v>
      </c>
      <c r="DW166" s="301">
        <v>45666</v>
      </c>
      <c r="DX166" s="286" t="s">
        <v>1207</v>
      </c>
      <c r="DY166" s="304"/>
      <c r="DZ166" s="304"/>
      <c r="EA1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6" s="301">
        <v>45677</v>
      </c>
      <c r="EC166" s="302"/>
      <c r="ED166" s="302"/>
      <c r="EE166" s="300" t="s">
        <v>1208</v>
      </c>
      <c r="EF166" s="35">
        <v>1</v>
      </c>
      <c r="EG166" s="307">
        <v>1</v>
      </c>
      <c r="EH166" s="286" t="str">
        <f>IF(Table1[[#This Row],[PO Material Aktual 
(%)]]&gt;=100%,"Selesai PO = 100%",IF(Table1[[#This Row],[PO Material Aktual 
(%)]]&gt;=50%,"Proses PO &gt; 100%",IF(Table1[[#This Row],[PO Material Aktual 
(%)]]&gt;0%,"Proses PO &gt; 50%",IF(Table1[[#This Row],[PO Material Aktual 
(%)]]=0,"Belum PO = 0%"))))</f>
        <v>Selesai PO = 100%</v>
      </c>
      <c r="EI1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6" s="300">
        <v>45432</v>
      </c>
      <c r="EK166" s="300" t="e">
        <v>#N/A</v>
      </c>
      <c r="EL166" s="300">
        <v>45620</v>
      </c>
      <c r="EM166" s="300" t="e">
        <v>#N/A</v>
      </c>
      <c r="EN166" s="301">
        <v>46031</v>
      </c>
      <c r="EO166" s="302"/>
      <c r="EP166" s="302"/>
      <c r="EQ166" s="82">
        <v>1</v>
      </c>
      <c r="ER166" s="82">
        <v>1</v>
      </c>
      <c r="ES166" s="286" t="str">
        <f>IF(Table1[[#This Row],[Progres MOS]]&gt;=100%,"Selesai MOS = 100%",IF(Table1[[#This Row],[Progres MOS]]&gt;=50%,"Proses MOS &gt; 100%",IF(Table1[[#This Row],[Progres MOS]]&gt;0%,"Proses MOS &gt; 50%",IF(Table1[[#This Row],[Progres MOS]]=0,"Belum MOS = 0%"))))</f>
        <v>Selesai MOS = 100%</v>
      </c>
      <c r="ET1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66" s="42"/>
      <c r="EV166" s="300">
        <v>45383</v>
      </c>
      <c r="EW166" s="300" t="e">
        <v>#N/A</v>
      </c>
      <c r="EX166" s="300">
        <v>45564</v>
      </c>
      <c r="EY166" s="300" t="e">
        <v>#N/A</v>
      </c>
      <c r="EZ166" s="322" t="s">
        <v>259</v>
      </c>
      <c r="FA166" s="354"/>
      <c r="FB166" s="300"/>
      <c r="FC166" s="300" t="s">
        <v>282</v>
      </c>
      <c r="FD166" s="300" t="s">
        <v>282</v>
      </c>
      <c r="FE166" s="300" t="s">
        <v>282</v>
      </c>
      <c r="FF166" s="300" t="s">
        <v>282</v>
      </c>
      <c r="FG166" s="300" t="s">
        <v>282</v>
      </c>
      <c r="FH166" s="300" t="s">
        <v>282</v>
      </c>
      <c r="FI166" s="300" t="s">
        <v>282</v>
      </c>
      <c r="FJ166" s="300" t="s">
        <v>282</v>
      </c>
      <c r="FK166" s="300" t="s">
        <v>283</v>
      </c>
      <c r="FL166" s="306" t="str">
        <f>Table1[[#This Row],[IPPJU]]</f>
        <v>10.Izin Terbit</v>
      </c>
      <c r="FM166" s="306"/>
      <c r="FN166" s="284" t="str">
        <f>IF(Table1[[#This Row],[Tanggal Pengajuan Dokumen]]="","",Table1[[#This Row],[PLAN PERMIT
start]]-Table1[[#This Row],[Tanggal Pengajuan Dokumen]])</f>
        <v/>
      </c>
      <c r="FO166" s="407">
        <v>45443</v>
      </c>
      <c r="FP166" s="286"/>
      <c r="FQ166" s="308"/>
      <c r="FR166" s="308"/>
      <c r="FS166" s="308" t="str">
        <f t="shared" si="9"/>
        <v>Sudah Terbit</v>
      </c>
      <c r="FT1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6" s="314">
        <f ca="1">IF(Table1[[#This Row],[Status Izin]]="Selesai",Table1[[#This Row],[PLAN PERMIT
finish]]-Table1[[#This Row],[Tanggal Terbit/ Target Izin Terbit]],ROUNDUP(Table1[[#This Row],[PLAN PERMIT
finish]]-NOW(),0))</f>
        <v>121</v>
      </c>
      <c r="FV1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On Schedule</v>
      </c>
      <c r="FW166" s="314"/>
      <c r="FX166" s="42"/>
      <c r="FY166" s="310"/>
      <c r="FZ166" s="311"/>
      <c r="GA1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6" s="300">
        <v>45538</v>
      </c>
      <c r="GC166" s="322">
        <v>45387</v>
      </c>
      <c r="GD1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66" s="300">
        <v>45545</v>
      </c>
      <c r="GF166" s="322">
        <v>45553</v>
      </c>
      <c r="GG1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6" s="300">
        <v>45551</v>
      </c>
      <c r="GI166" s="300">
        <v>45557</v>
      </c>
      <c r="GJ166" s="322">
        <v>45737</v>
      </c>
      <c r="GK1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6" s="300">
        <v>45565</v>
      </c>
      <c r="GM166" s="300" t="e">
        <v>#N/A</v>
      </c>
      <c r="GN166" s="300">
        <v>45753</v>
      </c>
      <c r="GO166" s="300" t="e">
        <v>#N/A</v>
      </c>
      <c r="GP166" s="286"/>
      <c r="GQ1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6" s="300" t="s">
        <v>261</v>
      </c>
      <c r="GS166" s="300" t="s">
        <v>261</v>
      </c>
      <c r="GT166" s="324"/>
      <c r="GU166" s="314" t="str">
        <f>IF(Table1[[#This Row],[Hydro Tes Actual
(tanggal)]]&lt;&gt;"","Sudah","Belum")</f>
        <v>Belum</v>
      </c>
      <c r="GV166" s="300" t="s">
        <v>261</v>
      </c>
      <c r="GW166" s="300" t="s">
        <v>261</v>
      </c>
      <c r="GX166" s="301" t="s">
        <v>261</v>
      </c>
      <c r="GY166" s="314" t="str">
        <f>IF(Table1[[#This Row],[Interkoneksi Actual
(tanggal)]]&lt;&gt;"","Sudah","Belum")</f>
        <v>Sudah</v>
      </c>
      <c r="GZ166" s="300" t="s">
        <v>261</v>
      </c>
      <c r="HA166" s="300" t="s">
        <v>261</v>
      </c>
      <c r="HB166" s="301" t="s">
        <v>261</v>
      </c>
      <c r="HC166" s="314" t="str">
        <f>IF(Table1[[#This Row],[Flushing Actual
(tanggal)]]&lt;&gt;"","Sudah","Belum")</f>
        <v>Sudah</v>
      </c>
      <c r="HD166" s="300">
        <v>45726</v>
      </c>
      <c r="HE166" s="300" t="e">
        <v>#N/A</v>
      </c>
      <c r="HF166" s="300">
        <v>45746</v>
      </c>
      <c r="HG166" s="301">
        <v>45917</v>
      </c>
      <c r="HH1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66" s="300" t="s">
        <v>261</v>
      </c>
      <c r="HJ166" s="300" t="s">
        <v>261</v>
      </c>
      <c r="HK166" s="301"/>
      <c r="HL166" s="286"/>
      <c r="HM166" s="300">
        <v>45765</v>
      </c>
      <c r="HN166" s="300">
        <v>45765</v>
      </c>
      <c r="HO166" s="300" t="e">
        <v>#N/A</v>
      </c>
      <c r="HP166" s="300"/>
      <c r="HQ166" s="301">
        <v>45934</v>
      </c>
      <c r="HR1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66" s="300">
        <v>45772</v>
      </c>
      <c r="HT166" s="300"/>
      <c r="HU166" s="300">
        <v>45772</v>
      </c>
      <c r="HV166" s="497"/>
      <c r="HW166" s="301">
        <v>45934</v>
      </c>
      <c r="HX1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66" s="42"/>
      <c r="HZ166" s="322"/>
      <c r="IA166" s="306"/>
      <c r="IC166" s="585">
        <f>IFERROR(ROUND((Table1[[#This Row],[PLAN TC
finish]]-Table1[[#This Row],[PLAN MC-0
start]])/30,2),"")</f>
        <v>6.5</v>
      </c>
      <c r="ID166">
        <f>DATEDIF(Table1[[#This Row],[PLAN MC-0
start]],Table1[[#This Row],[PLAN TC
finish]],"m")</f>
        <v>6</v>
      </c>
    </row>
    <row r="167" spans="1:238" s="4" customFormat="1" ht="15" customHeight="1" x14ac:dyDescent="0.25">
      <c r="B167" s="281">
        <f>SUBTOTAL(3,$D$5:D167)</f>
        <v>163</v>
      </c>
      <c r="C167" s="318">
        <v>163</v>
      </c>
      <c r="D167" s="308" t="s">
        <v>244</v>
      </c>
      <c r="E167" s="308" t="s">
        <v>1210</v>
      </c>
      <c r="F167" s="308" t="s">
        <v>1211</v>
      </c>
      <c r="G167" s="319">
        <v>45935</v>
      </c>
      <c r="H167" s="284" t="s">
        <v>247</v>
      </c>
      <c r="I167" s="308" t="s">
        <v>1212</v>
      </c>
      <c r="J167" s="367" t="s">
        <v>943</v>
      </c>
      <c r="K167" s="308" t="s">
        <v>1165</v>
      </c>
      <c r="L167" s="286" t="s">
        <v>1213</v>
      </c>
      <c r="M167" s="286" t="s">
        <v>269</v>
      </c>
      <c r="N167" s="94">
        <v>1</v>
      </c>
      <c r="O167" s="113" t="s">
        <v>1214</v>
      </c>
      <c r="P16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167" s="35" t="e">
        <v>#N/A</v>
      </c>
      <c r="S167" s="35">
        <v>1</v>
      </c>
      <c r="T167" s="35">
        <f>Table1[[#This Row],[Progres Total Aktual
(%)]]</f>
        <v>7.0695829589043019E-3</v>
      </c>
      <c r="U167" s="106">
        <f>Table1[[#This Row],[Progres Aktual
(%)]]-Table1[[#This Row],[Target Progres
(%)]]</f>
        <v>-0.99293041704109575</v>
      </c>
      <c r="V167" s="320">
        <f>Table1[[#This Row],["Volume
BA MC-0"]]</f>
        <v>0</v>
      </c>
      <c r="W167" s="321">
        <f>Table1[[#This Row],[Total Panjang Pipa Aktual
(Sum-&gt;)3]]</f>
        <v>0</v>
      </c>
      <c r="X167" s="42"/>
      <c r="Y167" s="62" t="s">
        <v>1215</v>
      </c>
      <c r="Z167" s="62">
        <v>1094439768</v>
      </c>
      <c r="AA167" s="62">
        <f>Table1[[#This Row],[Nilai RAB Jaringan
(file pa aji)]]</f>
        <v>1094439768</v>
      </c>
      <c r="AB167" s="290">
        <f>SUM(Table1[[#This Row],[RAB Kegiatan Umum]:[RAB Perizinan]])</f>
        <v>0</v>
      </c>
      <c r="AC167" s="290"/>
      <c r="AD167" s="290"/>
      <c r="AE167" s="290"/>
      <c r="AF167" s="290"/>
      <c r="AG167" s="406">
        <v>0</v>
      </c>
      <c r="AH167" s="35" t="e">
        <f>SUM(Table1[[#This Row],[Bobot Keg Umum]:[Bobot Perizinan]])</f>
        <v>#DIV/0!</v>
      </c>
      <c r="AI167" s="35" t="e">
        <f>Table1[[#This Row],[RAB Kegiatan Umum]]/Table1[[#This Row],[Nilai RAB Jaringan
(Exclude Ppn)]]</f>
        <v>#DIV/0!</v>
      </c>
      <c r="AJ167" s="35" t="e">
        <f>Table1[[#This Row],[RAB Pemasangan]]/Table1[[#This Row],[Nilai RAB Jaringan
(Exclude Ppn)]]</f>
        <v>#DIV/0!</v>
      </c>
      <c r="AK167" s="35" t="e">
        <f>Table1[[#This Row],[RAB Pengadaan]]/Table1[[#This Row],[Nilai RAB Jaringan
(Exclude Ppn)]]</f>
        <v>#DIV/0!</v>
      </c>
      <c r="AL167" s="35" t="e">
        <f>Table1[[#This Row],[RAB Perizinan]]/Table1[[#This Row],[Nilai RAB Jaringan
(Exclude Ppn)]]</f>
        <v>#DIV/0!</v>
      </c>
      <c r="AM167" s="42"/>
      <c r="AN167" s="256">
        <v>0</v>
      </c>
      <c r="AO167" s="256">
        <f>SUM(Table1[[#This Row],[Pipa 63 mm]:[Pipa 1,800 mm]])</f>
        <v>0</v>
      </c>
      <c r="AP167" s="256"/>
      <c r="AQ167" s="256"/>
      <c r="AR167" s="256"/>
      <c r="AS167" s="256"/>
      <c r="AT167" s="256"/>
      <c r="AU167" s="256"/>
      <c r="AV167" s="256"/>
      <c r="AW167" s="256"/>
      <c r="AX167" s="256"/>
      <c r="AY167" s="256"/>
      <c r="AZ167" s="256"/>
      <c r="BA167" s="256"/>
      <c r="BB167" s="256"/>
      <c r="BC167" s="256"/>
      <c r="BD167" s="256"/>
      <c r="BE167" s="256"/>
      <c r="BF167" s="256"/>
      <c r="BG167" s="256"/>
      <c r="BH167" s="256"/>
      <c r="BI167" s="256"/>
      <c r="BJ167" s="36">
        <f>SUM(Table1[[#This Row],[Pipa 63 mm2]:[Pipa 1,800 mm21]])</f>
        <v>0</v>
      </c>
      <c r="BK167" s="32"/>
      <c r="BL167" s="32"/>
      <c r="BM167" s="32"/>
      <c r="BN167" s="32"/>
      <c r="BO167" s="32"/>
      <c r="BP167" s="32"/>
      <c r="BQ167" s="32"/>
      <c r="BR167" s="32"/>
      <c r="BS167" s="32"/>
      <c r="BT167" s="32"/>
      <c r="BU167" s="32"/>
      <c r="BV167" s="32"/>
      <c r="BW167" s="32"/>
      <c r="BX167" s="32"/>
      <c r="BY167" s="32"/>
      <c r="BZ167" s="32"/>
      <c r="CA167" s="32"/>
      <c r="CB167" s="32"/>
      <c r="CC167" s="32"/>
      <c r="CD167" s="32"/>
      <c r="CE167" s="32">
        <v>0</v>
      </c>
      <c r="CF167" s="32">
        <v>0</v>
      </c>
      <c r="CG167" s="32">
        <v>0</v>
      </c>
      <c r="CH167" s="32">
        <v>0</v>
      </c>
      <c r="CI167" s="32">
        <f t="shared" si="10"/>
        <v>0</v>
      </c>
      <c r="CJ167" s="60">
        <f>IF((Table1[[#This Row],["Volume
BA MC-0"]]-Table1[[#This Row],[Total Panjang Pipa Aktual
(Sum-&gt;)3]]-Table1[[#This Row],[Total Volume
tidak dapat dipasang]])&gt;=0,Table1[[#This Row],["Volume
BA MC-0"]]-Table1[[#This Row],[Total Panjang Pipa Aktual
(Sum-&gt;)3]]-Table1[[#This Row],[Total Volume
tidak dapat dipasang]],0)</f>
        <v>0</v>
      </c>
      <c r="CK167" s="42"/>
      <c r="CL167" s="113"/>
      <c r="CM167" s="35"/>
      <c r="CN167" s="113"/>
      <c r="CO167" s="113"/>
      <c r="CP1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7.0695829589043019E-3</v>
      </c>
      <c r="CQ167" s="61">
        <f>IFERROR(Table1[[#This Row],[Progres Keg. Umum
(%)]]*Table1[[#This Row],[Nilai RAB Jaringan
(file pa aji)]],0)</f>
        <v>0</v>
      </c>
      <c r="CR167" s="61">
        <f>IFERROR(Table1[[#This Row],[Progres MOS
(%)]]*Table1[[#This Row],[Nilai RAB Jaringan
(file pa aji)]],0)</f>
        <v>0</v>
      </c>
      <c r="CS167" s="61">
        <f>IFERROR(Table1[[#This Row],[Progres Pemasangan
(%)]]*Table1[[#This Row],[Nilai RAB Jaringan
(file pa aji)]],0)</f>
        <v>0</v>
      </c>
      <c r="CT167" s="61">
        <f>IFERROR(Table1[[#This Row],[Progres Perizinan
(%)]]*Table1[[#This Row],[Nilai RAB Jaringan
(file pa aji)]],0)</f>
        <v>0</v>
      </c>
      <c r="CU167" s="789">
        <v>7737232.7333999779</v>
      </c>
      <c r="CV167" s="299">
        <v>7737232.7333999779</v>
      </c>
      <c r="CW167" s="552">
        <v>0</v>
      </c>
      <c r="CX167" s="789">
        <f>_xlfn.XLOOKUP(Table1[[#This Row],[Kode Program]],'[1]Breakdown VOWD Greenfield'!$E:$E,'[1]Breakdown VOWD Greenfield'!$AT:$AT)</f>
        <v>0</v>
      </c>
      <c r="CY167" s="42"/>
      <c r="CZ167" s="300">
        <v>45747</v>
      </c>
      <c r="DA167" s="300">
        <v>45774</v>
      </c>
      <c r="DB167" s="301">
        <v>45709</v>
      </c>
      <c r="DC167" s="286" t="s">
        <v>1216</v>
      </c>
      <c r="DD167" s="62">
        <v>1195589587</v>
      </c>
      <c r="DE1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7" s="301">
        <v>45770</v>
      </c>
      <c r="DG167" s="286" t="s">
        <v>1217</v>
      </c>
      <c r="DH167" s="62">
        <v>1195589587</v>
      </c>
      <c r="DI1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7" s="300">
        <v>45775</v>
      </c>
      <c r="DK167" s="300">
        <v>45816</v>
      </c>
      <c r="DL167" s="301">
        <v>45793</v>
      </c>
      <c r="DM167" s="286" t="s">
        <v>1218</v>
      </c>
      <c r="DN1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7" s="301">
        <v>45832</v>
      </c>
      <c r="DP167" s="286" t="s">
        <v>1219</v>
      </c>
      <c r="DQ167" s="308" t="s">
        <v>275</v>
      </c>
      <c r="DR1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7" s="300">
        <v>45775</v>
      </c>
      <c r="DT167" s="300" t="e">
        <v>#N/A</v>
      </c>
      <c r="DU167" s="300">
        <v>45816</v>
      </c>
      <c r="DV167" s="300" t="e">
        <v>#N/A</v>
      </c>
      <c r="DW167" s="301">
        <v>45975</v>
      </c>
      <c r="DX167" t="s">
        <v>1220</v>
      </c>
      <c r="DY167"/>
      <c r="DZ167"/>
      <c r="EA1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7" s="301">
        <v>45995</v>
      </c>
      <c r="EC167" s="302"/>
      <c r="ED167" s="302"/>
      <c r="EE167" s="300" t="s">
        <v>1221</v>
      </c>
      <c r="EF167" s="35">
        <v>1</v>
      </c>
      <c r="EG167" s="307">
        <v>1</v>
      </c>
      <c r="EH167" s="286" t="str">
        <f>IF(Table1[[#This Row],[PO Material Aktual 
(%)]]&gt;=100%,"Selesai PO = 100%",IF(Table1[[#This Row],[PO Material Aktual 
(%)]]&gt;=50%,"Proses PO &gt; 100%",IF(Table1[[#This Row],[PO Material Aktual 
(%)]]&gt;0%,"Proses PO &gt; 50%",IF(Table1[[#This Row],[PO Material Aktual 
(%)]]=0,"Belum PO = 0%"))))</f>
        <v>Selesai PO = 100%</v>
      </c>
      <c r="EI1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7" s="300">
        <v>45782</v>
      </c>
      <c r="EK167" s="300" t="e">
        <v>#N/A</v>
      </c>
      <c r="EL167" s="300">
        <v>45872</v>
      </c>
      <c r="EM167" s="300" t="e">
        <v>#N/A</v>
      </c>
      <c r="EN167" s="301"/>
      <c r="EO167" s="302"/>
      <c r="EP167" s="302"/>
      <c r="EQ167" s="82">
        <v>0.77272727272727271</v>
      </c>
      <c r="ER167" s="82">
        <v>0.77272727272727271</v>
      </c>
      <c r="ES167" s="286" t="str">
        <f>IF(Table1[[#This Row],[Progres MOS]]&gt;=100%,"Selesai MOS = 100%",IF(Table1[[#This Row],[Progres MOS]]&gt;=50%,"Proses MOS &gt; 100%",IF(Table1[[#This Row],[Progres MOS]]&gt;0%,"Proses MOS &gt; 50%",IF(Table1[[#This Row],[Progres MOS]]=0,"Belum MOS = 0%"))))</f>
        <v>Proses MOS &gt; 100%</v>
      </c>
      <c r="ET1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7" s="42"/>
      <c r="EV167" s="300">
        <v>45775</v>
      </c>
      <c r="EW167" s="300" t="e">
        <v>#N/A</v>
      </c>
      <c r="EX167" s="300">
        <v>45837</v>
      </c>
      <c r="EY167" s="300" t="e">
        <v>#N/A</v>
      </c>
      <c r="EZ167" s="322" t="s">
        <v>298</v>
      </c>
      <c r="FA167" s="306" t="s">
        <v>259</v>
      </c>
      <c r="FB167" s="300" t="s">
        <v>260</v>
      </c>
      <c r="FC167" s="300">
        <v>45838</v>
      </c>
      <c r="FD167" s="300" t="s">
        <v>260</v>
      </c>
      <c r="FE167" s="300">
        <v>45888</v>
      </c>
      <c r="FF167" s="300">
        <v>45944</v>
      </c>
      <c r="FG167" s="300" t="s">
        <v>260</v>
      </c>
      <c r="FH167" s="300" t="s">
        <v>260</v>
      </c>
      <c r="FI167" s="300">
        <v>46010</v>
      </c>
      <c r="FJ167" s="300" t="s">
        <v>260</v>
      </c>
      <c r="FK167" s="300">
        <v>46113</v>
      </c>
      <c r="FL167" s="306" t="s">
        <v>298</v>
      </c>
      <c r="FM167" s="322">
        <v>45838</v>
      </c>
      <c r="FN167" s="308">
        <f>IF(Table1[[#This Row],[Tanggal Pengajuan Dokumen]]="","",Table1[[#This Row],[PLAN PERMIT
start]]-Table1[[#This Row],[Tanggal Pengajuan Dokumen]])</f>
        <v>-63</v>
      </c>
      <c r="FO167" s="407">
        <v>46086</v>
      </c>
      <c r="FP167" s="286"/>
      <c r="FQ167" s="308"/>
      <c r="FR167" s="308"/>
      <c r="FS167" s="308" t="str">
        <f t="shared" si="9"/>
        <v>Sudah Terbit</v>
      </c>
      <c r="FT1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7" s="314">
        <f ca="1">IF(Table1[[#This Row],[Status Izin]]="Selesai",Table1[[#This Row],[PLAN PERMIT
finish]]-Table1[[#This Row],[Tanggal Terbit/ Target Izin Terbit]],ROUNDUP(Table1[[#This Row],[PLAN PERMIT
finish]]-NOW(),0))</f>
        <v>-249</v>
      </c>
      <c r="FV1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7" s="314"/>
      <c r="FX167" s="42"/>
      <c r="FY167" s="310"/>
      <c r="FZ167" s="311"/>
      <c r="GA1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7" s="300">
        <v>45823</v>
      </c>
      <c r="GC167" s="322">
        <v>45828</v>
      </c>
      <c r="GD1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7" s="300">
        <v>45823</v>
      </c>
      <c r="GF167" s="322">
        <v>45842</v>
      </c>
      <c r="GG1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7" s="300">
        <v>45817</v>
      </c>
      <c r="GI167" s="300">
        <v>45823</v>
      </c>
      <c r="GJ167" s="322">
        <v>45834</v>
      </c>
      <c r="GK1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7" s="300">
        <v>45838</v>
      </c>
      <c r="GM167" s="300" t="e">
        <v>#N/A</v>
      </c>
      <c r="GN167" s="300">
        <v>45900</v>
      </c>
      <c r="GO167" s="300" t="e">
        <v>#N/A</v>
      </c>
      <c r="GP167" s="286"/>
      <c r="GQ1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7" s="300" t="s">
        <v>261</v>
      </c>
      <c r="GS167" s="300" t="s">
        <v>261</v>
      </c>
      <c r="GT167" s="324"/>
      <c r="GU167" s="314" t="str">
        <f>IF(Table1[[#This Row],[Hydro Tes Actual
(tanggal)]]&lt;&gt;"","Sudah","Belum")</f>
        <v>Belum</v>
      </c>
      <c r="GV167" s="300" t="s">
        <v>261</v>
      </c>
      <c r="GW167" s="300" t="s">
        <v>261</v>
      </c>
      <c r="GX167" s="301"/>
      <c r="GY167" s="314" t="str">
        <f>IF(Table1[[#This Row],[Interkoneksi Actual
(tanggal)]]&lt;&gt;"","Sudah","Belum")</f>
        <v>Belum</v>
      </c>
      <c r="GZ167" s="300" t="s">
        <v>261</v>
      </c>
      <c r="HA167" s="300" t="s">
        <v>261</v>
      </c>
      <c r="HB167" s="301"/>
      <c r="HC167" s="314" t="str">
        <f>IF(Table1[[#This Row],[Flushing Actual
(tanggal)]]&lt;&gt;"","Sudah","Belum")</f>
        <v>Belum</v>
      </c>
      <c r="HD167" s="300">
        <v>45898</v>
      </c>
      <c r="HE167" s="300" t="e">
        <v>#N/A</v>
      </c>
      <c r="HF167" s="300">
        <v>45907</v>
      </c>
      <c r="HG167" s="301"/>
      <c r="HH1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7" s="300" t="s">
        <v>261</v>
      </c>
      <c r="HJ167" s="300" t="s">
        <v>261</v>
      </c>
      <c r="HK167" s="301"/>
      <c r="HL167" s="286"/>
      <c r="HM167" s="300">
        <v>45919</v>
      </c>
      <c r="HN167" s="300">
        <v>45919</v>
      </c>
      <c r="HO167" s="391">
        <v>46228</v>
      </c>
      <c r="HP167" s="391"/>
      <c r="HQ167" s="301"/>
      <c r="HR1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7" s="300">
        <v>45926</v>
      </c>
      <c r="HT167" s="300"/>
      <c r="HU167" s="300">
        <v>45926</v>
      </c>
      <c r="HV167" s="300">
        <v>46233</v>
      </c>
      <c r="HW167" s="301"/>
      <c r="HX1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7" s="42"/>
      <c r="HZ167" s="322"/>
      <c r="IA167" s="306"/>
      <c r="IC167" s="585">
        <f>IFERROR(ROUND((Table1[[#This Row],[PLAN TC
finish]]-Table1[[#This Row],[PLAN MC-0
start]])/30,2),"")</f>
        <v>3</v>
      </c>
      <c r="ID167">
        <f>DATEDIF(Table1[[#This Row],[PLAN MC-0
start]],Table1[[#This Row],[PLAN TC
finish]],"m")</f>
        <v>2</v>
      </c>
    </row>
    <row r="168" spans="1:238" s="223" customFormat="1" ht="15" customHeight="1" x14ac:dyDescent="0.25">
      <c r="B168" s="281">
        <f>SUBTOTAL(3,$D$5:D168)</f>
        <v>164</v>
      </c>
      <c r="C168" s="332">
        <v>164</v>
      </c>
      <c r="D168" s="370" t="s">
        <v>244</v>
      </c>
      <c r="E168" s="370" t="s">
        <v>1222</v>
      </c>
      <c r="F168" s="370" t="s">
        <v>1223</v>
      </c>
      <c r="G168" s="368">
        <v>45935</v>
      </c>
      <c r="H168" s="369" t="s">
        <v>247</v>
      </c>
      <c r="I168" s="336" t="s">
        <v>1212</v>
      </c>
      <c r="J168" s="367" t="s">
        <v>943</v>
      </c>
      <c r="K168" s="336" t="s">
        <v>1165</v>
      </c>
      <c r="L168" s="337" t="s">
        <v>1213</v>
      </c>
      <c r="M168" s="775" t="s">
        <v>269</v>
      </c>
      <c r="N168" s="224">
        <v>1</v>
      </c>
      <c r="O168" s="236" t="s">
        <v>1214</v>
      </c>
      <c r="P16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8" s="290" t="s">
        <v>389</v>
      </c>
      <c r="R168" s="341" t="e">
        <v>#N/A</v>
      </c>
      <c r="S168" s="227">
        <v>1</v>
      </c>
      <c r="T168" s="227">
        <f>Table1[[#This Row],[Progres Total Aktual
(%)]]</f>
        <v>6.9718635567824136E-2</v>
      </c>
      <c r="U168" s="228">
        <f>Table1[[#This Row],[Progres Aktual
(%)]]-Table1[[#This Row],[Target Progres
(%)]]</f>
        <v>-0.93028136443217591</v>
      </c>
      <c r="V168" s="229">
        <f>Table1[[#This Row],["Volume
BA MC-0"]]</f>
        <v>0</v>
      </c>
      <c r="W168" s="230">
        <f>Table1[[#This Row],[Total Panjang Pipa Aktual
(Sum-&gt;)3]]</f>
        <v>0</v>
      </c>
      <c r="X168" s="238"/>
      <c r="Y168" s="345" t="s">
        <v>1224</v>
      </c>
      <c r="Z168" s="345">
        <v>961213480</v>
      </c>
      <c r="AA168" s="345">
        <f>Table1[[#This Row],[Nilai RAB Jaringan
(file pa aji)]]</f>
        <v>961213480</v>
      </c>
      <c r="AB168" s="340">
        <f>SUM(Table1[[#This Row],[RAB Kegiatan Umum]:[RAB Perizinan]])</f>
        <v>0</v>
      </c>
      <c r="AC168" s="340"/>
      <c r="AD168" s="340"/>
      <c r="AE168" s="340"/>
      <c r="AF168" s="340"/>
      <c r="AG168" s="409">
        <v>0</v>
      </c>
      <c r="AH168" s="341" t="e">
        <f>SUM(Table1[[#This Row],[Bobot Keg Umum]:[Bobot Perizinan]])</f>
        <v>#DIV/0!</v>
      </c>
      <c r="AI168" s="341" t="e">
        <f>Table1[[#This Row],[RAB Kegiatan Umum]]/Table1[[#This Row],[Nilai RAB Jaringan
(Exclude Ppn)]]</f>
        <v>#DIV/0!</v>
      </c>
      <c r="AJ168" s="341" t="e">
        <f>Table1[[#This Row],[RAB Pemasangan]]/Table1[[#This Row],[Nilai RAB Jaringan
(Exclude Ppn)]]</f>
        <v>#DIV/0!</v>
      </c>
      <c r="AK168" s="341" t="e">
        <f>Table1[[#This Row],[RAB Pengadaan]]/Table1[[#This Row],[Nilai RAB Jaringan
(Exclude Ppn)]]</f>
        <v>#DIV/0!</v>
      </c>
      <c r="AL168" s="341" t="e">
        <f>Table1[[#This Row],[RAB Perizinan]]/Table1[[#This Row],[Nilai RAB Jaringan
(Exclude Ppn)]]</f>
        <v>#DIV/0!</v>
      </c>
      <c r="AM168" s="42"/>
      <c r="AN168" s="346">
        <v>0</v>
      </c>
      <c r="AO168" s="346">
        <f>SUM(Table1[[#This Row],[Pipa 63 mm]:[Pipa 1,800 mm]])</f>
        <v>0</v>
      </c>
      <c r="AP168" s="346"/>
      <c r="AQ168" s="346"/>
      <c r="AR168" s="346"/>
      <c r="AS168" s="346"/>
      <c r="AT168" s="346"/>
      <c r="AU168" s="346"/>
      <c r="AV168" s="346"/>
      <c r="AW168" s="346"/>
      <c r="AX168" s="346"/>
      <c r="AY168" s="346"/>
      <c r="AZ168" s="346"/>
      <c r="BA168" s="346"/>
      <c r="BB168" s="346"/>
      <c r="BC168" s="346"/>
      <c r="BD168" s="346"/>
      <c r="BE168" s="346"/>
      <c r="BF168" s="346"/>
      <c r="BG168" s="346"/>
      <c r="BH168" s="346"/>
      <c r="BI168" s="346"/>
      <c r="BJ168" s="347">
        <f>SUM(Table1[[#This Row],[Pipa 63 mm2]:[Pipa 1,800 mm21]])</f>
        <v>0</v>
      </c>
      <c r="BK168" s="348"/>
      <c r="BL168" s="348"/>
      <c r="BM168" s="348"/>
      <c r="BN168" s="348"/>
      <c r="BO168" s="348"/>
      <c r="BP168" s="348"/>
      <c r="BQ168" s="348"/>
      <c r="BR168" s="348"/>
      <c r="BS168" s="348"/>
      <c r="BT168" s="348"/>
      <c r="BU168" s="348"/>
      <c r="BV168" s="348"/>
      <c r="BW168" s="348"/>
      <c r="BX168" s="348"/>
      <c r="BY168" s="348"/>
      <c r="BZ168" s="348"/>
      <c r="CA168" s="348"/>
      <c r="CB168" s="348"/>
      <c r="CC168" s="348"/>
      <c r="CD168" s="348"/>
      <c r="CE168" s="348">
        <v>0</v>
      </c>
      <c r="CF168" s="348">
        <v>0</v>
      </c>
      <c r="CG168" s="348">
        <v>0</v>
      </c>
      <c r="CH168" s="348">
        <v>0</v>
      </c>
      <c r="CI168" s="348">
        <f t="shared" si="10"/>
        <v>0</v>
      </c>
      <c r="CJ168" s="410">
        <f>IF((Table1[[#This Row],["Volume
BA MC-0"]]-Table1[[#This Row],[Total Panjang Pipa Aktual
(Sum-&gt;)3]]-Table1[[#This Row],[Total Volume
tidak dapat dipasang]])&gt;=0,Table1[[#This Row],["Volume
BA MC-0"]]-Table1[[#This Row],[Total Panjang Pipa Aktual
(Sum-&gt;)3]]-Table1[[#This Row],[Total Volume
tidak dapat dipasang]],0)</f>
        <v>0</v>
      </c>
      <c r="CK168" s="42"/>
      <c r="CL168" s="349"/>
      <c r="CM168" s="341"/>
      <c r="CN168" s="349"/>
      <c r="CO168" s="349"/>
      <c r="CP16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6.9718635567824136E-2</v>
      </c>
      <c r="CQ168" s="350">
        <f>IFERROR(Table1[[#This Row],[Progres Keg. Umum
(%)]]*Table1[[#This Row],[Nilai RAB Jaringan
(file pa aji)]],0)</f>
        <v>0</v>
      </c>
      <c r="CR168" s="350">
        <f>IFERROR(Table1[[#This Row],[Progres MOS
(%)]]*Table1[[#This Row],[Nilai RAB Jaringan
(file pa aji)]],0)</f>
        <v>0</v>
      </c>
      <c r="CS168" s="350">
        <f>IFERROR(Table1[[#This Row],[Progres Pemasangan
(%)]]*Table1[[#This Row],[Nilai RAB Jaringan
(file pa aji)]],0)</f>
        <v>0</v>
      </c>
      <c r="CT168" s="350">
        <f>IFERROR(Table1[[#This Row],[Progres Perizinan
(%)]]*Table1[[#This Row],[Nilai RAB Jaringan
(file pa aji)]],0)</f>
        <v>0</v>
      </c>
      <c r="CU168" s="789">
        <v>67014492.315000013</v>
      </c>
      <c r="CV168" s="299">
        <v>67014492.315000013</v>
      </c>
      <c r="CW168" s="551">
        <v>0</v>
      </c>
      <c r="CX168" s="789">
        <f>_xlfn.XLOOKUP(Table1[[#This Row],[Kode Program]],'[1]Breakdown VOWD Greenfield'!$E:$E,'[1]Breakdown VOWD Greenfield'!$AT:$AT)</f>
        <v>0</v>
      </c>
      <c r="CY168" s="42"/>
      <c r="CZ168" s="356">
        <v>45747</v>
      </c>
      <c r="DA168" s="356">
        <v>45774</v>
      </c>
      <c r="DB168" s="358">
        <v>45712</v>
      </c>
      <c r="DC168" s="337" t="s">
        <v>1225</v>
      </c>
      <c r="DD168" s="345">
        <v>972118819</v>
      </c>
      <c r="DE1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8" s="358">
        <v>45733</v>
      </c>
      <c r="DG168" s="337" t="s">
        <v>1226</v>
      </c>
      <c r="DH168" s="345">
        <v>972118819</v>
      </c>
      <c r="DI16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8" s="356">
        <v>45775</v>
      </c>
      <c r="DK168" s="356">
        <v>45816</v>
      </c>
      <c r="DL168" s="358">
        <v>45772</v>
      </c>
      <c r="DM168" s="337" t="s">
        <v>1227</v>
      </c>
      <c r="DN168"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8" s="358">
        <v>45831</v>
      </c>
      <c r="DP168" s="337" t="s">
        <v>1228</v>
      </c>
      <c r="DQ168" s="336" t="s">
        <v>275</v>
      </c>
      <c r="DR168"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8" s="356">
        <v>45775</v>
      </c>
      <c r="DT168" s="356" t="e">
        <v>#N/A</v>
      </c>
      <c r="DU168" s="356">
        <v>45816</v>
      </c>
      <c r="DV168" s="356" t="e">
        <v>#N/A</v>
      </c>
      <c r="DW168" s="358">
        <v>45891</v>
      </c>
      <c r="DX168" s="337" t="s">
        <v>1229</v>
      </c>
      <c r="DY168" s="352"/>
      <c r="DZ168" s="352"/>
      <c r="EA168"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8" s="358">
        <v>46027.291666666664</v>
      </c>
      <c r="EC168" s="412"/>
      <c r="ED168" s="412"/>
      <c r="EE168" s="356" t="s">
        <v>1230</v>
      </c>
      <c r="EF168" s="341">
        <v>1</v>
      </c>
      <c r="EG168" s="353">
        <v>1</v>
      </c>
      <c r="EH168" s="337" t="str">
        <f>IF(Table1[[#This Row],[PO Material Aktual 
(%)]]&gt;=100%,"Selesai PO = 100%",IF(Table1[[#This Row],[PO Material Aktual 
(%)]]&gt;=50%,"Proses PO &gt; 100%",IF(Table1[[#This Row],[PO Material Aktual 
(%)]]&gt;0%,"Proses PO &gt; 50%",IF(Table1[[#This Row],[PO Material Aktual 
(%)]]=0,"Belum PO = 0%"))))</f>
        <v>Selesai PO = 100%</v>
      </c>
      <c r="EI16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8" s="356">
        <v>45782</v>
      </c>
      <c r="EK168" s="356" t="e">
        <v>#N/A</v>
      </c>
      <c r="EL168" s="356">
        <v>45872</v>
      </c>
      <c r="EM168" s="356" t="e">
        <v>#N/A</v>
      </c>
      <c r="EN168" s="358"/>
      <c r="EO168" s="412"/>
      <c r="EP168" s="412"/>
      <c r="EQ168" s="83">
        <v>0.90476190476190477</v>
      </c>
      <c r="ER168" s="83">
        <v>0.90476190476190477</v>
      </c>
      <c r="ES168" s="337" t="str">
        <f>IF(Table1[[#This Row],[Progres MOS]]&gt;=100%,"Selesai MOS = 100%",IF(Table1[[#This Row],[Progres MOS]]&gt;=50%,"Proses MOS &gt; 100%",IF(Table1[[#This Row],[Progres MOS]]&gt;0%,"Proses MOS &gt; 50%",IF(Table1[[#This Row],[Progres MOS]]=0,"Belum MOS = 0%"))))</f>
        <v>Proses MOS &gt; 100%</v>
      </c>
      <c r="ET1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8" s="42"/>
      <c r="EV168" s="356">
        <v>45775</v>
      </c>
      <c r="EW168" s="356" t="e">
        <v>#N/A</v>
      </c>
      <c r="EX168" s="356">
        <v>45837</v>
      </c>
      <c r="EY168" s="356" t="e">
        <v>#N/A</v>
      </c>
      <c r="EZ168" s="354" t="s">
        <v>298</v>
      </c>
      <c r="FA168" s="413" t="s">
        <v>259</v>
      </c>
      <c r="FB168" s="356" t="s">
        <v>260</v>
      </c>
      <c r="FC168" s="300">
        <v>45838</v>
      </c>
      <c r="FD168" s="356" t="s">
        <v>260</v>
      </c>
      <c r="FE168" s="356">
        <v>45888</v>
      </c>
      <c r="FF168" s="356">
        <v>45944</v>
      </c>
      <c r="FG168" s="356" t="s">
        <v>260</v>
      </c>
      <c r="FH168" s="356" t="s">
        <v>260</v>
      </c>
      <c r="FI168" s="356">
        <v>46010</v>
      </c>
      <c r="FJ168" s="356" t="s">
        <v>260</v>
      </c>
      <c r="FK168" s="356">
        <v>46113</v>
      </c>
      <c r="FL168" s="413" t="s">
        <v>298</v>
      </c>
      <c r="FM168" s="354">
        <v>45838</v>
      </c>
      <c r="FN168" s="336">
        <f>IF(Table1[[#This Row],[Tanggal Pengajuan Dokumen]]="","",Table1[[#This Row],[PLAN PERMIT
start]]-Table1[[#This Row],[Tanggal Pengajuan Dokumen]])</f>
        <v>-63</v>
      </c>
      <c r="FO168" s="414">
        <v>46086</v>
      </c>
      <c r="FP168" s="337"/>
      <c r="FQ168" s="336"/>
      <c r="FR168" s="336"/>
      <c r="FS168" s="336" t="str">
        <f t="shared" si="9"/>
        <v>Sudah Terbit</v>
      </c>
      <c r="FT16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68" s="357">
        <f ca="1">IF(Table1[[#This Row],[Status Izin]]="Selesai",Table1[[#This Row],[PLAN PERMIT
finish]]-Table1[[#This Row],[Tanggal Terbit/ Target Izin Terbit]],ROUNDUP(Table1[[#This Row],[PLAN PERMIT
finish]]-NOW(),0))</f>
        <v>-249</v>
      </c>
      <c r="FV16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8" s="357"/>
      <c r="FX168" s="42"/>
      <c r="FY168" s="310"/>
      <c r="FZ168" s="311"/>
      <c r="GA1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8" s="373">
        <v>45823</v>
      </c>
      <c r="GC168" s="379">
        <v>45828</v>
      </c>
      <c r="GD16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8" s="373">
        <v>45823</v>
      </c>
      <c r="GF168" s="379">
        <v>45842</v>
      </c>
      <c r="GG16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8" s="373">
        <v>45817</v>
      </c>
      <c r="GI168" s="373">
        <v>45823</v>
      </c>
      <c r="GJ168" s="379">
        <v>45834</v>
      </c>
      <c r="GK168"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8" s="373">
        <v>45838</v>
      </c>
      <c r="GM168" s="373" t="e">
        <v>#N/A</v>
      </c>
      <c r="GN168" s="373">
        <v>45900</v>
      </c>
      <c r="GO168" s="373" t="e">
        <v>#N/A</v>
      </c>
      <c r="GP168" s="775"/>
      <c r="GQ16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8" s="373" t="s">
        <v>261</v>
      </c>
      <c r="GS168" s="373" t="s">
        <v>261</v>
      </c>
      <c r="GT168" s="382"/>
      <c r="GU168" s="380" t="str">
        <f>IF(Table1[[#This Row],[Hydro Tes Actual
(tanggal)]]&lt;&gt;"","Sudah","Belum")</f>
        <v>Belum</v>
      </c>
      <c r="GV168" s="373" t="s">
        <v>261</v>
      </c>
      <c r="GW168" s="373" t="s">
        <v>261</v>
      </c>
      <c r="GX168" s="374"/>
      <c r="GY168" s="380" t="str">
        <f>IF(Table1[[#This Row],[Interkoneksi Actual
(tanggal)]]&lt;&gt;"","Sudah","Belum")</f>
        <v>Belum</v>
      </c>
      <c r="GZ168" s="373" t="s">
        <v>261</v>
      </c>
      <c r="HA168" s="373" t="s">
        <v>261</v>
      </c>
      <c r="HB168" s="374"/>
      <c r="HC168" s="380" t="str">
        <f>IF(Table1[[#This Row],[Flushing Actual
(tanggal)]]&lt;&gt;"","Sudah","Belum")</f>
        <v>Belum</v>
      </c>
      <c r="HD168" s="373">
        <v>45898</v>
      </c>
      <c r="HE168" s="373" t="e">
        <v>#N/A</v>
      </c>
      <c r="HF168" s="373">
        <v>45907</v>
      </c>
      <c r="HG168" s="374"/>
      <c r="HH16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8" s="373" t="s">
        <v>261</v>
      </c>
      <c r="HJ168" s="373" t="s">
        <v>261</v>
      </c>
      <c r="HK168" s="374"/>
      <c r="HL168" s="775"/>
      <c r="HM168" s="373">
        <v>45919</v>
      </c>
      <c r="HN168" s="373">
        <v>45919</v>
      </c>
      <c r="HO168" s="579"/>
      <c r="HP168" s="579"/>
      <c r="HQ168" s="374"/>
      <c r="HR16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8" s="373">
        <v>45926</v>
      </c>
      <c r="HT168" s="373"/>
      <c r="HU168" s="373">
        <v>45926</v>
      </c>
      <c r="HV168" s="373"/>
      <c r="HW168" s="374"/>
      <c r="HX16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8" s="42"/>
      <c r="HZ168" s="354"/>
      <c r="IA168" s="306"/>
      <c r="IC168" s="585">
        <f>IFERROR(ROUND((Table1[[#This Row],[PLAN TC
finish]]-Table1[[#This Row],[PLAN MC-0
start]])/30,2),"")</f>
        <v>3</v>
      </c>
      <c r="ID168">
        <f>DATEDIF(Table1[[#This Row],[PLAN MC-0
start]],Table1[[#This Row],[PLAN TC
finish]],"m")</f>
        <v>2</v>
      </c>
    </row>
    <row r="169" spans="1:238" s="4" customFormat="1" ht="15" customHeight="1" x14ac:dyDescent="0.25">
      <c r="B169" s="281">
        <f>SUBTOTAL(3,$D$5:D169)</f>
        <v>165</v>
      </c>
      <c r="C169" s="318">
        <v>165</v>
      </c>
      <c r="D169" s="308" t="s">
        <v>244</v>
      </c>
      <c r="E169" s="308" t="s">
        <v>1231</v>
      </c>
      <c r="F169" s="308" t="s">
        <v>1232</v>
      </c>
      <c r="G169" s="319">
        <v>45935</v>
      </c>
      <c r="H169" s="284" t="s">
        <v>247</v>
      </c>
      <c r="I169" s="308" t="s">
        <v>1212</v>
      </c>
      <c r="J169" s="367" t="s">
        <v>943</v>
      </c>
      <c r="K169" s="308" t="s">
        <v>1165</v>
      </c>
      <c r="L169" s="286" t="s">
        <v>1213</v>
      </c>
      <c r="M169" s="286" t="s">
        <v>269</v>
      </c>
      <c r="N169" s="94">
        <v>1</v>
      </c>
      <c r="O169" s="113" t="s">
        <v>1214</v>
      </c>
      <c r="P16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69" s="35" t="e">
        <v>#N/A</v>
      </c>
      <c r="S169" s="35">
        <v>1</v>
      </c>
      <c r="T169" s="35">
        <f>Table1[[#This Row],[Progres Total Aktual
(%)]]</f>
        <v>7.215201302110584E-2</v>
      </c>
      <c r="U169" s="106">
        <f>Table1[[#This Row],[Progres Aktual
(%)]]-Table1[[#This Row],[Target Progres
(%)]]</f>
        <v>-0.92784798697889415</v>
      </c>
      <c r="V169" s="320">
        <f>Table1[[#This Row],["Volume
BA MC-0"]]</f>
        <v>0</v>
      </c>
      <c r="W169" s="321">
        <f>Table1[[#This Row],[Total Panjang Pipa Aktual
(Sum-&gt;)3]]</f>
        <v>1</v>
      </c>
      <c r="X169" s="42"/>
      <c r="Y169" s="62" t="s">
        <v>1233</v>
      </c>
      <c r="Z169" s="62">
        <v>4531446155</v>
      </c>
      <c r="AA169" s="62">
        <f>Table1[[#This Row],[Nilai RAB Jaringan
(file pa aji)]]</f>
        <v>4531446155</v>
      </c>
      <c r="AB169" s="290">
        <f>SUM(Table1[[#This Row],[RAB Kegiatan Umum]:[RAB Perizinan]])</f>
        <v>0</v>
      </c>
      <c r="AC169" s="290"/>
      <c r="AD169" s="290"/>
      <c r="AE169" s="290"/>
      <c r="AF169" s="290"/>
      <c r="AG169" s="406">
        <v>0</v>
      </c>
      <c r="AH169" s="35" t="e">
        <f>SUM(Table1[[#This Row],[Bobot Keg Umum]:[Bobot Perizinan]])</f>
        <v>#DIV/0!</v>
      </c>
      <c r="AI169" s="35" t="e">
        <f>Table1[[#This Row],[RAB Kegiatan Umum]]/Table1[[#This Row],[Nilai RAB Jaringan
(Exclude Ppn)]]</f>
        <v>#DIV/0!</v>
      </c>
      <c r="AJ169" s="35" t="e">
        <f>Table1[[#This Row],[RAB Pemasangan]]/Table1[[#This Row],[Nilai RAB Jaringan
(Exclude Ppn)]]</f>
        <v>#DIV/0!</v>
      </c>
      <c r="AK169" s="35" t="e">
        <f>Table1[[#This Row],[RAB Pengadaan]]/Table1[[#This Row],[Nilai RAB Jaringan
(Exclude Ppn)]]</f>
        <v>#DIV/0!</v>
      </c>
      <c r="AL169" s="35" t="e">
        <f>Table1[[#This Row],[RAB Perizinan]]/Table1[[#This Row],[Nilai RAB Jaringan
(Exclude Ppn)]]</f>
        <v>#DIV/0!</v>
      </c>
      <c r="AM169" s="42"/>
      <c r="AN169" s="256">
        <v>0</v>
      </c>
      <c r="AO169" s="256">
        <f>SUM(Table1[[#This Row],[Pipa 63 mm]:[Pipa 1,800 mm]])</f>
        <v>0</v>
      </c>
      <c r="AP169" s="256"/>
      <c r="AQ169" s="256"/>
      <c r="AR169" s="256"/>
      <c r="AS169" s="256"/>
      <c r="AT169" s="256"/>
      <c r="AU169" s="256"/>
      <c r="AV169" s="256"/>
      <c r="AW169" s="256"/>
      <c r="AX169" s="256"/>
      <c r="AY169" s="256"/>
      <c r="AZ169" s="256"/>
      <c r="BA169" s="256"/>
      <c r="BB169" s="256"/>
      <c r="BC169" s="256"/>
      <c r="BD169" s="256"/>
      <c r="BE169" s="256"/>
      <c r="BF169" s="256"/>
      <c r="BG169" s="256"/>
      <c r="BH169" s="256"/>
      <c r="BI169" s="256"/>
      <c r="BJ169" s="36">
        <f>SUM(Table1[[#This Row],[Pipa 63 mm2]:[Pipa 1,800 mm21]])</f>
        <v>1</v>
      </c>
      <c r="BK169" s="32">
        <v>1</v>
      </c>
      <c r="BL169" s="32"/>
      <c r="BM169" s="32"/>
      <c r="BN169" s="32"/>
      <c r="BO169" s="32"/>
      <c r="BP169" s="32"/>
      <c r="BQ169" s="32"/>
      <c r="BR169" s="32"/>
      <c r="BS169" s="32"/>
      <c r="BT169" s="32"/>
      <c r="BU169" s="32"/>
      <c r="BV169" s="32"/>
      <c r="BW169" s="32"/>
      <c r="BX169" s="32"/>
      <c r="BY169" s="32"/>
      <c r="BZ169" s="32"/>
      <c r="CA169" s="32"/>
      <c r="CB169" s="32"/>
      <c r="CC169" s="32"/>
      <c r="CD169" s="32"/>
      <c r="CE169" s="32">
        <v>0</v>
      </c>
      <c r="CF169" s="32">
        <v>0</v>
      </c>
      <c r="CG169" s="32">
        <v>0</v>
      </c>
      <c r="CH169" s="32">
        <v>0</v>
      </c>
      <c r="CI169" s="32">
        <f t="shared" si="10"/>
        <v>0</v>
      </c>
      <c r="CJ169" s="60">
        <f>IF((Table1[[#This Row],["Volume
BA MC-0"]]-Table1[[#This Row],[Total Panjang Pipa Aktual
(Sum-&gt;)3]]-Table1[[#This Row],[Total Volume
tidak dapat dipasang]])&gt;=0,Table1[[#This Row],["Volume
BA MC-0"]]-Table1[[#This Row],[Total Panjang Pipa Aktual
(Sum-&gt;)3]]-Table1[[#This Row],[Total Volume
tidak dapat dipasang]],0)</f>
        <v>0</v>
      </c>
      <c r="CK169" s="42"/>
      <c r="CL169" s="113"/>
      <c r="CM169" s="35"/>
      <c r="CN169" s="113"/>
      <c r="CO169" s="113"/>
      <c r="CP1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7.215201302110584E-2</v>
      </c>
      <c r="CQ169" s="61">
        <f>IFERROR(Table1[[#This Row],[Progres Keg. Umum
(%)]]*Table1[[#This Row],[Nilai RAB Jaringan
(file pa aji)]],0)</f>
        <v>0</v>
      </c>
      <c r="CR169" s="61">
        <f>IFERROR(Table1[[#This Row],[Progres MOS
(%)]]*Table1[[#This Row],[Nilai RAB Jaringan
(file pa aji)]],0)</f>
        <v>0</v>
      </c>
      <c r="CS169" s="61">
        <f>IFERROR(Table1[[#This Row],[Progres Pemasangan
(%)]]*Table1[[#This Row],[Nilai RAB Jaringan
(file pa aji)]],0)</f>
        <v>0</v>
      </c>
      <c r="CT169" s="61">
        <f>IFERROR(Table1[[#This Row],[Progres Perizinan
(%)]]*Table1[[#This Row],[Nilai RAB Jaringan
(file pa aji)]],0)</f>
        <v>0</v>
      </c>
      <c r="CU169" s="789">
        <v>326952961.98000002</v>
      </c>
      <c r="CV169" s="299">
        <v>326952961.98000002</v>
      </c>
      <c r="CW169" s="552">
        <v>0</v>
      </c>
      <c r="CX169" s="789">
        <f>_xlfn.XLOOKUP(Table1[[#This Row],[Kode Program]],'[1]Breakdown VOWD Greenfield'!$E:$E,'[1]Breakdown VOWD Greenfield'!$AT:$AT)</f>
        <v>0</v>
      </c>
      <c r="CY169" s="42"/>
      <c r="CZ169" s="300">
        <v>45747</v>
      </c>
      <c r="DA169" s="300">
        <v>45774</v>
      </c>
      <c r="DB169" s="301">
        <v>45712</v>
      </c>
      <c r="DC169" s="286" t="s">
        <v>1234</v>
      </c>
      <c r="DD169" s="62">
        <v>4768013342</v>
      </c>
      <c r="DE1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69" s="301">
        <v>45734</v>
      </c>
      <c r="DG169" s="286" t="s">
        <v>1235</v>
      </c>
      <c r="DH169" s="62">
        <v>4768013342</v>
      </c>
      <c r="DI1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69" s="300">
        <v>45775</v>
      </c>
      <c r="DK169" s="300">
        <v>45816</v>
      </c>
      <c r="DL169" s="301">
        <v>45773</v>
      </c>
      <c r="DM169" s="286" t="s">
        <v>1236</v>
      </c>
      <c r="DN1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69" s="301">
        <v>45832</v>
      </c>
      <c r="DP169" s="286" t="s">
        <v>1237</v>
      </c>
      <c r="DQ169" s="308" t="s">
        <v>275</v>
      </c>
      <c r="DR1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69" s="300">
        <v>45775</v>
      </c>
      <c r="DT169" s="300" t="e">
        <v>#N/A</v>
      </c>
      <c r="DU169" s="300">
        <v>45816</v>
      </c>
      <c r="DV169" s="300" t="e">
        <v>#N/A</v>
      </c>
      <c r="DW169" s="301">
        <v>45975</v>
      </c>
      <c r="DX169" s="286" t="s">
        <v>1238</v>
      </c>
      <c r="DY169" s="304"/>
      <c r="DZ169" s="304"/>
      <c r="EA1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69" s="301">
        <v>45993</v>
      </c>
      <c r="EC169" s="302"/>
      <c r="ED169" s="302"/>
      <c r="EE169" s="300" t="s">
        <v>1239</v>
      </c>
      <c r="EF169" s="35">
        <v>1</v>
      </c>
      <c r="EG169" s="307">
        <v>1</v>
      </c>
      <c r="EH169" s="286" t="str">
        <f>IF(Table1[[#This Row],[PO Material Aktual 
(%)]]&gt;=100%,"Selesai PO = 100%",IF(Table1[[#This Row],[PO Material Aktual 
(%)]]&gt;=50%,"Proses PO &gt; 100%",IF(Table1[[#This Row],[PO Material Aktual 
(%)]]&gt;0%,"Proses PO &gt; 50%",IF(Table1[[#This Row],[PO Material Aktual 
(%)]]=0,"Belum PO = 0%"))))</f>
        <v>Selesai PO = 100%</v>
      </c>
      <c r="EI1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69" s="300">
        <v>45782</v>
      </c>
      <c r="EK169" s="300" t="e">
        <v>#N/A</v>
      </c>
      <c r="EL169" s="300">
        <v>45872</v>
      </c>
      <c r="EM169" s="300" t="e">
        <v>#N/A</v>
      </c>
      <c r="EN169" s="301"/>
      <c r="EO169" s="302"/>
      <c r="EP169" s="302"/>
      <c r="EQ169" s="82">
        <v>0.72499999999999998</v>
      </c>
      <c r="ER169" s="82">
        <v>0.72499999999999998</v>
      </c>
      <c r="ES169" s="286" t="str">
        <f>IF(Table1[[#This Row],[Progres MOS]]&gt;=100%,"Selesai MOS = 100%",IF(Table1[[#This Row],[Progres MOS]]&gt;=50%,"Proses MOS &gt; 100%",IF(Table1[[#This Row],[Progres MOS]]&gt;0%,"Proses MOS &gt; 50%",IF(Table1[[#This Row],[Progres MOS]]=0,"Belum MOS = 0%"))))</f>
        <v>Proses MOS &gt; 100%</v>
      </c>
      <c r="ET1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69" s="42"/>
      <c r="EV169" s="300">
        <v>45775</v>
      </c>
      <c r="EW169" s="300" t="e">
        <v>#N/A</v>
      </c>
      <c r="EX169" s="300">
        <v>45837</v>
      </c>
      <c r="EY169" s="300" t="e">
        <v>#N/A</v>
      </c>
      <c r="EZ169" s="322" t="s">
        <v>298</v>
      </c>
      <c r="FA169" s="306" t="s">
        <v>298</v>
      </c>
      <c r="FB169" s="300" t="s">
        <v>260</v>
      </c>
      <c r="FC169" s="300">
        <v>45866</v>
      </c>
      <c r="FD169" s="300" t="s">
        <v>260</v>
      </c>
      <c r="FE169" s="300">
        <v>45895</v>
      </c>
      <c r="FF169" s="300">
        <v>45971</v>
      </c>
      <c r="FG169" s="300" t="s">
        <v>260</v>
      </c>
      <c r="FH169" s="300" t="s">
        <v>260</v>
      </c>
      <c r="FI169" s="300">
        <v>46013</v>
      </c>
      <c r="FJ169" s="300" t="s">
        <v>260</v>
      </c>
      <c r="FK169" s="300"/>
      <c r="FL169" s="306" t="s">
        <v>298</v>
      </c>
      <c r="FM169" s="322">
        <v>45866</v>
      </c>
      <c r="FN169" s="308">
        <f>IF(Table1[[#This Row],[Tanggal Pengajuan Dokumen]]="","",Table1[[#This Row],[PLAN PERMIT
start]]-Table1[[#This Row],[Tanggal Pengajuan Dokumen]])</f>
        <v>-91</v>
      </c>
      <c r="FO169" s="407">
        <v>46086</v>
      </c>
      <c r="FP169" s="286"/>
      <c r="FQ169" s="308"/>
      <c r="FR169" s="308"/>
      <c r="FS169" s="308" t="str">
        <f t="shared" si="9"/>
        <v>On Going</v>
      </c>
      <c r="FT1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69" s="314">
        <f ca="1">IF(Table1[[#This Row],[Status Izin]]="Selesai",Table1[[#This Row],[PLAN PERMIT
finish]]-Table1[[#This Row],[Tanggal Terbit/ Target Izin Terbit]],ROUNDUP(Table1[[#This Row],[PLAN PERMIT
finish]]-NOW(),0))</f>
        <v>-367</v>
      </c>
      <c r="FV1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69" s="314"/>
      <c r="FX169" s="42"/>
      <c r="FY169" s="310"/>
      <c r="FZ169" s="311"/>
      <c r="GA1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69" s="300">
        <v>45823</v>
      </c>
      <c r="GC169" s="322">
        <v>45828</v>
      </c>
      <c r="GD1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69" s="300">
        <v>45823</v>
      </c>
      <c r="GF169" s="322">
        <v>45842</v>
      </c>
      <c r="GG1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69" s="300">
        <v>45817</v>
      </c>
      <c r="GI169" s="300">
        <v>45823</v>
      </c>
      <c r="GJ169" s="322">
        <v>45834</v>
      </c>
      <c r="GK1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69" s="300">
        <v>45838</v>
      </c>
      <c r="GM169" s="300" t="e">
        <v>#N/A</v>
      </c>
      <c r="GN169" s="300">
        <v>45900</v>
      </c>
      <c r="GO169" s="300" t="e">
        <v>#N/A</v>
      </c>
      <c r="GP169" s="286"/>
      <c r="GQ1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69" s="300" t="s">
        <v>261</v>
      </c>
      <c r="GS169" s="300" t="s">
        <v>261</v>
      </c>
      <c r="GT169" s="324"/>
      <c r="GU169" s="314" t="str">
        <f>IF(Table1[[#This Row],[Hydro Tes Actual
(tanggal)]]&lt;&gt;"","Sudah","Belum")</f>
        <v>Belum</v>
      </c>
      <c r="GV169" s="300" t="s">
        <v>261</v>
      </c>
      <c r="GW169" s="300" t="s">
        <v>261</v>
      </c>
      <c r="GX169" s="301"/>
      <c r="GY169" s="314" t="str">
        <f>IF(Table1[[#This Row],[Interkoneksi Actual
(tanggal)]]&lt;&gt;"","Sudah","Belum")</f>
        <v>Belum</v>
      </c>
      <c r="GZ169" s="300" t="s">
        <v>261</v>
      </c>
      <c r="HA169" s="300" t="s">
        <v>261</v>
      </c>
      <c r="HB169" s="301"/>
      <c r="HC169" s="314" t="str">
        <f>IF(Table1[[#This Row],[Flushing Actual
(tanggal)]]&lt;&gt;"","Sudah","Belum")</f>
        <v>Belum</v>
      </c>
      <c r="HD169" s="300">
        <v>45898</v>
      </c>
      <c r="HE169" s="300" t="e">
        <v>#N/A</v>
      </c>
      <c r="HF169" s="300">
        <v>45907</v>
      </c>
      <c r="HG169" s="301"/>
      <c r="HH1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69" s="300" t="s">
        <v>261</v>
      </c>
      <c r="HJ169" s="300" t="s">
        <v>261</v>
      </c>
      <c r="HK169" s="301"/>
      <c r="HL169" s="286"/>
      <c r="HM169" s="300">
        <v>45919</v>
      </c>
      <c r="HN169" s="300">
        <v>45919</v>
      </c>
      <c r="HO169" s="391">
        <v>46228</v>
      </c>
      <c r="HP169" s="391"/>
      <c r="HQ169" s="301"/>
      <c r="HR1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69" s="300">
        <v>45926</v>
      </c>
      <c r="HT169" s="300"/>
      <c r="HU169" s="300">
        <v>45926</v>
      </c>
      <c r="HV169" s="300">
        <v>46233</v>
      </c>
      <c r="HW169" s="301"/>
      <c r="HX1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69" s="42"/>
      <c r="HZ169" s="322"/>
      <c r="IA169" s="306"/>
      <c r="IC169" s="585">
        <f>IFERROR(ROUND((Table1[[#This Row],[PLAN TC
finish]]-Table1[[#This Row],[PLAN MC-0
start]])/30,2),"")</f>
        <v>3</v>
      </c>
      <c r="ID169">
        <f>DATEDIF(Table1[[#This Row],[PLAN MC-0
start]],Table1[[#This Row],[PLAN TC
finish]],"m")</f>
        <v>2</v>
      </c>
    </row>
    <row r="170" spans="1:238" s="4" customFormat="1" ht="15" customHeight="1" x14ac:dyDescent="0.25">
      <c r="B170" s="281">
        <f>SUBTOTAL(3,$D$5:D170)</f>
        <v>166</v>
      </c>
      <c r="C170" s="318">
        <v>166</v>
      </c>
      <c r="D170" s="308" t="s">
        <v>244</v>
      </c>
      <c r="E170" s="308" t="s">
        <v>1240</v>
      </c>
      <c r="F170" s="308" t="s">
        <v>1241</v>
      </c>
      <c r="G170" s="319">
        <v>45935</v>
      </c>
      <c r="H170" s="284" t="s">
        <v>247</v>
      </c>
      <c r="I170" s="308" t="s">
        <v>1212</v>
      </c>
      <c r="J170" s="367" t="s">
        <v>943</v>
      </c>
      <c r="K170" s="308" t="s">
        <v>1165</v>
      </c>
      <c r="L170" s="286" t="s">
        <v>1213</v>
      </c>
      <c r="M170" s="286" t="s">
        <v>269</v>
      </c>
      <c r="N170" s="94">
        <v>1</v>
      </c>
      <c r="O170" s="113" t="s">
        <v>1214</v>
      </c>
      <c r="P17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170" s="35" t="e">
        <v>#N/A</v>
      </c>
      <c r="S170" s="35">
        <v>1</v>
      </c>
      <c r="T170" s="35">
        <f>Table1[[#This Row],[Progres Total Aktual
(%)]]</f>
        <v>0.39781027917939266</v>
      </c>
      <c r="U170" s="106">
        <f>Table1[[#This Row],[Progres Aktual
(%)]]-Table1[[#This Row],[Target Progres
(%)]]</f>
        <v>-0.60218972082060729</v>
      </c>
      <c r="V170" s="320">
        <f>Table1[[#This Row],["Volume
BA MC-0"]]</f>
        <v>0</v>
      </c>
      <c r="W170" s="321">
        <f>Table1[[#This Row],[Total Panjang Pipa Aktual
(Sum-&gt;)3]]</f>
        <v>0</v>
      </c>
      <c r="X170" s="42"/>
      <c r="Y170" s="62" t="s">
        <v>1242</v>
      </c>
      <c r="Z170" s="62">
        <v>2595445749</v>
      </c>
      <c r="AA170" s="62">
        <f>Table1[[#This Row],[Nilai RAB Jaringan
(file pa aji)]]</f>
        <v>2595445749</v>
      </c>
      <c r="AB170" s="290">
        <f>SUM(Table1[[#This Row],[RAB Kegiatan Umum]:[RAB Perizinan]])</f>
        <v>0</v>
      </c>
      <c r="AC170" s="290"/>
      <c r="AD170" s="290"/>
      <c r="AE170" s="290"/>
      <c r="AF170" s="290"/>
      <c r="AG170" s="406">
        <v>0</v>
      </c>
      <c r="AH170" s="35" t="e">
        <f>SUM(Table1[[#This Row],[Bobot Keg Umum]:[Bobot Perizinan]])</f>
        <v>#DIV/0!</v>
      </c>
      <c r="AI170" s="35" t="e">
        <f>Table1[[#This Row],[RAB Kegiatan Umum]]/Table1[[#This Row],[Nilai RAB Jaringan
(Exclude Ppn)]]</f>
        <v>#DIV/0!</v>
      </c>
      <c r="AJ170" s="35" t="e">
        <f>Table1[[#This Row],[RAB Pemasangan]]/Table1[[#This Row],[Nilai RAB Jaringan
(Exclude Ppn)]]</f>
        <v>#DIV/0!</v>
      </c>
      <c r="AK170" s="35" t="e">
        <f>Table1[[#This Row],[RAB Pengadaan]]/Table1[[#This Row],[Nilai RAB Jaringan
(Exclude Ppn)]]</f>
        <v>#DIV/0!</v>
      </c>
      <c r="AL170" s="35" t="e">
        <f>Table1[[#This Row],[RAB Perizinan]]/Table1[[#This Row],[Nilai RAB Jaringan
(Exclude Ppn)]]</f>
        <v>#DIV/0!</v>
      </c>
      <c r="AM170" s="42"/>
      <c r="AN170" s="256">
        <v>0</v>
      </c>
      <c r="AO170" s="256">
        <f>SUM(Table1[[#This Row],[Pipa 63 mm]:[Pipa 1,800 mm]])</f>
        <v>0</v>
      </c>
      <c r="AP170" s="256"/>
      <c r="AQ170" s="256"/>
      <c r="AR170" s="256"/>
      <c r="AS170" s="256"/>
      <c r="AT170" s="256"/>
      <c r="AU170" s="256"/>
      <c r="AV170" s="256"/>
      <c r="AW170" s="256"/>
      <c r="AX170" s="256"/>
      <c r="AY170" s="256"/>
      <c r="AZ170" s="256"/>
      <c r="BA170" s="256"/>
      <c r="BB170" s="256"/>
      <c r="BC170" s="256"/>
      <c r="BD170" s="256"/>
      <c r="BE170" s="256"/>
      <c r="BF170" s="256"/>
      <c r="BG170" s="256"/>
      <c r="BH170" s="256"/>
      <c r="BI170" s="256"/>
      <c r="BJ170" s="36">
        <f>SUM(Table1[[#This Row],[Pipa 63 mm2]:[Pipa 1,800 mm21]])</f>
        <v>0</v>
      </c>
      <c r="BK170" s="32"/>
      <c r="BL170" s="32"/>
      <c r="BM170" s="32"/>
      <c r="BN170" s="32"/>
      <c r="BO170" s="32"/>
      <c r="BP170" s="32"/>
      <c r="BQ170" s="32"/>
      <c r="BR170" s="32"/>
      <c r="BS170" s="32"/>
      <c r="BT170" s="32"/>
      <c r="BU170" s="32"/>
      <c r="BV170" s="32"/>
      <c r="BW170" s="32"/>
      <c r="BX170" s="32"/>
      <c r="BY170" s="32"/>
      <c r="BZ170" s="32"/>
      <c r="CA170" s="32"/>
      <c r="CB170" s="32"/>
      <c r="CC170" s="32"/>
      <c r="CD170" s="32"/>
      <c r="CE170" s="32">
        <v>0</v>
      </c>
      <c r="CF170" s="32">
        <v>0</v>
      </c>
      <c r="CG170" s="32">
        <v>0</v>
      </c>
      <c r="CH170" s="32">
        <v>0</v>
      </c>
      <c r="CI170" s="32">
        <f t="shared" si="10"/>
        <v>0</v>
      </c>
      <c r="CJ170" s="60">
        <f>IF((Table1[[#This Row],["Volume
BA MC-0"]]-Table1[[#This Row],[Total Panjang Pipa Aktual
(Sum-&gt;)3]]-Table1[[#This Row],[Total Volume
tidak dapat dipasang]])&gt;=0,Table1[[#This Row],["Volume
BA MC-0"]]-Table1[[#This Row],[Total Panjang Pipa Aktual
(Sum-&gt;)3]]-Table1[[#This Row],[Total Volume
tidak dapat dipasang]],0)</f>
        <v>0</v>
      </c>
      <c r="CK170" s="42"/>
      <c r="CL170" s="113"/>
      <c r="CM170" s="35"/>
      <c r="CN170" s="113"/>
      <c r="CO170" s="113"/>
      <c r="CP1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0.39781027917939266</v>
      </c>
      <c r="CQ170" s="61">
        <f>IFERROR(Table1[[#This Row],[Progres Keg. Umum
(%)]]*Table1[[#This Row],[Nilai RAB Jaringan
(file pa aji)]],0)</f>
        <v>0</v>
      </c>
      <c r="CR170" s="61">
        <f>IFERROR(Table1[[#This Row],[Progres MOS
(%)]]*Table1[[#This Row],[Nilai RAB Jaringan
(file pa aji)]],0)</f>
        <v>0</v>
      </c>
      <c r="CS170" s="61">
        <f>IFERROR(Table1[[#This Row],[Progres Pemasangan
(%)]]*Table1[[#This Row],[Nilai RAB Jaringan
(file pa aji)]],0)</f>
        <v>0</v>
      </c>
      <c r="CT170" s="61">
        <f>IFERROR(Table1[[#This Row],[Progres Perizinan
(%)]]*Table1[[#This Row],[Nilai RAB Jaringan
(file pa aji)]],0)</f>
        <v>0</v>
      </c>
      <c r="CU170" s="789">
        <v>1032494998.0046579</v>
      </c>
      <c r="CV170" s="299">
        <v>1032494998.0046579</v>
      </c>
      <c r="CW170" s="552">
        <v>0</v>
      </c>
      <c r="CX170" s="789">
        <f>_xlfn.XLOOKUP(Table1[[#This Row],[Kode Program]],'[1]Breakdown VOWD Greenfield'!$E:$E,'[1]Breakdown VOWD Greenfield'!$AT:$AT)</f>
        <v>0</v>
      </c>
      <c r="CY170" s="42"/>
      <c r="CZ170" s="300">
        <v>45747</v>
      </c>
      <c r="DA170" s="300">
        <v>45774</v>
      </c>
      <c r="DB170" s="301">
        <v>45712</v>
      </c>
      <c r="DC170" s="286" t="s">
        <v>1243</v>
      </c>
      <c r="DD170" s="62">
        <v>1152775282</v>
      </c>
      <c r="DE1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0" s="301">
        <v>45770</v>
      </c>
      <c r="DG170" s="286" t="s">
        <v>1244</v>
      </c>
      <c r="DH170" s="62">
        <v>1152775282</v>
      </c>
      <c r="DI1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0" s="300">
        <v>45775</v>
      </c>
      <c r="DK170" s="300">
        <v>45816</v>
      </c>
      <c r="DL170" s="301">
        <v>45797</v>
      </c>
      <c r="DM170" s="286" t="s">
        <v>1245</v>
      </c>
      <c r="DN1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0" s="301">
        <v>45831</v>
      </c>
      <c r="DP170" s="286" t="s">
        <v>1246</v>
      </c>
      <c r="DQ170" s="308" t="s">
        <v>275</v>
      </c>
      <c r="DR1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0" s="300">
        <v>45775</v>
      </c>
      <c r="DT170" s="300" t="e">
        <v>#N/A</v>
      </c>
      <c r="DU170" s="300">
        <v>45816</v>
      </c>
      <c r="DV170" s="300" t="e">
        <v>#N/A</v>
      </c>
      <c r="DW170" s="301">
        <v>45975</v>
      </c>
      <c r="DX170" s="286" t="s">
        <v>1247</v>
      </c>
      <c r="DY170" s="304"/>
      <c r="DZ170" s="304"/>
      <c r="EA1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0" s="301"/>
      <c r="EC170" s="302"/>
      <c r="ED170" s="302"/>
      <c r="EE170" s="300"/>
      <c r="EF170" s="35">
        <v>0.59459459459459463</v>
      </c>
      <c r="EG170" s="307">
        <v>0.59459459459459463</v>
      </c>
      <c r="EH170" s="286" t="str">
        <f>IF(Table1[[#This Row],[PO Material Aktual 
(%)]]&gt;=100%,"Selesai PO = 100%",IF(Table1[[#This Row],[PO Material Aktual 
(%)]]&gt;=50%,"Proses PO &gt; 100%",IF(Table1[[#This Row],[PO Material Aktual 
(%)]]&gt;0%,"Proses PO &gt; 50%",IF(Table1[[#This Row],[PO Material Aktual 
(%)]]=0,"Belum PO = 0%"))))</f>
        <v>Proses PO &gt; 100%</v>
      </c>
      <c r="EI1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0" s="300">
        <v>45782</v>
      </c>
      <c r="EK170" s="300" t="e">
        <v>#N/A</v>
      </c>
      <c r="EL170" s="300">
        <v>45872</v>
      </c>
      <c r="EM170" s="300" t="e">
        <v>#N/A</v>
      </c>
      <c r="EN170" s="301"/>
      <c r="EO170" s="302"/>
      <c r="EP170" s="302"/>
      <c r="EQ170" s="82">
        <v>0.54054054054054057</v>
      </c>
      <c r="ER170" s="82">
        <v>0.54054054054054057</v>
      </c>
      <c r="ES170" s="286" t="str">
        <f>IF(Table1[[#This Row],[Progres MOS]]&gt;=100%,"Selesai MOS = 100%",IF(Table1[[#This Row],[Progres MOS]]&gt;=50%,"Proses MOS &gt; 100%",IF(Table1[[#This Row],[Progres MOS]]&gt;0%,"Proses MOS &gt; 50%",IF(Table1[[#This Row],[Progres MOS]]=0,"Belum MOS = 0%"))))</f>
        <v>Proses MOS &gt; 100%</v>
      </c>
      <c r="ET1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0" s="42"/>
      <c r="EV170" s="300">
        <v>45775</v>
      </c>
      <c r="EW170" s="300" t="e">
        <v>#N/A</v>
      </c>
      <c r="EX170" s="300">
        <v>45837</v>
      </c>
      <c r="EY170" s="300" t="e">
        <v>#N/A</v>
      </c>
      <c r="EZ170" s="322" t="s">
        <v>298</v>
      </c>
      <c r="FA170" s="306" t="s">
        <v>298</v>
      </c>
      <c r="FB170" s="300" t="s">
        <v>260</v>
      </c>
      <c r="FC170" s="300">
        <v>45866</v>
      </c>
      <c r="FD170" s="300" t="s">
        <v>260</v>
      </c>
      <c r="FE170" s="300">
        <v>45895</v>
      </c>
      <c r="FF170" s="300">
        <v>45971</v>
      </c>
      <c r="FG170" s="300" t="s">
        <v>260</v>
      </c>
      <c r="FH170" s="300" t="s">
        <v>260</v>
      </c>
      <c r="FI170" s="300">
        <v>46013</v>
      </c>
      <c r="FJ170" s="300" t="s">
        <v>260</v>
      </c>
      <c r="FK170" s="300"/>
      <c r="FL170" s="306" t="s">
        <v>298</v>
      </c>
      <c r="FM170" s="322">
        <v>45866</v>
      </c>
      <c r="FN170" s="308">
        <f>IF(Table1[[#This Row],[Tanggal Pengajuan Dokumen]]="","",Table1[[#This Row],[PLAN PERMIT
start]]-Table1[[#This Row],[Tanggal Pengajuan Dokumen]])</f>
        <v>-91</v>
      </c>
      <c r="FO170" s="407">
        <v>46086</v>
      </c>
      <c r="FP170" s="286"/>
      <c r="FQ170" s="308"/>
      <c r="FR170" s="308"/>
      <c r="FS170" s="308" t="str">
        <f t="shared" si="9"/>
        <v>On Going</v>
      </c>
      <c r="FT1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0" s="314">
        <f ca="1">IF(Table1[[#This Row],[Status Izin]]="Selesai",Table1[[#This Row],[PLAN PERMIT
finish]]-Table1[[#This Row],[Tanggal Terbit/ Target Izin Terbit]],ROUNDUP(Table1[[#This Row],[PLAN PERMIT
finish]]-NOW(),0))</f>
        <v>-367</v>
      </c>
      <c r="FV1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0" s="314"/>
      <c r="FX170" s="42"/>
      <c r="FY170" s="310"/>
      <c r="FZ170" s="311"/>
      <c r="GA1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0" s="300">
        <v>45823</v>
      </c>
      <c r="GC170" s="322">
        <v>45828</v>
      </c>
      <c r="GD1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0" s="300">
        <v>45823</v>
      </c>
      <c r="GF170" s="322">
        <v>45842</v>
      </c>
      <c r="GG1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0" s="300">
        <v>45817</v>
      </c>
      <c r="GI170" s="300">
        <v>45823</v>
      </c>
      <c r="GJ170" s="322">
        <v>45834</v>
      </c>
      <c r="GK1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0" s="300">
        <v>45838</v>
      </c>
      <c r="GM170" s="300" t="e">
        <v>#N/A</v>
      </c>
      <c r="GN170" s="300">
        <v>45900</v>
      </c>
      <c r="GO170" s="300" t="e">
        <v>#N/A</v>
      </c>
      <c r="GP170" s="286"/>
      <c r="GQ1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0" s="300" t="s">
        <v>261</v>
      </c>
      <c r="GS170" s="300" t="s">
        <v>261</v>
      </c>
      <c r="GT170" s="324"/>
      <c r="GU170" s="314" t="str">
        <f>IF(Table1[[#This Row],[Hydro Tes Actual
(tanggal)]]&lt;&gt;"","Sudah","Belum")</f>
        <v>Belum</v>
      </c>
      <c r="GV170" s="300" t="s">
        <v>261</v>
      </c>
      <c r="GW170" s="300" t="s">
        <v>261</v>
      </c>
      <c r="GX170" s="365" t="s">
        <v>1248</v>
      </c>
      <c r="GY170" s="314" t="str">
        <f>IF(Table1[[#This Row],[Interkoneksi Actual
(tanggal)]]&lt;&gt;"","Sudah","Belum")</f>
        <v>Sudah</v>
      </c>
      <c r="GZ170" s="300" t="s">
        <v>261</v>
      </c>
      <c r="HA170" s="300" t="s">
        <v>261</v>
      </c>
      <c r="HB170" s="301"/>
      <c r="HC170" s="314" t="str">
        <f>IF(Table1[[#This Row],[Flushing Actual
(tanggal)]]&lt;&gt;"","Sudah","Belum")</f>
        <v>Belum</v>
      </c>
      <c r="HD170" s="300">
        <v>45898</v>
      </c>
      <c r="HE170" s="300" t="e">
        <v>#N/A</v>
      </c>
      <c r="HF170" s="300">
        <v>45907</v>
      </c>
      <c r="HG170" s="301">
        <v>46164</v>
      </c>
      <c r="HH1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0" s="300" t="s">
        <v>261</v>
      </c>
      <c r="HJ170" s="300" t="s">
        <v>261</v>
      </c>
      <c r="HK170" s="301"/>
      <c r="HL170" s="286"/>
      <c r="HM170" s="300">
        <v>45919</v>
      </c>
      <c r="HN170" s="300">
        <v>45919</v>
      </c>
      <c r="HO170" s="391">
        <v>46199</v>
      </c>
      <c r="HP170" s="391" t="s">
        <v>260</v>
      </c>
      <c r="HQ170" s="301"/>
      <c r="HR1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0" s="300">
        <v>45926</v>
      </c>
      <c r="HT170" s="300"/>
      <c r="HU170" s="300">
        <v>45926</v>
      </c>
      <c r="HV170" s="300">
        <v>46203</v>
      </c>
      <c r="HW170" s="301"/>
      <c r="HX1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0" s="42"/>
      <c r="HZ170" s="322"/>
      <c r="IA170" s="306"/>
      <c r="IC170" s="585">
        <f>IFERROR(ROUND((Table1[[#This Row],[PLAN TC
finish]]-Table1[[#This Row],[PLAN MC-0
start]])/30,2),"")</f>
        <v>3</v>
      </c>
      <c r="ID170">
        <f>DATEDIF(Table1[[#This Row],[PLAN MC-0
start]],Table1[[#This Row],[PLAN TC
finish]],"m")</f>
        <v>2</v>
      </c>
    </row>
    <row r="171" spans="1:238" s="4" customFormat="1" ht="15" customHeight="1" x14ac:dyDescent="0.25">
      <c r="B171" s="281">
        <f>SUBTOTAL(3,$D$5:D171)</f>
        <v>167</v>
      </c>
      <c r="C171" s="318">
        <v>167</v>
      </c>
      <c r="D171" s="308" t="s">
        <v>244</v>
      </c>
      <c r="E171" s="308" t="s">
        <v>1249</v>
      </c>
      <c r="F171" s="308" t="s">
        <v>1250</v>
      </c>
      <c r="G171" s="319">
        <v>45935</v>
      </c>
      <c r="H171" s="284" t="s">
        <v>247</v>
      </c>
      <c r="I171" s="308" t="s">
        <v>1212</v>
      </c>
      <c r="J171" s="367" t="s">
        <v>943</v>
      </c>
      <c r="K171" s="308" t="s">
        <v>1165</v>
      </c>
      <c r="L171" s="286" t="s">
        <v>1213</v>
      </c>
      <c r="M171" s="286" t="s">
        <v>269</v>
      </c>
      <c r="N171" s="94">
        <v>1</v>
      </c>
      <c r="O171" s="113" t="s">
        <v>1214</v>
      </c>
      <c r="P17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1" s="35" t="e">
        <v>#N/A</v>
      </c>
      <c r="S171" s="35">
        <v>1</v>
      </c>
      <c r="T171" s="35">
        <f>Table1[[#This Row],[Progres Total Aktual
(%)]]</f>
        <v>5.8714849903138903E-2</v>
      </c>
      <c r="U171" s="106">
        <f>Table1[[#This Row],[Progres Aktual
(%)]]-Table1[[#This Row],[Target Progres
(%)]]</f>
        <v>-0.94128515009686109</v>
      </c>
      <c r="V171" s="320">
        <f>Table1[[#This Row],["Volume
BA MC-0"]]</f>
        <v>0</v>
      </c>
      <c r="W171" s="321">
        <f>Table1[[#This Row],[Total Panjang Pipa Aktual
(Sum-&gt;)3]]</f>
        <v>1</v>
      </c>
      <c r="X171" s="42"/>
      <c r="Y171" s="62" t="s">
        <v>1251</v>
      </c>
      <c r="Z171" s="62">
        <v>3921389066</v>
      </c>
      <c r="AA171" s="62">
        <f>Table1[[#This Row],[Nilai RAB Jaringan
(file pa aji)]]</f>
        <v>3921389066</v>
      </c>
      <c r="AB171" s="290">
        <f>SUM(Table1[[#This Row],[RAB Kegiatan Umum]:[RAB Perizinan]])</f>
        <v>0</v>
      </c>
      <c r="AC171" s="290"/>
      <c r="AD171" s="290"/>
      <c r="AE171" s="290"/>
      <c r="AF171" s="290"/>
      <c r="AG171" s="406">
        <v>0</v>
      </c>
      <c r="AH171" s="35" t="e">
        <f>SUM(Table1[[#This Row],[Bobot Keg Umum]:[Bobot Perizinan]])</f>
        <v>#DIV/0!</v>
      </c>
      <c r="AI171" s="35" t="e">
        <f>Table1[[#This Row],[RAB Kegiatan Umum]]/Table1[[#This Row],[Nilai RAB Jaringan
(Exclude Ppn)]]</f>
        <v>#DIV/0!</v>
      </c>
      <c r="AJ171" s="35" t="e">
        <f>Table1[[#This Row],[RAB Pemasangan]]/Table1[[#This Row],[Nilai RAB Jaringan
(Exclude Ppn)]]</f>
        <v>#DIV/0!</v>
      </c>
      <c r="AK171" s="35" t="e">
        <f>Table1[[#This Row],[RAB Pengadaan]]/Table1[[#This Row],[Nilai RAB Jaringan
(Exclude Ppn)]]</f>
        <v>#DIV/0!</v>
      </c>
      <c r="AL171" s="35" t="e">
        <f>Table1[[#This Row],[RAB Perizinan]]/Table1[[#This Row],[Nilai RAB Jaringan
(Exclude Ppn)]]</f>
        <v>#DIV/0!</v>
      </c>
      <c r="AM171" s="42"/>
      <c r="AN171" s="256">
        <v>0</v>
      </c>
      <c r="AO171" s="256">
        <f>SUM(Table1[[#This Row],[Pipa 63 mm]:[Pipa 1,800 mm]])</f>
        <v>0</v>
      </c>
      <c r="AP171" s="256"/>
      <c r="AQ171" s="256"/>
      <c r="AR171" s="256"/>
      <c r="AS171" s="256"/>
      <c r="AT171" s="256"/>
      <c r="AU171" s="256"/>
      <c r="AV171" s="256"/>
      <c r="AW171" s="256"/>
      <c r="AX171" s="256"/>
      <c r="AY171" s="256"/>
      <c r="AZ171" s="256"/>
      <c r="BA171" s="256"/>
      <c r="BB171" s="256"/>
      <c r="BC171" s="256"/>
      <c r="BD171" s="256"/>
      <c r="BE171" s="256"/>
      <c r="BF171" s="256"/>
      <c r="BG171" s="256"/>
      <c r="BH171" s="256"/>
      <c r="BI171" s="256"/>
      <c r="BJ171" s="36">
        <f>SUM(Table1[[#This Row],[Pipa 63 mm2]:[Pipa 1,800 mm21]])</f>
        <v>1</v>
      </c>
      <c r="BK171" s="32">
        <v>1</v>
      </c>
      <c r="BL171" s="32"/>
      <c r="BM171" s="32"/>
      <c r="BN171" s="32"/>
      <c r="BO171" s="32"/>
      <c r="BP171" s="32"/>
      <c r="BQ171" s="32"/>
      <c r="BR171" s="32"/>
      <c r="BS171" s="32"/>
      <c r="BT171" s="32"/>
      <c r="BU171" s="32"/>
      <c r="BV171" s="32"/>
      <c r="BW171" s="32"/>
      <c r="BX171" s="32"/>
      <c r="BY171" s="32"/>
      <c r="BZ171" s="32"/>
      <c r="CA171" s="32"/>
      <c r="CB171" s="32"/>
      <c r="CC171" s="32"/>
      <c r="CD171" s="32"/>
      <c r="CE171" s="32">
        <v>0</v>
      </c>
      <c r="CF171" s="32">
        <v>0</v>
      </c>
      <c r="CG171" s="32">
        <v>0</v>
      </c>
      <c r="CH171" s="32">
        <v>0</v>
      </c>
      <c r="CI171" s="32">
        <f t="shared" si="10"/>
        <v>0</v>
      </c>
      <c r="CJ171" s="60">
        <f>IF((Table1[[#This Row],["Volume
BA MC-0"]]-Table1[[#This Row],[Total Panjang Pipa Aktual
(Sum-&gt;)3]]-Table1[[#This Row],[Total Volume
tidak dapat dipasang]])&gt;=0,Table1[[#This Row],["Volume
BA MC-0"]]-Table1[[#This Row],[Total Panjang Pipa Aktual
(Sum-&gt;)3]]-Table1[[#This Row],[Total Volume
tidak dapat dipasang]],0)</f>
        <v>0</v>
      </c>
      <c r="CK171" s="42"/>
      <c r="CL171" s="113"/>
      <c r="CM171" s="35"/>
      <c r="CN171" s="113"/>
      <c r="CO171" s="113"/>
      <c r="CP1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5.8714849903138903E-2</v>
      </c>
      <c r="CQ171" s="61">
        <f>IFERROR(Table1[[#This Row],[Progres Keg. Umum
(%)]]*Table1[[#This Row],[Nilai RAB Jaringan
(file pa aji)]],0)</f>
        <v>0</v>
      </c>
      <c r="CR171" s="61">
        <f>IFERROR(Table1[[#This Row],[Progres MOS
(%)]]*Table1[[#This Row],[Nilai RAB Jaringan
(file pa aji)]],0)</f>
        <v>0</v>
      </c>
      <c r="CS171" s="61">
        <f>IFERROR(Table1[[#This Row],[Progres Pemasangan
(%)]]*Table1[[#This Row],[Nilai RAB Jaringan
(file pa aji)]],0)</f>
        <v>0</v>
      </c>
      <c r="CT171" s="61">
        <f>IFERROR(Table1[[#This Row],[Progres Perizinan
(%)]]*Table1[[#This Row],[Nilai RAB Jaringan
(file pa aji)]],0)</f>
        <v>0</v>
      </c>
      <c r="CU171" s="789">
        <v>230243770.42200005</v>
      </c>
      <c r="CV171" s="299">
        <v>230243770.42200005</v>
      </c>
      <c r="CW171" s="552">
        <v>0</v>
      </c>
      <c r="CX171" s="789">
        <f>_xlfn.XLOOKUP(Table1[[#This Row],[Kode Program]],'[1]Breakdown VOWD Greenfield'!$E:$E,'[1]Breakdown VOWD Greenfield'!$AT:$AT)</f>
        <v>0</v>
      </c>
      <c r="CY171" s="42"/>
      <c r="CZ171" s="300">
        <v>45747</v>
      </c>
      <c r="DA171" s="300">
        <v>45774</v>
      </c>
      <c r="DB171" s="301">
        <v>45712</v>
      </c>
      <c r="DC171" s="286" t="s">
        <v>1252</v>
      </c>
      <c r="DD171" s="62">
        <v>4300429472</v>
      </c>
      <c r="DE1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1" s="301">
        <v>45734</v>
      </c>
      <c r="DG171" s="286" t="s">
        <v>1253</v>
      </c>
      <c r="DH171" s="62">
        <v>4300429472</v>
      </c>
      <c r="DI1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1" s="300">
        <v>45775</v>
      </c>
      <c r="DK171" s="300">
        <v>45816</v>
      </c>
      <c r="DL171" s="301">
        <v>45773</v>
      </c>
      <c r="DM171" s="286" t="s">
        <v>1254</v>
      </c>
      <c r="DN1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1" s="301">
        <v>45832</v>
      </c>
      <c r="DP171" s="286" t="s">
        <v>1255</v>
      </c>
      <c r="DQ171" s="308" t="s">
        <v>275</v>
      </c>
      <c r="DR1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1" s="300">
        <v>45775</v>
      </c>
      <c r="DT171" s="300" t="e">
        <v>#N/A</v>
      </c>
      <c r="DU171" s="300">
        <v>45816</v>
      </c>
      <c r="DV171" s="300" t="e">
        <v>#N/A</v>
      </c>
      <c r="DW171" s="301">
        <v>46050</v>
      </c>
      <c r="DX171" s="286" t="s">
        <v>1256</v>
      </c>
      <c r="DY171" s="304"/>
      <c r="DZ171" s="304"/>
      <c r="EA1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1" s="301"/>
      <c r="EC171" s="302"/>
      <c r="ED171" s="302"/>
      <c r="EE171" s="300"/>
      <c r="EF171" s="35">
        <v>0.73134328358208955</v>
      </c>
      <c r="EG171" s="307">
        <v>0.73134328358208955</v>
      </c>
      <c r="EH171" s="286" t="str">
        <f>IF(Table1[[#This Row],[PO Material Aktual 
(%)]]&gt;=100%,"Selesai PO = 100%",IF(Table1[[#This Row],[PO Material Aktual 
(%)]]&gt;=50%,"Proses PO &gt; 100%",IF(Table1[[#This Row],[PO Material Aktual 
(%)]]&gt;0%,"Proses PO &gt; 50%",IF(Table1[[#This Row],[PO Material Aktual 
(%)]]=0,"Belum PO = 0%"))))</f>
        <v>Proses PO &gt; 100%</v>
      </c>
      <c r="EI17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1" s="300">
        <v>45782</v>
      </c>
      <c r="EK171" s="300" t="e">
        <v>#N/A</v>
      </c>
      <c r="EL171" s="300">
        <v>45872</v>
      </c>
      <c r="EM171" s="300" t="e">
        <v>#N/A</v>
      </c>
      <c r="EN171" s="301"/>
      <c r="EO171" s="302"/>
      <c r="EP171" s="302"/>
      <c r="EQ171" s="82">
        <v>0.65671641791044777</v>
      </c>
      <c r="ER171" s="82">
        <v>0.65671641791044777</v>
      </c>
      <c r="ES171" s="286" t="str">
        <f>IF(Table1[[#This Row],[Progres MOS]]&gt;=100%,"Selesai MOS = 100%",IF(Table1[[#This Row],[Progres MOS]]&gt;=50%,"Proses MOS &gt; 100%",IF(Table1[[#This Row],[Progres MOS]]&gt;0%,"Proses MOS &gt; 50%",IF(Table1[[#This Row],[Progres MOS]]=0,"Belum MOS = 0%"))))</f>
        <v>Proses MOS &gt; 100%</v>
      </c>
      <c r="ET1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1" s="42"/>
      <c r="EV171" s="300">
        <v>45775</v>
      </c>
      <c r="EW171" s="300" t="e">
        <v>#N/A</v>
      </c>
      <c r="EX171" s="300">
        <v>45837</v>
      </c>
      <c r="EY171" s="300" t="e">
        <v>#N/A</v>
      </c>
      <c r="EZ171" s="322" t="s">
        <v>298</v>
      </c>
      <c r="FA171" s="306" t="s">
        <v>259</v>
      </c>
      <c r="FB171" s="300" t="s">
        <v>260</v>
      </c>
      <c r="FC171" s="300">
        <v>45840</v>
      </c>
      <c r="FD171" s="300" t="s">
        <v>260</v>
      </c>
      <c r="FE171" s="300">
        <v>45895</v>
      </c>
      <c r="FF171" s="300">
        <v>45919</v>
      </c>
      <c r="FG171" s="300" t="s">
        <v>260</v>
      </c>
      <c r="FH171" s="300" t="s">
        <v>260</v>
      </c>
      <c r="FI171" s="300">
        <v>46010</v>
      </c>
      <c r="FJ171" s="300" t="s">
        <v>260</v>
      </c>
      <c r="FK171" s="300">
        <v>46112</v>
      </c>
      <c r="FL171" s="306" t="s">
        <v>298</v>
      </c>
      <c r="FM171" s="322">
        <v>45840</v>
      </c>
      <c r="FN171" s="308">
        <f>IF(Table1[[#This Row],[Tanggal Pengajuan Dokumen]]="","",Table1[[#This Row],[PLAN PERMIT
start]]-Table1[[#This Row],[Tanggal Pengajuan Dokumen]])</f>
        <v>-65</v>
      </c>
      <c r="FO171" s="407">
        <v>46086</v>
      </c>
      <c r="FP171" s="286"/>
      <c r="FQ171" s="308"/>
      <c r="FR171" s="308"/>
      <c r="FS171" s="308" t="str">
        <f t="shared" si="9"/>
        <v>Sudah Terbit</v>
      </c>
      <c r="FT1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1" s="314">
        <f ca="1">IF(Table1[[#This Row],[Status Izin]]="Selesai",Table1[[#This Row],[PLAN PERMIT
finish]]-Table1[[#This Row],[Tanggal Terbit/ Target Izin Terbit]],ROUNDUP(Table1[[#This Row],[PLAN PERMIT
finish]]-NOW(),0))</f>
        <v>-249</v>
      </c>
      <c r="FV1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1" s="314"/>
      <c r="FX171" s="42"/>
      <c r="FY171" s="310"/>
      <c r="FZ171" s="311"/>
      <c r="GA1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1" s="300">
        <v>45823</v>
      </c>
      <c r="GC171" s="322">
        <v>45828</v>
      </c>
      <c r="GD1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1" s="300">
        <v>45823</v>
      </c>
      <c r="GF171" s="322">
        <v>45842</v>
      </c>
      <c r="GG1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1" s="300">
        <v>45817</v>
      </c>
      <c r="GI171" s="300">
        <v>45823</v>
      </c>
      <c r="GJ171" s="322">
        <v>45834</v>
      </c>
      <c r="GK1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1" s="300">
        <v>45838</v>
      </c>
      <c r="GM171" s="300" t="e">
        <v>#N/A</v>
      </c>
      <c r="GN171" s="300">
        <v>45900</v>
      </c>
      <c r="GO171" s="300" t="e">
        <v>#N/A</v>
      </c>
      <c r="GP171" s="286"/>
      <c r="GQ1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1" s="300" t="s">
        <v>261</v>
      </c>
      <c r="GS171" s="300" t="s">
        <v>261</v>
      </c>
      <c r="GT171" s="324"/>
      <c r="GU171" s="314" t="str">
        <f>IF(Table1[[#This Row],[Hydro Tes Actual
(tanggal)]]&lt;&gt;"","Sudah","Belum")</f>
        <v>Belum</v>
      </c>
      <c r="GV171" s="300" t="s">
        <v>261</v>
      </c>
      <c r="GW171" s="300" t="s">
        <v>261</v>
      </c>
      <c r="GX171" s="301"/>
      <c r="GY171" s="314" t="str">
        <f>IF(Table1[[#This Row],[Interkoneksi Actual
(tanggal)]]&lt;&gt;"","Sudah","Belum")</f>
        <v>Belum</v>
      </c>
      <c r="GZ171" s="300" t="s">
        <v>261</v>
      </c>
      <c r="HA171" s="300" t="s">
        <v>261</v>
      </c>
      <c r="HB171" s="301"/>
      <c r="HC171" s="314" t="str">
        <f>IF(Table1[[#This Row],[Flushing Actual
(tanggal)]]&lt;&gt;"","Sudah","Belum")</f>
        <v>Belum</v>
      </c>
      <c r="HD171" s="300">
        <v>45898</v>
      </c>
      <c r="HE171" s="300" t="e">
        <v>#N/A</v>
      </c>
      <c r="HF171" s="300">
        <v>45907</v>
      </c>
      <c r="HG171" s="301"/>
      <c r="HH1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1" s="300" t="s">
        <v>261</v>
      </c>
      <c r="HJ171" s="300" t="s">
        <v>261</v>
      </c>
      <c r="HK171" s="301"/>
      <c r="HL171" s="286"/>
      <c r="HM171" s="300">
        <v>45919</v>
      </c>
      <c r="HN171" s="300">
        <v>45919</v>
      </c>
      <c r="HO171" s="391">
        <v>46228</v>
      </c>
      <c r="HP171" s="391"/>
      <c r="HQ171" s="301"/>
      <c r="HR1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1" s="300">
        <v>45926</v>
      </c>
      <c r="HT171" s="300"/>
      <c r="HU171" s="300">
        <v>45926</v>
      </c>
      <c r="HV171" s="300">
        <v>46233</v>
      </c>
      <c r="HW171" s="301"/>
      <c r="HX17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1" s="42"/>
      <c r="HZ171" s="322"/>
      <c r="IA171" s="306"/>
      <c r="IC171" s="585">
        <f>IFERROR(ROUND((Table1[[#This Row],[PLAN TC
finish]]-Table1[[#This Row],[PLAN MC-0
start]])/30,2),"")</f>
        <v>3</v>
      </c>
      <c r="ID171">
        <f>DATEDIF(Table1[[#This Row],[PLAN MC-0
start]],Table1[[#This Row],[PLAN TC
finish]],"m")</f>
        <v>2</v>
      </c>
    </row>
    <row r="172" spans="1:238" s="4" customFormat="1" ht="15" customHeight="1" x14ac:dyDescent="0.25">
      <c r="B172" s="281">
        <f>SUBTOTAL(3,$D$5:D172)</f>
        <v>168</v>
      </c>
      <c r="C172" s="318">
        <v>168</v>
      </c>
      <c r="D172" s="308" t="s">
        <v>244</v>
      </c>
      <c r="E172" s="308" t="s">
        <v>1257</v>
      </c>
      <c r="F172" s="308" t="s">
        <v>1258</v>
      </c>
      <c r="G172" s="319">
        <v>45935</v>
      </c>
      <c r="H172" s="284" t="s">
        <v>247</v>
      </c>
      <c r="I172" s="308" t="s">
        <v>1212</v>
      </c>
      <c r="J172" s="285" t="s">
        <v>882</v>
      </c>
      <c r="K172" s="308" t="s">
        <v>1165</v>
      </c>
      <c r="L172" s="286" t="s">
        <v>1213</v>
      </c>
      <c r="M172" s="286" t="s">
        <v>269</v>
      </c>
      <c r="N172" s="94">
        <v>1</v>
      </c>
      <c r="O172" s="113" t="s">
        <v>1214</v>
      </c>
      <c r="P17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2" s="35" t="e">
        <v>#N/A</v>
      </c>
      <c r="S172" s="35">
        <v>1</v>
      </c>
      <c r="T172" s="35">
        <f>Table1[[#This Row],[Progres Total Aktual
(%)]]</f>
        <v>1</v>
      </c>
      <c r="U172" s="106">
        <f>Table1[[#This Row],[Progres Aktual
(%)]]-Table1[[#This Row],[Target Progres
(%)]]</f>
        <v>0</v>
      </c>
      <c r="V172" s="320">
        <f>Table1[[#This Row],["Volume
BA MC-0"]]</f>
        <v>0</v>
      </c>
      <c r="W172" s="321">
        <f>Table1[[#This Row],[Total Panjang Pipa Aktual
(Sum-&gt;)3]]</f>
        <v>0</v>
      </c>
      <c r="X172" s="42"/>
      <c r="Y172" s="62" t="s">
        <v>1259</v>
      </c>
      <c r="Z172" s="62">
        <v>1388364741</v>
      </c>
      <c r="AA172" s="62">
        <f>Table1[[#This Row],[Nilai RAB Jaringan
(file pa aji)]]</f>
        <v>1388364741</v>
      </c>
      <c r="AB172" s="290">
        <f>SUM(Table1[[#This Row],[RAB Kegiatan Umum]:[RAB Perizinan]])</f>
        <v>0</v>
      </c>
      <c r="AC172" s="290"/>
      <c r="AD172" s="290"/>
      <c r="AE172" s="290"/>
      <c r="AF172" s="290"/>
      <c r="AG172" s="406">
        <v>0</v>
      </c>
      <c r="AH172" s="35" t="e">
        <f>SUM(Table1[[#This Row],[Bobot Keg Umum]:[Bobot Perizinan]])</f>
        <v>#DIV/0!</v>
      </c>
      <c r="AI172" s="35" t="e">
        <f>Table1[[#This Row],[RAB Kegiatan Umum]]/Table1[[#This Row],[Nilai RAB Jaringan
(Exclude Ppn)]]</f>
        <v>#DIV/0!</v>
      </c>
      <c r="AJ172" s="35" t="e">
        <f>Table1[[#This Row],[RAB Pemasangan]]/Table1[[#This Row],[Nilai RAB Jaringan
(Exclude Ppn)]]</f>
        <v>#DIV/0!</v>
      </c>
      <c r="AK172" s="35" t="e">
        <f>Table1[[#This Row],[RAB Pengadaan]]/Table1[[#This Row],[Nilai RAB Jaringan
(Exclude Ppn)]]</f>
        <v>#DIV/0!</v>
      </c>
      <c r="AL172" s="35" t="e">
        <f>Table1[[#This Row],[RAB Perizinan]]/Table1[[#This Row],[Nilai RAB Jaringan
(Exclude Ppn)]]</f>
        <v>#DIV/0!</v>
      </c>
      <c r="AM172" s="42"/>
      <c r="AN172" s="256">
        <v>0</v>
      </c>
      <c r="AO172" s="256">
        <f>SUM(Table1[[#This Row],[Pipa 63 mm]:[Pipa 1,800 mm]])</f>
        <v>0</v>
      </c>
      <c r="AP172" s="256"/>
      <c r="AQ172" s="256"/>
      <c r="AR172" s="256"/>
      <c r="AS172" s="256"/>
      <c r="AT172" s="256"/>
      <c r="AU172" s="256"/>
      <c r="AV172" s="256"/>
      <c r="AW172" s="256"/>
      <c r="AX172" s="256"/>
      <c r="AY172" s="256"/>
      <c r="AZ172" s="256"/>
      <c r="BA172" s="256"/>
      <c r="BB172" s="256"/>
      <c r="BC172" s="256"/>
      <c r="BD172" s="256"/>
      <c r="BE172" s="256"/>
      <c r="BF172" s="256"/>
      <c r="BG172" s="256"/>
      <c r="BH172" s="256"/>
      <c r="BI172" s="256"/>
      <c r="BJ172" s="36">
        <f>SUM(Table1[[#This Row],[Pipa 63 mm2]:[Pipa 1,800 mm21]])</f>
        <v>0</v>
      </c>
      <c r="BK172" s="32"/>
      <c r="BL172" s="32"/>
      <c r="BM172" s="32"/>
      <c r="BN172" s="32"/>
      <c r="BO172" s="32"/>
      <c r="BP172" s="32"/>
      <c r="BQ172" s="32"/>
      <c r="BR172" s="32"/>
      <c r="BS172" s="32"/>
      <c r="BT172" s="32"/>
      <c r="BU172" s="32"/>
      <c r="BV172" s="32"/>
      <c r="BW172" s="32"/>
      <c r="BX172" s="32"/>
      <c r="BY172" s="32"/>
      <c r="BZ172" s="32"/>
      <c r="CA172" s="32"/>
      <c r="CB172" s="32"/>
      <c r="CC172" s="32"/>
      <c r="CD172" s="32"/>
      <c r="CE172" s="32">
        <v>0</v>
      </c>
      <c r="CF172" s="32">
        <v>0</v>
      </c>
      <c r="CG172" s="32">
        <v>0</v>
      </c>
      <c r="CH172" s="32">
        <v>0</v>
      </c>
      <c r="CI172" s="32">
        <f t="shared" si="10"/>
        <v>0</v>
      </c>
      <c r="CJ172" s="60">
        <f>IF((Table1[[#This Row],["Volume
BA MC-0"]]-Table1[[#This Row],[Total Panjang Pipa Aktual
(Sum-&gt;)3]]-Table1[[#This Row],[Total Volume
tidak dapat dipasang]])&gt;=0,Table1[[#This Row],["Volume
BA MC-0"]]-Table1[[#This Row],[Total Panjang Pipa Aktual
(Sum-&gt;)3]]-Table1[[#This Row],[Total Volume
tidak dapat dipasang]],0)</f>
        <v>0</v>
      </c>
      <c r="CK172" s="42"/>
      <c r="CL172" s="113"/>
      <c r="CM172" s="35"/>
      <c r="CN172" s="113"/>
      <c r="CO172" s="113"/>
      <c r="CP1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2" s="61">
        <f>IFERROR(Table1[[#This Row],[Progres Keg. Umum
(%)]]*Table1[[#This Row],[Nilai RAB Jaringan
(file pa aji)]],0)</f>
        <v>0</v>
      </c>
      <c r="CR172" s="61">
        <f>IFERROR(Table1[[#This Row],[Progres MOS
(%)]]*Table1[[#This Row],[Nilai RAB Jaringan
(file pa aji)]],0)</f>
        <v>0</v>
      </c>
      <c r="CS172" s="61">
        <f>IFERROR(Table1[[#This Row],[Progres Pemasangan
(%)]]*Table1[[#This Row],[Nilai RAB Jaringan
(file pa aji)]],0)</f>
        <v>0</v>
      </c>
      <c r="CT172" s="61">
        <f>IFERROR(Table1[[#This Row],[Progres Perizinan
(%)]]*Table1[[#This Row],[Nilai RAB Jaringan
(file pa aji)]],0)</f>
        <v>0</v>
      </c>
      <c r="CU172" s="789">
        <v>1196597814</v>
      </c>
      <c r="CV172" s="299">
        <v>1196597814</v>
      </c>
      <c r="CW172" s="552">
        <v>1196597814</v>
      </c>
      <c r="CX172" s="789">
        <f>_xlfn.XLOOKUP(Table1[[#This Row],[Kode Program]],'[1]Breakdown VOWD Greenfield'!$E:$E,'[1]Breakdown VOWD Greenfield'!$AT:$AT)</f>
        <v>1196597814</v>
      </c>
      <c r="CY172" s="42"/>
      <c r="CZ172" s="300">
        <v>45747</v>
      </c>
      <c r="DA172" s="300">
        <v>45774</v>
      </c>
      <c r="DB172" s="301">
        <v>45712</v>
      </c>
      <c r="DC172" s="286" t="s">
        <v>1260</v>
      </c>
      <c r="DD172" s="62">
        <v>1445429349.8</v>
      </c>
      <c r="DE1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2" s="301">
        <v>45770</v>
      </c>
      <c r="DG172" s="286" t="s">
        <v>1261</v>
      </c>
      <c r="DH172" s="62">
        <v>1445429349.8</v>
      </c>
      <c r="DI1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2" s="300">
        <v>45775</v>
      </c>
      <c r="DK172" s="300">
        <v>45816</v>
      </c>
      <c r="DL172" s="301">
        <v>45794</v>
      </c>
      <c r="DM172" s="286" t="s">
        <v>1262</v>
      </c>
      <c r="DN1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2" s="301">
        <v>45832</v>
      </c>
      <c r="DP172" s="286" t="s">
        <v>1263</v>
      </c>
      <c r="DQ172" s="308" t="s">
        <v>275</v>
      </c>
      <c r="DR1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2" s="300">
        <v>45775</v>
      </c>
      <c r="DT172" s="300" t="e">
        <v>#N/A</v>
      </c>
      <c r="DU172" s="300">
        <v>45816</v>
      </c>
      <c r="DV172" s="300" t="e">
        <v>#N/A</v>
      </c>
      <c r="DW172" s="301">
        <v>45793</v>
      </c>
      <c r="DX172" s="286" t="s">
        <v>1264</v>
      </c>
      <c r="DY172" s="304"/>
      <c r="DZ172" s="304"/>
      <c r="EA1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72" s="301">
        <v>45722</v>
      </c>
      <c r="EC172" s="302"/>
      <c r="ED172" s="302"/>
      <c r="EE172" s="300" t="s">
        <v>1265</v>
      </c>
      <c r="EF172" s="35">
        <v>1</v>
      </c>
      <c r="EG172" s="307">
        <v>1</v>
      </c>
      <c r="EH172" s="286" t="str">
        <f>IF(Table1[[#This Row],[PO Material Aktual 
(%)]]&gt;=100%,"Selesai PO = 100%",IF(Table1[[#This Row],[PO Material Aktual 
(%)]]&gt;=50%,"Proses PO &gt; 100%",IF(Table1[[#This Row],[PO Material Aktual 
(%)]]&gt;0%,"Proses PO &gt; 50%",IF(Table1[[#This Row],[PO Material Aktual 
(%)]]=0,"Belum PO = 0%"))))</f>
        <v>Selesai PO = 100%</v>
      </c>
      <c r="EI1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172" s="300">
        <v>45782</v>
      </c>
      <c r="EK172" s="300" t="e">
        <v>#N/A</v>
      </c>
      <c r="EL172" s="300">
        <v>45872</v>
      </c>
      <c r="EM172" s="300" t="e">
        <v>#N/A</v>
      </c>
      <c r="EN172" s="301">
        <v>46107</v>
      </c>
      <c r="EO172" s="302"/>
      <c r="EP172" s="302"/>
      <c r="EQ172" s="82">
        <v>1</v>
      </c>
      <c r="ER172" s="82">
        <v>1</v>
      </c>
      <c r="ES172" s="286" t="str">
        <f>IF(Table1[[#This Row],[Progres MOS]]&gt;=100%,"Selesai MOS = 100%",IF(Table1[[#This Row],[Progres MOS]]&gt;=50%,"Proses MOS &gt; 100%",IF(Table1[[#This Row],[Progres MOS]]&gt;0%,"Proses MOS &gt; 50%",IF(Table1[[#This Row],[Progres MOS]]=0,"Belum MOS = 0%"))))</f>
        <v>Selesai MOS = 100%</v>
      </c>
      <c r="ET1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2" s="42"/>
      <c r="EV172" s="300">
        <v>45775</v>
      </c>
      <c r="EW172" s="300" t="e">
        <v>#N/A</v>
      </c>
      <c r="EX172" s="300">
        <v>45837</v>
      </c>
      <c r="EY172" s="300" t="e">
        <v>#N/A</v>
      </c>
      <c r="EZ172" s="322" t="s">
        <v>298</v>
      </c>
      <c r="FA172" s="306" t="s">
        <v>259</v>
      </c>
      <c r="FB172" s="300" t="s">
        <v>260</v>
      </c>
      <c r="FC172" s="300">
        <v>45840</v>
      </c>
      <c r="FD172" s="300" t="s">
        <v>260</v>
      </c>
      <c r="FE172" s="300">
        <v>45895</v>
      </c>
      <c r="FF172" s="300">
        <v>45919</v>
      </c>
      <c r="FG172" s="300" t="s">
        <v>260</v>
      </c>
      <c r="FH172" s="300" t="s">
        <v>260</v>
      </c>
      <c r="FI172" s="300">
        <v>46010</v>
      </c>
      <c r="FJ172" s="300" t="s">
        <v>260</v>
      </c>
      <c r="FK172" s="300">
        <v>46112</v>
      </c>
      <c r="FL172" s="306" t="s">
        <v>298</v>
      </c>
      <c r="FM172" s="322">
        <v>45840</v>
      </c>
      <c r="FN172" s="308">
        <f>IF(Table1[[#This Row],[Tanggal Pengajuan Dokumen]]="","",Table1[[#This Row],[PLAN PERMIT
start]]-Table1[[#This Row],[Tanggal Pengajuan Dokumen]])</f>
        <v>-65</v>
      </c>
      <c r="FO172" s="407">
        <v>46086</v>
      </c>
      <c r="FP172" s="286"/>
      <c r="FQ172" s="308"/>
      <c r="FR172" s="308"/>
      <c r="FS172" s="308" t="str">
        <f t="shared" si="9"/>
        <v>Sudah Terbit</v>
      </c>
      <c r="FT1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2" s="314">
        <f ca="1">IF(Table1[[#This Row],[Status Izin]]="Selesai",Table1[[#This Row],[PLAN PERMIT
finish]]-Table1[[#This Row],[Tanggal Terbit/ Target Izin Terbit]],ROUNDUP(Table1[[#This Row],[PLAN PERMIT
finish]]-NOW(),0))</f>
        <v>-249</v>
      </c>
      <c r="FV1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2" s="314"/>
      <c r="FX172" s="42"/>
      <c r="FY172" s="310"/>
      <c r="FZ172" s="311"/>
      <c r="GA1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2" s="300">
        <v>45823</v>
      </c>
      <c r="GC172" s="322">
        <v>45828</v>
      </c>
      <c r="GD1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2" s="300">
        <v>45823</v>
      </c>
      <c r="GF172" s="322">
        <v>45842</v>
      </c>
      <c r="GG1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2" s="300">
        <v>45817</v>
      </c>
      <c r="GI172" s="300">
        <v>45823</v>
      </c>
      <c r="GJ172" s="322">
        <v>45834</v>
      </c>
      <c r="GK1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2" s="300">
        <v>45838</v>
      </c>
      <c r="GM172" s="300" t="e">
        <v>#N/A</v>
      </c>
      <c r="GN172" s="300">
        <v>45900</v>
      </c>
      <c r="GO172" s="300" t="e">
        <v>#N/A</v>
      </c>
      <c r="GP172" s="286"/>
      <c r="GQ1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2" s="300" t="s">
        <v>261</v>
      </c>
      <c r="GS172" s="300" t="s">
        <v>261</v>
      </c>
      <c r="GT172" s="324" t="s">
        <v>1266</v>
      </c>
      <c r="GU172" s="314" t="str">
        <f>IF(Table1[[#This Row],[Hydro Tes Actual
(tanggal)]]&lt;&gt;"","Sudah","Belum")</f>
        <v>Sudah</v>
      </c>
      <c r="GV172" s="300" t="s">
        <v>261</v>
      </c>
      <c r="GW172" s="300" t="s">
        <v>261</v>
      </c>
      <c r="GX172" s="301">
        <v>46000</v>
      </c>
      <c r="GY172" s="314" t="str">
        <f>IF(Table1[[#This Row],[Interkoneksi Actual
(tanggal)]]&lt;&gt;"","Sudah","Belum")</f>
        <v>Sudah</v>
      </c>
      <c r="GZ172" s="300" t="s">
        <v>261</v>
      </c>
      <c r="HA172" s="300" t="s">
        <v>261</v>
      </c>
      <c r="HB172" s="301" t="s">
        <v>1266</v>
      </c>
      <c r="HC172" s="314" t="str">
        <f>IF(Table1[[#This Row],[Flushing Actual
(tanggal)]]&lt;&gt;"","Sudah","Belum")</f>
        <v>Sudah</v>
      </c>
      <c r="HD172" s="300">
        <v>45898</v>
      </c>
      <c r="HE172" s="300" t="e">
        <v>#N/A</v>
      </c>
      <c r="HF172" s="300">
        <v>45907</v>
      </c>
      <c r="HG172" s="301">
        <v>46020</v>
      </c>
      <c r="HH1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2" s="300" t="s">
        <v>261</v>
      </c>
      <c r="HJ172" s="300" t="s">
        <v>261</v>
      </c>
      <c r="HK172" s="301"/>
      <c r="HL172" s="286"/>
      <c r="HM172" s="300">
        <v>45919</v>
      </c>
      <c r="HN172" s="300">
        <v>45919</v>
      </c>
      <c r="HO172" s="300" t="e">
        <v>#N/A</v>
      </c>
      <c r="HP172" s="300"/>
      <c r="HQ172" s="301">
        <v>46022</v>
      </c>
      <c r="HR1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2" s="300">
        <v>45926</v>
      </c>
      <c r="HT172" s="300"/>
      <c r="HU172" s="300">
        <v>45926</v>
      </c>
      <c r="HV172" s="497"/>
      <c r="HW172" s="301">
        <v>46024</v>
      </c>
      <c r="HX1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2" s="42"/>
      <c r="HZ172" s="322"/>
      <c r="IA172" s="306"/>
      <c r="IC172" s="585">
        <f>IFERROR(ROUND((Table1[[#This Row],[PLAN TC
finish]]-Table1[[#This Row],[PLAN MC-0
start]])/30,2),"")</f>
        <v>3</v>
      </c>
      <c r="ID172">
        <f>DATEDIF(Table1[[#This Row],[PLAN MC-0
start]],Table1[[#This Row],[PLAN TC
finish]],"m")</f>
        <v>2</v>
      </c>
    </row>
    <row r="173" spans="1:238" s="4" customFormat="1" ht="15" customHeight="1" x14ac:dyDescent="0.25">
      <c r="B173" s="281">
        <f>SUBTOTAL(3,$D$5:D173)</f>
        <v>169</v>
      </c>
      <c r="C173" s="318">
        <v>169</v>
      </c>
      <c r="D173" s="308" t="s">
        <v>244</v>
      </c>
      <c r="E173" s="308" t="s">
        <v>1267</v>
      </c>
      <c r="F173" s="308" t="s">
        <v>1268</v>
      </c>
      <c r="G173" s="319">
        <v>45935</v>
      </c>
      <c r="H173" s="284" t="s">
        <v>247</v>
      </c>
      <c r="I173" s="308" t="s">
        <v>1212</v>
      </c>
      <c r="J173" s="367" t="s">
        <v>943</v>
      </c>
      <c r="K173" s="308" t="s">
        <v>1165</v>
      </c>
      <c r="L173" s="286" t="s">
        <v>1213</v>
      </c>
      <c r="M173" s="286" t="s">
        <v>269</v>
      </c>
      <c r="N173" s="94">
        <v>1</v>
      </c>
      <c r="O173" s="113" t="s">
        <v>1214</v>
      </c>
      <c r="P17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173" s="35" t="e">
        <v>#N/A</v>
      </c>
      <c r="S173" s="35">
        <v>1</v>
      </c>
      <c r="T173" s="35">
        <f>Table1[[#This Row],[Progres Total Aktual
(%)]]</f>
        <v>0.16530999368558288</v>
      </c>
      <c r="U173" s="106">
        <f>Table1[[#This Row],[Progres Aktual
(%)]]-Table1[[#This Row],[Target Progres
(%)]]</f>
        <v>-0.83469000631441714</v>
      </c>
      <c r="V173" s="320">
        <f>Table1[[#This Row],["Volume
BA MC-0"]]</f>
        <v>0</v>
      </c>
      <c r="W173" s="321">
        <f>Table1[[#This Row],[Total Panjang Pipa Aktual
(Sum-&gt;)3]]</f>
        <v>1</v>
      </c>
      <c r="X173" s="42"/>
      <c r="Y173" s="62" t="s">
        <v>1269</v>
      </c>
      <c r="Z173" s="62">
        <v>3452058954</v>
      </c>
      <c r="AA173" s="62">
        <f>Table1[[#This Row],[Nilai RAB Jaringan
(file pa aji)]]</f>
        <v>3452058954</v>
      </c>
      <c r="AB173" s="290">
        <f>SUM(Table1[[#This Row],[RAB Kegiatan Umum]:[RAB Perizinan]])</f>
        <v>0</v>
      </c>
      <c r="AC173" s="290"/>
      <c r="AD173" s="290"/>
      <c r="AE173" s="290"/>
      <c r="AF173" s="290"/>
      <c r="AG173" s="406">
        <v>0</v>
      </c>
      <c r="AH173" s="35" t="e">
        <f>SUM(Table1[[#This Row],[Bobot Keg Umum]:[Bobot Perizinan]])</f>
        <v>#DIV/0!</v>
      </c>
      <c r="AI173" s="35" t="e">
        <f>Table1[[#This Row],[RAB Kegiatan Umum]]/Table1[[#This Row],[Nilai RAB Jaringan
(Exclude Ppn)]]</f>
        <v>#DIV/0!</v>
      </c>
      <c r="AJ173" s="35" t="e">
        <f>Table1[[#This Row],[RAB Pemasangan]]/Table1[[#This Row],[Nilai RAB Jaringan
(Exclude Ppn)]]</f>
        <v>#DIV/0!</v>
      </c>
      <c r="AK173" s="35" t="e">
        <f>Table1[[#This Row],[RAB Pengadaan]]/Table1[[#This Row],[Nilai RAB Jaringan
(Exclude Ppn)]]</f>
        <v>#DIV/0!</v>
      </c>
      <c r="AL173" s="35" t="e">
        <f>Table1[[#This Row],[RAB Perizinan]]/Table1[[#This Row],[Nilai RAB Jaringan
(Exclude Ppn)]]</f>
        <v>#DIV/0!</v>
      </c>
      <c r="AM173" s="42"/>
      <c r="AN173" s="256">
        <v>0</v>
      </c>
      <c r="AO173" s="256">
        <f>SUM(Table1[[#This Row],[Pipa 63 mm]:[Pipa 1,800 mm]])</f>
        <v>0</v>
      </c>
      <c r="AP173" s="256"/>
      <c r="AQ173" s="256"/>
      <c r="AR173" s="256"/>
      <c r="AS173" s="256"/>
      <c r="AT173" s="256"/>
      <c r="AU173" s="256"/>
      <c r="AV173" s="256"/>
      <c r="AW173" s="256"/>
      <c r="AX173" s="256"/>
      <c r="AY173" s="256"/>
      <c r="AZ173" s="256"/>
      <c r="BA173" s="256"/>
      <c r="BB173" s="256"/>
      <c r="BC173" s="256"/>
      <c r="BD173" s="256"/>
      <c r="BE173" s="256"/>
      <c r="BF173" s="256"/>
      <c r="BG173" s="256"/>
      <c r="BH173" s="256"/>
      <c r="BI173" s="256"/>
      <c r="BJ173" s="36">
        <f>SUM(Table1[[#This Row],[Pipa 63 mm2]:[Pipa 1,800 mm21]])</f>
        <v>1</v>
      </c>
      <c r="BK173" s="32">
        <v>1</v>
      </c>
      <c r="BL173" s="32"/>
      <c r="BM173" s="32"/>
      <c r="BN173" s="32"/>
      <c r="BO173" s="32"/>
      <c r="BP173" s="32"/>
      <c r="BQ173" s="32"/>
      <c r="BR173" s="32"/>
      <c r="BS173" s="32"/>
      <c r="BT173" s="32"/>
      <c r="BU173" s="32"/>
      <c r="BV173" s="32"/>
      <c r="BW173" s="32"/>
      <c r="BX173" s="32"/>
      <c r="BY173" s="32"/>
      <c r="BZ173" s="32"/>
      <c r="CA173" s="32"/>
      <c r="CB173" s="32"/>
      <c r="CC173" s="32"/>
      <c r="CD173" s="32"/>
      <c r="CE173" s="32">
        <v>0</v>
      </c>
      <c r="CF173" s="32">
        <v>0</v>
      </c>
      <c r="CG173" s="32">
        <v>0</v>
      </c>
      <c r="CH173" s="32">
        <v>0</v>
      </c>
      <c r="CI173" s="32">
        <f t="shared" si="10"/>
        <v>0</v>
      </c>
      <c r="CJ173" s="60">
        <f>IF((Table1[[#This Row],["Volume
BA MC-0"]]-Table1[[#This Row],[Total Panjang Pipa Aktual
(Sum-&gt;)3]]-Table1[[#This Row],[Total Volume
tidak dapat dipasang]])&gt;=0,Table1[[#This Row],["Volume
BA MC-0"]]-Table1[[#This Row],[Total Panjang Pipa Aktual
(Sum-&gt;)3]]-Table1[[#This Row],[Total Volume
tidak dapat dipasang]],0)</f>
        <v>0</v>
      </c>
      <c r="CK173" s="42"/>
      <c r="CL173" s="113"/>
      <c r="CM173" s="35"/>
      <c r="CN173" s="113"/>
      <c r="CO173" s="113"/>
      <c r="CP1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0.16530999368558288</v>
      </c>
      <c r="CQ173" s="61">
        <f>IFERROR(Table1[[#This Row],[Progres Keg. Umum
(%)]]*Table1[[#This Row],[Nilai RAB Jaringan
(file pa aji)]],0)</f>
        <v>0</v>
      </c>
      <c r="CR173" s="61">
        <f>IFERROR(Table1[[#This Row],[Progres MOS
(%)]]*Table1[[#This Row],[Nilai RAB Jaringan
(file pa aji)]],0)</f>
        <v>0</v>
      </c>
      <c r="CS173" s="61">
        <f>IFERROR(Table1[[#This Row],[Progres Pemasangan
(%)]]*Table1[[#This Row],[Nilai RAB Jaringan
(file pa aji)]],0)</f>
        <v>0</v>
      </c>
      <c r="CT173" s="61">
        <f>IFERROR(Table1[[#This Row],[Progres Perizinan
(%)]]*Table1[[#This Row],[Nilai RAB Jaringan
(file pa aji)]],0)</f>
        <v>0</v>
      </c>
      <c r="CU173" s="789">
        <v>570659843.88799989</v>
      </c>
      <c r="CV173" s="299">
        <v>570659843.88799989</v>
      </c>
      <c r="CW173" s="552">
        <v>0</v>
      </c>
      <c r="CX173" s="789">
        <f>_xlfn.XLOOKUP(Table1[[#This Row],[Kode Program]],'[1]Breakdown VOWD Greenfield'!$E:$E,'[1]Breakdown VOWD Greenfield'!$AT:$AT)</f>
        <v>0</v>
      </c>
      <c r="CY173" s="42"/>
      <c r="CZ173" s="300">
        <v>45747</v>
      </c>
      <c r="DA173" s="300">
        <v>45774</v>
      </c>
      <c r="DB173" s="301">
        <v>45712</v>
      </c>
      <c r="DC173" s="286" t="s">
        <v>1270</v>
      </c>
      <c r="DD173" s="62">
        <v>3393020514</v>
      </c>
      <c r="DE1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3" s="301">
        <v>45735</v>
      </c>
      <c r="DG173" s="286" t="s">
        <v>1271</v>
      </c>
      <c r="DH173" s="62">
        <v>3393020514</v>
      </c>
      <c r="DI1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73" s="300">
        <v>45775</v>
      </c>
      <c r="DK173" s="300">
        <v>45816</v>
      </c>
      <c r="DL173" s="301">
        <v>45772</v>
      </c>
      <c r="DM173" s="286" t="s">
        <v>1272</v>
      </c>
      <c r="DN1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3" s="301">
        <v>45832</v>
      </c>
      <c r="DP173" s="286" t="s">
        <v>1273</v>
      </c>
      <c r="DQ173" s="308" t="s">
        <v>275</v>
      </c>
      <c r="DR1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3" s="300">
        <v>45775</v>
      </c>
      <c r="DT173" s="300" t="e">
        <v>#N/A</v>
      </c>
      <c r="DU173" s="300">
        <v>45816</v>
      </c>
      <c r="DV173" s="300" t="e">
        <v>#N/A</v>
      </c>
      <c r="DW173" s="301">
        <v>46050</v>
      </c>
      <c r="DX173" s="286" t="s">
        <v>1274</v>
      </c>
      <c r="DY173" s="304"/>
      <c r="DZ173" s="304"/>
      <c r="EA1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3" s="301"/>
      <c r="EC173" s="302"/>
      <c r="ED173" s="302"/>
      <c r="EE173" s="300"/>
      <c r="EF173" s="35">
        <v>0.80769230769230771</v>
      </c>
      <c r="EG173" s="307">
        <v>0.80769230769230771</v>
      </c>
      <c r="EH173" s="286" t="str">
        <f>IF(Table1[[#This Row],[PO Material Aktual 
(%)]]&gt;=100%,"Selesai PO = 100%",IF(Table1[[#This Row],[PO Material Aktual 
(%)]]&gt;=50%,"Proses PO &gt; 100%",IF(Table1[[#This Row],[PO Material Aktual 
(%)]]&gt;0%,"Proses PO &gt; 50%",IF(Table1[[#This Row],[PO Material Aktual 
(%)]]=0,"Belum PO = 0%"))))</f>
        <v>Proses PO &gt; 100%</v>
      </c>
      <c r="EI1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3" s="300">
        <v>45782</v>
      </c>
      <c r="EK173" s="300" t="e">
        <v>#N/A</v>
      </c>
      <c r="EL173" s="300">
        <v>45872</v>
      </c>
      <c r="EM173" s="300" t="e">
        <v>#N/A</v>
      </c>
      <c r="EN173" s="301"/>
      <c r="EO173" s="302"/>
      <c r="EP173" s="302"/>
      <c r="EQ173" s="82">
        <v>0.65384615384615385</v>
      </c>
      <c r="ER173" s="82">
        <v>0.65384615384615385</v>
      </c>
      <c r="ES173" s="286" t="str">
        <f>IF(Table1[[#This Row],[Progres MOS]]&gt;=100%,"Selesai MOS = 100%",IF(Table1[[#This Row],[Progres MOS]]&gt;=50%,"Proses MOS &gt; 100%",IF(Table1[[#This Row],[Progres MOS]]&gt;0%,"Proses MOS &gt; 50%",IF(Table1[[#This Row],[Progres MOS]]=0,"Belum MOS = 0%"))))</f>
        <v>Proses MOS &gt; 100%</v>
      </c>
      <c r="ET1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3" s="42"/>
      <c r="EV173" s="300">
        <v>45775</v>
      </c>
      <c r="EW173" s="300" t="e">
        <v>#N/A</v>
      </c>
      <c r="EX173" s="300">
        <v>45837</v>
      </c>
      <c r="EY173" s="300" t="e">
        <v>#N/A</v>
      </c>
      <c r="EZ173" s="322" t="s">
        <v>298</v>
      </c>
      <c r="FA173" s="306" t="s">
        <v>298</v>
      </c>
      <c r="FB173" s="300" t="s">
        <v>260</v>
      </c>
      <c r="FC173" s="300">
        <v>45875</v>
      </c>
      <c r="FD173" s="300" t="s">
        <v>260</v>
      </c>
      <c r="FE173" s="300">
        <v>45915</v>
      </c>
      <c r="FF173" s="300">
        <v>45958</v>
      </c>
      <c r="FG173" s="300" t="s">
        <v>260</v>
      </c>
      <c r="FH173" s="300" t="s">
        <v>260</v>
      </c>
      <c r="FI173" s="300">
        <v>46006</v>
      </c>
      <c r="FJ173" s="300" t="s">
        <v>260</v>
      </c>
      <c r="FK173" s="300"/>
      <c r="FL173" s="306" t="s">
        <v>298</v>
      </c>
      <c r="FM173" s="322">
        <v>45875</v>
      </c>
      <c r="FN173" s="308">
        <f>IF(Table1[[#This Row],[Tanggal Pengajuan Dokumen]]="","",Table1[[#This Row],[PLAN PERMIT
start]]-Table1[[#This Row],[Tanggal Pengajuan Dokumen]])</f>
        <v>-100</v>
      </c>
      <c r="FO173" s="407">
        <v>46086</v>
      </c>
      <c r="FP173" s="286"/>
      <c r="FQ173" s="308"/>
      <c r="FR173" s="308"/>
      <c r="FS173" s="308" t="str">
        <f t="shared" si="9"/>
        <v>On Going</v>
      </c>
      <c r="FT1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3" s="314">
        <f ca="1">IF(Table1[[#This Row],[Status Izin]]="Selesai",Table1[[#This Row],[PLAN PERMIT
finish]]-Table1[[#This Row],[Tanggal Terbit/ Target Izin Terbit]],ROUNDUP(Table1[[#This Row],[PLAN PERMIT
finish]]-NOW(),0))</f>
        <v>-367</v>
      </c>
      <c r="FV1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3" s="314"/>
      <c r="FX173" s="42"/>
      <c r="FY173" s="310"/>
      <c r="FZ173" s="311"/>
      <c r="GA1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3" s="300">
        <v>45823</v>
      </c>
      <c r="GC173" s="322">
        <v>45828</v>
      </c>
      <c r="GD1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3" s="300">
        <v>45823</v>
      </c>
      <c r="GF173" s="322">
        <v>45842</v>
      </c>
      <c r="GG1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3" s="300">
        <v>45817</v>
      </c>
      <c r="GI173" s="300">
        <v>45823</v>
      </c>
      <c r="GJ173" s="322">
        <v>45834</v>
      </c>
      <c r="GK1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3" s="300">
        <v>45838</v>
      </c>
      <c r="GM173" s="300" t="e">
        <v>#N/A</v>
      </c>
      <c r="GN173" s="300">
        <v>45900</v>
      </c>
      <c r="GO173" s="300" t="e">
        <v>#N/A</v>
      </c>
      <c r="GP173" s="286"/>
      <c r="GQ1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3" s="300" t="s">
        <v>261</v>
      </c>
      <c r="GS173" s="300" t="s">
        <v>261</v>
      </c>
      <c r="GT173" s="324"/>
      <c r="GU173" s="314" t="str">
        <f>IF(Table1[[#This Row],[Hydro Tes Actual
(tanggal)]]&lt;&gt;"","Sudah","Belum")</f>
        <v>Belum</v>
      </c>
      <c r="GV173" s="300" t="s">
        <v>261</v>
      </c>
      <c r="GW173" s="300" t="s">
        <v>261</v>
      </c>
      <c r="GX173" s="301"/>
      <c r="GY173" s="314" t="str">
        <f>IF(Table1[[#This Row],[Interkoneksi Actual
(tanggal)]]&lt;&gt;"","Sudah","Belum")</f>
        <v>Belum</v>
      </c>
      <c r="GZ173" s="300" t="s">
        <v>261</v>
      </c>
      <c r="HA173" s="300" t="s">
        <v>261</v>
      </c>
      <c r="HB173" s="301"/>
      <c r="HC173" s="314" t="str">
        <f>IF(Table1[[#This Row],[Flushing Actual
(tanggal)]]&lt;&gt;"","Sudah","Belum")</f>
        <v>Belum</v>
      </c>
      <c r="HD173" s="300">
        <v>45898</v>
      </c>
      <c r="HE173" s="300" t="e">
        <v>#N/A</v>
      </c>
      <c r="HF173" s="300">
        <v>45907</v>
      </c>
      <c r="HG173" s="301"/>
      <c r="HH1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3" s="300" t="s">
        <v>261</v>
      </c>
      <c r="HJ173" s="300" t="s">
        <v>261</v>
      </c>
      <c r="HK173" s="301"/>
      <c r="HL173" s="286"/>
      <c r="HM173" s="300">
        <v>45919</v>
      </c>
      <c r="HN173" s="300">
        <v>45919</v>
      </c>
      <c r="HO173" s="391">
        <v>46228</v>
      </c>
      <c r="HP173" s="391"/>
      <c r="HQ173" s="301"/>
      <c r="HR1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3" s="300">
        <v>45926</v>
      </c>
      <c r="HT173" s="300"/>
      <c r="HU173" s="300">
        <v>45926</v>
      </c>
      <c r="HV173" s="300">
        <v>46233</v>
      </c>
      <c r="HW173" s="301"/>
      <c r="HX1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3" s="42"/>
      <c r="HZ173" s="322"/>
      <c r="IA173" s="306"/>
      <c r="IC173" s="585">
        <f>IFERROR(ROUND((Table1[[#This Row],[PLAN TC
finish]]-Table1[[#This Row],[PLAN MC-0
start]])/30,2),"")</f>
        <v>3</v>
      </c>
      <c r="ID173">
        <f>DATEDIF(Table1[[#This Row],[PLAN MC-0
start]],Table1[[#This Row],[PLAN TC
finish]],"m")</f>
        <v>2</v>
      </c>
    </row>
    <row r="174" spans="1:238" s="4" customFormat="1" ht="15" customHeight="1" x14ac:dyDescent="0.25">
      <c r="B174" s="281">
        <f>SUBTOTAL(3,$D$5:D174)</f>
        <v>170</v>
      </c>
      <c r="C174" s="318">
        <v>170</v>
      </c>
      <c r="D174" s="308" t="s">
        <v>244</v>
      </c>
      <c r="E174" s="308" t="s">
        <v>1275</v>
      </c>
      <c r="F174" s="308" t="s">
        <v>1276</v>
      </c>
      <c r="G174" s="319">
        <v>45935</v>
      </c>
      <c r="H174" s="284" t="s">
        <v>247</v>
      </c>
      <c r="I174" s="308" t="s">
        <v>278</v>
      </c>
      <c r="J174" s="285"/>
      <c r="K174" s="308" t="s">
        <v>1165</v>
      </c>
      <c r="L174" s="286" t="s">
        <v>250</v>
      </c>
      <c r="M174" s="286" t="s">
        <v>269</v>
      </c>
      <c r="N174" s="94">
        <v>3153</v>
      </c>
      <c r="O174" s="113" t="s">
        <v>252</v>
      </c>
      <c r="P17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4" s="35" t="e">
        <v>#N/A</v>
      </c>
      <c r="S174" s="35">
        <v>1</v>
      </c>
      <c r="T174" s="35">
        <f>Table1[[#This Row],[Progres Total Aktual
(%)]]</f>
        <v>1</v>
      </c>
      <c r="U174" s="106">
        <f>Table1[[#This Row],[Progres Aktual
(%)]]-Table1[[#This Row],[Target Progres
(%)]]</f>
        <v>0</v>
      </c>
      <c r="V174" s="320">
        <f>Table1[[#This Row],["Volume
BA MC-0"]]</f>
        <v>3219</v>
      </c>
      <c r="W174" s="321">
        <f>Table1[[#This Row],[Total Panjang Pipa Aktual
(Sum-&gt;)3]]</f>
        <v>3221.6</v>
      </c>
      <c r="X174" s="42"/>
      <c r="Y174" s="62" t="s">
        <v>1277</v>
      </c>
      <c r="Z174" s="62">
        <v>4243824282</v>
      </c>
      <c r="AA174" s="62">
        <f>Table1[[#This Row],[Nilai RAB Jaringan
(file pa aji)]]</f>
        <v>4243824282</v>
      </c>
      <c r="AB174" s="290">
        <f>SUM(Table1[[#This Row],[RAB Kegiatan Umum]:[RAB Perizinan]])</f>
        <v>0</v>
      </c>
      <c r="AC174" s="290"/>
      <c r="AD174" s="290"/>
      <c r="AE174" s="290"/>
      <c r="AF174" s="290"/>
      <c r="AG174" s="406">
        <v>22546132</v>
      </c>
      <c r="AH174" s="35" t="e">
        <f>SUM(Table1[[#This Row],[Bobot Keg Umum]:[Bobot Perizinan]])</f>
        <v>#DIV/0!</v>
      </c>
      <c r="AI174" s="35" t="e">
        <f>Table1[[#This Row],[RAB Kegiatan Umum]]/Table1[[#This Row],[Nilai RAB Jaringan
(Exclude Ppn)]]</f>
        <v>#DIV/0!</v>
      </c>
      <c r="AJ174" s="35" t="e">
        <f>Table1[[#This Row],[RAB Pemasangan]]/Table1[[#This Row],[Nilai RAB Jaringan
(Exclude Ppn)]]</f>
        <v>#DIV/0!</v>
      </c>
      <c r="AK174" s="35" t="e">
        <f>Table1[[#This Row],[RAB Pengadaan]]/Table1[[#This Row],[Nilai RAB Jaringan
(Exclude Ppn)]]</f>
        <v>#DIV/0!</v>
      </c>
      <c r="AL174" s="35" t="e">
        <f>Table1[[#This Row],[RAB Perizinan]]/Table1[[#This Row],[Nilai RAB Jaringan
(Exclude Ppn)]]</f>
        <v>#DIV/0!</v>
      </c>
      <c r="AM174" s="42"/>
      <c r="AN174" s="256">
        <v>3219</v>
      </c>
      <c r="AO174" s="256">
        <f>SUM(Table1[[#This Row],[Pipa 63 mm]:[Pipa 1,800 mm]])</f>
        <v>0</v>
      </c>
      <c r="AP174" s="256"/>
      <c r="AQ174" s="256"/>
      <c r="AR174" s="256"/>
      <c r="AS174" s="256"/>
      <c r="AT174" s="256"/>
      <c r="AU174" s="256"/>
      <c r="AV174" s="256"/>
      <c r="AW174" s="256"/>
      <c r="AX174" s="256"/>
      <c r="AY174" s="256"/>
      <c r="AZ174" s="256"/>
      <c r="BA174" s="256"/>
      <c r="BB174" s="256"/>
      <c r="BC174" s="256"/>
      <c r="BD174" s="256"/>
      <c r="BE174" s="256"/>
      <c r="BF174" s="256"/>
      <c r="BG174" s="256"/>
      <c r="BH174" s="256"/>
      <c r="BI174" s="256"/>
      <c r="BJ174" s="36">
        <f>SUM(Table1[[#This Row],[Pipa 63 mm2]:[Pipa 1,800 mm21]])</f>
        <v>3221.6</v>
      </c>
      <c r="BK174" s="32">
        <v>3024.1</v>
      </c>
      <c r="BL174" s="32"/>
      <c r="BM174" s="32">
        <v>197.5</v>
      </c>
      <c r="BN174" s="32"/>
      <c r="BO174" s="32"/>
      <c r="BP174" s="32"/>
      <c r="BQ174" s="32"/>
      <c r="BR174" s="32"/>
      <c r="BS174" s="32"/>
      <c r="BT174" s="32"/>
      <c r="BU174" s="32"/>
      <c r="BV174" s="32"/>
      <c r="BW174" s="32"/>
      <c r="BX174" s="32"/>
      <c r="BY174" s="32"/>
      <c r="BZ174" s="32"/>
      <c r="CA174" s="32"/>
      <c r="CB174" s="32"/>
      <c r="CC174" s="32"/>
      <c r="CD174" s="32"/>
      <c r="CE174" s="32">
        <v>0</v>
      </c>
      <c r="CF174" s="32">
        <v>0</v>
      </c>
      <c r="CG174" s="32">
        <v>0</v>
      </c>
      <c r="CH174" s="32">
        <v>0</v>
      </c>
      <c r="CI174" s="32">
        <f t="shared" si="10"/>
        <v>0</v>
      </c>
      <c r="CJ174" s="60">
        <f>IF((Table1[[#This Row],["Volume
BA MC-0"]]-Table1[[#This Row],[Total Panjang Pipa Aktual
(Sum-&gt;)3]]-Table1[[#This Row],[Total Volume
tidak dapat dipasang]])&gt;=0,Table1[[#This Row],["Volume
BA MC-0"]]-Table1[[#This Row],[Total Panjang Pipa Aktual
(Sum-&gt;)3]]-Table1[[#This Row],[Total Volume
tidak dapat dipasang]],0)</f>
        <v>0</v>
      </c>
      <c r="CK174" s="42"/>
      <c r="CL174" s="113"/>
      <c r="CM174" s="35"/>
      <c r="CN174" s="113"/>
      <c r="CO174" s="113"/>
      <c r="CP1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4" s="61">
        <f>IFERROR(Table1[[#This Row],[Progres Keg. Umum
(%)]]*Table1[[#This Row],[Nilai RAB Jaringan
(file pa aji)]],0)</f>
        <v>0</v>
      </c>
      <c r="CR174" s="61">
        <f>IFERROR(Table1[[#This Row],[Progres MOS
(%)]]*Table1[[#This Row],[Nilai RAB Jaringan
(file pa aji)]],0)</f>
        <v>0</v>
      </c>
      <c r="CS174" s="61">
        <f>IFERROR(Table1[[#This Row],[Progres Pemasangan
(%)]]*Table1[[#This Row],[Nilai RAB Jaringan
(file pa aji)]],0)</f>
        <v>0</v>
      </c>
      <c r="CT174" s="61">
        <f>IFERROR(Table1[[#This Row],[Progres Perizinan
(%)]]*Table1[[#This Row],[Nilai RAB Jaringan
(file pa aji)]],0)</f>
        <v>0</v>
      </c>
      <c r="CU174" s="789">
        <v>3709188490</v>
      </c>
      <c r="CV174" s="299">
        <v>3709188490</v>
      </c>
      <c r="CW174" s="552">
        <v>3709188490</v>
      </c>
      <c r="CX174" s="789">
        <f>_xlfn.XLOOKUP(Table1[[#This Row],[Kode Program]],'[1]Breakdown VOWD Greenfield'!$E:$E,'[1]Breakdown VOWD Greenfield'!$AT:$AT)</f>
        <v>3709188490</v>
      </c>
      <c r="CY174" s="42"/>
      <c r="CZ174" s="300">
        <v>45530</v>
      </c>
      <c r="DA174" s="300">
        <v>45557</v>
      </c>
      <c r="DB174" s="301">
        <v>45569</v>
      </c>
      <c r="DC174" s="286" t="s">
        <v>1278</v>
      </c>
      <c r="DD174" s="62">
        <v>4243824281</v>
      </c>
      <c r="DE1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174" s="301">
        <v>45581</v>
      </c>
      <c r="DG174" s="286" t="s">
        <v>1279</v>
      </c>
      <c r="DH174" s="62">
        <v>4243824281</v>
      </c>
      <c r="DI17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4" s="300">
        <v>45558</v>
      </c>
      <c r="DK174" s="300">
        <v>45627</v>
      </c>
      <c r="DL174" s="301">
        <v>45640</v>
      </c>
      <c r="DM174" s="286" t="s">
        <v>1280</v>
      </c>
      <c r="DN1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74" s="301">
        <v>45677</v>
      </c>
      <c r="DP174" s="286" t="s">
        <v>1281</v>
      </c>
      <c r="DQ174" s="308" t="s">
        <v>371</v>
      </c>
      <c r="DR1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4" s="300">
        <v>45558</v>
      </c>
      <c r="DT174" s="300" t="e">
        <v>#N/A</v>
      </c>
      <c r="DU174" s="300">
        <v>45599</v>
      </c>
      <c r="DV174" s="300" t="e">
        <v>#N/A</v>
      </c>
      <c r="DW174" s="301">
        <v>45640</v>
      </c>
      <c r="DX174" s="286" t="s">
        <v>1280</v>
      </c>
      <c r="DY174" s="304"/>
      <c r="DZ174" s="304"/>
      <c r="EA1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4" s="301">
        <v>45792</v>
      </c>
      <c r="EC174" s="302"/>
      <c r="ED174" s="302"/>
      <c r="EE174" s="300" t="s">
        <v>1282</v>
      </c>
      <c r="EF174" s="35">
        <v>1</v>
      </c>
      <c r="EG174" s="307">
        <v>1</v>
      </c>
      <c r="EH174" s="286" t="str">
        <f>IF(Table1[[#This Row],[PO Material Aktual 
(%)]]&gt;=100%,"Selesai PO = 100%",IF(Table1[[#This Row],[PO Material Aktual 
(%)]]&gt;=50%,"Proses PO &gt; 100%",IF(Table1[[#This Row],[PO Material Aktual 
(%)]]&gt;0%,"Proses PO &gt; 50%",IF(Table1[[#This Row],[PO Material Aktual 
(%)]]=0,"Belum PO = 0%"))))</f>
        <v>Selesai PO = 100%</v>
      </c>
      <c r="EI17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4" s="300">
        <v>45600</v>
      </c>
      <c r="EK174" s="300" t="e">
        <v>#N/A</v>
      </c>
      <c r="EL174" s="300">
        <v>45683</v>
      </c>
      <c r="EM174" s="300" t="e">
        <v>#N/A</v>
      </c>
      <c r="EN174" s="301">
        <v>46112</v>
      </c>
      <c r="EO174" s="302"/>
      <c r="EP174" s="302"/>
      <c r="EQ174" s="82">
        <v>1</v>
      </c>
      <c r="ER174" s="82">
        <v>1</v>
      </c>
      <c r="ES174" s="286" t="str">
        <f>IF(Table1[[#This Row],[Progres MOS]]&gt;=100%,"Selesai MOS = 100%",IF(Table1[[#This Row],[Progres MOS]]&gt;=50%,"Proses MOS &gt; 100%",IF(Table1[[#This Row],[Progres MOS]]&gt;0%,"Proses MOS &gt; 50%",IF(Table1[[#This Row],[Progres MOS]]=0,"Belum MOS = 0%"))))</f>
        <v>Selesai MOS = 100%</v>
      </c>
      <c r="ET1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4" s="42"/>
      <c r="EV174" s="300">
        <v>45558</v>
      </c>
      <c r="EW174" s="300" t="e">
        <v>#N/A</v>
      </c>
      <c r="EX174" s="300">
        <v>45655</v>
      </c>
      <c r="EY174" s="300" t="e">
        <v>#N/A</v>
      </c>
      <c r="EZ174" s="322" t="s">
        <v>259</v>
      </c>
      <c r="FA174" s="306" t="s">
        <v>259</v>
      </c>
      <c r="FB174" s="300" t="s">
        <v>260</v>
      </c>
      <c r="FC174" s="300">
        <v>45695</v>
      </c>
      <c r="FD174" s="300" t="s">
        <v>260</v>
      </c>
      <c r="FE174" s="300">
        <v>45821</v>
      </c>
      <c r="FF174" s="300">
        <v>45889</v>
      </c>
      <c r="FG174" s="300" t="s">
        <v>260</v>
      </c>
      <c r="FH174" s="300" t="s">
        <v>260</v>
      </c>
      <c r="FI174" s="300">
        <v>45980</v>
      </c>
      <c r="FJ174" s="300" t="s">
        <v>260</v>
      </c>
      <c r="FK174" s="300">
        <v>46056</v>
      </c>
      <c r="FL174" s="306" t="s">
        <v>259</v>
      </c>
      <c r="FM174" s="322">
        <v>45695</v>
      </c>
      <c r="FN174" s="308">
        <f>IF(Table1[[#This Row],[Tanggal Pengajuan Dokumen]]="","",Table1[[#This Row],[PLAN PERMIT
start]]-Table1[[#This Row],[Tanggal Pengajuan Dokumen]])</f>
        <v>-137</v>
      </c>
      <c r="FO174" s="407">
        <v>46086</v>
      </c>
      <c r="FP174" s="286"/>
      <c r="FQ174" s="308"/>
      <c r="FR174" s="308"/>
      <c r="FS174" s="308" t="str">
        <f t="shared" si="9"/>
        <v>Sudah Terbit</v>
      </c>
      <c r="FT17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4" s="314">
        <f ca="1">IF(Table1[[#This Row],[Status Izin]]="Selesai",Table1[[#This Row],[PLAN PERMIT
finish]]-Table1[[#This Row],[Tanggal Terbit/ Target Izin Terbit]],ROUNDUP(Table1[[#This Row],[PLAN PERMIT
finish]]-NOW(),0))</f>
        <v>-431</v>
      </c>
      <c r="FV17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4" s="314"/>
      <c r="FX174" s="42"/>
      <c r="FY174" s="310"/>
      <c r="FZ174" s="311"/>
      <c r="GA1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4" s="300">
        <v>45629</v>
      </c>
      <c r="GC174" s="415">
        <v>46021</v>
      </c>
      <c r="GD17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4" s="300">
        <v>45636</v>
      </c>
      <c r="GF174" s="322">
        <v>45607</v>
      </c>
      <c r="GG17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4" s="300">
        <v>45642</v>
      </c>
      <c r="GI174" s="300">
        <v>45648</v>
      </c>
      <c r="GJ174" s="322">
        <v>45372</v>
      </c>
      <c r="GK17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74" s="300">
        <v>45656</v>
      </c>
      <c r="GM174" s="300" t="e">
        <v>#N/A</v>
      </c>
      <c r="GN174" s="300">
        <v>45753</v>
      </c>
      <c r="GO174" s="300" t="e">
        <v>#N/A</v>
      </c>
      <c r="GP174" s="286"/>
      <c r="GQ17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4" s="300" t="s">
        <v>261</v>
      </c>
      <c r="GS174" s="300" t="s">
        <v>261</v>
      </c>
      <c r="GT174" s="324" t="s">
        <v>1283</v>
      </c>
      <c r="GU174" s="314" t="str">
        <f>IF(Table1[[#This Row],[Hydro Tes Actual
(tanggal)]]&lt;&gt;"","Sudah","Belum")</f>
        <v>Sudah</v>
      </c>
      <c r="GV174" s="300" t="s">
        <v>261</v>
      </c>
      <c r="GW174" s="300" t="s">
        <v>261</v>
      </c>
      <c r="GX174" s="301" t="s">
        <v>1284</v>
      </c>
      <c r="GY174" s="314" t="str">
        <f>IF(Table1[[#This Row],[Interkoneksi Actual
(tanggal)]]&lt;&gt;"","Sudah","Belum")</f>
        <v>Sudah</v>
      </c>
      <c r="GZ174" s="300" t="s">
        <v>261</v>
      </c>
      <c r="HA174" s="300" t="s">
        <v>261</v>
      </c>
      <c r="HB174" s="301" t="s">
        <v>1285</v>
      </c>
      <c r="HC174" s="314" t="str">
        <f>IF(Table1[[#This Row],[Flushing Actual
(tanggal)]]&lt;&gt;"","Sudah","Belum")</f>
        <v>Sudah</v>
      </c>
      <c r="HD174" s="300">
        <v>45726</v>
      </c>
      <c r="HE174" s="300" t="e">
        <v>#N/A</v>
      </c>
      <c r="HF174" s="300">
        <v>45746</v>
      </c>
      <c r="HG174" s="301">
        <v>45800</v>
      </c>
      <c r="HH17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4" s="300" t="s">
        <v>261</v>
      </c>
      <c r="HJ174" s="300" t="s">
        <v>261</v>
      </c>
      <c r="HK174" s="301"/>
      <c r="HL174" s="286"/>
      <c r="HM174" s="300">
        <v>45765</v>
      </c>
      <c r="HN174" s="300">
        <v>45765</v>
      </c>
      <c r="HO174" s="300" t="e">
        <v>#N/A</v>
      </c>
      <c r="HP174" s="300"/>
      <c r="HQ174" s="301">
        <v>45800</v>
      </c>
      <c r="HR17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4" s="300">
        <v>45772</v>
      </c>
      <c r="HT174" s="300"/>
      <c r="HU174" s="300">
        <v>45772</v>
      </c>
      <c r="HV174" s="497"/>
      <c r="HW174" s="301">
        <v>45930</v>
      </c>
      <c r="HX17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4" s="42"/>
      <c r="HZ174" s="322"/>
      <c r="IA174" s="306"/>
      <c r="IC174" s="585">
        <f>IFERROR(ROUND((Table1[[#This Row],[PLAN TC
finish]]-Table1[[#This Row],[PLAN MC-0
start]])/30,2),"")</f>
        <v>3.47</v>
      </c>
      <c r="ID174">
        <f>DATEDIF(Table1[[#This Row],[PLAN MC-0
start]],Table1[[#This Row],[PLAN TC
finish]],"m")</f>
        <v>3</v>
      </c>
    </row>
    <row r="175" spans="1:238" s="30" customFormat="1" ht="15" customHeight="1" x14ac:dyDescent="0.25">
      <c r="A175" s="72"/>
      <c r="B175" s="281">
        <f>SUBTOTAL(3,$D$5:D175)</f>
        <v>171</v>
      </c>
      <c r="C175" s="332">
        <v>171</v>
      </c>
      <c r="D175" s="336" t="s">
        <v>244</v>
      </c>
      <c r="E175" s="336" t="s">
        <v>1286</v>
      </c>
      <c r="F175" s="336" t="s">
        <v>1287</v>
      </c>
      <c r="G175" s="334">
        <v>45935</v>
      </c>
      <c r="H175" s="336" t="s">
        <v>681</v>
      </c>
      <c r="I175" s="336" t="s">
        <v>278</v>
      </c>
      <c r="J175" s="355" t="s">
        <v>389</v>
      </c>
      <c r="K175" s="336" t="s">
        <v>1165</v>
      </c>
      <c r="L175" s="337" t="s">
        <v>250</v>
      </c>
      <c r="M175" s="337" t="s">
        <v>269</v>
      </c>
      <c r="N175" s="338">
        <v>7</v>
      </c>
      <c r="O175" s="339" t="s">
        <v>252</v>
      </c>
      <c r="P175"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5" s="340" t="s">
        <v>389</v>
      </c>
      <c r="R175" s="341" t="e">
        <v>#N/A</v>
      </c>
      <c r="S175" s="341">
        <v>1</v>
      </c>
      <c r="T175" s="341">
        <f>Table1[[#This Row],[Progres Total Aktual
(%)]]</f>
        <v>0</v>
      </c>
      <c r="U175" s="342">
        <f>Table1[[#This Row],[Progres Aktual
(%)]]-Table1[[#This Row],[Target Progres
(%)]]</f>
        <v>-1</v>
      </c>
      <c r="V175" s="343">
        <f>Table1[[#This Row],["Volume
BA MC-0"]]</f>
        <v>0</v>
      </c>
      <c r="W175" s="344">
        <f>Table1[[#This Row],[Total Panjang Pipa Aktual
(Sum-&gt;)3]]</f>
        <v>0</v>
      </c>
      <c r="X175" s="42"/>
      <c r="Y175" s="62" t="s">
        <v>1288</v>
      </c>
      <c r="Z175" s="345">
        <v>69757407</v>
      </c>
      <c r="AA175" s="62">
        <f>Table1[[#This Row],[Nilai RAB Jaringan
(file pa aji)]]</f>
        <v>69757407</v>
      </c>
      <c r="AB175" s="340">
        <f>SUM(Table1[[#This Row],[RAB Kegiatan Umum]:[RAB Perizinan]])</f>
        <v>0</v>
      </c>
      <c r="AC175" s="340"/>
      <c r="AD175" s="340"/>
      <c r="AE175" s="340"/>
      <c r="AF175" s="340"/>
      <c r="AG175" s="409">
        <v>2049649</v>
      </c>
      <c r="AH175" s="341" t="e">
        <f>SUM(Table1[[#This Row],[Bobot Keg Umum]:[Bobot Perizinan]])</f>
        <v>#DIV/0!</v>
      </c>
      <c r="AI175" s="341" t="e">
        <f>Table1[[#This Row],[RAB Kegiatan Umum]]/Table1[[#This Row],[Nilai RAB Jaringan
(Exclude Ppn)]]</f>
        <v>#DIV/0!</v>
      </c>
      <c r="AJ175" s="341" t="e">
        <f>Table1[[#This Row],[RAB Pemasangan]]/Table1[[#This Row],[Nilai RAB Jaringan
(Exclude Ppn)]]</f>
        <v>#DIV/0!</v>
      </c>
      <c r="AK175" s="341" t="e">
        <f>Table1[[#This Row],[RAB Pengadaan]]/Table1[[#This Row],[Nilai RAB Jaringan
(Exclude Ppn)]]</f>
        <v>#DIV/0!</v>
      </c>
      <c r="AL175" s="341" t="e">
        <f>Table1[[#This Row],[RAB Perizinan]]/Table1[[#This Row],[Nilai RAB Jaringan
(Exclude Ppn)]]</f>
        <v>#DIV/0!</v>
      </c>
      <c r="AM175" s="42"/>
      <c r="AN175" s="346">
        <v>0</v>
      </c>
      <c r="AO175" s="346">
        <f>SUM(Table1[[#This Row],[Pipa 63 mm]:[Pipa 1,800 mm]])</f>
        <v>0</v>
      </c>
      <c r="AP175" s="346"/>
      <c r="AQ175" s="346"/>
      <c r="AR175" s="346"/>
      <c r="AS175" s="346"/>
      <c r="AT175" s="346"/>
      <c r="AU175" s="346"/>
      <c r="AV175" s="346"/>
      <c r="AW175" s="346"/>
      <c r="AX175" s="346"/>
      <c r="AY175" s="346"/>
      <c r="AZ175" s="346"/>
      <c r="BA175" s="346"/>
      <c r="BB175" s="346"/>
      <c r="BC175" s="346"/>
      <c r="BD175" s="346"/>
      <c r="BE175" s="346"/>
      <c r="BF175" s="346"/>
      <c r="BG175" s="346"/>
      <c r="BH175" s="346"/>
      <c r="BI175" s="346"/>
      <c r="BJ175" s="347">
        <f>SUM(Table1[[#This Row],[Pipa 63 mm2]:[Pipa 1,800 mm21]])</f>
        <v>0</v>
      </c>
      <c r="BK175" s="348"/>
      <c r="BL175" s="348"/>
      <c r="BM175" s="348"/>
      <c r="BN175" s="348"/>
      <c r="BO175" s="348"/>
      <c r="BP175" s="348"/>
      <c r="BQ175" s="348"/>
      <c r="BR175" s="348"/>
      <c r="BS175" s="348"/>
      <c r="BT175" s="348"/>
      <c r="BU175" s="348"/>
      <c r="BV175" s="348"/>
      <c r="BW175" s="348"/>
      <c r="BX175" s="348"/>
      <c r="BY175" s="348"/>
      <c r="BZ175" s="348"/>
      <c r="CA175" s="348"/>
      <c r="CB175" s="348"/>
      <c r="CC175" s="348"/>
      <c r="CD175" s="348"/>
      <c r="CE175" s="348">
        <v>0</v>
      </c>
      <c r="CF175" s="348">
        <v>0</v>
      </c>
      <c r="CG175" s="348">
        <v>0</v>
      </c>
      <c r="CH175" s="348">
        <v>0</v>
      </c>
      <c r="CI175" s="348">
        <f t="shared" si="10"/>
        <v>0</v>
      </c>
      <c r="CJ175" s="348">
        <f>IF((Table1[[#This Row],["Volume
BA MC-0"]]-Table1[[#This Row],[Total Panjang Pipa Aktual
(Sum-&gt;)3]]-Table1[[#This Row],[Total Volume
tidak dapat dipasang]])&gt;=0,Table1[[#This Row],["Volume
BA MC-0"]]-Table1[[#This Row],[Total Panjang Pipa Aktual
(Sum-&gt;)3]]-Table1[[#This Row],[Total Volume
tidak dapat dipasang]],0)</f>
        <v>0</v>
      </c>
      <c r="CK175" s="42"/>
      <c r="CL175" s="349"/>
      <c r="CM175" s="341"/>
      <c r="CN175" s="349"/>
      <c r="CO175" s="349"/>
      <c r="CP1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5" s="350">
        <f>IFERROR(Table1[[#This Row],[Progres Keg. Umum
(%)]]*Table1[[#This Row],[Nilai RAB Jaringan
(file pa aji)]],0)</f>
        <v>0</v>
      </c>
      <c r="CR175" s="350">
        <f>IFERROR(Table1[[#This Row],[Progres MOS
(%)]]*Table1[[#This Row],[Nilai RAB Jaringan
(file pa aji)]],0)</f>
        <v>0</v>
      </c>
      <c r="CS175" s="350">
        <f>IFERROR(Table1[[#This Row],[Progres Pemasangan
(%)]]*Table1[[#This Row],[Nilai RAB Jaringan
(file pa aji)]],0)</f>
        <v>0</v>
      </c>
      <c r="CT175" s="350">
        <f>IFERROR(Table1[[#This Row],[Progres Perizinan
(%)]]*Table1[[#This Row],[Nilai RAB Jaringan
(file pa aji)]],0)</f>
        <v>0</v>
      </c>
      <c r="CU175" s="789">
        <v>0</v>
      </c>
      <c r="CV175" s="299">
        <v>0</v>
      </c>
      <c r="CW175" s="551">
        <v>0</v>
      </c>
      <c r="CX175" s="789">
        <f>_xlfn.XLOOKUP(Table1[[#This Row],[Kode Program]],'[1]Breakdown VOWD Greenfield'!$E:$E,'[1]Breakdown VOWD Greenfield'!$AT:$AT)</f>
        <v>0</v>
      </c>
      <c r="CY175" s="42"/>
      <c r="CZ175" s="356">
        <v>45565</v>
      </c>
      <c r="DA175" s="356">
        <v>45578</v>
      </c>
      <c r="DB175" s="301"/>
      <c r="DC175" s="337">
        <v>0</v>
      </c>
      <c r="DD175" s="345">
        <v>0</v>
      </c>
      <c r="DE1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5" s="301"/>
      <c r="DG175" s="337">
        <v>0</v>
      </c>
      <c r="DH175" s="345">
        <v>0</v>
      </c>
      <c r="DI175"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5" s="356">
        <v>45579</v>
      </c>
      <c r="DK175" s="356">
        <v>45627</v>
      </c>
      <c r="DL175" s="301">
        <v>45609</v>
      </c>
      <c r="DM175" s="351" t="s">
        <v>1289</v>
      </c>
      <c r="DN1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5" s="301">
        <v>45645</v>
      </c>
      <c r="DP175" s="337" t="s">
        <v>1290</v>
      </c>
      <c r="DQ175" s="336" t="s">
        <v>433</v>
      </c>
      <c r="DR1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5" s="356">
        <v>45579</v>
      </c>
      <c r="DT175" s="356" t="e">
        <v>#N/A</v>
      </c>
      <c r="DU175" s="356">
        <v>45606</v>
      </c>
      <c r="DV175" s="356" t="e">
        <v>#N/A</v>
      </c>
      <c r="DW175" s="301"/>
      <c r="DX175" s="337">
        <v>0</v>
      </c>
      <c r="DY175" s="352"/>
      <c r="DZ175" s="352"/>
      <c r="EA1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5" s="301"/>
      <c r="EC175" s="302"/>
      <c r="ED175" s="302"/>
      <c r="EE175" s="300"/>
      <c r="EF175" s="341" t="b">
        <v>0</v>
      </c>
      <c r="EG175" s="353" t="b">
        <v>0</v>
      </c>
      <c r="EH175" s="286" t="str">
        <f>IF(Table1[[#This Row],[PO Material Aktual 
(%)]]&gt;=100%,"Selesai PO = 100%",IF(Table1[[#This Row],[PO Material Aktual 
(%)]]&gt;=50%,"Proses PO &gt; 100%",IF(Table1[[#This Row],[PO Material Aktual 
(%)]]&gt;0%,"Proses PO &gt; 50%",IF(Table1[[#This Row],[PO Material Aktual 
(%)]]=0,"Belum PO = 0%"))))</f>
        <v>Selesai PO = 100%</v>
      </c>
      <c r="EI1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5" s="356">
        <v>45607</v>
      </c>
      <c r="EK175" s="356" t="e">
        <v>#N/A</v>
      </c>
      <c r="EL175" s="356">
        <v>45655</v>
      </c>
      <c r="EM175" s="356" t="e">
        <v>#N/A</v>
      </c>
      <c r="EN175" s="301"/>
      <c r="EO175" s="302"/>
      <c r="EP175" s="302"/>
      <c r="EQ175" s="83" t="b">
        <v>0</v>
      </c>
      <c r="ER175" s="83" t="b">
        <v>0</v>
      </c>
      <c r="ES175" s="286" t="str">
        <f>IF(Table1[[#This Row],[Progres MOS]]&gt;=100%,"Selesai MOS = 100%",IF(Table1[[#This Row],[Progres MOS]]&gt;=50%,"Proses MOS &gt; 100%",IF(Table1[[#This Row],[Progres MOS]]&gt;0%,"Proses MOS &gt; 50%",IF(Table1[[#This Row],[Progres MOS]]=0,"Belum MOS = 0%"))))</f>
        <v>Selesai MOS = 100%</v>
      </c>
      <c r="ET1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5" s="42"/>
      <c r="EV175" s="356">
        <v>45579</v>
      </c>
      <c r="EW175" s="356" t="e">
        <v>#N/A</v>
      </c>
      <c r="EX175" s="356">
        <v>45655</v>
      </c>
      <c r="EY175" s="356" t="e">
        <v>#N/A</v>
      </c>
      <c r="EZ175" s="354" t="s">
        <v>298</v>
      </c>
      <c r="FA175" s="355" t="s">
        <v>389</v>
      </c>
      <c r="FB175" s="356"/>
      <c r="FC175" s="300"/>
      <c r="FD175" s="356"/>
      <c r="FE175" s="356"/>
      <c r="FF175" s="356"/>
      <c r="FG175" s="356"/>
      <c r="FH175" s="356"/>
      <c r="FI175" s="356"/>
      <c r="FJ175" s="356"/>
      <c r="FK175" s="356"/>
      <c r="FL175" s="306" t="str">
        <f>Table1[[#This Row],[IPPJU]]</f>
        <v>9.Proses Penerbitan Izin</v>
      </c>
      <c r="FM175" s="306"/>
      <c r="FN175" s="284" t="str">
        <f>IF(Table1[[#This Row],[Tanggal Pengajuan Dokumen]]="","",Table1[[#This Row],[PLAN PERMIT
start]]-Table1[[#This Row],[Tanggal Pengajuan Dokumen]])</f>
        <v/>
      </c>
      <c r="FO175" s="414">
        <v>46086</v>
      </c>
      <c r="FP175" s="286"/>
      <c r="FQ175" s="308"/>
      <c r="FR175" s="308"/>
      <c r="FS175" s="308" t="str">
        <f t="shared" si="9"/>
        <v>On Going</v>
      </c>
      <c r="FT17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5" s="357">
        <f ca="1">IF(Table1[[#This Row],[Status Izin]]="Selesai",Table1[[#This Row],[PLAN PERMIT
finish]]-Table1[[#This Row],[Tanggal Terbit/ Target Izin Terbit]],ROUNDUP(Table1[[#This Row],[PLAN PERMIT
finish]]-NOW(),0))</f>
        <v>-549</v>
      </c>
      <c r="FV17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5" s="357"/>
      <c r="FX175" s="42"/>
      <c r="FY175" s="310"/>
      <c r="FZ175" s="311"/>
      <c r="GA1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5" s="356">
        <v>45629</v>
      </c>
      <c r="GC175" s="354"/>
      <c r="GD17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5" s="356">
        <v>45636</v>
      </c>
      <c r="GF175" s="354"/>
      <c r="GG17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5" s="356">
        <v>45642</v>
      </c>
      <c r="GI175" s="356">
        <v>45648</v>
      </c>
      <c r="GJ175" s="358" t="s">
        <v>1291</v>
      </c>
      <c r="GK17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5" s="356">
        <v>45656</v>
      </c>
      <c r="GM175" s="356" t="e">
        <v>#N/A</v>
      </c>
      <c r="GN175" s="356">
        <v>45662</v>
      </c>
      <c r="GO175" s="356" t="e">
        <v>#N/A</v>
      </c>
      <c r="GP175" s="337"/>
      <c r="GQ17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5" s="356" t="s">
        <v>261</v>
      </c>
      <c r="GS175" s="356" t="s">
        <v>261</v>
      </c>
      <c r="GT175" s="360"/>
      <c r="GU175" s="357" t="str">
        <f>IF(Table1[[#This Row],[Hydro Tes Actual
(tanggal)]]&lt;&gt;"","Sudah","Belum")</f>
        <v>Belum</v>
      </c>
      <c r="GV175" s="356" t="s">
        <v>261</v>
      </c>
      <c r="GW175" s="356" t="s">
        <v>261</v>
      </c>
      <c r="GX175" s="358"/>
      <c r="GY175" s="314" t="str">
        <f>IF(Table1[[#This Row],[Interkoneksi Actual
(tanggal)]]&lt;&gt;"","Sudah","Belum")</f>
        <v>Belum</v>
      </c>
      <c r="GZ175" s="356" t="s">
        <v>261</v>
      </c>
      <c r="HA175" s="356" t="s">
        <v>261</v>
      </c>
      <c r="HB175" s="358"/>
      <c r="HC175" s="314" t="str">
        <f>IF(Table1[[#This Row],[Flushing Actual
(tanggal)]]&lt;&gt;"","Sudah","Belum")</f>
        <v>Belum</v>
      </c>
      <c r="HD175" s="356">
        <v>45660</v>
      </c>
      <c r="HE175" s="356" t="e">
        <v>#N/A</v>
      </c>
      <c r="HF175" s="356">
        <v>45669</v>
      </c>
      <c r="HG175" s="358"/>
      <c r="HH17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5" s="356" t="s">
        <v>261</v>
      </c>
      <c r="HJ175" s="356" t="s">
        <v>261</v>
      </c>
      <c r="HK175" s="358"/>
      <c r="HL175" s="337"/>
      <c r="HM175" s="356">
        <v>45681</v>
      </c>
      <c r="HN175" s="356">
        <v>45681</v>
      </c>
      <c r="HO175" s="356" t="e">
        <v>#N/A</v>
      </c>
      <c r="HP175" s="356"/>
      <c r="HQ175" s="358"/>
      <c r="HR175"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5" s="356">
        <v>45688</v>
      </c>
      <c r="HT175" s="356"/>
      <c r="HU175" s="356">
        <v>45688</v>
      </c>
      <c r="HV175" s="580"/>
      <c r="HW175" s="358"/>
      <c r="HX17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5" s="42"/>
      <c r="HZ175" s="354"/>
      <c r="IA175" s="306"/>
      <c r="IC175" s="585">
        <f>IFERROR(ROUND((Table1[[#This Row],[PLAN TC
finish]]-Table1[[#This Row],[PLAN MC-0
start]])/30,2),"")</f>
        <v>0.9</v>
      </c>
      <c r="ID175">
        <f>DATEDIF(Table1[[#This Row],[PLAN MC-0
start]],Table1[[#This Row],[PLAN TC
finish]],"m")</f>
        <v>0</v>
      </c>
    </row>
    <row r="176" spans="1:238" s="30" customFormat="1" ht="15" customHeight="1" x14ac:dyDescent="0.25">
      <c r="A176" s="72"/>
      <c r="B176" s="281">
        <f>SUBTOTAL(3,$D$5:D176)</f>
        <v>172</v>
      </c>
      <c r="C176" s="332">
        <v>172</v>
      </c>
      <c r="D176" s="336" t="s">
        <v>244</v>
      </c>
      <c r="E176" s="336" t="s">
        <v>1292</v>
      </c>
      <c r="F176" s="336" t="s">
        <v>1293</v>
      </c>
      <c r="G176" s="334">
        <v>45935</v>
      </c>
      <c r="H176" s="336" t="s">
        <v>681</v>
      </c>
      <c r="I176" s="336" t="s">
        <v>278</v>
      </c>
      <c r="J176" s="355" t="s">
        <v>389</v>
      </c>
      <c r="K176" s="336" t="s">
        <v>1165</v>
      </c>
      <c r="L176" s="337" t="s">
        <v>250</v>
      </c>
      <c r="M176" s="337" t="s">
        <v>269</v>
      </c>
      <c r="N176" s="338">
        <v>12</v>
      </c>
      <c r="O176" s="339" t="s">
        <v>252</v>
      </c>
      <c r="P17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6" s="340" t="s">
        <v>389</v>
      </c>
      <c r="R176" s="341" t="e">
        <v>#N/A</v>
      </c>
      <c r="S176" s="341">
        <v>1</v>
      </c>
      <c r="T176" s="341">
        <f>Table1[[#This Row],[Progres Total Aktual
(%)]]</f>
        <v>0</v>
      </c>
      <c r="U176" s="342">
        <f>Table1[[#This Row],[Progres Aktual
(%)]]-Table1[[#This Row],[Target Progres
(%)]]</f>
        <v>-1</v>
      </c>
      <c r="V176" s="343">
        <f>Table1[[#This Row],["Volume
BA MC-0"]]</f>
        <v>0</v>
      </c>
      <c r="W176" s="344">
        <f>Table1[[#This Row],[Total Panjang Pipa Aktual
(Sum-&gt;)3]]</f>
        <v>0</v>
      </c>
      <c r="X176" s="42"/>
      <c r="Y176" s="62" t="s">
        <v>1294</v>
      </c>
      <c r="Z176" s="345">
        <v>88789681</v>
      </c>
      <c r="AA176" s="62">
        <f>Table1[[#This Row],[Nilai RAB Jaringan
(file pa aji)]]</f>
        <v>88789681</v>
      </c>
      <c r="AB176" s="340">
        <f>SUM(Table1[[#This Row],[RAB Kegiatan Umum]:[RAB Perizinan]])</f>
        <v>0</v>
      </c>
      <c r="AC176" s="340"/>
      <c r="AD176" s="340"/>
      <c r="AE176" s="340"/>
      <c r="AF176" s="340"/>
      <c r="AG176" s="409">
        <v>2049649</v>
      </c>
      <c r="AH176" s="341" t="e">
        <f>SUM(Table1[[#This Row],[Bobot Keg Umum]:[Bobot Perizinan]])</f>
        <v>#DIV/0!</v>
      </c>
      <c r="AI176" s="341" t="e">
        <f>Table1[[#This Row],[RAB Kegiatan Umum]]/Table1[[#This Row],[Nilai RAB Jaringan
(Exclude Ppn)]]</f>
        <v>#DIV/0!</v>
      </c>
      <c r="AJ176" s="341" t="e">
        <f>Table1[[#This Row],[RAB Pemasangan]]/Table1[[#This Row],[Nilai RAB Jaringan
(Exclude Ppn)]]</f>
        <v>#DIV/0!</v>
      </c>
      <c r="AK176" s="341" t="e">
        <f>Table1[[#This Row],[RAB Pengadaan]]/Table1[[#This Row],[Nilai RAB Jaringan
(Exclude Ppn)]]</f>
        <v>#DIV/0!</v>
      </c>
      <c r="AL176" s="341" t="e">
        <f>Table1[[#This Row],[RAB Perizinan]]/Table1[[#This Row],[Nilai RAB Jaringan
(Exclude Ppn)]]</f>
        <v>#DIV/0!</v>
      </c>
      <c r="AM176" s="42"/>
      <c r="AN176" s="346">
        <v>0</v>
      </c>
      <c r="AO176" s="346">
        <f>SUM(Table1[[#This Row],[Pipa 63 mm]:[Pipa 1,800 mm]])</f>
        <v>0</v>
      </c>
      <c r="AP176" s="346"/>
      <c r="AQ176" s="346"/>
      <c r="AR176" s="346"/>
      <c r="AS176" s="346"/>
      <c r="AT176" s="346"/>
      <c r="AU176" s="346"/>
      <c r="AV176" s="346"/>
      <c r="AW176" s="346"/>
      <c r="AX176" s="346"/>
      <c r="AY176" s="346"/>
      <c r="AZ176" s="346"/>
      <c r="BA176" s="346"/>
      <c r="BB176" s="346"/>
      <c r="BC176" s="346"/>
      <c r="BD176" s="346"/>
      <c r="BE176" s="346"/>
      <c r="BF176" s="346"/>
      <c r="BG176" s="346"/>
      <c r="BH176" s="346"/>
      <c r="BI176" s="346"/>
      <c r="BJ176" s="347">
        <f>SUM(Table1[[#This Row],[Pipa 63 mm2]:[Pipa 1,800 mm21]])</f>
        <v>0</v>
      </c>
      <c r="BK176" s="348"/>
      <c r="BL176" s="348"/>
      <c r="BM176" s="348"/>
      <c r="BN176" s="348"/>
      <c r="BO176" s="348"/>
      <c r="BP176" s="348"/>
      <c r="BQ176" s="348"/>
      <c r="BR176" s="348"/>
      <c r="BS176" s="348"/>
      <c r="BT176" s="348"/>
      <c r="BU176" s="348"/>
      <c r="BV176" s="348"/>
      <c r="BW176" s="348"/>
      <c r="BX176" s="348"/>
      <c r="BY176" s="348"/>
      <c r="BZ176" s="348"/>
      <c r="CA176" s="348"/>
      <c r="CB176" s="348"/>
      <c r="CC176" s="348"/>
      <c r="CD176" s="348"/>
      <c r="CE176" s="348">
        <v>0</v>
      </c>
      <c r="CF176" s="348">
        <v>0</v>
      </c>
      <c r="CG176" s="348">
        <v>0</v>
      </c>
      <c r="CH176" s="348">
        <v>0</v>
      </c>
      <c r="CI176" s="348">
        <f t="shared" si="10"/>
        <v>0</v>
      </c>
      <c r="CJ176" s="348">
        <f>IF((Table1[[#This Row],["Volume
BA MC-0"]]-Table1[[#This Row],[Total Panjang Pipa Aktual
(Sum-&gt;)3]]-Table1[[#This Row],[Total Volume
tidak dapat dipasang]])&gt;=0,Table1[[#This Row],["Volume
BA MC-0"]]-Table1[[#This Row],[Total Panjang Pipa Aktual
(Sum-&gt;)3]]-Table1[[#This Row],[Total Volume
tidak dapat dipasang]],0)</f>
        <v>0</v>
      </c>
      <c r="CK176" s="42"/>
      <c r="CL176" s="349"/>
      <c r="CM176" s="341"/>
      <c r="CN176" s="349"/>
      <c r="CO176" s="349"/>
      <c r="CP1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6" s="350">
        <f>IFERROR(Table1[[#This Row],[Progres Keg. Umum
(%)]]*Table1[[#This Row],[Nilai RAB Jaringan
(file pa aji)]],0)</f>
        <v>0</v>
      </c>
      <c r="CR176" s="350">
        <f>IFERROR(Table1[[#This Row],[Progres MOS
(%)]]*Table1[[#This Row],[Nilai RAB Jaringan
(file pa aji)]],0)</f>
        <v>0</v>
      </c>
      <c r="CS176" s="350">
        <f>IFERROR(Table1[[#This Row],[Progres Pemasangan
(%)]]*Table1[[#This Row],[Nilai RAB Jaringan
(file pa aji)]],0)</f>
        <v>0</v>
      </c>
      <c r="CT176" s="350">
        <f>IFERROR(Table1[[#This Row],[Progres Perizinan
(%)]]*Table1[[#This Row],[Nilai RAB Jaringan
(file pa aji)]],0)</f>
        <v>0</v>
      </c>
      <c r="CU176" s="789">
        <v>0</v>
      </c>
      <c r="CV176" s="299">
        <v>0</v>
      </c>
      <c r="CW176" s="551">
        <v>0</v>
      </c>
      <c r="CX176" s="789">
        <f>_xlfn.XLOOKUP(Table1[[#This Row],[Kode Program]],'[1]Breakdown VOWD Greenfield'!$E:$E,'[1]Breakdown VOWD Greenfield'!$AT:$AT)</f>
        <v>0</v>
      </c>
      <c r="CY176" s="42"/>
      <c r="CZ176" s="356">
        <v>45565</v>
      </c>
      <c r="DA176" s="356">
        <v>45578</v>
      </c>
      <c r="DB176" s="301"/>
      <c r="DC176" s="337">
        <v>0</v>
      </c>
      <c r="DD176" s="345">
        <v>0</v>
      </c>
      <c r="DE1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6" s="301"/>
      <c r="DG176" s="337">
        <v>0</v>
      </c>
      <c r="DH176" s="345">
        <v>0</v>
      </c>
      <c r="DI176"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6" s="356">
        <v>45579</v>
      </c>
      <c r="DK176" s="356">
        <v>45627</v>
      </c>
      <c r="DL176" s="301"/>
      <c r="DM176" s="337"/>
      <c r="DN1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6" s="301"/>
      <c r="DP176" s="337"/>
      <c r="DQ176" s="336"/>
      <c r="DR1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6" s="356">
        <v>45579</v>
      </c>
      <c r="DT176" s="356" t="e">
        <v>#N/A</v>
      </c>
      <c r="DU176" s="356">
        <v>45606</v>
      </c>
      <c r="DV176" s="356" t="e">
        <v>#N/A</v>
      </c>
      <c r="DW176" s="301"/>
      <c r="DX176" s="337">
        <v>0</v>
      </c>
      <c r="DY176" s="352"/>
      <c r="DZ176" s="352"/>
      <c r="EA1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6" s="301"/>
      <c r="EC176" s="302"/>
      <c r="ED176" s="302"/>
      <c r="EE176" s="300"/>
      <c r="EF176" s="341" t="b">
        <v>0</v>
      </c>
      <c r="EG176" s="353" t="b">
        <v>0</v>
      </c>
      <c r="EH176" s="286" t="str">
        <f>IF(Table1[[#This Row],[PO Material Aktual 
(%)]]&gt;=100%,"Selesai PO = 100%",IF(Table1[[#This Row],[PO Material Aktual 
(%)]]&gt;=50%,"Proses PO &gt; 100%",IF(Table1[[#This Row],[PO Material Aktual 
(%)]]&gt;0%,"Proses PO &gt; 50%",IF(Table1[[#This Row],[PO Material Aktual 
(%)]]=0,"Belum PO = 0%"))))</f>
        <v>Selesai PO = 100%</v>
      </c>
      <c r="EI1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6" s="356">
        <v>45607</v>
      </c>
      <c r="EK176" s="356" t="e">
        <v>#N/A</v>
      </c>
      <c r="EL176" s="356">
        <v>45655</v>
      </c>
      <c r="EM176" s="356" t="e">
        <v>#N/A</v>
      </c>
      <c r="EN176" s="301"/>
      <c r="EO176" s="302"/>
      <c r="EP176" s="302"/>
      <c r="EQ176" s="83" t="b">
        <v>0</v>
      </c>
      <c r="ER176" s="83" t="b">
        <v>0</v>
      </c>
      <c r="ES176" s="286" t="str">
        <f>IF(Table1[[#This Row],[Progres MOS]]&gt;=100%,"Selesai MOS = 100%",IF(Table1[[#This Row],[Progres MOS]]&gt;=50%,"Proses MOS &gt; 100%",IF(Table1[[#This Row],[Progres MOS]]&gt;0%,"Proses MOS &gt; 50%",IF(Table1[[#This Row],[Progres MOS]]=0,"Belum MOS = 0%"))))</f>
        <v>Selesai MOS = 100%</v>
      </c>
      <c r="ET1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6" s="42"/>
      <c r="EV176" s="356">
        <v>45579</v>
      </c>
      <c r="EW176" s="356" t="e">
        <v>#N/A</v>
      </c>
      <c r="EX176" s="356">
        <v>45655</v>
      </c>
      <c r="EY176" s="356" t="e">
        <v>#N/A</v>
      </c>
      <c r="EZ176" s="354" t="s">
        <v>298</v>
      </c>
      <c r="FA176" s="355" t="s">
        <v>389</v>
      </c>
      <c r="FB176" s="356"/>
      <c r="FC176" s="300"/>
      <c r="FD176" s="356"/>
      <c r="FE176" s="356"/>
      <c r="FF176" s="356"/>
      <c r="FG176" s="356"/>
      <c r="FH176" s="356"/>
      <c r="FI176" s="356"/>
      <c r="FJ176" s="356"/>
      <c r="FK176" s="356"/>
      <c r="FL176" s="306" t="str">
        <f>Table1[[#This Row],[IPPJU]]</f>
        <v>9.Proses Penerbitan Izin</v>
      </c>
      <c r="FM176" s="306"/>
      <c r="FN176" s="284" t="str">
        <f>IF(Table1[[#This Row],[Tanggal Pengajuan Dokumen]]="","",Table1[[#This Row],[PLAN PERMIT
start]]-Table1[[#This Row],[Tanggal Pengajuan Dokumen]])</f>
        <v/>
      </c>
      <c r="FO176" s="414">
        <v>46086</v>
      </c>
      <c r="FP176" s="286"/>
      <c r="FQ176" s="308"/>
      <c r="FR176" s="308"/>
      <c r="FS176" s="308" t="str">
        <f t="shared" si="9"/>
        <v>On Going</v>
      </c>
      <c r="FT17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6" s="357">
        <f ca="1">IF(Table1[[#This Row],[Status Izin]]="Selesai",Table1[[#This Row],[PLAN PERMIT
finish]]-Table1[[#This Row],[Tanggal Terbit/ Target Izin Terbit]],ROUNDUP(Table1[[#This Row],[PLAN PERMIT
finish]]-NOW(),0))</f>
        <v>-549</v>
      </c>
      <c r="FV17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6" s="357"/>
      <c r="FX176" s="42"/>
      <c r="FY176" s="310"/>
      <c r="FZ176" s="311"/>
      <c r="GA1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6" s="356">
        <v>45629</v>
      </c>
      <c r="GC176" s="354">
        <v>45656</v>
      </c>
      <c r="GD17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6" s="356">
        <v>45636</v>
      </c>
      <c r="GF176" s="354">
        <v>0</v>
      </c>
      <c r="GG17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76" s="356">
        <v>45642</v>
      </c>
      <c r="GI176" s="356">
        <v>45648</v>
      </c>
      <c r="GJ176" s="354">
        <v>45803</v>
      </c>
      <c r="GK17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6" s="356">
        <v>45656</v>
      </c>
      <c r="GM176" s="356" t="e">
        <v>#N/A</v>
      </c>
      <c r="GN176" s="356">
        <v>45662</v>
      </c>
      <c r="GO176" s="356" t="e">
        <v>#N/A</v>
      </c>
      <c r="GP176" s="337"/>
      <c r="GQ17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6" s="356" t="s">
        <v>261</v>
      </c>
      <c r="GS176" s="356" t="s">
        <v>261</v>
      </c>
      <c r="GT176" s="360"/>
      <c r="GU176" s="357" t="str">
        <f>IF(Table1[[#This Row],[Hydro Tes Actual
(tanggal)]]&lt;&gt;"","Sudah","Belum")</f>
        <v>Belum</v>
      </c>
      <c r="GV176" s="356" t="s">
        <v>261</v>
      </c>
      <c r="GW176" s="356" t="s">
        <v>261</v>
      </c>
      <c r="GX176" s="358"/>
      <c r="GY176" s="314" t="str">
        <f>IF(Table1[[#This Row],[Interkoneksi Actual
(tanggal)]]&lt;&gt;"","Sudah","Belum")</f>
        <v>Belum</v>
      </c>
      <c r="GZ176" s="356" t="s">
        <v>261</v>
      </c>
      <c r="HA176" s="356" t="s">
        <v>261</v>
      </c>
      <c r="HB176" s="358"/>
      <c r="HC176" s="314" t="str">
        <f>IF(Table1[[#This Row],[Flushing Actual
(tanggal)]]&lt;&gt;"","Sudah","Belum")</f>
        <v>Belum</v>
      </c>
      <c r="HD176" s="356">
        <v>45660</v>
      </c>
      <c r="HE176" s="356" t="e">
        <v>#N/A</v>
      </c>
      <c r="HF176" s="356">
        <v>45669</v>
      </c>
      <c r="HG176" s="358"/>
      <c r="HH17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6" s="356" t="s">
        <v>261</v>
      </c>
      <c r="HJ176" s="356" t="s">
        <v>261</v>
      </c>
      <c r="HK176" s="358"/>
      <c r="HL176" s="337"/>
      <c r="HM176" s="356">
        <v>45681</v>
      </c>
      <c r="HN176" s="356">
        <v>45681</v>
      </c>
      <c r="HO176" s="356" t="e">
        <v>#N/A</v>
      </c>
      <c r="HP176" s="356"/>
      <c r="HQ176" s="358"/>
      <c r="HR176"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6" s="356">
        <v>45688</v>
      </c>
      <c r="HT176" s="356"/>
      <c r="HU176" s="356">
        <v>45688</v>
      </c>
      <c r="HV176" s="580"/>
      <c r="HW176" s="358"/>
      <c r="HX17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6" s="42"/>
      <c r="HZ176" s="354"/>
      <c r="IA176" s="306"/>
      <c r="IC176" s="585">
        <f>IFERROR(ROUND((Table1[[#This Row],[PLAN TC
finish]]-Table1[[#This Row],[PLAN MC-0
start]])/30,2),"")</f>
        <v>0.9</v>
      </c>
      <c r="ID176">
        <f>DATEDIF(Table1[[#This Row],[PLAN MC-0
start]],Table1[[#This Row],[PLAN TC
finish]],"m")</f>
        <v>0</v>
      </c>
    </row>
    <row r="177" spans="1:238" s="30" customFormat="1" ht="15" customHeight="1" x14ac:dyDescent="0.25">
      <c r="A177" s="72"/>
      <c r="B177" s="281">
        <f>SUBTOTAL(3,$D$5:D177)</f>
        <v>173</v>
      </c>
      <c r="C177" s="332">
        <v>173</v>
      </c>
      <c r="D177" s="336" t="s">
        <v>244</v>
      </c>
      <c r="E177" s="336" t="s">
        <v>1295</v>
      </c>
      <c r="F177" s="336" t="s">
        <v>1296</v>
      </c>
      <c r="G177" s="334">
        <v>45935</v>
      </c>
      <c r="H177" s="336" t="s">
        <v>681</v>
      </c>
      <c r="I177" s="336" t="s">
        <v>278</v>
      </c>
      <c r="J177" s="355" t="s">
        <v>389</v>
      </c>
      <c r="K177" s="336" t="s">
        <v>1165</v>
      </c>
      <c r="L177" s="337" t="s">
        <v>250</v>
      </c>
      <c r="M177" s="337" t="s">
        <v>269</v>
      </c>
      <c r="N177" s="338">
        <v>12</v>
      </c>
      <c r="O177" s="339" t="s">
        <v>252</v>
      </c>
      <c r="P17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7" s="340" t="s">
        <v>389</v>
      </c>
      <c r="R177" s="341" t="e">
        <v>#N/A</v>
      </c>
      <c r="S177" s="341">
        <v>1</v>
      </c>
      <c r="T177" s="341">
        <f>Table1[[#This Row],[Progres Total Aktual
(%)]]</f>
        <v>0</v>
      </c>
      <c r="U177" s="342">
        <f>Table1[[#This Row],[Progres Aktual
(%)]]-Table1[[#This Row],[Target Progres
(%)]]</f>
        <v>-1</v>
      </c>
      <c r="V177" s="343">
        <f>Table1[[#This Row],["Volume
BA MC-0"]]</f>
        <v>0</v>
      </c>
      <c r="W177" s="344">
        <f>Table1[[#This Row],[Total Panjang Pipa Aktual
(Sum-&gt;)3]]</f>
        <v>0</v>
      </c>
      <c r="X177" s="42"/>
      <c r="Y177" s="62" t="s">
        <v>1297</v>
      </c>
      <c r="Z177" s="345">
        <v>113279126</v>
      </c>
      <c r="AA177" s="62">
        <f>Table1[[#This Row],[Nilai RAB Jaringan
(file pa aji)]]</f>
        <v>113279126</v>
      </c>
      <c r="AB177" s="340">
        <f>SUM(Table1[[#This Row],[RAB Kegiatan Umum]:[RAB Perizinan]])</f>
        <v>0</v>
      </c>
      <c r="AC177" s="340"/>
      <c r="AD177" s="340"/>
      <c r="AE177" s="340"/>
      <c r="AF177" s="340"/>
      <c r="AG177" s="409">
        <v>2049649</v>
      </c>
      <c r="AH177" s="341" t="e">
        <f>SUM(Table1[[#This Row],[Bobot Keg Umum]:[Bobot Perizinan]])</f>
        <v>#DIV/0!</v>
      </c>
      <c r="AI177" s="341" t="e">
        <f>Table1[[#This Row],[RAB Kegiatan Umum]]/Table1[[#This Row],[Nilai RAB Jaringan
(Exclude Ppn)]]</f>
        <v>#DIV/0!</v>
      </c>
      <c r="AJ177" s="341" t="e">
        <f>Table1[[#This Row],[RAB Pemasangan]]/Table1[[#This Row],[Nilai RAB Jaringan
(Exclude Ppn)]]</f>
        <v>#DIV/0!</v>
      </c>
      <c r="AK177" s="341" t="e">
        <f>Table1[[#This Row],[RAB Pengadaan]]/Table1[[#This Row],[Nilai RAB Jaringan
(Exclude Ppn)]]</f>
        <v>#DIV/0!</v>
      </c>
      <c r="AL177" s="341" t="e">
        <f>Table1[[#This Row],[RAB Perizinan]]/Table1[[#This Row],[Nilai RAB Jaringan
(Exclude Ppn)]]</f>
        <v>#DIV/0!</v>
      </c>
      <c r="AM177" s="42"/>
      <c r="AN177" s="346">
        <v>0</v>
      </c>
      <c r="AO177" s="346">
        <f>SUM(Table1[[#This Row],[Pipa 63 mm]:[Pipa 1,800 mm]])</f>
        <v>0</v>
      </c>
      <c r="AP177" s="346"/>
      <c r="AQ177" s="346"/>
      <c r="AR177" s="346"/>
      <c r="AS177" s="346"/>
      <c r="AT177" s="346"/>
      <c r="AU177" s="346"/>
      <c r="AV177" s="346"/>
      <c r="AW177" s="346"/>
      <c r="AX177" s="346"/>
      <c r="AY177" s="346"/>
      <c r="AZ177" s="346"/>
      <c r="BA177" s="346"/>
      <c r="BB177" s="346"/>
      <c r="BC177" s="346"/>
      <c r="BD177" s="346"/>
      <c r="BE177" s="346"/>
      <c r="BF177" s="346"/>
      <c r="BG177" s="346"/>
      <c r="BH177" s="346"/>
      <c r="BI177" s="346"/>
      <c r="BJ177" s="347">
        <f>SUM(Table1[[#This Row],[Pipa 63 mm2]:[Pipa 1,800 mm21]])</f>
        <v>0</v>
      </c>
      <c r="BK177" s="348"/>
      <c r="BL177" s="348"/>
      <c r="BM177" s="348"/>
      <c r="BN177" s="348"/>
      <c r="BO177" s="348"/>
      <c r="BP177" s="348"/>
      <c r="BQ177" s="348"/>
      <c r="BR177" s="348"/>
      <c r="BS177" s="348"/>
      <c r="BT177" s="348"/>
      <c r="BU177" s="348"/>
      <c r="BV177" s="348"/>
      <c r="BW177" s="348"/>
      <c r="BX177" s="348"/>
      <c r="BY177" s="348"/>
      <c r="BZ177" s="348"/>
      <c r="CA177" s="348"/>
      <c r="CB177" s="348"/>
      <c r="CC177" s="348"/>
      <c r="CD177" s="348"/>
      <c r="CE177" s="348">
        <v>0</v>
      </c>
      <c r="CF177" s="348">
        <v>0</v>
      </c>
      <c r="CG177" s="348">
        <v>0</v>
      </c>
      <c r="CH177" s="348">
        <v>0</v>
      </c>
      <c r="CI177" s="348">
        <f t="shared" si="10"/>
        <v>0</v>
      </c>
      <c r="CJ177" s="348">
        <f>IF((Table1[[#This Row],["Volume
BA MC-0"]]-Table1[[#This Row],[Total Panjang Pipa Aktual
(Sum-&gt;)3]]-Table1[[#This Row],[Total Volume
tidak dapat dipasang]])&gt;=0,Table1[[#This Row],["Volume
BA MC-0"]]-Table1[[#This Row],[Total Panjang Pipa Aktual
(Sum-&gt;)3]]-Table1[[#This Row],[Total Volume
tidak dapat dipasang]],0)</f>
        <v>0</v>
      </c>
      <c r="CK177" s="42"/>
      <c r="CL177" s="349"/>
      <c r="CM177" s="341"/>
      <c r="CN177" s="349"/>
      <c r="CO177" s="349"/>
      <c r="CP1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7" s="350">
        <f>IFERROR(Table1[[#This Row],[Progres Keg. Umum
(%)]]*Table1[[#This Row],[Nilai RAB Jaringan
(file pa aji)]],0)</f>
        <v>0</v>
      </c>
      <c r="CR177" s="350">
        <f>IFERROR(Table1[[#This Row],[Progres MOS
(%)]]*Table1[[#This Row],[Nilai RAB Jaringan
(file pa aji)]],0)</f>
        <v>0</v>
      </c>
      <c r="CS177" s="350">
        <f>IFERROR(Table1[[#This Row],[Progres Pemasangan
(%)]]*Table1[[#This Row],[Nilai RAB Jaringan
(file pa aji)]],0)</f>
        <v>0</v>
      </c>
      <c r="CT177" s="350">
        <f>IFERROR(Table1[[#This Row],[Progres Perizinan
(%)]]*Table1[[#This Row],[Nilai RAB Jaringan
(file pa aji)]],0)</f>
        <v>0</v>
      </c>
      <c r="CU177" s="789">
        <v>0</v>
      </c>
      <c r="CV177" s="299">
        <v>0</v>
      </c>
      <c r="CW177" s="551">
        <v>0</v>
      </c>
      <c r="CX177" s="789">
        <f>_xlfn.XLOOKUP(Table1[[#This Row],[Kode Program]],'[1]Breakdown VOWD Greenfield'!$E:$E,'[1]Breakdown VOWD Greenfield'!$AT:$AT)</f>
        <v>0</v>
      </c>
      <c r="CY177" s="42"/>
      <c r="CZ177" s="356">
        <v>45565</v>
      </c>
      <c r="DA177" s="356">
        <v>45578</v>
      </c>
      <c r="DB177" s="301"/>
      <c r="DC177" s="337">
        <v>0</v>
      </c>
      <c r="DD177" s="345">
        <v>0</v>
      </c>
      <c r="DE1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7" s="301"/>
      <c r="DG177" s="337">
        <v>0</v>
      </c>
      <c r="DH177" s="345">
        <v>0</v>
      </c>
      <c r="DI17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7" s="356">
        <v>45579</v>
      </c>
      <c r="DK177" s="356">
        <v>45627</v>
      </c>
      <c r="DL177" s="301"/>
      <c r="DM177" s="337"/>
      <c r="DN1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7" s="301"/>
      <c r="DP177" s="337"/>
      <c r="DQ177" s="336"/>
      <c r="DR1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7" s="356">
        <v>45579</v>
      </c>
      <c r="DT177" s="356" t="e">
        <v>#N/A</v>
      </c>
      <c r="DU177" s="356">
        <v>45606</v>
      </c>
      <c r="DV177" s="356" t="e">
        <v>#N/A</v>
      </c>
      <c r="DW177" s="301"/>
      <c r="DX177" s="337">
        <v>0</v>
      </c>
      <c r="DY177" s="352"/>
      <c r="DZ177" s="352"/>
      <c r="EA1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7" s="301"/>
      <c r="EC177" s="302"/>
      <c r="ED177" s="302"/>
      <c r="EE177" s="300"/>
      <c r="EF177" s="341" t="b">
        <v>0</v>
      </c>
      <c r="EG177" s="353" t="b">
        <v>0</v>
      </c>
      <c r="EH177" s="286" t="str">
        <f>IF(Table1[[#This Row],[PO Material Aktual 
(%)]]&gt;=100%,"Selesai PO = 100%",IF(Table1[[#This Row],[PO Material Aktual 
(%)]]&gt;=50%,"Proses PO &gt; 100%",IF(Table1[[#This Row],[PO Material Aktual 
(%)]]&gt;0%,"Proses PO &gt; 50%",IF(Table1[[#This Row],[PO Material Aktual 
(%)]]=0,"Belum PO = 0%"))))</f>
        <v>Selesai PO = 100%</v>
      </c>
      <c r="EI1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7" s="356">
        <v>45607</v>
      </c>
      <c r="EK177" s="356" t="e">
        <v>#N/A</v>
      </c>
      <c r="EL177" s="356">
        <v>45655</v>
      </c>
      <c r="EM177" s="356" t="e">
        <v>#N/A</v>
      </c>
      <c r="EN177" s="301"/>
      <c r="EO177" s="302"/>
      <c r="EP177" s="302"/>
      <c r="EQ177" s="83" t="b">
        <v>0</v>
      </c>
      <c r="ER177" s="83" t="b">
        <v>0</v>
      </c>
      <c r="ES177" s="286" t="str">
        <f>IF(Table1[[#This Row],[Progres MOS]]&gt;=100%,"Selesai MOS = 100%",IF(Table1[[#This Row],[Progres MOS]]&gt;=50%,"Proses MOS &gt; 100%",IF(Table1[[#This Row],[Progres MOS]]&gt;0%,"Proses MOS &gt; 50%",IF(Table1[[#This Row],[Progres MOS]]=0,"Belum MOS = 0%"))))</f>
        <v>Selesai MOS = 100%</v>
      </c>
      <c r="ET1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7" s="42"/>
      <c r="EV177" s="356">
        <v>45579</v>
      </c>
      <c r="EW177" s="356" t="e">
        <v>#N/A</v>
      </c>
      <c r="EX177" s="356">
        <v>45655</v>
      </c>
      <c r="EY177" s="356" t="e">
        <v>#N/A</v>
      </c>
      <c r="EZ177" s="354" t="s">
        <v>298</v>
      </c>
      <c r="FA177" s="355" t="s">
        <v>389</v>
      </c>
      <c r="FB177" s="356"/>
      <c r="FC177" s="300"/>
      <c r="FD177" s="356"/>
      <c r="FE177" s="356"/>
      <c r="FF177" s="356"/>
      <c r="FG177" s="356"/>
      <c r="FH177" s="356"/>
      <c r="FI177" s="356"/>
      <c r="FJ177" s="356"/>
      <c r="FK177" s="356"/>
      <c r="FL177" s="306" t="str">
        <f>Table1[[#This Row],[IPPJU]]</f>
        <v>9.Proses Penerbitan Izin</v>
      </c>
      <c r="FM177" s="306"/>
      <c r="FN177" s="284" t="str">
        <f>IF(Table1[[#This Row],[Tanggal Pengajuan Dokumen]]="","",Table1[[#This Row],[PLAN PERMIT
start]]-Table1[[#This Row],[Tanggal Pengajuan Dokumen]])</f>
        <v/>
      </c>
      <c r="FO177" s="414">
        <v>46086</v>
      </c>
      <c r="FP177" s="286"/>
      <c r="FQ177" s="308"/>
      <c r="FR177" s="308"/>
      <c r="FS177" s="308" t="str">
        <f t="shared" si="9"/>
        <v>On Going</v>
      </c>
      <c r="FT17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7" s="357">
        <f ca="1">IF(Table1[[#This Row],[Status Izin]]="Selesai",Table1[[#This Row],[PLAN PERMIT
finish]]-Table1[[#This Row],[Tanggal Terbit/ Target Izin Terbit]],ROUNDUP(Table1[[#This Row],[PLAN PERMIT
finish]]-NOW(),0))</f>
        <v>-549</v>
      </c>
      <c r="FV17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7" s="357"/>
      <c r="FX177" s="42"/>
      <c r="FY177" s="310"/>
      <c r="FZ177" s="311"/>
      <c r="GA1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7" s="356">
        <v>45629</v>
      </c>
      <c r="GC177" s="354"/>
      <c r="GD17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7" s="356">
        <v>45636</v>
      </c>
      <c r="GF177" s="354"/>
      <c r="GG17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7" s="356">
        <v>45642</v>
      </c>
      <c r="GI177" s="356">
        <v>45648</v>
      </c>
      <c r="GJ177" s="354">
        <v>45803</v>
      </c>
      <c r="GK17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7" s="356">
        <v>45656</v>
      </c>
      <c r="GM177" s="356" t="e">
        <v>#N/A</v>
      </c>
      <c r="GN177" s="356">
        <v>45662</v>
      </c>
      <c r="GO177" s="356" t="e">
        <v>#N/A</v>
      </c>
      <c r="GP177" s="337"/>
      <c r="GQ17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7" s="356" t="s">
        <v>261</v>
      </c>
      <c r="GS177" s="356" t="s">
        <v>261</v>
      </c>
      <c r="GT177" s="360"/>
      <c r="GU177" s="357" t="str">
        <f>IF(Table1[[#This Row],[Hydro Tes Actual
(tanggal)]]&lt;&gt;"","Sudah","Belum")</f>
        <v>Belum</v>
      </c>
      <c r="GV177" s="356" t="s">
        <v>261</v>
      </c>
      <c r="GW177" s="356" t="s">
        <v>261</v>
      </c>
      <c r="GX177" s="358"/>
      <c r="GY177" s="314" t="str">
        <f>IF(Table1[[#This Row],[Interkoneksi Actual
(tanggal)]]&lt;&gt;"","Sudah","Belum")</f>
        <v>Belum</v>
      </c>
      <c r="GZ177" s="356" t="s">
        <v>261</v>
      </c>
      <c r="HA177" s="356" t="s">
        <v>261</v>
      </c>
      <c r="HB177" s="358"/>
      <c r="HC177" s="314" t="str">
        <f>IF(Table1[[#This Row],[Flushing Actual
(tanggal)]]&lt;&gt;"","Sudah","Belum")</f>
        <v>Belum</v>
      </c>
      <c r="HD177" s="356">
        <v>45660</v>
      </c>
      <c r="HE177" s="356" t="e">
        <v>#N/A</v>
      </c>
      <c r="HF177" s="356">
        <v>45669</v>
      </c>
      <c r="HG177" s="358"/>
      <c r="HH17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7" s="356" t="s">
        <v>261</v>
      </c>
      <c r="HJ177" s="356" t="s">
        <v>261</v>
      </c>
      <c r="HK177" s="358"/>
      <c r="HL177" s="337"/>
      <c r="HM177" s="356">
        <v>45681</v>
      </c>
      <c r="HN177" s="356">
        <v>45681</v>
      </c>
      <c r="HO177" s="356" t="e">
        <v>#N/A</v>
      </c>
      <c r="HP177" s="356"/>
      <c r="HQ177" s="358"/>
      <c r="HR17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7" s="356">
        <v>45688</v>
      </c>
      <c r="HT177" s="356"/>
      <c r="HU177" s="356">
        <v>45688</v>
      </c>
      <c r="HV177" s="580"/>
      <c r="HW177" s="358"/>
      <c r="HX17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7" s="42"/>
      <c r="HZ177" s="354"/>
      <c r="IA177" s="306"/>
      <c r="IC177" s="585">
        <f>IFERROR(ROUND((Table1[[#This Row],[PLAN TC
finish]]-Table1[[#This Row],[PLAN MC-0
start]])/30,2),"")</f>
        <v>0.9</v>
      </c>
      <c r="ID177">
        <f>DATEDIF(Table1[[#This Row],[PLAN MC-0
start]],Table1[[#This Row],[PLAN TC
finish]],"m")</f>
        <v>0</v>
      </c>
    </row>
    <row r="178" spans="1:238" s="30" customFormat="1" ht="15" customHeight="1" x14ac:dyDescent="0.25">
      <c r="A178" s="72"/>
      <c r="B178" s="281">
        <f>SUBTOTAL(3,$D$5:D178)</f>
        <v>174</v>
      </c>
      <c r="C178" s="332">
        <v>174</v>
      </c>
      <c r="D178" s="336" t="s">
        <v>244</v>
      </c>
      <c r="E178" s="336" t="s">
        <v>1298</v>
      </c>
      <c r="F178" s="336" t="s">
        <v>1299</v>
      </c>
      <c r="G178" s="334">
        <v>45935</v>
      </c>
      <c r="H178" s="336" t="s">
        <v>681</v>
      </c>
      <c r="I178" s="336" t="s">
        <v>278</v>
      </c>
      <c r="J178" s="355" t="s">
        <v>389</v>
      </c>
      <c r="K178" s="336" t="s">
        <v>1165</v>
      </c>
      <c r="L178" s="337" t="s">
        <v>250</v>
      </c>
      <c r="M178" s="337" t="s">
        <v>269</v>
      </c>
      <c r="N178" s="338">
        <v>10</v>
      </c>
      <c r="O178" s="339" t="s">
        <v>252</v>
      </c>
      <c r="P17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8" s="340" t="s">
        <v>389</v>
      </c>
      <c r="R178" s="341" t="e">
        <v>#N/A</v>
      </c>
      <c r="S178" s="341">
        <v>1</v>
      </c>
      <c r="T178" s="341">
        <f>Table1[[#This Row],[Progres Total Aktual
(%)]]</f>
        <v>0</v>
      </c>
      <c r="U178" s="342">
        <f>Table1[[#This Row],[Progres Aktual
(%)]]-Table1[[#This Row],[Target Progres
(%)]]</f>
        <v>-1</v>
      </c>
      <c r="V178" s="343">
        <f>Table1[[#This Row],["Volume
BA MC-0"]]</f>
        <v>0</v>
      </c>
      <c r="W178" s="344">
        <f>Table1[[#This Row],[Total Panjang Pipa Aktual
(Sum-&gt;)3]]</f>
        <v>0</v>
      </c>
      <c r="X178" s="42"/>
      <c r="Y178" s="62" t="s">
        <v>1300</v>
      </c>
      <c r="Z178" s="345">
        <v>99688331</v>
      </c>
      <c r="AA178" s="62">
        <f>Table1[[#This Row],[Nilai RAB Jaringan
(file pa aji)]]</f>
        <v>99688331</v>
      </c>
      <c r="AB178" s="340">
        <f>SUM(Table1[[#This Row],[RAB Kegiatan Umum]:[RAB Perizinan]])</f>
        <v>0</v>
      </c>
      <c r="AC178" s="340"/>
      <c r="AD178" s="340"/>
      <c r="AE178" s="340"/>
      <c r="AF178" s="340"/>
      <c r="AG178" s="409">
        <v>2049649</v>
      </c>
      <c r="AH178" s="341" t="e">
        <f>SUM(Table1[[#This Row],[Bobot Keg Umum]:[Bobot Perizinan]])</f>
        <v>#DIV/0!</v>
      </c>
      <c r="AI178" s="341" t="e">
        <f>Table1[[#This Row],[RAB Kegiatan Umum]]/Table1[[#This Row],[Nilai RAB Jaringan
(Exclude Ppn)]]</f>
        <v>#DIV/0!</v>
      </c>
      <c r="AJ178" s="341" t="e">
        <f>Table1[[#This Row],[RAB Pemasangan]]/Table1[[#This Row],[Nilai RAB Jaringan
(Exclude Ppn)]]</f>
        <v>#DIV/0!</v>
      </c>
      <c r="AK178" s="341" t="e">
        <f>Table1[[#This Row],[RAB Pengadaan]]/Table1[[#This Row],[Nilai RAB Jaringan
(Exclude Ppn)]]</f>
        <v>#DIV/0!</v>
      </c>
      <c r="AL178" s="341" t="e">
        <f>Table1[[#This Row],[RAB Perizinan]]/Table1[[#This Row],[Nilai RAB Jaringan
(Exclude Ppn)]]</f>
        <v>#DIV/0!</v>
      </c>
      <c r="AM178" s="42"/>
      <c r="AN178" s="346">
        <v>0</v>
      </c>
      <c r="AO178" s="346">
        <f>SUM(Table1[[#This Row],[Pipa 63 mm]:[Pipa 1,800 mm]])</f>
        <v>0</v>
      </c>
      <c r="AP178" s="346"/>
      <c r="AQ178" s="346"/>
      <c r="AR178" s="346"/>
      <c r="AS178" s="346"/>
      <c r="AT178" s="346"/>
      <c r="AU178" s="346"/>
      <c r="AV178" s="346"/>
      <c r="AW178" s="346"/>
      <c r="AX178" s="346"/>
      <c r="AY178" s="346"/>
      <c r="AZ178" s="346"/>
      <c r="BA178" s="346"/>
      <c r="BB178" s="346"/>
      <c r="BC178" s="346"/>
      <c r="BD178" s="346"/>
      <c r="BE178" s="346"/>
      <c r="BF178" s="346"/>
      <c r="BG178" s="346"/>
      <c r="BH178" s="346"/>
      <c r="BI178" s="346"/>
      <c r="BJ178" s="347">
        <f>SUM(Table1[[#This Row],[Pipa 63 mm2]:[Pipa 1,800 mm21]])</f>
        <v>0</v>
      </c>
      <c r="BK178" s="348"/>
      <c r="BL178" s="348"/>
      <c r="BM178" s="348"/>
      <c r="BN178" s="348"/>
      <c r="BO178" s="348"/>
      <c r="BP178" s="348"/>
      <c r="BQ178" s="348"/>
      <c r="BR178" s="348"/>
      <c r="BS178" s="348"/>
      <c r="BT178" s="348"/>
      <c r="BU178" s="348"/>
      <c r="BV178" s="348"/>
      <c r="BW178" s="348"/>
      <c r="BX178" s="348"/>
      <c r="BY178" s="348"/>
      <c r="BZ178" s="348"/>
      <c r="CA178" s="348"/>
      <c r="CB178" s="348"/>
      <c r="CC178" s="348"/>
      <c r="CD178" s="348"/>
      <c r="CE178" s="348">
        <v>0</v>
      </c>
      <c r="CF178" s="348">
        <v>0</v>
      </c>
      <c r="CG178" s="348">
        <v>0</v>
      </c>
      <c r="CH178" s="348">
        <v>0</v>
      </c>
      <c r="CI178" s="348">
        <f t="shared" si="10"/>
        <v>0</v>
      </c>
      <c r="CJ178" s="348">
        <f>IF((Table1[[#This Row],["Volume
BA MC-0"]]-Table1[[#This Row],[Total Panjang Pipa Aktual
(Sum-&gt;)3]]-Table1[[#This Row],[Total Volume
tidak dapat dipasang]])&gt;=0,Table1[[#This Row],["Volume
BA MC-0"]]-Table1[[#This Row],[Total Panjang Pipa Aktual
(Sum-&gt;)3]]-Table1[[#This Row],[Total Volume
tidak dapat dipasang]],0)</f>
        <v>0</v>
      </c>
      <c r="CK178" s="42"/>
      <c r="CL178" s="349"/>
      <c r="CM178" s="341"/>
      <c r="CN178" s="349"/>
      <c r="CO178" s="349"/>
      <c r="CP1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78" s="350">
        <f>IFERROR(Table1[[#This Row],[Progres Keg. Umum
(%)]]*Table1[[#This Row],[Nilai RAB Jaringan
(file pa aji)]],0)</f>
        <v>0</v>
      </c>
      <c r="CR178" s="350">
        <f>IFERROR(Table1[[#This Row],[Progres MOS
(%)]]*Table1[[#This Row],[Nilai RAB Jaringan
(file pa aji)]],0)</f>
        <v>0</v>
      </c>
      <c r="CS178" s="350">
        <f>IFERROR(Table1[[#This Row],[Progres Pemasangan
(%)]]*Table1[[#This Row],[Nilai RAB Jaringan
(file pa aji)]],0)</f>
        <v>0</v>
      </c>
      <c r="CT178" s="350">
        <f>IFERROR(Table1[[#This Row],[Progres Perizinan
(%)]]*Table1[[#This Row],[Nilai RAB Jaringan
(file pa aji)]],0)</f>
        <v>0</v>
      </c>
      <c r="CU178" s="789">
        <v>0</v>
      </c>
      <c r="CV178" s="299">
        <v>0</v>
      </c>
      <c r="CW178" s="551">
        <v>0</v>
      </c>
      <c r="CX178" s="789">
        <f>_xlfn.XLOOKUP(Table1[[#This Row],[Kode Program]],'[1]Breakdown VOWD Greenfield'!$E:$E,'[1]Breakdown VOWD Greenfield'!$AT:$AT)</f>
        <v>0</v>
      </c>
      <c r="CY178" s="42"/>
      <c r="CZ178" s="356">
        <v>45565</v>
      </c>
      <c r="DA178" s="356">
        <v>45578</v>
      </c>
      <c r="DB178" s="301"/>
      <c r="DC178" s="337">
        <v>0</v>
      </c>
      <c r="DD178" s="345">
        <v>0</v>
      </c>
      <c r="DE1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178" s="301"/>
      <c r="DG178" s="337">
        <v>0</v>
      </c>
      <c r="DH178" s="345">
        <v>0</v>
      </c>
      <c r="DI17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178" s="356">
        <v>45579</v>
      </c>
      <c r="DK178" s="356">
        <v>45627</v>
      </c>
      <c r="DL178" s="301"/>
      <c r="DM178" s="337"/>
      <c r="DN1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78" s="301"/>
      <c r="DP178" s="337"/>
      <c r="DQ178" s="336"/>
      <c r="DR1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78" s="356">
        <v>45579</v>
      </c>
      <c r="DT178" s="356" t="e">
        <v>#N/A</v>
      </c>
      <c r="DU178" s="356">
        <v>45606</v>
      </c>
      <c r="DV178" s="356" t="e">
        <v>#N/A</v>
      </c>
      <c r="DW178" s="301"/>
      <c r="DX178" s="337">
        <v>0</v>
      </c>
      <c r="DY178" s="352"/>
      <c r="DZ178" s="352"/>
      <c r="EA1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78" s="301"/>
      <c r="EC178" s="302"/>
      <c r="ED178" s="302"/>
      <c r="EE178" s="300"/>
      <c r="EF178" s="341" t="b">
        <v>0</v>
      </c>
      <c r="EG178" s="353" t="b">
        <v>0</v>
      </c>
      <c r="EH178" s="286" t="str">
        <f>IF(Table1[[#This Row],[PO Material Aktual 
(%)]]&gt;=100%,"Selesai PO = 100%",IF(Table1[[#This Row],[PO Material Aktual 
(%)]]&gt;=50%,"Proses PO &gt; 100%",IF(Table1[[#This Row],[PO Material Aktual 
(%)]]&gt;0%,"Proses PO &gt; 50%",IF(Table1[[#This Row],[PO Material Aktual 
(%)]]=0,"Belum PO = 0%"))))</f>
        <v>Selesai PO = 100%</v>
      </c>
      <c r="EI17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78" s="356">
        <v>45607</v>
      </c>
      <c r="EK178" s="356" t="e">
        <v>#N/A</v>
      </c>
      <c r="EL178" s="356">
        <v>45655</v>
      </c>
      <c r="EM178" s="356" t="e">
        <v>#N/A</v>
      </c>
      <c r="EN178" s="301"/>
      <c r="EO178" s="302"/>
      <c r="EP178" s="302"/>
      <c r="EQ178" s="83" t="b">
        <v>0</v>
      </c>
      <c r="ER178" s="83" t="b">
        <v>0</v>
      </c>
      <c r="ES178" s="286" t="str">
        <f>IF(Table1[[#This Row],[Progres MOS]]&gt;=100%,"Selesai MOS = 100%",IF(Table1[[#This Row],[Progres MOS]]&gt;=50%,"Proses MOS &gt; 100%",IF(Table1[[#This Row],[Progres MOS]]&gt;0%,"Proses MOS &gt; 50%",IF(Table1[[#This Row],[Progres MOS]]=0,"Belum MOS = 0%"))))</f>
        <v>Selesai MOS = 100%</v>
      </c>
      <c r="ET1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78" s="42"/>
      <c r="EV178" s="356">
        <v>45579</v>
      </c>
      <c r="EW178" s="356" t="e">
        <v>#N/A</v>
      </c>
      <c r="EX178" s="356">
        <v>45655</v>
      </c>
      <c r="EY178" s="356" t="e">
        <v>#N/A</v>
      </c>
      <c r="EZ178" s="354" t="s">
        <v>298</v>
      </c>
      <c r="FA178" s="355" t="s">
        <v>389</v>
      </c>
      <c r="FB178" s="356"/>
      <c r="FC178" s="300"/>
      <c r="FD178" s="356"/>
      <c r="FE178" s="356"/>
      <c r="FF178" s="356"/>
      <c r="FG178" s="356"/>
      <c r="FH178" s="356"/>
      <c r="FI178" s="356"/>
      <c r="FJ178" s="356"/>
      <c r="FK178" s="356"/>
      <c r="FL178" s="306" t="str">
        <f>Table1[[#This Row],[IPPJU]]</f>
        <v>9.Proses Penerbitan Izin</v>
      </c>
      <c r="FM178" s="306"/>
      <c r="FN178" s="284" t="str">
        <f>IF(Table1[[#This Row],[Tanggal Pengajuan Dokumen]]="","",Table1[[#This Row],[PLAN PERMIT
start]]-Table1[[#This Row],[Tanggal Pengajuan Dokumen]])</f>
        <v/>
      </c>
      <c r="FO178" s="414">
        <v>46086</v>
      </c>
      <c r="FP178" s="286"/>
      <c r="FQ178" s="308"/>
      <c r="FR178" s="308"/>
      <c r="FS178" s="308" t="str">
        <f t="shared" si="9"/>
        <v>On Going</v>
      </c>
      <c r="FT1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78" s="357">
        <f ca="1">IF(Table1[[#This Row],[Status Izin]]="Selesai",Table1[[#This Row],[PLAN PERMIT
finish]]-Table1[[#This Row],[Tanggal Terbit/ Target Izin Terbit]],ROUNDUP(Table1[[#This Row],[PLAN PERMIT
finish]]-NOW(),0))</f>
        <v>-549</v>
      </c>
      <c r="FV1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8" s="357"/>
      <c r="FX178" s="42"/>
      <c r="FY178" s="310"/>
      <c r="FZ178" s="311"/>
      <c r="GA1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8" s="356">
        <v>45629</v>
      </c>
      <c r="GC178" s="354"/>
      <c r="GD1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78" s="356">
        <v>45636</v>
      </c>
      <c r="GF178" s="354"/>
      <c r="GG1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78" s="356">
        <v>45642</v>
      </c>
      <c r="GI178" s="356">
        <v>45648</v>
      </c>
      <c r="GJ178" s="354">
        <v>45803</v>
      </c>
      <c r="GK1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8" s="356">
        <v>45656</v>
      </c>
      <c r="GM178" s="356" t="e">
        <v>#N/A</v>
      </c>
      <c r="GN178" s="356">
        <v>45662</v>
      </c>
      <c r="GO178" s="356" t="e">
        <v>#N/A</v>
      </c>
      <c r="GP178" s="337"/>
      <c r="GQ1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8" s="356" t="s">
        <v>261</v>
      </c>
      <c r="GS178" s="356" t="s">
        <v>261</v>
      </c>
      <c r="GT178" s="360"/>
      <c r="GU178" s="357" t="str">
        <f>IF(Table1[[#This Row],[Hydro Tes Actual
(tanggal)]]&lt;&gt;"","Sudah","Belum")</f>
        <v>Belum</v>
      </c>
      <c r="GV178" s="356" t="s">
        <v>261</v>
      </c>
      <c r="GW178" s="356" t="s">
        <v>261</v>
      </c>
      <c r="GX178" s="358"/>
      <c r="GY178" s="314" t="str">
        <f>IF(Table1[[#This Row],[Interkoneksi Actual
(tanggal)]]&lt;&gt;"","Sudah","Belum")</f>
        <v>Belum</v>
      </c>
      <c r="GZ178" s="356" t="s">
        <v>261</v>
      </c>
      <c r="HA178" s="356" t="s">
        <v>261</v>
      </c>
      <c r="HB178" s="358"/>
      <c r="HC178" s="314" t="str">
        <f>IF(Table1[[#This Row],[Flushing Actual
(tanggal)]]&lt;&gt;"","Sudah","Belum")</f>
        <v>Belum</v>
      </c>
      <c r="HD178" s="356">
        <v>45660</v>
      </c>
      <c r="HE178" s="356" t="e">
        <v>#N/A</v>
      </c>
      <c r="HF178" s="356">
        <v>45669</v>
      </c>
      <c r="HG178" s="358"/>
      <c r="HH1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78" s="356" t="s">
        <v>261</v>
      </c>
      <c r="HJ178" s="356" t="s">
        <v>261</v>
      </c>
      <c r="HK178" s="358"/>
      <c r="HL178" s="337"/>
      <c r="HM178" s="356">
        <v>45681</v>
      </c>
      <c r="HN178" s="356">
        <v>45681</v>
      </c>
      <c r="HO178" s="356" t="e">
        <v>#N/A</v>
      </c>
      <c r="HP178" s="356"/>
      <c r="HQ178" s="358"/>
      <c r="HR17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78" s="356">
        <v>45688</v>
      </c>
      <c r="HT178" s="356"/>
      <c r="HU178" s="356">
        <v>45688</v>
      </c>
      <c r="HV178" s="580"/>
      <c r="HW178" s="358"/>
      <c r="HX1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78" s="42"/>
      <c r="HZ178" s="354"/>
      <c r="IA178" s="306"/>
      <c r="IC178" s="585">
        <f>IFERROR(ROUND((Table1[[#This Row],[PLAN TC
finish]]-Table1[[#This Row],[PLAN MC-0
start]])/30,2),"")</f>
        <v>0.9</v>
      </c>
      <c r="ID178">
        <f>DATEDIF(Table1[[#This Row],[PLAN MC-0
start]],Table1[[#This Row],[PLAN TC
finish]],"m")</f>
        <v>0</v>
      </c>
    </row>
    <row r="179" spans="1:238" s="4" customFormat="1" ht="15" customHeight="1" x14ac:dyDescent="0.25">
      <c r="B179" s="281">
        <f>SUBTOTAL(3,$D$5:D179)</f>
        <v>175</v>
      </c>
      <c r="C179" s="318">
        <v>175</v>
      </c>
      <c r="D179" s="308" t="s">
        <v>244</v>
      </c>
      <c r="E179" s="308" t="s">
        <v>1301</v>
      </c>
      <c r="F179" s="308" t="s">
        <v>1302</v>
      </c>
      <c r="G179" s="319">
        <v>45935</v>
      </c>
      <c r="H179" s="308" t="s">
        <v>681</v>
      </c>
      <c r="I179" s="308" t="s">
        <v>278</v>
      </c>
      <c r="J179" s="285"/>
      <c r="K179" s="308" t="s">
        <v>1165</v>
      </c>
      <c r="L179" s="286" t="s">
        <v>250</v>
      </c>
      <c r="M179" s="286" t="s">
        <v>269</v>
      </c>
      <c r="N179" s="94">
        <v>7</v>
      </c>
      <c r="O179" s="31" t="s">
        <v>252</v>
      </c>
      <c r="P17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79" s="35" t="e">
        <v>#N/A</v>
      </c>
      <c r="S179" s="35">
        <v>1</v>
      </c>
      <c r="T179" s="35">
        <f>Table1[[#This Row],[Progres Total Aktual
(%)]]</f>
        <v>1</v>
      </c>
      <c r="U179" s="106">
        <f>Table1[[#This Row],[Progres Aktual
(%)]]-Table1[[#This Row],[Target Progres
(%)]]</f>
        <v>0</v>
      </c>
      <c r="V179" s="320">
        <f>Table1[[#This Row],["Volume
BA MC-0"]]</f>
        <v>7</v>
      </c>
      <c r="W179" s="321">
        <f>Table1[[#This Row],[Total Panjang Pipa Aktual
(Sum-&gt;)3]]</f>
        <v>2</v>
      </c>
      <c r="X179" s="42"/>
      <c r="Y179" s="62" t="s">
        <v>1303</v>
      </c>
      <c r="Z179" s="62">
        <v>112238445</v>
      </c>
      <c r="AA179" s="62">
        <f>Table1[[#This Row],[Nilai RAB Jaringan
(file pa aji)]]</f>
        <v>112238445</v>
      </c>
      <c r="AB179" s="290">
        <f>SUM(Table1[[#This Row],[RAB Kegiatan Umum]:[RAB Perizinan]])</f>
        <v>0</v>
      </c>
      <c r="AC179" s="290"/>
      <c r="AD179" s="290"/>
      <c r="AE179" s="290"/>
      <c r="AF179" s="290"/>
      <c r="AG179" s="406">
        <v>2049649</v>
      </c>
      <c r="AH179" s="35" t="e">
        <f>SUM(Table1[[#This Row],[Bobot Keg Umum]:[Bobot Perizinan]])</f>
        <v>#DIV/0!</v>
      </c>
      <c r="AI179" s="35" t="e">
        <f>Table1[[#This Row],[RAB Kegiatan Umum]]/Table1[[#This Row],[Nilai RAB Jaringan
(Exclude Ppn)]]</f>
        <v>#DIV/0!</v>
      </c>
      <c r="AJ179" s="35" t="e">
        <f>Table1[[#This Row],[RAB Pemasangan]]/Table1[[#This Row],[Nilai RAB Jaringan
(Exclude Ppn)]]</f>
        <v>#DIV/0!</v>
      </c>
      <c r="AK179" s="35" t="e">
        <f>Table1[[#This Row],[RAB Pengadaan]]/Table1[[#This Row],[Nilai RAB Jaringan
(Exclude Ppn)]]</f>
        <v>#DIV/0!</v>
      </c>
      <c r="AL179" s="35" t="e">
        <f>Table1[[#This Row],[RAB Perizinan]]/Table1[[#This Row],[Nilai RAB Jaringan
(Exclude Ppn)]]</f>
        <v>#DIV/0!</v>
      </c>
      <c r="AM179" s="42"/>
      <c r="AN179" s="256">
        <v>7</v>
      </c>
      <c r="AO179" s="256">
        <f>SUM(Table1[[#This Row],[Pipa 63 mm]:[Pipa 1,800 mm]])</f>
        <v>0</v>
      </c>
      <c r="AP179" s="256"/>
      <c r="AQ179" s="256"/>
      <c r="AR179" s="256"/>
      <c r="AS179" s="256"/>
      <c r="AT179" s="256"/>
      <c r="AU179" s="256"/>
      <c r="AV179" s="256"/>
      <c r="AW179" s="256"/>
      <c r="AX179" s="256"/>
      <c r="AY179" s="256"/>
      <c r="AZ179" s="256"/>
      <c r="BA179" s="256"/>
      <c r="BB179" s="256"/>
      <c r="BC179" s="256"/>
      <c r="BD179" s="256"/>
      <c r="BE179" s="256"/>
      <c r="BF179" s="256"/>
      <c r="BG179" s="256"/>
      <c r="BH179" s="256"/>
      <c r="BI179" s="256"/>
      <c r="BJ179" s="36">
        <f>SUM(Table1[[#This Row],[Pipa 63 mm2]:[Pipa 1,800 mm21]])</f>
        <v>2</v>
      </c>
      <c r="BK179" s="32">
        <v>2</v>
      </c>
      <c r="BL179" s="32"/>
      <c r="BM179" s="32"/>
      <c r="BN179" s="32"/>
      <c r="BO179" s="32"/>
      <c r="BP179" s="32"/>
      <c r="BQ179" s="32"/>
      <c r="BR179" s="32"/>
      <c r="BS179" s="32"/>
      <c r="BT179" s="32"/>
      <c r="BU179" s="32"/>
      <c r="BV179" s="32"/>
      <c r="BW179" s="32"/>
      <c r="BX179" s="32"/>
      <c r="BY179" s="32"/>
      <c r="BZ179" s="32"/>
      <c r="CA179" s="32"/>
      <c r="CB179" s="32"/>
      <c r="CC179" s="32"/>
      <c r="CD179" s="32"/>
      <c r="CE179" s="32">
        <v>0</v>
      </c>
      <c r="CF179" s="32">
        <v>0</v>
      </c>
      <c r="CG179" s="32">
        <v>0</v>
      </c>
      <c r="CH179" s="32">
        <v>0</v>
      </c>
      <c r="CI179" s="32">
        <f t="shared" si="10"/>
        <v>0</v>
      </c>
      <c r="CJ179" s="60">
        <f>IF((Table1[[#This Row],["Volume
BA MC-0"]]-Table1[[#This Row],[Total Panjang Pipa Aktual
(Sum-&gt;)3]]-Table1[[#This Row],[Total Volume
tidak dapat dipasang]])&gt;=0,Table1[[#This Row],["Volume
BA MC-0"]]-Table1[[#This Row],[Total Panjang Pipa Aktual
(Sum-&gt;)3]]-Table1[[#This Row],[Total Volume
tidak dapat dipasang]],0)</f>
        <v>5</v>
      </c>
      <c r="CK179" s="42"/>
      <c r="CL179" s="113"/>
      <c r="CM179" s="35"/>
      <c r="CN179" s="113"/>
      <c r="CO179" s="113"/>
      <c r="CP1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79" s="61">
        <f>IFERROR(Table1[[#This Row],[Progres Keg. Umum
(%)]]*Table1[[#This Row],[Nilai RAB Jaringan
(file pa aji)]],0)</f>
        <v>0</v>
      </c>
      <c r="CR179" s="61">
        <f>IFERROR(Table1[[#This Row],[Progres MOS
(%)]]*Table1[[#This Row],[Nilai RAB Jaringan
(file pa aji)]],0)</f>
        <v>0</v>
      </c>
      <c r="CS179" s="61">
        <f>IFERROR(Table1[[#This Row],[Progres Pemasangan
(%)]]*Table1[[#This Row],[Nilai RAB Jaringan
(file pa aji)]],0)</f>
        <v>0</v>
      </c>
      <c r="CT179" s="61">
        <f>IFERROR(Table1[[#This Row],[Progres Perizinan
(%)]]*Table1[[#This Row],[Nilai RAB Jaringan
(file pa aji)]],0)</f>
        <v>0</v>
      </c>
      <c r="CU179" s="789">
        <v>52505177</v>
      </c>
      <c r="CV179" s="299">
        <v>52505177</v>
      </c>
      <c r="CW179" s="552">
        <v>52505177</v>
      </c>
      <c r="CX179" s="789">
        <f>_xlfn.XLOOKUP(Table1[[#This Row],[Kode Program]],'[1]Breakdown VOWD Greenfield'!$E:$E,'[1]Breakdown VOWD Greenfield'!$AT:$AT)</f>
        <v>52505177</v>
      </c>
      <c r="CY179" s="42"/>
      <c r="CZ179" s="300">
        <v>45565</v>
      </c>
      <c r="DA179" s="300">
        <v>45578</v>
      </c>
      <c r="DB179" s="301">
        <v>45573</v>
      </c>
      <c r="DC179" s="286" t="s">
        <v>1304</v>
      </c>
      <c r="DD179" s="62">
        <v>112238445</v>
      </c>
      <c r="DE1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79" s="301">
        <v>45588</v>
      </c>
      <c r="DG179" s="286" t="s">
        <v>1305</v>
      </c>
      <c r="DH179" s="62">
        <v>112238445</v>
      </c>
      <c r="DI1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79" s="300">
        <v>45579</v>
      </c>
      <c r="DK179" s="300">
        <v>45627</v>
      </c>
      <c r="DL179" s="301">
        <v>45609</v>
      </c>
      <c r="DM179" s="286" t="s">
        <v>1306</v>
      </c>
      <c r="DN1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79" s="301">
        <v>45645</v>
      </c>
      <c r="DP179" s="286" t="s">
        <v>1307</v>
      </c>
      <c r="DQ179" s="308" t="s">
        <v>433</v>
      </c>
      <c r="DR1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79" s="300">
        <v>45579</v>
      </c>
      <c r="DT179" s="300" t="e">
        <v>#N/A</v>
      </c>
      <c r="DU179" s="300">
        <v>45606</v>
      </c>
      <c r="DV179" s="300" t="e">
        <v>#N/A</v>
      </c>
      <c r="DW179" s="301">
        <v>45609</v>
      </c>
      <c r="DX179" s="286" t="s">
        <v>1308</v>
      </c>
      <c r="DY179" s="304"/>
      <c r="DZ179" s="304"/>
      <c r="EA1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79" s="301">
        <v>45889</v>
      </c>
      <c r="EC179" s="302"/>
      <c r="ED179" s="302"/>
      <c r="EE179" s="300" t="s">
        <v>1309</v>
      </c>
      <c r="EF179" s="35">
        <v>1</v>
      </c>
      <c r="EG179" s="307">
        <v>1</v>
      </c>
      <c r="EH179" s="286" t="str">
        <f>IF(Table1[[#This Row],[PO Material Aktual 
(%)]]&gt;=100%,"Selesai PO = 100%",IF(Table1[[#This Row],[PO Material Aktual 
(%)]]&gt;=50%,"Proses PO &gt; 100%",IF(Table1[[#This Row],[PO Material Aktual 
(%)]]&gt;0%,"Proses PO &gt; 50%",IF(Table1[[#This Row],[PO Material Aktual 
(%)]]=0,"Belum PO = 0%"))))</f>
        <v>Selesai PO = 100%</v>
      </c>
      <c r="EI1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79" s="300">
        <v>45607</v>
      </c>
      <c r="EK179" s="300" t="e">
        <v>#N/A</v>
      </c>
      <c r="EL179" s="300">
        <v>45655</v>
      </c>
      <c r="EM179" s="300" t="e">
        <v>#N/A</v>
      </c>
      <c r="EN179" s="301">
        <v>46112</v>
      </c>
      <c r="EO179" s="302"/>
      <c r="EP179" s="302"/>
      <c r="EQ179" s="82">
        <v>1</v>
      </c>
      <c r="ER179" s="82">
        <v>1</v>
      </c>
      <c r="ES179" s="286" t="str">
        <f>IF(Table1[[#This Row],[Progres MOS]]&gt;=100%,"Selesai MOS = 100%",IF(Table1[[#This Row],[Progres MOS]]&gt;=50%,"Proses MOS &gt; 100%",IF(Table1[[#This Row],[Progres MOS]]&gt;0%,"Proses MOS &gt; 50%",IF(Table1[[#This Row],[Progres MOS]]=0,"Belum MOS = 0%"))))</f>
        <v>Selesai MOS = 100%</v>
      </c>
      <c r="ET1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79" s="42"/>
      <c r="EV179" s="300">
        <v>45579</v>
      </c>
      <c r="EW179" s="300" t="e">
        <v>#N/A</v>
      </c>
      <c r="EX179" s="300">
        <v>45655</v>
      </c>
      <c r="EY179" s="300" t="e">
        <v>#N/A</v>
      </c>
      <c r="EZ179" s="322" t="s">
        <v>298</v>
      </c>
      <c r="FA179" s="306" t="s">
        <v>259</v>
      </c>
      <c r="FB179" s="300" t="s">
        <v>260</v>
      </c>
      <c r="FC179" s="300">
        <v>45840</v>
      </c>
      <c r="FD179" s="300" t="s">
        <v>260</v>
      </c>
      <c r="FE179" s="300">
        <v>45895</v>
      </c>
      <c r="FF179" s="300">
        <v>45919</v>
      </c>
      <c r="FG179" s="300" t="s">
        <v>260</v>
      </c>
      <c r="FH179" s="300" t="s">
        <v>260</v>
      </c>
      <c r="FI179" s="300">
        <v>46010</v>
      </c>
      <c r="FJ179" s="300" t="s">
        <v>260</v>
      </c>
      <c r="FK179" s="300">
        <v>46112</v>
      </c>
      <c r="FL179" s="306" t="s">
        <v>298</v>
      </c>
      <c r="FM179" s="322">
        <v>45840</v>
      </c>
      <c r="FN179" s="308">
        <f>IF(Table1[[#This Row],[Tanggal Pengajuan Dokumen]]="","",Table1[[#This Row],[PLAN PERMIT
start]]-Table1[[#This Row],[Tanggal Pengajuan Dokumen]])</f>
        <v>-261</v>
      </c>
      <c r="FO179" s="407">
        <v>46086</v>
      </c>
      <c r="FP179" s="286"/>
      <c r="FQ179" s="308"/>
      <c r="FR179" s="308"/>
      <c r="FS179" s="308" t="str">
        <f t="shared" si="9"/>
        <v>Sudah Terbit</v>
      </c>
      <c r="FT1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79" s="314">
        <f ca="1">IF(Table1[[#This Row],[Status Izin]]="Selesai",Table1[[#This Row],[PLAN PERMIT
finish]]-Table1[[#This Row],[Tanggal Terbit/ Target Izin Terbit]],ROUNDUP(Table1[[#This Row],[PLAN PERMIT
finish]]-NOW(),0))</f>
        <v>-431</v>
      </c>
      <c r="FV1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79" s="314"/>
      <c r="FX179" s="42"/>
      <c r="FY179" s="310"/>
      <c r="FZ179" s="311"/>
      <c r="GA1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79" s="300">
        <v>45629</v>
      </c>
      <c r="GC179" s="322">
        <v>45656</v>
      </c>
      <c r="GD1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79" s="300">
        <v>45636</v>
      </c>
      <c r="GF179" s="322">
        <v>45656</v>
      </c>
      <c r="GG1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79" s="300">
        <v>45642</v>
      </c>
      <c r="GI179" s="300">
        <v>45648</v>
      </c>
      <c r="GJ179" s="322">
        <v>45650</v>
      </c>
      <c r="GK1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79" s="300">
        <v>45656</v>
      </c>
      <c r="GM179" s="300" t="e">
        <v>#N/A</v>
      </c>
      <c r="GN179" s="300">
        <v>45662</v>
      </c>
      <c r="GO179" s="300" t="e">
        <v>#N/A</v>
      </c>
      <c r="GP179" s="286"/>
      <c r="GQ1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79" s="300" t="s">
        <v>261</v>
      </c>
      <c r="GS179" s="300" t="s">
        <v>261</v>
      </c>
      <c r="GT179" s="324">
        <v>45709</v>
      </c>
      <c r="GU179" s="314" t="str">
        <f>IF(Table1[[#This Row],[Hydro Tes Actual
(tanggal)]]&lt;&gt;"","Sudah","Belum")</f>
        <v>Sudah</v>
      </c>
      <c r="GV179" s="300" t="s">
        <v>261</v>
      </c>
      <c r="GW179" s="300" t="s">
        <v>261</v>
      </c>
      <c r="GX179" s="301">
        <v>45682</v>
      </c>
      <c r="GY179" s="314" t="str">
        <f>IF(Table1[[#This Row],[Interkoneksi Actual
(tanggal)]]&lt;&gt;"","Sudah","Belum")</f>
        <v>Sudah</v>
      </c>
      <c r="GZ179" s="300" t="s">
        <v>261</v>
      </c>
      <c r="HA179" s="300" t="s">
        <v>261</v>
      </c>
      <c r="HB179" s="301">
        <v>45712</v>
      </c>
      <c r="HC179" s="314" t="str">
        <f>IF(Table1[[#This Row],[Flushing Actual
(tanggal)]]&lt;&gt;"","Sudah","Belum")</f>
        <v>Sudah</v>
      </c>
      <c r="HD179" s="300">
        <v>45660</v>
      </c>
      <c r="HE179" s="300" t="e">
        <v>#N/A</v>
      </c>
      <c r="HF179" s="300">
        <v>45669</v>
      </c>
      <c r="HG179" s="301">
        <v>45730</v>
      </c>
      <c r="HH1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79" s="300" t="s">
        <v>261</v>
      </c>
      <c r="HJ179" s="300" t="s">
        <v>261</v>
      </c>
      <c r="HK179" s="301"/>
      <c r="HL179" s="286"/>
      <c r="HM179" s="300">
        <v>45681</v>
      </c>
      <c r="HN179" s="300">
        <v>45681</v>
      </c>
      <c r="HO179" s="300" t="e">
        <v>#N/A</v>
      </c>
      <c r="HP179" s="300"/>
      <c r="HQ179" s="301">
        <v>45730</v>
      </c>
      <c r="HR1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79" s="300">
        <v>45688</v>
      </c>
      <c r="HT179" s="300"/>
      <c r="HU179" s="300">
        <v>45688</v>
      </c>
      <c r="HV179" s="497"/>
      <c r="HW179" s="301">
        <v>45925</v>
      </c>
      <c r="HX1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79" s="42"/>
      <c r="HZ179" s="322"/>
      <c r="IA179" s="306"/>
      <c r="IC179" s="585">
        <f>IFERROR(ROUND((Table1[[#This Row],[PLAN TC
finish]]-Table1[[#This Row],[PLAN MC-0
start]])/30,2),"")</f>
        <v>0.9</v>
      </c>
      <c r="ID179">
        <f>DATEDIF(Table1[[#This Row],[PLAN MC-0
start]],Table1[[#This Row],[PLAN TC
finish]],"m")</f>
        <v>0</v>
      </c>
    </row>
    <row r="180" spans="1:238" s="4" customFormat="1" ht="15" customHeight="1" x14ac:dyDescent="0.25">
      <c r="B180" s="281">
        <f>SUBTOTAL(3,$D$5:D180)</f>
        <v>176</v>
      </c>
      <c r="C180" s="318">
        <v>176</v>
      </c>
      <c r="D180" s="308" t="s">
        <v>244</v>
      </c>
      <c r="E180" s="308" t="s">
        <v>1310</v>
      </c>
      <c r="F180" s="308" t="s">
        <v>1311</v>
      </c>
      <c r="G180" s="319">
        <v>45935</v>
      </c>
      <c r="H180" s="308" t="s">
        <v>681</v>
      </c>
      <c r="I180" s="308" t="s">
        <v>278</v>
      </c>
      <c r="J180" s="285"/>
      <c r="K180" s="308" t="s">
        <v>1165</v>
      </c>
      <c r="L180" s="286" t="s">
        <v>250</v>
      </c>
      <c r="M180" s="286" t="s">
        <v>269</v>
      </c>
      <c r="N180" s="94">
        <v>563</v>
      </c>
      <c r="O180" s="31" t="s">
        <v>252</v>
      </c>
      <c r="P18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0" s="35" t="e">
        <v>#N/A</v>
      </c>
      <c r="S180" s="35">
        <v>1</v>
      </c>
      <c r="T180" s="35">
        <f>Table1[[#This Row],[Progres Total Aktual
(%)]]</f>
        <v>1</v>
      </c>
      <c r="U180" s="106">
        <f>Table1[[#This Row],[Progres Aktual
(%)]]-Table1[[#This Row],[Target Progres
(%)]]</f>
        <v>0</v>
      </c>
      <c r="V180" s="320">
        <f>Table1[[#This Row],["Volume
BA MC-0"]]</f>
        <v>586</v>
      </c>
      <c r="W180" s="321">
        <f>Table1[[#This Row],[Total Panjang Pipa Aktual
(Sum-&gt;)3]]</f>
        <v>571</v>
      </c>
      <c r="X180" s="42"/>
      <c r="Y180" s="62" t="s">
        <v>1312</v>
      </c>
      <c r="Z180" s="62">
        <v>1559353022</v>
      </c>
      <c r="AA180" s="62">
        <f>Table1[[#This Row],[Nilai RAB Jaringan
(file pa aji)]]</f>
        <v>1559353022</v>
      </c>
      <c r="AB180" s="290">
        <f>SUM(Table1[[#This Row],[RAB Kegiatan Umum]:[RAB Perizinan]])</f>
        <v>0</v>
      </c>
      <c r="AC180" s="290"/>
      <c r="AD180" s="290"/>
      <c r="AE180" s="290"/>
      <c r="AF180" s="290"/>
      <c r="AG180" s="406">
        <v>4099297</v>
      </c>
      <c r="AH180" s="35" t="e">
        <f>SUM(Table1[[#This Row],[Bobot Keg Umum]:[Bobot Perizinan]])</f>
        <v>#DIV/0!</v>
      </c>
      <c r="AI180" s="35" t="e">
        <f>Table1[[#This Row],[RAB Kegiatan Umum]]/Table1[[#This Row],[Nilai RAB Jaringan
(Exclude Ppn)]]</f>
        <v>#DIV/0!</v>
      </c>
      <c r="AJ180" s="35" t="e">
        <f>Table1[[#This Row],[RAB Pemasangan]]/Table1[[#This Row],[Nilai RAB Jaringan
(Exclude Ppn)]]</f>
        <v>#DIV/0!</v>
      </c>
      <c r="AK180" s="35" t="e">
        <f>Table1[[#This Row],[RAB Pengadaan]]/Table1[[#This Row],[Nilai RAB Jaringan
(Exclude Ppn)]]</f>
        <v>#DIV/0!</v>
      </c>
      <c r="AL180" s="35" t="e">
        <f>Table1[[#This Row],[RAB Perizinan]]/Table1[[#This Row],[Nilai RAB Jaringan
(Exclude Ppn)]]</f>
        <v>#DIV/0!</v>
      </c>
      <c r="AM180" s="42"/>
      <c r="AN180" s="256">
        <v>586</v>
      </c>
      <c r="AO180" s="256">
        <f>SUM(Table1[[#This Row],[Pipa 63 mm]:[Pipa 1,800 mm]])</f>
        <v>0</v>
      </c>
      <c r="AP180" s="256"/>
      <c r="AQ180" s="256"/>
      <c r="AR180" s="256"/>
      <c r="AS180" s="256"/>
      <c r="AT180" s="256"/>
      <c r="AU180" s="256"/>
      <c r="AV180" s="256"/>
      <c r="AW180" s="256"/>
      <c r="AX180" s="256"/>
      <c r="AY180" s="256"/>
      <c r="AZ180" s="256"/>
      <c r="BA180" s="256"/>
      <c r="BB180" s="256"/>
      <c r="BC180" s="256"/>
      <c r="BD180" s="256"/>
      <c r="BE180" s="256"/>
      <c r="BF180" s="256"/>
      <c r="BG180" s="256"/>
      <c r="BH180" s="256"/>
      <c r="BI180" s="256"/>
      <c r="BJ180" s="36">
        <f>SUM(Table1[[#This Row],[Pipa 63 mm2]:[Pipa 1,800 mm21]])</f>
        <v>571</v>
      </c>
      <c r="BK180" s="32"/>
      <c r="BL180" s="32"/>
      <c r="BM180" s="32">
        <v>100</v>
      </c>
      <c r="BN180" s="32">
        <v>471</v>
      </c>
      <c r="BO180" s="32"/>
      <c r="BP180" s="32"/>
      <c r="BQ180" s="32"/>
      <c r="BR180" s="32"/>
      <c r="BS180" s="32"/>
      <c r="BT180" s="32"/>
      <c r="BU180" s="32"/>
      <c r="BV180" s="32"/>
      <c r="BW180" s="32"/>
      <c r="BX180" s="32"/>
      <c r="BY180" s="32"/>
      <c r="BZ180" s="32"/>
      <c r="CA180" s="32"/>
      <c r="CB180" s="32"/>
      <c r="CC180" s="32"/>
      <c r="CD180" s="32"/>
      <c r="CE180" s="32">
        <v>0</v>
      </c>
      <c r="CF180" s="32">
        <v>0</v>
      </c>
      <c r="CG180" s="32">
        <v>0</v>
      </c>
      <c r="CH180" s="32">
        <v>0</v>
      </c>
      <c r="CI180" s="32">
        <f t="shared" si="10"/>
        <v>0</v>
      </c>
      <c r="CJ180" s="60">
        <f>IF((Table1[[#This Row],["Volume
BA MC-0"]]-Table1[[#This Row],[Total Panjang Pipa Aktual
(Sum-&gt;)3]]-Table1[[#This Row],[Total Volume
tidak dapat dipasang]])&gt;=0,Table1[[#This Row],["Volume
BA MC-0"]]-Table1[[#This Row],[Total Panjang Pipa Aktual
(Sum-&gt;)3]]-Table1[[#This Row],[Total Volume
tidak dapat dipasang]],0)</f>
        <v>15</v>
      </c>
      <c r="CK180" s="42"/>
      <c r="CL180" s="113"/>
      <c r="CM180" s="35"/>
      <c r="CN180" s="113"/>
      <c r="CO180" s="113"/>
      <c r="CP1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0" s="61">
        <f>IFERROR(Table1[[#This Row],[Progres Keg. Umum
(%)]]*Table1[[#This Row],[Nilai RAB Jaringan
(file pa aji)]],0)</f>
        <v>0</v>
      </c>
      <c r="CR180" s="61">
        <f>IFERROR(Table1[[#This Row],[Progres MOS
(%)]]*Table1[[#This Row],[Nilai RAB Jaringan
(file pa aji)]],0)</f>
        <v>0</v>
      </c>
      <c r="CS180" s="61">
        <f>IFERROR(Table1[[#This Row],[Progres Pemasangan
(%)]]*Table1[[#This Row],[Nilai RAB Jaringan
(file pa aji)]],0)</f>
        <v>0</v>
      </c>
      <c r="CT180" s="61">
        <f>IFERROR(Table1[[#This Row],[Progres Perizinan
(%)]]*Table1[[#This Row],[Nilai RAB Jaringan
(file pa aji)]],0)</f>
        <v>0</v>
      </c>
      <c r="CU180" s="789">
        <v>1279223434</v>
      </c>
      <c r="CV180" s="299">
        <v>1279223434</v>
      </c>
      <c r="CW180" s="552">
        <v>1279223434</v>
      </c>
      <c r="CX180" s="789">
        <f>_xlfn.XLOOKUP(Table1[[#This Row],[Kode Program]],'[1]Breakdown VOWD Greenfield'!$E:$E,'[1]Breakdown VOWD Greenfield'!$AT:$AT)</f>
        <v>1279223434</v>
      </c>
      <c r="CY180" s="42"/>
      <c r="CZ180" s="300">
        <v>45684</v>
      </c>
      <c r="DA180" s="300">
        <v>45697</v>
      </c>
      <c r="DB180" s="301">
        <v>45621</v>
      </c>
      <c r="DC180" s="286" t="s">
        <v>1313</v>
      </c>
      <c r="DD180" s="62">
        <v>1559353022</v>
      </c>
      <c r="DE1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0" s="301">
        <v>45623</v>
      </c>
      <c r="DG180" s="286" t="s">
        <v>1314</v>
      </c>
      <c r="DH180" s="62">
        <v>1559353022</v>
      </c>
      <c r="DI1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0" s="300">
        <v>45698</v>
      </c>
      <c r="DK180" s="300">
        <v>45746</v>
      </c>
      <c r="DL180" s="301">
        <v>45631</v>
      </c>
      <c r="DM180" s="286" t="s">
        <v>1315</v>
      </c>
      <c r="DN1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0" s="301">
        <v>45639</v>
      </c>
      <c r="DP180" s="286" t="s">
        <v>1316</v>
      </c>
      <c r="DQ180" s="308" t="s">
        <v>485</v>
      </c>
      <c r="DR1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0" s="300">
        <v>45698</v>
      </c>
      <c r="DT180" s="300" t="e">
        <v>#N/A</v>
      </c>
      <c r="DU180" s="300">
        <v>45725</v>
      </c>
      <c r="DV180" s="300" t="e">
        <v>#N/A</v>
      </c>
      <c r="DW180" s="301">
        <v>45540</v>
      </c>
      <c r="DX180" s="286" t="s">
        <v>1317</v>
      </c>
      <c r="DY180" s="304"/>
      <c r="DZ180" s="304"/>
      <c r="EA1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0" s="301">
        <v>46002</v>
      </c>
      <c r="EC180" s="302"/>
      <c r="ED180" s="302"/>
      <c r="EE180" s="300" t="s">
        <v>1318</v>
      </c>
      <c r="EF180" s="35">
        <v>1</v>
      </c>
      <c r="EG180" s="307">
        <v>1</v>
      </c>
      <c r="EH180" s="286" t="str">
        <f>IF(Table1[[#This Row],[PO Material Aktual 
(%)]]&gt;=100%,"Selesai PO = 100%",IF(Table1[[#This Row],[PO Material Aktual 
(%)]]&gt;=50%,"Proses PO &gt; 100%",IF(Table1[[#This Row],[PO Material Aktual 
(%)]]&gt;0%,"Proses PO &gt; 50%",IF(Table1[[#This Row],[PO Material Aktual 
(%)]]=0,"Belum PO = 0%"))))</f>
        <v>Selesai PO = 100%</v>
      </c>
      <c r="EI1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0" s="300">
        <v>45726</v>
      </c>
      <c r="EK180" s="300" t="e">
        <v>#N/A</v>
      </c>
      <c r="EL180" s="300">
        <v>45774</v>
      </c>
      <c r="EM180" s="300" t="e">
        <v>#N/A</v>
      </c>
      <c r="EN180" s="301">
        <v>46056</v>
      </c>
      <c r="EO180" s="302"/>
      <c r="EP180" s="302"/>
      <c r="EQ180" s="82">
        <v>1</v>
      </c>
      <c r="ER180" s="82">
        <v>1</v>
      </c>
      <c r="ES180" s="286" t="str">
        <f>IF(Table1[[#This Row],[Progres MOS]]&gt;=100%,"Selesai MOS = 100%",IF(Table1[[#This Row],[Progres MOS]]&gt;=50%,"Proses MOS &gt; 100%",IF(Table1[[#This Row],[Progres MOS]]&gt;0%,"Proses MOS &gt; 50%",IF(Table1[[#This Row],[Progres MOS]]=0,"Belum MOS = 0%"))))</f>
        <v>Selesai MOS = 100%</v>
      </c>
      <c r="ET1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0" s="42"/>
      <c r="EV180" s="300">
        <v>45698</v>
      </c>
      <c r="EW180" s="300" t="e">
        <v>#N/A</v>
      </c>
      <c r="EX180" s="300">
        <v>45774</v>
      </c>
      <c r="EY180" s="300" t="e">
        <v>#N/A</v>
      </c>
      <c r="EZ180" s="322" t="s">
        <v>259</v>
      </c>
      <c r="FA180" s="306" t="s">
        <v>259</v>
      </c>
      <c r="FB180" s="300" t="s">
        <v>260</v>
      </c>
      <c r="FC180" s="300" t="s">
        <v>282</v>
      </c>
      <c r="FD180" s="300" t="s">
        <v>260</v>
      </c>
      <c r="FE180" s="300" t="s">
        <v>282</v>
      </c>
      <c r="FF180" s="300" t="s">
        <v>282</v>
      </c>
      <c r="FG180" s="300" t="s">
        <v>260</v>
      </c>
      <c r="FH180" s="300" t="s">
        <v>260</v>
      </c>
      <c r="FI180" s="300"/>
      <c r="FJ180" s="300" t="s">
        <v>260</v>
      </c>
      <c r="FK180" s="300" t="s">
        <v>283</v>
      </c>
      <c r="FL180" s="306" t="s">
        <v>259</v>
      </c>
      <c r="FM180" s="322" t="s">
        <v>282</v>
      </c>
      <c r="FN180" s="308" t="e">
        <f>IF(Table1[[#This Row],[Tanggal Pengajuan Dokumen]]="","",Table1[[#This Row],[PLAN PERMIT
start]]-Table1[[#This Row],[Tanggal Pengajuan Dokumen]])</f>
        <v>#VALUE!</v>
      </c>
      <c r="FO180" s="407">
        <v>45874</v>
      </c>
      <c r="FP180" s="286"/>
      <c r="FQ180" s="308"/>
      <c r="FR180" s="308"/>
      <c r="FS180" s="308" t="str">
        <f t="shared" si="9"/>
        <v>Sudah Terbit</v>
      </c>
      <c r="FT1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0" s="314">
        <f ca="1">IF(Table1[[#This Row],[Status Izin]]="Selesai",Table1[[#This Row],[PLAN PERMIT
finish]]-Table1[[#This Row],[Tanggal Terbit/ Target Izin Terbit]],ROUNDUP(Table1[[#This Row],[PLAN PERMIT
finish]]-NOW(),0))</f>
        <v>-100</v>
      </c>
      <c r="FV1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0" s="314"/>
      <c r="FX180" s="42"/>
      <c r="FY180" s="310"/>
      <c r="FZ180" s="311"/>
      <c r="GA1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0" s="300">
        <v>45748</v>
      </c>
      <c r="GC180" s="322">
        <v>45656</v>
      </c>
      <c r="GD1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0" s="300">
        <v>45755</v>
      </c>
      <c r="GF180" s="322">
        <v>45656</v>
      </c>
      <c r="GG1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180" s="300">
        <v>45761</v>
      </c>
      <c r="GI180" s="300">
        <v>45767</v>
      </c>
      <c r="GJ180" s="322">
        <v>45600</v>
      </c>
      <c r="GK1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0" s="300">
        <v>45775</v>
      </c>
      <c r="GM180" s="300" t="e">
        <v>#N/A</v>
      </c>
      <c r="GN180" s="300">
        <v>45788</v>
      </c>
      <c r="GO180" s="300" t="e">
        <v>#N/A</v>
      </c>
      <c r="GP180" s="286"/>
      <c r="GQ1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0" s="300" t="s">
        <v>261</v>
      </c>
      <c r="GS180" s="300" t="s">
        <v>261</v>
      </c>
      <c r="GT180" s="324">
        <v>45598</v>
      </c>
      <c r="GU180" s="314" t="str">
        <f>IF(Table1[[#This Row],[Hydro Tes Actual
(tanggal)]]&lt;&gt;"","Sudah","Belum")</f>
        <v>Sudah</v>
      </c>
      <c r="GV180" s="300" t="s">
        <v>261</v>
      </c>
      <c r="GW180" s="300" t="s">
        <v>261</v>
      </c>
      <c r="GX180" s="301">
        <v>45670</v>
      </c>
      <c r="GY180" s="314" t="str">
        <f>IF(Table1[[#This Row],[Interkoneksi Actual
(tanggal)]]&lt;&gt;"","Sudah","Belum")</f>
        <v>Sudah</v>
      </c>
      <c r="GZ180" s="300" t="s">
        <v>261</v>
      </c>
      <c r="HA180" s="300" t="s">
        <v>261</v>
      </c>
      <c r="HB180" s="301">
        <v>45659</v>
      </c>
      <c r="HC180" s="314" t="str">
        <f>IF(Table1[[#This Row],[Flushing Actual
(tanggal)]]&lt;&gt;"","Sudah","Belum")</f>
        <v>Sudah</v>
      </c>
      <c r="HD180" s="300">
        <v>45779</v>
      </c>
      <c r="HE180" s="300" t="e">
        <v>#N/A</v>
      </c>
      <c r="HF180" s="300">
        <v>45788</v>
      </c>
      <c r="HG180" s="301">
        <v>45700</v>
      </c>
      <c r="HH1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0" s="300" t="s">
        <v>261</v>
      </c>
      <c r="HJ180" s="300" t="s">
        <v>261</v>
      </c>
      <c r="HK180" s="301"/>
      <c r="HL180" s="286"/>
      <c r="HM180" s="300">
        <v>45800</v>
      </c>
      <c r="HN180" s="300">
        <v>45800</v>
      </c>
      <c r="HO180" s="300" t="e">
        <v>#N/A</v>
      </c>
      <c r="HP180" s="300"/>
      <c r="HQ180" s="301">
        <v>45700</v>
      </c>
      <c r="HR1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0" s="300">
        <v>45807</v>
      </c>
      <c r="HT180" s="300"/>
      <c r="HU180" s="300">
        <v>45807</v>
      </c>
      <c r="HV180" s="497"/>
      <c r="HW180" s="301">
        <v>45930</v>
      </c>
      <c r="HX1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0" s="42"/>
      <c r="HZ180" s="322"/>
      <c r="IA180" s="306"/>
      <c r="IC180" s="585">
        <f>IFERROR(ROUND((Table1[[#This Row],[PLAN TC
finish]]-Table1[[#This Row],[PLAN MC-0
start]])/30,2),"")</f>
        <v>0.9</v>
      </c>
      <c r="ID180">
        <f>DATEDIF(Table1[[#This Row],[PLAN MC-0
start]],Table1[[#This Row],[PLAN TC
finish]],"m")</f>
        <v>0</v>
      </c>
    </row>
    <row r="181" spans="1:238" s="4" customFormat="1" ht="15" customHeight="1" x14ac:dyDescent="0.25">
      <c r="B181" s="281">
        <f>SUBTOTAL(3,$D$5:D181)</f>
        <v>177</v>
      </c>
      <c r="C181" s="318">
        <v>177</v>
      </c>
      <c r="D181" s="308" t="s">
        <v>244</v>
      </c>
      <c r="E181" s="308" t="s">
        <v>1319</v>
      </c>
      <c r="F181" s="308" t="s">
        <v>1320</v>
      </c>
      <c r="G181" s="319">
        <v>45935</v>
      </c>
      <c r="H181" s="308" t="s">
        <v>681</v>
      </c>
      <c r="I181" s="308" t="s">
        <v>278</v>
      </c>
      <c r="J181" s="285"/>
      <c r="K181" s="308" t="s">
        <v>1165</v>
      </c>
      <c r="L181" s="286" t="s">
        <v>250</v>
      </c>
      <c r="M181" s="286" t="s">
        <v>269</v>
      </c>
      <c r="N181" s="94">
        <v>51</v>
      </c>
      <c r="O181" s="31" t="s">
        <v>252</v>
      </c>
      <c r="P18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1" s="35" t="e">
        <v>#N/A</v>
      </c>
      <c r="S181" s="35">
        <v>1</v>
      </c>
      <c r="T181" s="35">
        <f>Table1[[#This Row],[Progres Total Aktual
(%)]]</f>
        <v>1</v>
      </c>
      <c r="U181" s="106">
        <f>Table1[[#This Row],[Progres Aktual
(%)]]-Table1[[#This Row],[Target Progres
(%)]]</f>
        <v>0</v>
      </c>
      <c r="V181" s="320">
        <f>Table1[[#This Row],["Volume
BA MC-0"]]</f>
        <v>52</v>
      </c>
      <c r="W181" s="321">
        <f>Table1[[#This Row],[Total Panjang Pipa Aktual
(Sum-&gt;)3]]</f>
        <v>50</v>
      </c>
      <c r="X181" s="42"/>
      <c r="Y181" s="62" t="s">
        <v>1321</v>
      </c>
      <c r="Z181" s="62">
        <v>94916946</v>
      </c>
      <c r="AA181" s="62">
        <f>Table1[[#This Row],[Nilai RAB Jaringan
(file pa aji)]]</f>
        <v>94916946</v>
      </c>
      <c r="AB181" s="290">
        <f>SUM(Table1[[#This Row],[RAB Kegiatan Umum]:[RAB Perizinan]])</f>
        <v>0</v>
      </c>
      <c r="AC181" s="290"/>
      <c r="AD181" s="290"/>
      <c r="AE181" s="290"/>
      <c r="AF181" s="290"/>
      <c r="AG181" s="406">
        <v>2049649</v>
      </c>
      <c r="AH181" s="35" t="e">
        <f>SUM(Table1[[#This Row],[Bobot Keg Umum]:[Bobot Perizinan]])</f>
        <v>#DIV/0!</v>
      </c>
      <c r="AI181" s="35" t="e">
        <f>Table1[[#This Row],[RAB Kegiatan Umum]]/Table1[[#This Row],[Nilai RAB Jaringan
(Exclude Ppn)]]</f>
        <v>#DIV/0!</v>
      </c>
      <c r="AJ181" s="35" t="e">
        <f>Table1[[#This Row],[RAB Pemasangan]]/Table1[[#This Row],[Nilai RAB Jaringan
(Exclude Ppn)]]</f>
        <v>#DIV/0!</v>
      </c>
      <c r="AK181" s="35" t="e">
        <f>Table1[[#This Row],[RAB Pengadaan]]/Table1[[#This Row],[Nilai RAB Jaringan
(Exclude Ppn)]]</f>
        <v>#DIV/0!</v>
      </c>
      <c r="AL181" s="35" t="e">
        <f>Table1[[#This Row],[RAB Perizinan]]/Table1[[#This Row],[Nilai RAB Jaringan
(Exclude Ppn)]]</f>
        <v>#DIV/0!</v>
      </c>
      <c r="AM181" s="42"/>
      <c r="AN181" s="256">
        <v>52</v>
      </c>
      <c r="AO181" s="256">
        <f>SUM(Table1[[#This Row],[Pipa 63 mm]:[Pipa 1,800 mm]])</f>
        <v>0</v>
      </c>
      <c r="AP181" s="256"/>
      <c r="AQ181" s="256"/>
      <c r="AR181" s="256"/>
      <c r="AS181" s="256"/>
      <c r="AT181" s="256"/>
      <c r="AU181" s="256"/>
      <c r="AV181" s="256"/>
      <c r="AW181" s="256"/>
      <c r="AX181" s="256"/>
      <c r="AY181" s="256"/>
      <c r="AZ181" s="256"/>
      <c r="BA181" s="256"/>
      <c r="BB181" s="256"/>
      <c r="BC181" s="256"/>
      <c r="BD181" s="256"/>
      <c r="BE181" s="256"/>
      <c r="BF181" s="256"/>
      <c r="BG181" s="256"/>
      <c r="BH181" s="256"/>
      <c r="BI181" s="256"/>
      <c r="BJ181" s="36">
        <f>SUM(Table1[[#This Row],[Pipa 63 mm2]:[Pipa 1,800 mm21]])</f>
        <v>50</v>
      </c>
      <c r="BK181" s="32">
        <v>50</v>
      </c>
      <c r="BL181" s="32"/>
      <c r="BM181" s="32"/>
      <c r="BN181" s="32"/>
      <c r="BO181" s="32"/>
      <c r="BP181" s="32"/>
      <c r="BQ181" s="32"/>
      <c r="BR181" s="32"/>
      <c r="BS181" s="32"/>
      <c r="BT181" s="32"/>
      <c r="BU181" s="32"/>
      <c r="BV181" s="32"/>
      <c r="BW181" s="32"/>
      <c r="BX181" s="32"/>
      <c r="BY181" s="32"/>
      <c r="BZ181" s="32"/>
      <c r="CA181" s="32"/>
      <c r="CB181" s="32"/>
      <c r="CC181" s="32"/>
      <c r="CD181" s="32"/>
      <c r="CE181" s="32">
        <v>0</v>
      </c>
      <c r="CF181" s="32">
        <v>0</v>
      </c>
      <c r="CG181" s="32">
        <v>0</v>
      </c>
      <c r="CH181" s="32">
        <v>0</v>
      </c>
      <c r="CI181" s="32">
        <f t="shared" si="10"/>
        <v>0</v>
      </c>
      <c r="CJ181" s="60">
        <f>IF((Table1[[#This Row],["Volume
BA MC-0"]]-Table1[[#This Row],[Total Panjang Pipa Aktual
(Sum-&gt;)3]]-Table1[[#This Row],[Total Volume
tidak dapat dipasang]])&gt;=0,Table1[[#This Row],["Volume
BA MC-0"]]-Table1[[#This Row],[Total Panjang Pipa Aktual
(Sum-&gt;)3]]-Table1[[#This Row],[Total Volume
tidak dapat dipasang]],0)</f>
        <v>2</v>
      </c>
      <c r="CK181" s="42"/>
      <c r="CL181" s="113"/>
      <c r="CM181" s="35"/>
      <c r="CN181" s="113"/>
      <c r="CO181" s="113"/>
      <c r="CP1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1" s="61">
        <f>IFERROR(Table1[[#This Row],[Progres Keg. Umum
(%)]]*Table1[[#This Row],[Nilai RAB Jaringan
(file pa aji)]],0)</f>
        <v>0</v>
      </c>
      <c r="CR181" s="61">
        <f>IFERROR(Table1[[#This Row],[Progres MOS
(%)]]*Table1[[#This Row],[Nilai RAB Jaringan
(file pa aji)]],0)</f>
        <v>0</v>
      </c>
      <c r="CS181" s="61">
        <f>IFERROR(Table1[[#This Row],[Progres Pemasangan
(%)]]*Table1[[#This Row],[Nilai RAB Jaringan
(file pa aji)]],0)</f>
        <v>0</v>
      </c>
      <c r="CT181" s="61">
        <f>IFERROR(Table1[[#This Row],[Progres Perizinan
(%)]]*Table1[[#This Row],[Nilai RAB Jaringan
(file pa aji)]],0)</f>
        <v>0</v>
      </c>
      <c r="CU181" s="789">
        <v>99098256</v>
      </c>
      <c r="CV181" s="299">
        <v>99098256</v>
      </c>
      <c r="CW181" s="552">
        <v>99098256</v>
      </c>
      <c r="CX181" s="789">
        <f>_xlfn.XLOOKUP(Table1[[#This Row],[Kode Program]],'[1]Breakdown VOWD Greenfield'!$E:$E,'[1]Breakdown VOWD Greenfield'!$AT:$AT)</f>
        <v>99098256</v>
      </c>
      <c r="CY181" s="42"/>
      <c r="CZ181" s="300">
        <v>45656</v>
      </c>
      <c r="DA181" s="300">
        <v>45669</v>
      </c>
      <c r="DB181" s="301">
        <v>45656</v>
      </c>
      <c r="DC181" s="286" t="s">
        <v>1322</v>
      </c>
      <c r="DD181" s="62">
        <v>94916945</v>
      </c>
      <c r="DE1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1" s="301">
        <v>45673</v>
      </c>
      <c r="DG181" s="286" t="s">
        <v>1323</v>
      </c>
      <c r="DH181" s="62">
        <v>94916945</v>
      </c>
      <c r="DI1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81" s="300">
        <v>45670</v>
      </c>
      <c r="DK181" s="300">
        <v>45718</v>
      </c>
      <c r="DL181" s="301">
        <v>45695</v>
      </c>
      <c r="DM181" s="286" t="s">
        <v>1324</v>
      </c>
      <c r="DN1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1" s="301">
        <v>45708</v>
      </c>
      <c r="DP181" s="286" t="s">
        <v>1325</v>
      </c>
      <c r="DQ181" s="308" t="s">
        <v>371</v>
      </c>
      <c r="DR1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1" s="300">
        <v>45670</v>
      </c>
      <c r="DT181" s="300" t="e">
        <v>#N/A</v>
      </c>
      <c r="DU181" s="300">
        <v>45697</v>
      </c>
      <c r="DV181" s="300" t="e">
        <v>#N/A</v>
      </c>
      <c r="DW181" s="301">
        <v>45727</v>
      </c>
      <c r="DX181" s="286" t="s">
        <v>1326</v>
      </c>
      <c r="DY181" s="304"/>
      <c r="DZ181" s="304"/>
      <c r="EA1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1" s="301">
        <v>46039</v>
      </c>
      <c r="EC181" s="302"/>
      <c r="ED181" s="302"/>
      <c r="EE181" s="300" t="s">
        <v>1327</v>
      </c>
      <c r="EF181" s="35">
        <v>1</v>
      </c>
      <c r="EG181" s="307">
        <v>1</v>
      </c>
      <c r="EH181" s="286" t="str">
        <f>IF(Table1[[#This Row],[PO Material Aktual 
(%)]]&gt;=100%,"Selesai PO = 100%",IF(Table1[[#This Row],[PO Material Aktual 
(%)]]&gt;=50%,"Proses PO &gt; 100%",IF(Table1[[#This Row],[PO Material Aktual 
(%)]]&gt;0%,"Proses PO &gt; 50%",IF(Table1[[#This Row],[PO Material Aktual 
(%)]]=0,"Belum PO = 0%"))))</f>
        <v>Selesai PO = 100%</v>
      </c>
      <c r="EI1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1" s="300">
        <v>45698</v>
      </c>
      <c r="EK181" s="300" t="e">
        <v>#N/A</v>
      </c>
      <c r="EL181" s="300">
        <v>45746</v>
      </c>
      <c r="EM181" s="300" t="e">
        <v>#N/A</v>
      </c>
      <c r="EN181" s="301">
        <v>46091</v>
      </c>
      <c r="EO181" s="302"/>
      <c r="EP181" s="302"/>
      <c r="EQ181" s="82">
        <v>1</v>
      </c>
      <c r="ER181" s="82">
        <v>1</v>
      </c>
      <c r="ES181" s="286" t="str">
        <f>IF(Table1[[#This Row],[Progres MOS]]&gt;=100%,"Selesai MOS = 100%",IF(Table1[[#This Row],[Progres MOS]]&gt;=50%,"Proses MOS &gt; 100%",IF(Table1[[#This Row],[Progres MOS]]&gt;0%,"Proses MOS &gt; 50%",IF(Table1[[#This Row],[Progres MOS]]=0,"Belum MOS = 0%"))))</f>
        <v>Selesai MOS = 100%</v>
      </c>
      <c r="ET1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1" s="42"/>
      <c r="EV181" s="300">
        <v>45670</v>
      </c>
      <c r="EW181" s="300" t="e">
        <v>#N/A</v>
      </c>
      <c r="EX181" s="300">
        <v>45746</v>
      </c>
      <c r="EY181" s="300" t="e">
        <v>#N/A</v>
      </c>
      <c r="EZ181" s="322" t="s">
        <v>298</v>
      </c>
      <c r="FA181" s="306" t="s">
        <v>259</v>
      </c>
      <c r="FB181" s="300" t="s">
        <v>260</v>
      </c>
      <c r="FC181" s="300">
        <v>45838</v>
      </c>
      <c r="FD181" s="300" t="s">
        <v>260</v>
      </c>
      <c r="FE181" s="300">
        <v>45888</v>
      </c>
      <c r="FF181" s="300">
        <v>45944</v>
      </c>
      <c r="FG181" s="300" t="s">
        <v>260</v>
      </c>
      <c r="FH181" s="300" t="s">
        <v>260</v>
      </c>
      <c r="FI181" s="300">
        <v>46010</v>
      </c>
      <c r="FJ181" s="300" t="s">
        <v>260</v>
      </c>
      <c r="FK181" s="300">
        <v>46113</v>
      </c>
      <c r="FL181" s="306" t="s">
        <v>298</v>
      </c>
      <c r="FM181" s="322">
        <v>45838</v>
      </c>
      <c r="FN181" s="308">
        <f>IF(Table1[[#This Row],[Tanggal Pengajuan Dokumen]]="","",Table1[[#This Row],[PLAN PERMIT
start]]-Table1[[#This Row],[Tanggal Pengajuan Dokumen]])</f>
        <v>-168</v>
      </c>
      <c r="FO181" s="407">
        <v>46086</v>
      </c>
      <c r="FP181" s="286"/>
      <c r="FQ181" s="308"/>
      <c r="FR181" s="308"/>
      <c r="FS181" s="308" t="str">
        <f t="shared" si="9"/>
        <v>Sudah Terbit</v>
      </c>
      <c r="FT1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1" s="314">
        <f ca="1">IF(Table1[[#This Row],[Status Izin]]="Selesai",Table1[[#This Row],[PLAN PERMIT
finish]]-Table1[[#This Row],[Tanggal Terbit/ Target Izin Terbit]],ROUNDUP(Table1[[#This Row],[PLAN PERMIT
finish]]-NOW(),0))</f>
        <v>-340</v>
      </c>
      <c r="FV1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1" s="314"/>
      <c r="FX181" s="42"/>
      <c r="FY181" s="310"/>
      <c r="FZ181" s="311"/>
      <c r="GA1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1" s="300">
        <v>45720</v>
      </c>
      <c r="GC181" s="322"/>
      <c r="GD1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1" s="300">
        <v>45727</v>
      </c>
      <c r="GF181" s="322"/>
      <c r="GG1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1" s="300">
        <v>45733</v>
      </c>
      <c r="GI181" s="300">
        <v>45739</v>
      </c>
      <c r="GJ181" s="322">
        <v>45695</v>
      </c>
      <c r="GK1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1" s="300">
        <v>45747</v>
      </c>
      <c r="GM181" s="300" t="e">
        <v>#N/A</v>
      </c>
      <c r="GN181" s="300">
        <v>45760</v>
      </c>
      <c r="GO181" s="300" t="e">
        <v>#N/A</v>
      </c>
      <c r="GP181" s="286"/>
      <c r="GQ1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1" s="300" t="s">
        <v>261</v>
      </c>
      <c r="GS181" s="300" t="s">
        <v>261</v>
      </c>
      <c r="GT181" s="324">
        <v>45723</v>
      </c>
      <c r="GU181" s="314" t="str">
        <f>IF(Table1[[#This Row],[Hydro Tes Actual
(tanggal)]]&lt;&gt;"","Sudah","Belum")</f>
        <v>Sudah</v>
      </c>
      <c r="GV181" s="300" t="s">
        <v>261</v>
      </c>
      <c r="GW181" s="300" t="s">
        <v>261</v>
      </c>
      <c r="GX181" s="301">
        <v>45721</v>
      </c>
      <c r="GY181" s="314" t="str">
        <f>IF(Table1[[#This Row],[Interkoneksi Actual
(tanggal)]]&lt;&gt;"","Sudah","Belum")</f>
        <v>Sudah</v>
      </c>
      <c r="GZ181" s="300" t="s">
        <v>261</v>
      </c>
      <c r="HA181" s="300" t="s">
        <v>261</v>
      </c>
      <c r="HB181" s="301">
        <v>45733</v>
      </c>
      <c r="HC181" s="314" t="str">
        <f>IF(Table1[[#This Row],[Flushing Actual
(tanggal)]]&lt;&gt;"","Sudah","Belum")</f>
        <v>Sudah</v>
      </c>
      <c r="HD181" s="300">
        <v>45751</v>
      </c>
      <c r="HE181" s="300" t="e">
        <v>#N/A</v>
      </c>
      <c r="HF181" s="300">
        <v>45760</v>
      </c>
      <c r="HG181" s="301">
        <v>45805</v>
      </c>
      <c r="HH1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1" s="300" t="s">
        <v>261</v>
      </c>
      <c r="HJ181" s="300" t="s">
        <v>261</v>
      </c>
      <c r="HK181" s="301"/>
      <c r="HL181" s="286"/>
      <c r="HM181" s="300">
        <v>45772</v>
      </c>
      <c r="HN181" s="300">
        <v>45772</v>
      </c>
      <c r="HO181" s="300" t="e">
        <v>#N/A</v>
      </c>
      <c r="HP181" s="300"/>
      <c r="HQ181" s="301">
        <v>45805</v>
      </c>
      <c r="HR1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1" s="300">
        <v>45779</v>
      </c>
      <c r="HT181" s="300"/>
      <c r="HU181" s="300">
        <v>45779</v>
      </c>
      <c r="HV181" s="497"/>
      <c r="HW181" s="301">
        <v>45930</v>
      </c>
      <c r="HX1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1" s="42"/>
      <c r="HZ181" s="322"/>
      <c r="IA181" s="306"/>
      <c r="IC181" s="585">
        <f>IFERROR(ROUND((Table1[[#This Row],[PLAN TC
finish]]-Table1[[#This Row],[PLAN MC-0
start]])/30,2),"")</f>
        <v>0.9</v>
      </c>
      <c r="ID181">
        <f>DATEDIF(Table1[[#This Row],[PLAN MC-0
start]],Table1[[#This Row],[PLAN TC
finish]],"m")</f>
        <v>0</v>
      </c>
    </row>
    <row r="182" spans="1:238" s="4" customFormat="1" ht="15" customHeight="1" x14ac:dyDescent="0.25">
      <c r="B182" s="281">
        <f>SUBTOTAL(3,$D$5:D182)</f>
        <v>178</v>
      </c>
      <c r="C182" s="318">
        <v>178</v>
      </c>
      <c r="D182" s="308" t="s">
        <v>244</v>
      </c>
      <c r="E182" s="308" t="s">
        <v>1328</v>
      </c>
      <c r="F182" s="308" t="s">
        <v>1329</v>
      </c>
      <c r="G182" s="319">
        <v>45935</v>
      </c>
      <c r="H182" s="308" t="s">
        <v>681</v>
      </c>
      <c r="I182" s="308" t="s">
        <v>278</v>
      </c>
      <c r="J182" s="285"/>
      <c r="K182" s="308" t="s">
        <v>1165</v>
      </c>
      <c r="L182" s="286" t="s">
        <v>250</v>
      </c>
      <c r="M182" s="286" t="s">
        <v>269</v>
      </c>
      <c r="N182" s="94">
        <v>5581</v>
      </c>
      <c r="O182" s="31" t="s">
        <v>252</v>
      </c>
      <c r="P18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2" s="35" t="e">
        <v>#N/A</v>
      </c>
      <c r="S182" s="35">
        <v>1</v>
      </c>
      <c r="T182" s="35">
        <f>Table1[[#This Row],[Progres Total Aktual
(%)]]</f>
        <v>1</v>
      </c>
      <c r="U182" s="106" t="s">
        <v>292</v>
      </c>
      <c r="V182" s="320">
        <f>Table1[[#This Row],["Volume
BA MC-0"]]</f>
        <v>5859</v>
      </c>
      <c r="W182" s="321">
        <f>Table1[[#This Row],[Total Panjang Pipa Aktual
(Sum-&gt;)3]]</f>
        <v>5720</v>
      </c>
      <c r="X182" s="42"/>
      <c r="Y182" s="62" t="s">
        <v>1330</v>
      </c>
      <c r="Z182" s="62">
        <v>9709434039</v>
      </c>
      <c r="AA182" s="62">
        <f>Table1[[#This Row],[Nilai RAB Jaringan
(file pa aji)]]</f>
        <v>9709434039</v>
      </c>
      <c r="AB182" s="290">
        <f>SUM(Table1[[#This Row],[RAB Kegiatan Umum]:[RAB Perizinan]])</f>
        <v>0</v>
      </c>
      <c r="AC182" s="290"/>
      <c r="AD182" s="290"/>
      <c r="AE182" s="290"/>
      <c r="AF182" s="290"/>
      <c r="AG182" s="406">
        <v>2667510906</v>
      </c>
      <c r="AH182" s="35" t="e">
        <f>SUM(Table1[[#This Row],[Bobot Keg Umum]:[Bobot Perizinan]])</f>
        <v>#DIV/0!</v>
      </c>
      <c r="AI182" s="35" t="e">
        <f>Table1[[#This Row],[RAB Kegiatan Umum]]/Table1[[#This Row],[Nilai RAB Jaringan
(Exclude Ppn)]]</f>
        <v>#DIV/0!</v>
      </c>
      <c r="AJ182" s="35" t="e">
        <f>Table1[[#This Row],[RAB Pemasangan]]/Table1[[#This Row],[Nilai RAB Jaringan
(Exclude Ppn)]]</f>
        <v>#DIV/0!</v>
      </c>
      <c r="AK182" s="35" t="e">
        <f>Table1[[#This Row],[RAB Pengadaan]]/Table1[[#This Row],[Nilai RAB Jaringan
(Exclude Ppn)]]</f>
        <v>#DIV/0!</v>
      </c>
      <c r="AL182" s="35" t="e">
        <f>Table1[[#This Row],[RAB Perizinan]]/Table1[[#This Row],[Nilai RAB Jaringan
(Exclude Ppn)]]</f>
        <v>#DIV/0!</v>
      </c>
      <c r="AM182" s="42"/>
      <c r="AN182" s="256">
        <v>5859</v>
      </c>
      <c r="AO182" s="256">
        <f>SUM(Table1[[#This Row],[Pipa 63 mm]:[Pipa 1,800 mm]])</f>
        <v>0</v>
      </c>
      <c r="AP182" s="256"/>
      <c r="AQ182" s="256"/>
      <c r="AR182" s="256"/>
      <c r="AS182" s="256"/>
      <c r="AT182" s="256"/>
      <c r="AU182" s="256"/>
      <c r="AV182" s="256"/>
      <c r="AW182" s="256"/>
      <c r="AX182" s="256"/>
      <c r="AY182" s="256"/>
      <c r="AZ182" s="256"/>
      <c r="BA182" s="256"/>
      <c r="BB182" s="256"/>
      <c r="BC182" s="256"/>
      <c r="BD182" s="256"/>
      <c r="BE182" s="256"/>
      <c r="BF182" s="256"/>
      <c r="BG182" s="256"/>
      <c r="BH182" s="256"/>
      <c r="BI182" s="256"/>
      <c r="BJ182" s="36">
        <f>SUM(Table1[[#This Row],[Pipa 63 mm2]:[Pipa 1,800 mm21]])</f>
        <v>5720</v>
      </c>
      <c r="BK182" s="32">
        <v>2123.5</v>
      </c>
      <c r="BL182" s="32">
        <v>2858.4</v>
      </c>
      <c r="BM182" s="32">
        <v>216.2</v>
      </c>
      <c r="BN182" s="32">
        <v>490.3</v>
      </c>
      <c r="BO182" s="32">
        <v>31.6</v>
      </c>
      <c r="BP182" s="32"/>
      <c r="BQ182" s="32"/>
      <c r="BR182" s="32"/>
      <c r="BS182" s="32"/>
      <c r="BT182" s="32"/>
      <c r="BU182" s="32"/>
      <c r="BV182" s="32"/>
      <c r="BW182" s="32"/>
      <c r="BX182" s="32"/>
      <c r="BY182" s="32"/>
      <c r="BZ182" s="32"/>
      <c r="CA182" s="32"/>
      <c r="CB182" s="32"/>
      <c r="CC182" s="32"/>
      <c r="CD182" s="32"/>
      <c r="CE182" s="32">
        <v>0</v>
      </c>
      <c r="CF182" s="32">
        <v>0</v>
      </c>
      <c r="CG182" s="32">
        <v>0</v>
      </c>
      <c r="CH182" s="32">
        <v>0</v>
      </c>
      <c r="CI182" s="32">
        <f t="shared" si="10"/>
        <v>0</v>
      </c>
      <c r="CJ182" s="60">
        <f>IF((Table1[[#This Row],["Volume
BA MC-0"]]-Table1[[#This Row],[Total Panjang Pipa Aktual
(Sum-&gt;)3]]-Table1[[#This Row],[Total Volume
tidak dapat dipasang]])&gt;=0,Table1[[#This Row],["Volume
BA MC-0"]]-Table1[[#This Row],[Total Panjang Pipa Aktual
(Sum-&gt;)3]]-Table1[[#This Row],[Total Volume
tidak dapat dipasang]],0)</f>
        <v>139</v>
      </c>
      <c r="CK182" s="42"/>
      <c r="CL182" s="113"/>
      <c r="CM182" s="35"/>
      <c r="CN182" s="113"/>
      <c r="CO182" s="113"/>
      <c r="CP1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2" s="61">
        <f>IFERROR(Table1[[#This Row],[Progres Keg. Umum
(%)]]*Table1[[#This Row],[Nilai RAB Jaringan
(file pa aji)]],0)</f>
        <v>0</v>
      </c>
      <c r="CR182" s="61">
        <f>IFERROR(Table1[[#This Row],[Progres MOS
(%)]]*Table1[[#This Row],[Nilai RAB Jaringan
(file pa aji)]],0)</f>
        <v>0</v>
      </c>
      <c r="CS182" s="61">
        <f>IFERROR(Table1[[#This Row],[Progres Pemasangan
(%)]]*Table1[[#This Row],[Nilai RAB Jaringan
(file pa aji)]],0)</f>
        <v>0</v>
      </c>
      <c r="CT182" s="61">
        <f>IFERROR(Table1[[#This Row],[Progres Perizinan
(%)]]*Table1[[#This Row],[Nilai RAB Jaringan
(file pa aji)]],0)</f>
        <v>0</v>
      </c>
      <c r="CU182" s="789">
        <v>7716601278</v>
      </c>
      <c r="CV182" s="299">
        <v>7716601278</v>
      </c>
      <c r="CW182" s="552">
        <v>7716601278</v>
      </c>
      <c r="CX182" s="789">
        <f>_xlfn.XLOOKUP(Table1[[#This Row],[Kode Program]],'[1]Breakdown VOWD Greenfield'!$E:$E,'[1]Breakdown VOWD Greenfield'!$AT:$AT)</f>
        <v>7716601278</v>
      </c>
      <c r="CY182" s="42"/>
      <c r="CZ182" s="300">
        <v>45684</v>
      </c>
      <c r="DA182" s="300">
        <v>45711</v>
      </c>
      <c r="DB182" s="301">
        <v>45216</v>
      </c>
      <c r="DC182" s="286" t="s">
        <v>1331</v>
      </c>
      <c r="DD182" s="62">
        <v>9653624040.0699997</v>
      </c>
      <c r="DE1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2" s="301">
        <v>45222</v>
      </c>
      <c r="DG182" s="286" t="s">
        <v>1332</v>
      </c>
      <c r="DH182" s="62">
        <v>9653624040.0699997</v>
      </c>
      <c r="DI1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2" s="300">
        <v>45712</v>
      </c>
      <c r="DK182" s="300">
        <v>45753</v>
      </c>
      <c r="DL182" s="301">
        <v>45812</v>
      </c>
      <c r="DM182" s="286" t="s">
        <v>1333</v>
      </c>
      <c r="DN1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2" s="301">
        <v>45896</v>
      </c>
      <c r="DP182" s="286" t="s">
        <v>1334</v>
      </c>
      <c r="DQ182" s="308" t="s">
        <v>479</v>
      </c>
      <c r="DR1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2" s="300">
        <v>45712</v>
      </c>
      <c r="DT182" s="300" t="e">
        <v>#N/A</v>
      </c>
      <c r="DU182" s="300">
        <v>45753</v>
      </c>
      <c r="DV182" s="300" t="e">
        <v>#N/A</v>
      </c>
      <c r="DW182" s="301">
        <v>45813</v>
      </c>
      <c r="DX182" s="286" t="s">
        <v>1335</v>
      </c>
      <c r="DY182" s="304"/>
      <c r="DZ182" s="304"/>
      <c r="EA1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2" s="301">
        <v>46038</v>
      </c>
      <c r="EC182" s="302"/>
      <c r="ED182" s="302"/>
      <c r="EE182" s="300" t="s">
        <v>1336</v>
      </c>
      <c r="EF182" s="35">
        <v>1</v>
      </c>
      <c r="EG182" s="307">
        <v>1</v>
      </c>
      <c r="EH182" s="286" t="str">
        <f>IF(Table1[[#This Row],[PO Material Aktual 
(%)]]&gt;=100%,"Selesai PO = 100%",IF(Table1[[#This Row],[PO Material Aktual 
(%)]]&gt;=50%,"Proses PO &gt; 100%",IF(Table1[[#This Row],[PO Material Aktual 
(%)]]&gt;0%,"Proses PO &gt; 50%",IF(Table1[[#This Row],[PO Material Aktual 
(%)]]=0,"Belum PO = 0%"))))</f>
        <v>Selesai PO = 100%</v>
      </c>
      <c r="EI18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2" s="300">
        <v>45754</v>
      </c>
      <c r="EK182" s="300" t="e">
        <v>#N/A</v>
      </c>
      <c r="EL182" s="300">
        <v>45865</v>
      </c>
      <c r="EM182" s="300" t="e">
        <v>#N/A</v>
      </c>
      <c r="EN182" s="301">
        <v>46151</v>
      </c>
      <c r="EO182" s="302"/>
      <c r="EP182" s="302"/>
      <c r="EQ182" s="82">
        <v>1</v>
      </c>
      <c r="ER182" s="82">
        <v>1</v>
      </c>
      <c r="ES182" s="286" t="str">
        <f>IF(Table1[[#This Row],[Progres MOS]]&gt;=100%,"Selesai MOS = 100%",IF(Table1[[#This Row],[Progres MOS]]&gt;=50%,"Proses MOS &gt; 100%",IF(Table1[[#This Row],[Progres MOS]]&gt;0%,"Proses MOS &gt; 50%",IF(Table1[[#This Row],[Progres MOS]]=0,"Belum MOS = 0%"))))</f>
        <v>Selesai MOS = 100%</v>
      </c>
      <c r="ET1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2" s="42"/>
      <c r="EV182" s="300">
        <v>45712</v>
      </c>
      <c r="EW182" s="300" t="e">
        <v>#N/A</v>
      </c>
      <c r="EX182" s="300">
        <v>45837</v>
      </c>
      <c r="EY182" s="300" t="e">
        <v>#N/A</v>
      </c>
      <c r="EZ182" s="322" t="s">
        <v>1337</v>
      </c>
      <c r="FA182" s="306" t="s">
        <v>259</v>
      </c>
      <c r="FB182" s="300" t="s">
        <v>260</v>
      </c>
      <c r="FC182" s="300" t="s">
        <v>282</v>
      </c>
      <c r="FD182" s="300" t="s">
        <v>282</v>
      </c>
      <c r="FE182" s="300" t="s">
        <v>282</v>
      </c>
      <c r="FF182" s="300" t="s">
        <v>282</v>
      </c>
      <c r="FG182" s="300" t="s">
        <v>282</v>
      </c>
      <c r="FH182" s="300" t="s">
        <v>282</v>
      </c>
      <c r="FI182" s="300" t="s">
        <v>282</v>
      </c>
      <c r="FJ182" s="300" t="s">
        <v>282</v>
      </c>
      <c r="FK182" s="300" t="s">
        <v>283</v>
      </c>
      <c r="FL182" s="306" t="str">
        <f>Table1[[#This Row],[IPPJU]]</f>
        <v>Izin Dari PPKK</v>
      </c>
      <c r="FM182" s="322" t="s">
        <v>282</v>
      </c>
      <c r="FN182" s="308" t="e">
        <f>IF(Table1[[#This Row],[Tanggal Pengajuan Dokumen]]="","",Table1[[#This Row],[PLAN PERMIT
start]]-Table1[[#This Row],[Tanggal Pengajuan Dokumen]])</f>
        <v>#VALUE!</v>
      </c>
      <c r="FO182" s="407">
        <v>45188</v>
      </c>
      <c r="FP182" s="286"/>
      <c r="FQ182" s="308"/>
      <c r="FR182" s="308"/>
      <c r="FS182" s="308" t="str">
        <f t="shared" si="9"/>
        <v>Sudah Terbit</v>
      </c>
      <c r="FT1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2" s="314">
        <f ca="1">IF(Table1[[#This Row],[Status Izin]]="Selesai",Table1[[#This Row],[PLAN PERMIT
finish]]-Table1[[#This Row],[Tanggal Terbit/ Target Izin Terbit]],ROUNDUP(Table1[[#This Row],[PLAN PERMIT
finish]]-NOW(),0))</f>
        <v>649</v>
      </c>
      <c r="FV1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2" s="314"/>
      <c r="FX182" s="42"/>
      <c r="FY182" s="310"/>
      <c r="FZ182" s="311"/>
      <c r="GA1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2" s="300">
        <v>45811</v>
      </c>
      <c r="GC182" s="322">
        <v>45796</v>
      </c>
      <c r="GD1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82" s="300">
        <v>45818</v>
      </c>
      <c r="GF182" s="322">
        <v>45826</v>
      </c>
      <c r="GG1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2" s="300">
        <v>45824</v>
      </c>
      <c r="GI182" s="300">
        <v>45830</v>
      </c>
      <c r="GJ182" s="322">
        <v>45803</v>
      </c>
      <c r="GK1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2" s="300">
        <v>45838</v>
      </c>
      <c r="GM182" s="300" t="e">
        <v>#N/A</v>
      </c>
      <c r="GN182" s="300">
        <v>45907</v>
      </c>
      <c r="GO182" s="300" t="e">
        <v>#N/A</v>
      </c>
      <c r="GP182" s="286"/>
      <c r="GQ1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2" s="300" t="s">
        <v>261</v>
      </c>
      <c r="GS182" s="300" t="s">
        <v>261</v>
      </c>
      <c r="GT182" s="324">
        <v>45899</v>
      </c>
      <c r="GU182" s="314" t="str">
        <f>IF(Table1[[#This Row],[Hydro Tes Actual
(tanggal)]]&lt;&gt;"","Sudah","Belum")</f>
        <v>Sudah</v>
      </c>
      <c r="GV182" s="300" t="s">
        <v>261</v>
      </c>
      <c r="GW182" s="300" t="s">
        <v>261</v>
      </c>
      <c r="GX182" s="301">
        <v>45891</v>
      </c>
      <c r="GY182" s="314" t="str">
        <f>IF(Table1[[#This Row],[Interkoneksi Actual
(tanggal)]]&lt;&gt;"","Sudah","Belum")</f>
        <v>Sudah</v>
      </c>
      <c r="GZ182" s="300" t="s">
        <v>261</v>
      </c>
      <c r="HA182" s="300" t="s">
        <v>261</v>
      </c>
      <c r="HB182" s="301">
        <v>45902</v>
      </c>
      <c r="HC182" s="314" t="str">
        <f>IF(Table1[[#This Row],[Flushing Actual
(tanggal)]]&lt;&gt;"","Sudah","Belum")</f>
        <v>Sudah</v>
      </c>
      <c r="HD182" s="300">
        <v>45880</v>
      </c>
      <c r="HE182" s="300" t="e">
        <v>#N/A</v>
      </c>
      <c r="HF182" s="300">
        <v>45900</v>
      </c>
      <c r="HG182" s="301">
        <v>45910</v>
      </c>
      <c r="HH1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2" s="300" t="s">
        <v>261</v>
      </c>
      <c r="HJ182" s="300" t="s">
        <v>261</v>
      </c>
      <c r="HK182" s="301"/>
      <c r="HL182" s="286"/>
      <c r="HM182" s="300">
        <v>45919</v>
      </c>
      <c r="HN182" s="300">
        <v>45919</v>
      </c>
      <c r="HO182" s="300" t="e">
        <v>#N/A</v>
      </c>
      <c r="HP182" s="300"/>
      <c r="HQ182" s="301">
        <v>45924</v>
      </c>
      <c r="HR1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2" s="300">
        <v>45926</v>
      </c>
      <c r="HT182" s="300"/>
      <c r="HU182" s="300">
        <v>45926</v>
      </c>
      <c r="HV182" s="497"/>
      <c r="HW182" s="301">
        <v>45933</v>
      </c>
      <c r="HX18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2" s="42"/>
      <c r="HZ182" s="322"/>
      <c r="IA182" s="306"/>
      <c r="IC182" s="585">
        <f>IFERROR(ROUND((Table1[[#This Row],[PLAN TC
finish]]-Table1[[#This Row],[PLAN MC-0
start]])/30,2),"")</f>
        <v>2.5299999999999998</v>
      </c>
      <c r="ID182">
        <f>DATEDIF(Table1[[#This Row],[PLAN MC-0
start]],Table1[[#This Row],[PLAN TC
finish]],"m")</f>
        <v>2</v>
      </c>
    </row>
    <row r="183" spans="1:238" s="30" customFormat="1" ht="15" customHeight="1" x14ac:dyDescent="0.25">
      <c r="A183" s="72"/>
      <c r="B183" s="281">
        <f>SUBTOTAL(3,$D$5:D183)</f>
        <v>179</v>
      </c>
      <c r="C183" s="332">
        <v>179</v>
      </c>
      <c r="D183" s="336" t="s">
        <v>244</v>
      </c>
      <c r="E183" s="336" t="s">
        <v>1338</v>
      </c>
      <c r="F183" s="336" t="s">
        <v>1339</v>
      </c>
      <c r="G183" s="334">
        <v>45935</v>
      </c>
      <c r="H183" s="336" t="s">
        <v>681</v>
      </c>
      <c r="I183" s="336" t="s">
        <v>278</v>
      </c>
      <c r="J183" s="355" t="s">
        <v>389</v>
      </c>
      <c r="K183" s="336" t="s">
        <v>1165</v>
      </c>
      <c r="L183" s="337" t="s">
        <v>250</v>
      </c>
      <c r="M183" s="337" t="s">
        <v>269</v>
      </c>
      <c r="N183" s="338">
        <v>70</v>
      </c>
      <c r="O183" s="339" t="s">
        <v>252</v>
      </c>
      <c r="P183"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3" s="340" t="s">
        <v>389</v>
      </c>
      <c r="R183" s="341" t="e">
        <v>#N/A</v>
      </c>
      <c r="S183" s="341">
        <v>1</v>
      </c>
      <c r="T183" s="341">
        <f>Table1[[#This Row],[Progres Total Aktual
(%)]]</f>
        <v>0</v>
      </c>
      <c r="U183" s="342">
        <f>Table1[[#This Row],[Progres Aktual
(%)]]-Table1[[#This Row],[Target Progres
(%)]]</f>
        <v>-1</v>
      </c>
      <c r="V183" s="343">
        <f>Table1[[#This Row],["Volume
BA MC-0"]]</f>
        <v>70</v>
      </c>
      <c r="W183" s="344">
        <f>Table1[[#This Row],[Total Panjang Pipa Aktual
(Sum-&gt;)3]]</f>
        <v>0</v>
      </c>
      <c r="X183" s="42"/>
      <c r="Y183" s="62" t="s">
        <v>1340</v>
      </c>
      <c r="Z183" s="345">
        <v>119572394</v>
      </c>
      <c r="AA183" s="62">
        <f>Table1[[#This Row],[Nilai RAB Jaringan
(file pa aji)]]</f>
        <v>119572394</v>
      </c>
      <c r="AB183" s="340">
        <f>SUM(Table1[[#This Row],[RAB Kegiatan Umum]:[RAB Perizinan]])</f>
        <v>0</v>
      </c>
      <c r="AC183" s="340"/>
      <c r="AD183" s="340"/>
      <c r="AE183" s="340"/>
      <c r="AF183" s="340"/>
      <c r="AG183" s="409">
        <v>24595780</v>
      </c>
      <c r="AH183" s="341" t="e">
        <f>SUM(Table1[[#This Row],[Bobot Keg Umum]:[Bobot Perizinan]])</f>
        <v>#DIV/0!</v>
      </c>
      <c r="AI183" s="341" t="e">
        <f>Table1[[#This Row],[RAB Kegiatan Umum]]/Table1[[#This Row],[Nilai RAB Jaringan
(Exclude Ppn)]]</f>
        <v>#DIV/0!</v>
      </c>
      <c r="AJ183" s="341" t="e">
        <f>Table1[[#This Row],[RAB Pemasangan]]/Table1[[#This Row],[Nilai RAB Jaringan
(Exclude Ppn)]]</f>
        <v>#DIV/0!</v>
      </c>
      <c r="AK183" s="341" t="e">
        <f>Table1[[#This Row],[RAB Pengadaan]]/Table1[[#This Row],[Nilai RAB Jaringan
(Exclude Ppn)]]</f>
        <v>#DIV/0!</v>
      </c>
      <c r="AL183" s="341" t="e">
        <f>Table1[[#This Row],[RAB Perizinan]]/Table1[[#This Row],[Nilai RAB Jaringan
(Exclude Ppn)]]</f>
        <v>#DIV/0!</v>
      </c>
      <c r="AM183" s="42"/>
      <c r="AN183" s="346">
        <v>70</v>
      </c>
      <c r="AO183" s="346">
        <f>SUM(Table1[[#This Row],[Pipa 63 mm]:[Pipa 1,800 mm]])</f>
        <v>0</v>
      </c>
      <c r="AP183" s="346"/>
      <c r="AQ183" s="346"/>
      <c r="AR183" s="346"/>
      <c r="AS183" s="346"/>
      <c r="AT183" s="346"/>
      <c r="AU183" s="346"/>
      <c r="AV183" s="346"/>
      <c r="AW183" s="346"/>
      <c r="AX183" s="346"/>
      <c r="AY183" s="346"/>
      <c r="AZ183" s="346"/>
      <c r="BA183" s="346"/>
      <c r="BB183" s="346"/>
      <c r="BC183" s="346"/>
      <c r="BD183" s="346"/>
      <c r="BE183" s="346"/>
      <c r="BF183" s="346"/>
      <c r="BG183" s="346"/>
      <c r="BH183" s="346"/>
      <c r="BI183" s="346"/>
      <c r="BJ183" s="347">
        <f>SUM(Table1[[#This Row],[Pipa 63 mm2]:[Pipa 1,800 mm21]])</f>
        <v>0</v>
      </c>
      <c r="BK183" s="348"/>
      <c r="BL183" s="348"/>
      <c r="BM183" s="348"/>
      <c r="BN183" s="348"/>
      <c r="BO183" s="348"/>
      <c r="BP183" s="348"/>
      <c r="BQ183" s="348"/>
      <c r="BR183" s="348"/>
      <c r="BS183" s="348"/>
      <c r="BT183" s="348"/>
      <c r="BU183" s="348"/>
      <c r="BV183" s="348"/>
      <c r="BW183" s="348"/>
      <c r="BX183" s="348"/>
      <c r="BY183" s="348"/>
      <c r="BZ183" s="348"/>
      <c r="CA183" s="348"/>
      <c r="CB183" s="348"/>
      <c r="CC183" s="348"/>
      <c r="CD183" s="348"/>
      <c r="CE183" s="348">
        <v>70</v>
      </c>
      <c r="CF183" s="348">
        <v>0</v>
      </c>
      <c r="CG183" s="348">
        <v>0</v>
      </c>
      <c r="CH183" s="348">
        <v>0</v>
      </c>
      <c r="CI183" s="348">
        <f t="shared" si="10"/>
        <v>70</v>
      </c>
      <c r="CJ183" s="348">
        <f>IF((Table1[[#This Row],["Volume
BA MC-0"]]-Table1[[#This Row],[Total Panjang Pipa Aktual
(Sum-&gt;)3]]-Table1[[#This Row],[Total Volume
tidak dapat dipasang]])&gt;=0,Table1[[#This Row],["Volume
BA MC-0"]]-Table1[[#This Row],[Total Panjang Pipa Aktual
(Sum-&gt;)3]]-Table1[[#This Row],[Total Volume
tidak dapat dipasang]],0)</f>
        <v>0</v>
      </c>
      <c r="CK183" s="42"/>
      <c r="CL183" s="349"/>
      <c r="CM183" s="341"/>
      <c r="CN183" s="349"/>
      <c r="CO183" s="349"/>
      <c r="CP1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83" s="350">
        <f>IFERROR(Table1[[#This Row],[Progres Keg. Umum
(%)]]*Table1[[#This Row],[Nilai RAB Jaringan
(file pa aji)]],0)</f>
        <v>0</v>
      </c>
      <c r="CR183" s="350">
        <f>IFERROR(Table1[[#This Row],[Progres MOS
(%)]]*Table1[[#This Row],[Nilai RAB Jaringan
(file pa aji)]],0)</f>
        <v>0</v>
      </c>
      <c r="CS183" s="350">
        <f>IFERROR(Table1[[#This Row],[Progres Pemasangan
(%)]]*Table1[[#This Row],[Nilai RAB Jaringan
(file pa aji)]],0)</f>
        <v>0</v>
      </c>
      <c r="CT183" s="350">
        <f>IFERROR(Table1[[#This Row],[Progres Perizinan
(%)]]*Table1[[#This Row],[Nilai RAB Jaringan
(file pa aji)]],0)</f>
        <v>0</v>
      </c>
      <c r="CU183" s="789">
        <v>0</v>
      </c>
      <c r="CV183" s="299">
        <v>0</v>
      </c>
      <c r="CW183" s="551">
        <v>0</v>
      </c>
      <c r="CX183" s="789">
        <f>_xlfn.XLOOKUP(Table1[[#This Row],[Kode Program]],'[1]Breakdown VOWD Greenfield'!$E:$E,'[1]Breakdown VOWD Greenfield'!$AT:$AT)</f>
        <v>0</v>
      </c>
      <c r="CY183" s="42"/>
      <c r="CZ183" s="356">
        <v>45656</v>
      </c>
      <c r="DA183" s="356">
        <v>45669</v>
      </c>
      <c r="DB183" s="301">
        <v>45545</v>
      </c>
      <c r="DC183" s="337" t="s">
        <v>1341</v>
      </c>
      <c r="DD183" s="345">
        <v>118872393</v>
      </c>
      <c r="DE1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3" s="301">
        <v>45424</v>
      </c>
      <c r="DG183" s="337" t="s">
        <v>1342</v>
      </c>
      <c r="DH183" s="345">
        <v>119572394</v>
      </c>
      <c r="DI18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3" s="356">
        <v>45670</v>
      </c>
      <c r="DK183" s="356">
        <v>45718</v>
      </c>
      <c r="DL183" s="301"/>
      <c r="DM183" s="337"/>
      <c r="DN1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183" s="301"/>
      <c r="DP183" s="337"/>
      <c r="DQ183" s="336"/>
      <c r="DR1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183" s="356">
        <v>45670</v>
      </c>
      <c r="DT183" s="356" t="e">
        <v>#N/A</v>
      </c>
      <c r="DU183" s="356">
        <v>45697</v>
      </c>
      <c r="DV183" s="356" t="e">
        <v>#N/A</v>
      </c>
      <c r="DW183" s="301"/>
      <c r="DX183" s="337">
        <v>0</v>
      </c>
      <c r="DY183" s="352"/>
      <c r="DZ183" s="352"/>
      <c r="EA1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83" s="301"/>
      <c r="EC183" s="302"/>
      <c r="ED183" s="302"/>
      <c r="EE183" s="300"/>
      <c r="EF183" s="341" t="b">
        <v>0</v>
      </c>
      <c r="EG183" s="353" t="b">
        <v>0</v>
      </c>
      <c r="EH183" s="286" t="str">
        <f>IF(Table1[[#This Row],[PO Material Aktual 
(%)]]&gt;=100%,"Selesai PO = 100%",IF(Table1[[#This Row],[PO Material Aktual 
(%)]]&gt;=50%,"Proses PO &gt; 100%",IF(Table1[[#This Row],[PO Material Aktual 
(%)]]&gt;0%,"Proses PO &gt; 50%",IF(Table1[[#This Row],[PO Material Aktual 
(%)]]=0,"Belum PO = 0%"))))</f>
        <v>Selesai PO = 100%</v>
      </c>
      <c r="EI1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3" s="356">
        <v>45698</v>
      </c>
      <c r="EK183" s="356" t="e">
        <v>#N/A</v>
      </c>
      <c r="EL183" s="356">
        <v>45746</v>
      </c>
      <c r="EM183" s="356" t="e">
        <v>#N/A</v>
      </c>
      <c r="EN183" s="301"/>
      <c r="EO183" s="302"/>
      <c r="EP183" s="302"/>
      <c r="EQ183" s="83" t="b">
        <v>0</v>
      </c>
      <c r="ER183" s="83" t="b">
        <v>0</v>
      </c>
      <c r="ES183" s="286" t="str">
        <f>IF(Table1[[#This Row],[Progres MOS]]&gt;=100%,"Selesai MOS = 100%",IF(Table1[[#This Row],[Progres MOS]]&gt;=50%,"Proses MOS &gt; 100%",IF(Table1[[#This Row],[Progres MOS]]&gt;0%,"Proses MOS &gt; 50%",IF(Table1[[#This Row],[Progres MOS]]=0,"Belum MOS = 0%"))))</f>
        <v>Selesai MOS = 100%</v>
      </c>
      <c r="ET1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3" s="42"/>
      <c r="EV183" s="356">
        <v>45670</v>
      </c>
      <c r="EW183" s="356" t="e">
        <v>#N/A</v>
      </c>
      <c r="EX183" s="356">
        <v>45746</v>
      </c>
      <c r="EY183" s="356" t="e">
        <v>#N/A</v>
      </c>
      <c r="EZ183" s="354" t="s">
        <v>298</v>
      </c>
      <c r="FA183" s="355" t="s">
        <v>389</v>
      </c>
      <c r="FB183" s="356"/>
      <c r="FC183" s="300"/>
      <c r="FD183" s="356"/>
      <c r="FE183" s="356"/>
      <c r="FF183" s="356"/>
      <c r="FG183" s="356"/>
      <c r="FH183" s="356"/>
      <c r="FI183" s="356"/>
      <c r="FJ183" s="356"/>
      <c r="FK183" s="356"/>
      <c r="FL183" s="306" t="str">
        <f>Table1[[#This Row],[IPPJU]]</f>
        <v>9.Proses Penerbitan Izin</v>
      </c>
      <c r="FM183" s="306"/>
      <c r="FN183" s="284" t="str">
        <f>IF(Table1[[#This Row],[Tanggal Pengajuan Dokumen]]="","",Table1[[#This Row],[PLAN PERMIT
start]]-Table1[[#This Row],[Tanggal Pengajuan Dokumen]])</f>
        <v/>
      </c>
      <c r="FO183" s="414">
        <v>46086</v>
      </c>
      <c r="FP183" s="286"/>
      <c r="FQ183" s="308"/>
      <c r="FR183" s="308"/>
      <c r="FS183" s="308" t="str">
        <f t="shared" si="9"/>
        <v>On Going</v>
      </c>
      <c r="FT183"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83" s="357">
        <f ca="1">IF(Table1[[#This Row],[Status Izin]]="Selesai",Table1[[#This Row],[PLAN PERMIT
finish]]-Table1[[#This Row],[Tanggal Terbit/ Target Izin Terbit]],ROUNDUP(Table1[[#This Row],[PLAN PERMIT
finish]]-NOW(),0))</f>
        <v>-458</v>
      </c>
      <c r="FV183"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3" s="357"/>
      <c r="FX183" s="42"/>
      <c r="FY183" s="310"/>
      <c r="FZ183" s="311"/>
      <c r="GA1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3" s="356">
        <v>45720</v>
      </c>
      <c r="GC183" s="354"/>
      <c r="GD183"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3" s="356">
        <v>45727</v>
      </c>
      <c r="GF183" s="354"/>
      <c r="GG183"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3" s="356">
        <v>45733</v>
      </c>
      <c r="GI183" s="356">
        <v>45739</v>
      </c>
      <c r="GJ183" s="354"/>
      <c r="GK183"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183" s="356">
        <v>45747</v>
      </c>
      <c r="GM183" s="356" t="e">
        <v>#N/A</v>
      </c>
      <c r="GN183" s="356">
        <v>45760</v>
      </c>
      <c r="GO183" s="356" t="e">
        <v>#N/A</v>
      </c>
      <c r="GP183" s="337"/>
      <c r="GQ183"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3" s="356" t="s">
        <v>261</v>
      </c>
      <c r="GS183" s="356" t="s">
        <v>261</v>
      </c>
      <c r="GT183" s="360"/>
      <c r="GU183" s="357" t="str">
        <f>IF(Table1[[#This Row],[Hydro Tes Actual
(tanggal)]]&lt;&gt;"","Sudah","Belum")</f>
        <v>Belum</v>
      </c>
      <c r="GV183" s="356" t="s">
        <v>261</v>
      </c>
      <c r="GW183" s="356" t="s">
        <v>261</v>
      </c>
      <c r="GX183" s="358"/>
      <c r="GY183" s="314" t="str">
        <f>IF(Table1[[#This Row],[Interkoneksi Actual
(tanggal)]]&lt;&gt;"","Sudah","Belum")</f>
        <v>Belum</v>
      </c>
      <c r="GZ183" s="356" t="s">
        <v>261</v>
      </c>
      <c r="HA183" s="356" t="s">
        <v>261</v>
      </c>
      <c r="HB183" s="358"/>
      <c r="HC183" s="314" t="str">
        <f>IF(Table1[[#This Row],[Flushing Actual
(tanggal)]]&lt;&gt;"","Sudah","Belum")</f>
        <v>Belum</v>
      </c>
      <c r="HD183" s="356">
        <v>45751</v>
      </c>
      <c r="HE183" s="356" t="e">
        <v>#N/A</v>
      </c>
      <c r="HF183" s="356">
        <v>45760</v>
      </c>
      <c r="HG183" s="358"/>
      <c r="HH183"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3" s="356" t="s">
        <v>261</v>
      </c>
      <c r="HJ183" s="356" t="s">
        <v>261</v>
      </c>
      <c r="HK183" s="358"/>
      <c r="HL183" s="337"/>
      <c r="HM183" s="356">
        <v>45772</v>
      </c>
      <c r="HN183" s="356">
        <v>45772</v>
      </c>
      <c r="HO183" s="356" t="e">
        <v>#N/A</v>
      </c>
      <c r="HP183" s="356"/>
      <c r="HQ183" s="358"/>
      <c r="HR183"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83" s="356">
        <v>45779</v>
      </c>
      <c r="HT183" s="356"/>
      <c r="HU183" s="356">
        <v>45779</v>
      </c>
      <c r="HV183" s="580"/>
      <c r="HW183" s="358"/>
      <c r="HX183"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83" s="42"/>
      <c r="HZ183" s="354"/>
      <c r="IA183" s="306"/>
      <c r="IC183" s="585">
        <f>IFERROR(ROUND((Table1[[#This Row],[PLAN TC
finish]]-Table1[[#This Row],[PLAN MC-0
start]])/30,2),"")</f>
        <v>0.9</v>
      </c>
      <c r="ID183">
        <f>DATEDIF(Table1[[#This Row],[PLAN MC-0
start]],Table1[[#This Row],[PLAN TC
finish]],"m")</f>
        <v>0</v>
      </c>
    </row>
    <row r="184" spans="1:238" s="4" customFormat="1" ht="15" customHeight="1" x14ac:dyDescent="0.25">
      <c r="B184" s="281">
        <f>SUBTOTAL(3,$D$5:D184)</f>
        <v>180</v>
      </c>
      <c r="C184" s="318">
        <v>180</v>
      </c>
      <c r="D184" s="308" t="s">
        <v>244</v>
      </c>
      <c r="E184" s="308" t="s">
        <v>1343</v>
      </c>
      <c r="F184" s="587" t="s">
        <v>1344</v>
      </c>
      <c r="G184" s="319">
        <v>45935</v>
      </c>
      <c r="H184" s="308" t="s">
        <v>681</v>
      </c>
      <c r="I184" s="308" t="s">
        <v>278</v>
      </c>
      <c r="J184" s="285" t="s">
        <v>882</v>
      </c>
      <c r="K184" s="308" t="s">
        <v>1165</v>
      </c>
      <c r="L184" s="286" t="s">
        <v>1345</v>
      </c>
      <c r="M184" s="286" t="s">
        <v>269</v>
      </c>
      <c r="N184" s="94">
        <v>200</v>
      </c>
      <c r="O184" s="31" t="s">
        <v>1346</v>
      </c>
      <c r="P18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4" s="35" t="e">
        <v>#N/A</v>
      </c>
      <c r="S184" s="35">
        <v>1</v>
      </c>
      <c r="T184" s="35">
        <f>Table1[[#This Row],[Progres Total Aktual
(%)]]</f>
        <v>1</v>
      </c>
      <c r="U184" s="106">
        <f>Table1[[#This Row],[Progres Aktual
(%)]]-Table1[[#This Row],[Target Progres
(%)]]</f>
        <v>0</v>
      </c>
      <c r="V184" s="320">
        <f>Table1[[#This Row],["Volume
BA MC-0"]]</f>
        <v>0</v>
      </c>
      <c r="W184" s="321">
        <f>Table1[[#This Row],[Total Panjang Pipa Aktual
(Sum-&gt;)3]]</f>
        <v>0</v>
      </c>
      <c r="X184" s="42"/>
      <c r="Y184" s="62" t="s">
        <v>1347</v>
      </c>
      <c r="Z184" s="62">
        <v>12434409000</v>
      </c>
      <c r="AA184" s="62">
        <f>Table1[[#This Row],[Nilai RAB Jaringan
(file pa aji)]]</f>
        <v>12434409000</v>
      </c>
      <c r="AB184" s="290">
        <f>SUM(Table1[[#This Row],[RAB Kegiatan Umum]:[RAB Perizinan]])</f>
        <v>0</v>
      </c>
      <c r="AC184" s="290"/>
      <c r="AD184" s="290"/>
      <c r="AE184" s="290"/>
      <c r="AF184" s="290"/>
      <c r="AG184" s="406">
        <v>0</v>
      </c>
      <c r="AH184" s="35" t="e">
        <f>SUM(Table1[[#This Row],[Bobot Keg Umum]:[Bobot Perizinan]])</f>
        <v>#DIV/0!</v>
      </c>
      <c r="AI184" s="35" t="e">
        <f>Table1[[#This Row],[RAB Kegiatan Umum]]/Table1[[#This Row],[Nilai RAB Jaringan
(Exclude Ppn)]]</f>
        <v>#DIV/0!</v>
      </c>
      <c r="AJ184" s="35" t="e">
        <f>Table1[[#This Row],[RAB Pemasangan]]/Table1[[#This Row],[Nilai RAB Jaringan
(Exclude Ppn)]]</f>
        <v>#DIV/0!</v>
      </c>
      <c r="AK184" s="35" t="e">
        <f>Table1[[#This Row],[RAB Pengadaan]]/Table1[[#This Row],[Nilai RAB Jaringan
(Exclude Ppn)]]</f>
        <v>#DIV/0!</v>
      </c>
      <c r="AL184" s="35" t="e">
        <f>Table1[[#This Row],[RAB Perizinan]]/Table1[[#This Row],[Nilai RAB Jaringan
(Exclude Ppn)]]</f>
        <v>#DIV/0!</v>
      </c>
      <c r="AM184" s="42"/>
      <c r="AN184" s="256">
        <v>0</v>
      </c>
      <c r="AO184" s="256">
        <f>SUM(Table1[[#This Row],[Pipa 63 mm]:[Pipa 1,800 mm]])</f>
        <v>0</v>
      </c>
      <c r="AP184" s="256"/>
      <c r="AQ184" s="256"/>
      <c r="AR184" s="256"/>
      <c r="AS184" s="256"/>
      <c r="AT184" s="256"/>
      <c r="AU184" s="256"/>
      <c r="AV184" s="256"/>
      <c r="AW184" s="256"/>
      <c r="AX184" s="256"/>
      <c r="AY184" s="256"/>
      <c r="AZ184" s="256"/>
      <c r="BA184" s="256"/>
      <c r="BB184" s="256"/>
      <c r="BC184" s="256"/>
      <c r="BD184" s="256"/>
      <c r="BE184" s="256"/>
      <c r="BF184" s="256"/>
      <c r="BG184" s="256"/>
      <c r="BH184" s="256"/>
      <c r="BI184" s="256"/>
      <c r="BJ184" s="36">
        <f>SUM(Table1[[#This Row],[Pipa 63 mm2]:[Pipa 1,800 mm21]])</f>
        <v>0</v>
      </c>
      <c r="BK184" s="32"/>
      <c r="BL184" s="32"/>
      <c r="BM184" s="32"/>
      <c r="BN184" s="32"/>
      <c r="BO184" s="32"/>
      <c r="BP184" s="32"/>
      <c r="BQ184" s="32"/>
      <c r="BR184" s="32"/>
      <c r="BS184" s="32"/>
      <c r="BT184" s="32"/>
      <c r="BU184" s="32"/>
      <c r="BV184" s="32"/>
      <c r="BW184" s="32"/>
      <c r="BX184" s="32"/>
      <c r="BY184" s="32"/>
      <c r="BZ184" s="32"/>
      <c r="CA184" s="32"/>
      <c r="CB184" s="32"/>
      <c r="CC184" s="32"/>
      <c r="CD184" s="32"/>
      <c r="CE184" s="32">
        <v>0</v>
      </c>
      <c r="CF184" s="32">
        <v>0</v>
      </c>
      <c r="CG184" s="32">
        <v>0</v>
      </c>
      <c r="CH184" s="32">
        <v>0</v>
      </c>
      <c r="CI184" s="32">
        <f t="shared" si="10"/>
        <v>0</v>
      </c>
      <c r="CJ184" s="60">
        <f>IF((Table1[[#This Row],["Volume
BA MC-0"]]-Table1[[#This Row],[Total Panjang Pipa Aktual
(Sum-&gt;)3]]-Table1[[#This Row],[Total Volume
tidak dapat dipasang]])&gt;=0,Table1[[#This Row],["Volume
BA MC-0"]]-Table1[[#This Row],[Total Panjang Pipa Aktual
(Sum-&gt;)3]]-Table1[[#This Row],[Total Volume
tidak dapat dipasang]],0)</f>
        <v>0</v>
      </c>
      <c r="CK184" s="42"/>
      <c r="CL184" s="113"/>
      <c r="CM184" s="35"/>
      <c r="CN184" s="113"/>
      <c r="CO184" s="113"/>
      <c r="CP1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4" s="61">
        <f>IFERROR(Table1[[#This Row],[Progres Keg. Umum
(%)]]*Table1[[#This Row],[Nilai RAB Jaringan
(file pa aji)]],0)</f>
        <v>0</v>
      </c>
      <c r="CR184" s="61">
        <f>IFERROR(Table1[[#This Row],[Progres MOS
(%)]]*Table1[[#This Row],[Nilai RAB Jaringan
(file pa aji)]],0)</f>
        <v>0</v>
      </c>
      <c r="CS184" s="61">
        <f>IFERROR(Table1[[#This Row],[Progres Pemasangan
(%)]]*Table1[[#This Row],[Nilai RAB Jaringan
(file pa aji)]],0)</f>
        <v>0</v>
      </c>
      <c r="CT184" s="61">
        <f>IFERROR(Table1[[#This Row],[Progres Perizinan
(%)]]*Table1[[#This Row],[Nilai RAB Jaringan
(file pa aji)]],0)</f>
        <v>0</v>
      </c>
      <c r="CU184" s="789">
        <v>13065461196</v>
      </c>
      <c r="CV184" s="299">
        <v>13065461196</v>
      </c>
      <c r="CW184" s="552">
        <v>13065461196</v>
      </c>
      <c r="CX184" s="789">
        <f>_xlfn.XLOOKUP(Table1[[#This Row],[Kode Program]],'[1]Breakdown VOWD Greenfield'!$E:$E,'[1]Breakdown VOWD Greenfield'!$AT:$AT)</f>
        <v>13065461196</v>
      </c>
      <c r="CY184" s="42"/>
      <c r="CZ184" s="300">
        <v>45656</v>
      </c>
      <c r="DA184" s="300">
        <v>45683</v>
      </c>
      <c r="DB184" s="301">
        <v>45611</v>
      </c>
      <c r="DC184" s="286" t="s">
        <v>1348</v>
      </c>
      <c r="DD184" s="62">
        <v>12434409000</v>
      </c>
      <c r="DE1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4" s="301">
        <v>45624</v>
      </c>
      <c r="DG184" s="286" t="s">
        <v>1349</v>
      </c>
      <c r="DH184" s="62">
        <v>12434409000</v>
      </c>
      <c r="DI1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4" s="300">
        <v>45684</v>
      </c>
      <c r="DK184" s="300">
        <v>45725</v>
      </c>
      <c r="DL184" s="301">
        <v>45758</v>
      </c>
      <c r="DM184" s="286" t="s">
        <v>1350</v>
      </c>
      <c r="DN1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4" s="301">
        <v>45786</v>
      </c>
      <c r="DP184" s="286" t="s">
        <v>1351</v>
      </c>
      <c r="DQ184" s="308" t="s">
        <v>1352</v>
      </c>
      <c r="DR1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4" s="300">
        <v>45684</v>
      </c>
      <c r="DT184" s="300" t="e">
        <v>#N/A</v>
      </c>
      <c r="DU184" s="300">
        <v>45725</v>
      </c>
      <c r="DV184" s="300" t="e">
        <v>#N/A</v>
      </c>
      <c r="DW184" s="301">
        <v>45758</v>
      </c>
      <c r="DX184" s="286" t="s">
        <v>1350</v>
      </c>
      <c r="DY184" s="304"/>
      <c r="DZ184" s="304"/>
      <c r="EA1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4" s="301">
        <v>46098</v>
      </c>
      <c r="EC184" s="302"/>
      <c r="ED184" s="302"/>
      <c r="EE184" s="300" t="s">
        <v>1353</v>
      </c>
      <c r="EF184" s="35">
        <v>1</v>
      </c>
      <c r="EG184" s="307">
        <v>1</v>
      </c>
      <c r="EH184" s="286" t="str">
        <f>IF(Table1[[#This Row],[PO Material Aktual 
(%)]]&gt;=100%,"Selesai PO = 100%",IF(Table1[[#This Row],[PO Material Aktual 
(%)]]&gt;=50%,"Proses PO &gt; 100%",IF(Table1[[#This Row],[PO Material Aktual 
(%)]]&gt;0%,"Proses PO &gt; 50%",IF(Table1[[#This Row],[PO Material Aktual 
(%)]]=0,"Belum PO = 0%"))))</f>
        <v>Selesai PO = 100%</v>
      </c>
      <c r="EI1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4" s="300">
        <v>45726</v>
      </c>
      <c r="EK184" s="300" t="e">
        <v>#N/A</v>
      </c>
      <c r="EL184" s="300">
        <v>45837</v>
      </c>
      <c r="EM184" s="300" t="e">
        <v>#N/A</v>
      </c>
      <c r="EN184" s="301">
        <v>46111</v>
      </c>
      <c r="EO184" s="302"/>
      <c r="EP184" s="302"/>
      <c r="EQ184" s="82">
        <v>1</v>
      </c>
      <c r="ER184" s="82">
        <v>1</v>
      </c>
      <c r="ES184" s="286" t="str">
        <f>IF(Table1[[#This Row],[Progres MOS]]&gt;=100%,"Selesai MOS = 100%",IF(Table1[[#This Row],[Progres MOS]]&gt;=50%,"Proses MOS &gt; 100%",IF(Table1[[#This Row],[Progres MOS]]&gt;0%,"Proses MOS &gt; 50%",IF(Table1[[#This Row],[Progres MOS]]=0,"Belum MOS = 0%"))))</f>
        <v>Selesai MOS = 100%</v>
      </c>
      <c r="ET1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4" s="42"/>
      <c r="EV184" s="300">
        <v>45684</v>
      </c>
      <c r="EW184" s="300" t="e">
        <v>#N/A</v>
      </c>
      <c r="EX184" s="300">
        <v>45781</v>
      </c>
      <c r="EY184" s="300" t="e">
        <v>#N/A</v>
      </c>
      <c r="EZ184" s="322" t="s">
        <v>259</v>
      </c>
      <c r="FA184" s="306" t="s">
        <v>259</v>
      </c>
      <c r="FB184" s="300" t="s">
        <v>260</v>
      </c>
      <c r="FC184" s="300" t="s">
        <v>282</v>
      </c>
      <c r="FD184" s="300" t="s">
        <v>260</v>
      </c>
      <c r="FE184" s="300" t="s">
        <v>282</v>
      </c>
      <c r="FF184" s="300" t="s">
        <v>282</v>
      </c>
      <c r="FG184" s="300" t="s">
        <v>260</v>
      </c>
      <c r="FH184" s="300" t="s">
        <v>260</v>
      </c>
      <c r="FI184" s="300" t="s">
        <v>282</v>
      </c>
      <c r="FJ184" s="300" t="s">
        <v>260</v>
      </c>
      <c r="FK184" s="300" t="s">
        <v>283</v>
      </c>
      <c r="FL184" s="306" t="s">
        <v>259</v>
      </c>
      <c r="FM184" s="322" t="s">
        <v>282</v>
      </c>
      <c r="FN184" s="308" t="e">
        <f>IF(Table1[[#This Row],[Tanggal Pengajuan Dokumen]]="","",Table1[[#This Row],[PLAN PERMIT
start]]-Table1[[#This Row],[Tanggal Pengajuan Dokumen]])</f>
        <v>#VALUE!</v>
      </c>
      <c r="FO184" s="407">
        <v>45188</v>
      </c>
      <c r="FP184" s="286"/>
      <c r="FQ184" s="308"/>
      <c r="FR184" s="308"/>
      <c r="FS184" s="308" t="str">
        <f t="shared" si="9"/>
        <v>Sudah Terbit</v>
      </c>
      <c r="FT1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4" s="314">
        <f ca="1">IF(Table1[[#This Row],[Status Izin]]="Selesai",Table1[[#This Row],[PLAN PERMIT
finish]]-Table1[[#This Row],[Tanggal Terbit/ Target Izin Terbit]],ROUNDUP(Table1[[#This Row],[PLAN PERMIT
finish]]-NOW(),0))</f>
        <v>593</v>
      </c>
      <c r="FV1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4" s="314"/>
      <c r="FX184" s="42"/>
      <c r="FY184" s="310"/>
      <c r="FZ184" s="311"/>
      <c r="GA1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4" s="300">
        <v>45755</v>
      </c>
      <c r="GC184" s="322">
        <v>45798</v>
      </c>
      <c r="GD1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4" s="300">
        <v>45762</v>
      </c>
      <c r="GF184" s="322">
        <v>45810</v>
      </c>
      <c r="GG1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4" s="300">
        <v>45768</v>
      </c>
      <c r="GI184" s="300">
        <v>45774</v>
      </c>
      <c r="GJ184" s="322">
        <v>45803</v>
      </c>
      <c r="GK1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84" s="300">
        <v>45782</v>
      </c>
      <c r="GM184" s="300" t="e">
        <v>#N/A</v>
      </c>
      <c r="GN184" s="300">
        <v>45907</v>
      </c>
      <c r="GO184" s="300" t="e">
        <v>#N/A</v>
      </c>
      <c r="GP184" s="286"/>
      <c r="GQ1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4" s="300" t="s">
        <v>261</v>
      </c>
      <c r="GS184" s="300" t="s">
        <v>261</v>
      </c>
      <c r="GT184" s="324" t="s">
        <v>1266</v>
      </c>
      <c r="GU184" s="314" t="str">
        <f>IF(Table1[[#This Row],[Hydro Tes Actual
(tanggal)]]&lt;&gt;"","Sudah","Belum")</f>
        <v>Sudah</v>
      </c>
      <c r="GV184" s="300" t="s">
        <v>261</v>
      </c>
      <c r="GW184" s="300" t="s">
        <v>261</v>
      </c>
      <c r="GX184" s="365" t="s">
        <v>1354</v>
      </c>
      <c r="GY184" s="314" t="str">
        <f>IF(Table1[[#This Row],[Interkoneksi Actual
(tanggal)]]&lt;&gt;"","Sudah","Belum")</f>
        <v>Sudah</v>
      </c>
      <c r="GZ184" s="300" t="s">
        <v>261</v>
      </c>
      <c r="HA184" s="300" t="s">
        <v>261</v>
      </c>
      <c r="HB184" s="301" t="s">
        <v>1266</v>
      </c>
      <c r="HC184" s="314" t="str">
        <f>IF(Table1[[#This Row],[Flushing Actual
(tanggal)]]&lt;&gt;"","Sudah","Belum")</f>
        <v>Sudah</v>
      </c>
      <c r="HD184" s="300">
        <v>45880</v>
      </c>
      <c r="HE184" s="300" t="e">
        <v>#N/A</v>
      </c>
      <c r="HF184" s="300">
        <v>45900</v>
      </c>
      <c r="HG184" s="301">
        <v>46008</v>
      </c>
      <c r="HH1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4" s="300" t="s">
        <v>261</v>
      </c>
      <c r="HJ184" s="300" t="s">
        <v>261</v>
      </c>
      <c r="HK184" s="301"/>
      <c r="HL184" s="286"/>
      <c r="HM184" s="300">
        <v>45919</v>
      </c>
      <c r="HN184" s="300">
        <v>45919</v>
      </c>
      <c r="HO184" s="300" t="e">
        <v>#N/A</v>
      </c>
      <c r="HP184" s="300"/>
      <c r="HQ184" s="301">
        <v>46013</v>
      </c>
      <c r="HR1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4" s="300">
        <v>45926</v>
      </c>
      <c r="HT184" s="300"/>
      <c r="HU184" s="300">
        <v>45926</v>
      </c>
      <c r="HV184" s="497"/>
      <c r="HW184" s="301">
        <v>46024</v>
      </c>
      <c r="HX1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4" s="42"/>
      <c r="HZ184" s="322"/>
      <c r="IA184" s="306"/>
      <c r="IC184" s="585">
        <f>IFERROR(ROUND((Table1[[#This Row],[PLAN TC
finish]]-Table1[[#This Row],[PLAN MC-0
start]])/30,2),"")</f>
        <v>4.4000000000000004</v>
      </c>
      <c r="ID184">
        <f>DATEDIF(Table1[[#This Row],[PLAN MC-0
start]],Table1[[#This Row],[PLAN TC
finish]],"m")</f>
        <v>4</v>
      </c>
    </row>
    <row r="185" spans="1:238" s="4" customFormat="1" ht="15" customHeight="1" x14ac:dyDescent="0.25">
      <c r="B185" s="281">
        <f>SUBTOTAL(3,$D$5:D185)</f>
        <v>181</v>
      </c>
      <c r="C185" s="318">
        <v>181</v>
      </c>
      <c r="D185" s="308" t="s">
        <v>244</v>
      </c>
      <c r="E185" s="308" t="s">
        <v>1355</v>
      </c>
      <c r="F185" s="308" t="s">
        <v>1356</v>
      </c>
      <c r="G185" s="319">
        <v>45935</v>
      </c>
      <c r="H185" s="308" t="s">
        <v>681</v>
      </c>
      <c r="I185" s="308" t="s">
        <v>278</v>
      </c>
      <c r="J185" s="285"/>
      <c r="K185" s="308" t="s">
        <v>1165</v>
      </c>
      <c r="L185" s="286" t="s">
        <v>250</v>
      </c>
      <c r="M185" s="286" t="s">
        <v>269</v>
      </c>
      <c r="N185" s="94">
        <v>265</v>
      </c>
      <c r="O185" s="31" t="s">
        <v>252</v>
      </c>
      <c r="P18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5" s="35" t="e">
        <v>#N/A</v>
      </c>
      <c r="S185" s="35">
        <v>1</v>
      </c>
      <c r="T185" s="35">
        <f>Table1[[#This Row],[Progres Total Aktual
(%)]]</f>
        <v>1</v>
      </c>
      <c r="U185" s="106">
        <f>Table1[[#This Row],[Progres Aktual
(%)]]-Table1[[#This Row],[Target Progres
(%)]]</f>
        <v>0</v>
      </c>
      <c r="V185" s="320">
        <f>Table1[[#This Row],["Volume
BA MC-0"]]</f>
        <v>265</v>
      </c>
      <c r="W185" s="321">
        <f>Table1[[#This Row],[Total Panjang Pipa Aktual
(Sum-&gt;)3]]</f>
        <v>214</v>
      </c>
      <c r="X185" s="42"/>
      <c r="Y185" s="62" t="s">
        <v>1357</v>
      </c>
      <c r="Z185" s="62">
        <v>485531956</v>
      </c>
      <c r="AA185" s="62">
        <f>Table1[[#This Row],[Nilai RAB Jaringan
(file pa aji)]]</f>
        <v>485531956</v>
      </c>
      <c r="AB185" s="290">
        <f>SUM(Table1[[#This Row],[RAB Kegiatan Umum]:[RAB Perizinan]])</f>
        <v>0</v>
      </c>
      <c r="AC185" s="290"/>
      <c r="AD185" s="290"/>
      <c r="AE185" s="290"/>
      <c r="AF185" s="290"/>
      <c r="AG185" s="406">
        <v>179098284</v>
      </c>
      <c r="AH185" s="35" t="e">
        <f>SUM(Table1[[#This Row],[Bobot Keg Umum]:[Bobot Perizinan]])</f>
        <v>#DIV/0!</v>
      </c>
      <c r="AI185" s="35" t="e">
        <f>Table1[[#This Row],[RAB Kegiatan Umum]]/Table1[[#This Row],[Nilai RAB Jaringan
(Exclude Ppn)]]</f>
        <v>#DIV/0!</v>
      </c>
      <c r="AJ185" s="35" t="e">
        <f>Table1[[#This Row],[RAB Pemasangan]]/Table1[[#This Row],[Nilai RAB Jaringan
(Exclude Ppn)]]</f>
        <v>#DIV/0!</v>
      </c>
      <c r="AK185" s="35" t="e">
        <f>Table1[[#This Row],[RAB Pengadaan]]/Table1[[#This Row],[Nilai RAB Jaringan
(Exclude Ppn)]]</f>
        <v>#DIV/0!</v>
      </c>
      <c r="AL185" s="35" t="e">
        <f>Table1[[#This Row],[RAB Perizinan]]/Table1[[#This Row],[Nilai RAB Jaringan
(Exclude Ppn)]]</f>
        <v>#DIV/0!</v>
      </c>
      <c r="AM185" s="42"/>
      <c r="AN185" s="256">
        <v>265</v>
      </c>
      <c r="AO185" s="256">
        <f>SUM(Table1[[#This Row],[Pipa 63 mm]:[Pipa 1,800 mm]])</f>
        <v>0</v>
      </c>
      <c r="AP185" s="256"/>
      <c r="AQ185" s="256"/>
      <c r="AR185" s="256"/>
      <c r="AS185" s="256"/>
      <c r="AT185" s="256"/>
      <c r="AU185" s="256"/>
      <c r="AV185" s="256"/>
      <c r="AW185" s="256"/>
      <c r="AX185" s="256"/>
      <c r="AY185" s="256"/>
      <c r="AZ185" s="256"/>
      <c r="BA185" s="256"/>
      <c r="BB185" s="256"/>
      <c r="BC185" s="256"/>
      <c r="BD185" s="256"/>
      <c r="BE185" s="256"/>
      <c r="BF185" s="256"/>
      <c r="BG185" s="256"/>
      <c r="BH185" s="256"/>
      <c r="BI185" s="256"/>
      <c r="BJ185" s="36">
        <f>SUM(Table1[[#This Row],[Pipa 63 mm2]:[Pipa 1,800 mm21]])</f>
        <v>214</v>
      </c>
      <c r="BK185" s="32">
        <v>214</v>
      </c>
      <c r="BL185" s="32"/>
      <c r="BM185" s="32"/>
      <c r="BN185" s="32"/>
      <c r="BO185" s="32"/>
      <c r="BP185" s="32"/>
      <c r="BQ185" s="32"/>
      <c r="BR185" s="32"/>
      <c r="BS185" s="32"/>
      <c r="BT185" s="32"/>
      <c r="BU185" s="32"/>
      <c r="BV185" s="32"/>
      <c r="BW185" s="32"/>
      <c r="BX185" s="32"/>
      <c r="BY185" s="32"/>
      <c r="BZ185" s="32"/>
      <c r="CA185" s="32"/>
      <c r="CB185" s="32"/>
      <c r="CC185" s="32"/>
      <c r="CD185" s="32"/>
      <c r="CE185" s="32">
        <v>0</v>
      </c>
      <c r="CF185" s="32">
        <v>0</v>
      </c>
      <c r="CG185" s="32">
        <v>0</v>
      </c>
      <c r="CH185" s="32">
        <v>0</v>
      </c>
      <c r="CI185" s="32">
        <f t="shared" si="10"/>
        <v>0</v>
      </c>
      <c r="CJ185" s="60">
        <f>IF((Table1[[#This Row],["Volume
BA MC-0"]]-Table1[[#This Row],[Total Panjang Pipa Aktual
(Sum-&gt;)3]]-Table1[[#This Row],[Total Volume
tidak dapat dipasang]])&gt;=0,Table1[[#This Row],["Volume
BA MC-0"]]-Table1[[#This Row],[Total Panjang Pipa Aktual
(Sum-&gt;)3]]-Table1[[#This Row],[Total Volume
tidak dapat dipasang]],0)</f>
        <v>51</v>
      </c>
      <c r="CK185" s="42"/>
      <c r="CL185" s="113"/>
      <c r="CM185" s="35"/>
      <c r="CN185" s="113"/>
      <c r="CO185" s="113"/>
      <c r="CP1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5" s="61">
        <f>IFERROR(Table1[[#This Row],[Progres Keg. Umum
(%)]]*Table1[[#This Row],[Nilai RAB Jaringan
(file pa aji)]],0)</f>
        <v>0</v>
      </c>
      <c r="CR185" s="61">
        <f>IFERROR(Table1[[#This Row],[Progres MOS
(%)]]*Table1[[#This Row],[Nilai RAB Jaringan
(file pa aji)]],0)</f>
        <v>0</v>
      </c>
      <c r="CS185" s="61">
        <f>IFERROR(Table1[[#This Row],[Progres Pemasangan
(%)]]*Table1[[#This Row],[Nilai RAB Jaringan
(file pa aji)]],0)</f>
        <v>0</v>
      </c>
      <c r="CT185" s="61">
        <f>IFERROR(Table1[[#This Row],[Progres Perizinan
(%)]]*Table1[[#This Row],[Nilai RAB Jaringan
(file pa aji)]],0)</f>
        <v>0</v>
      </c>
      <c r="CU185" s="789">
        <v>452816633</v>
      </c>
      <c r="CV185" s="299">
        <v>452816633</v>
      </c>
      <c r="CW185" s="552">
        <v>452816633</v>
      </c>
      <c r="CX185" s="789">
        <f>_xlfn.XLOOKUP(Table1[[#This Row],[Kode Program]],'[1]Breakdown VOWD Greenfield'!$E:$E,'[1]Breakdown VOWD Greenfield'!$AT:$AT)</f>
        <v>452816633</v>
      </c>
      <c r="CY185" s="42"/>
      <c r="CZ185" s="300">
        <v>45719</v>
      </c>
      <c r="DA185" s="300">
        <v>45746</v>
      </c>
      <c r="DB185" s="301">
        <v>45717</v>
      </c>
      <c r="DC185" s="286" t="s">
        <v>1358</v>
      </c>
      <c r="DD185" s="62">
        <v>485531957</v>
      </c>
      <c r="DE1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5" s="301">
        <v>45726</v>
      </c>
      <c r="DG185" s="286" t="s">
        <v>1359</v>
      </c>
      <c r="DH185" s="62">
        <v>485531957</v>
      </c>
      <c r="DI1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5" s="300">
        <v>45747</v>
      </c>
      <c r="DK185" s="300">
        <v>45788</v>
      </c>
      <c r="DL185" s="301">
        <v>45771</v>
      </c>
      <c r="DM185" s="286" t="s">
        <v>1360</v>
      </c>
      <c r="DN1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5" s="301">
        <v>45776</v>
      </c>
      <c r="DP185" s="286" t="s">
        <v>1361</v>
      </c>
      <c r="DQ185" s="308" t="s">
        <v>479</v>
      </c>
      <c r="DR1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85" s="300">
        <v>45747</v>
      </c>
      <c r="DT185" s="300" t="e">
        <v>#N/A</v>
      </c>
      <c r="DU185" s="300">
        <v>45788</v>
      </c>
      <c r="DV185" s="300" t="e">
        <v>#N/A</v>
      </c>
      <c r="DW185" s="301">
        <v>45771</v>
      </c>
      <c r="DX185" s="286" t="s">
        <v>1362</v>
      </c>
      <c r="DY185" s="304"/>
      <c r="DZ185" s="304"/>
      <c r="EA1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5" s="301">
        <v>46037</v>
      </c>
      <c r="EC185" s="302"/>
      <c r="ED185" s="302"/>
      <c r="EE185" s="300" t="s">
        <v>1363</v>
      </c>
      <c r="EF185" s="35">
        <v>1</v>
      </c>
      <c r="EG185" s="307">
        <v>1</v>
      </c>
      <c r="EH185" s="286" t="str">
        <f>IF(Table1[[#This Row],[PO Material Aktual 
(%)]]&gt;=100%,"Selesai PO = 100%",IF(Table1[[#This Row],[PO Material Aktual 
(%)]]&gt;=50%,"Proses PO &gt; 100%",IF(Table1[[#This Row],[PO Material Aktual 
(%)]]&gt;0%,"Proses PO &gt; 50%",IF(Table1[[#This Row],[PO Material Aktual 
(%)]]=0,"Belum PO = 0%"))))</f>
        <v>Selesai PO = 100%</v>
      </c>
      <c r="EI1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5" s="300">
        <v>45789</v>
      </c>
      <c r="EK185" s="300" t="e">
        <v>#N/A</v>
      </c>
      <c r="EL185" s="300">
        <v>45816</v>
      </c>
      <c r="EM185" s="300" t="e">
        <v>#N/A</v>
      </c>
      <c r="EN185" s="301">
        <v>46156</v>
      </c>
      <c r="EO185" s="302"/>
      <c r="EP185" s="302"/>
      <c r="EQ185" s="82">
        <v>1</v>
      </c>
      <c r="ER185" s="82">
        <v>1</v>
      </c>
      <c r="ES185" s="286" t="str">
        <f>IF(Table1[[#This Row],[Progres MOS]]&gt;=100%,"Selesai MOS = 100%",IF(Table1[[#This Row],[Progres MOS]]&gt;=50%,"Proses MOS &gt; 100%",IF(Table1[[#This Row],[Progres MOS]]&gt;0%,"Proses MOS &gt; 50%",IF(Table1[[#This Row],[Progres MOS]]=0,"Belum MOS = 0%"))))</f>
        <v>Selesai MOS = 100%</v>
      </c>
      <c r="ET1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5" s="42"/>
      <c r="EV185" s="300">
        <v>45747</v>
      </c>
      <c r="EW185" s="300" t="e">
        <v>#N/A</v>
      </c>
      <c r="EX185" s="300">
        <v>45802</v>
      </c>
      <c r="EY185" s="300" t="e">
        <v>#N/A</v>
      </c>
      <c r="EZ185" s="322" t="s">
        <v>259</v>
      </c>
      <c r="FA185" s="306" t="s">
        <v>259</v>
      </c>
      <c r="FB185" s="300" t="s">
        <v>260</v>
      </c>
      <c r="FC185" s="300" t="s">
        <v>282</v>
      </c>
      <c r="FD185" s="300" t="s">
        <v>282</v>
      </c>
      <c r="FE185" s="300" t="s">
        <v>282</v>
      </c>
      <c r="FF185" s="300" t="s">
        <v>282</v>
      </c>
      <c r="FG185" s="300" t="s">
        <v>282</v>
      </c>
      <c r="FH185" s="300" t="s">
        <v>282</v>
      </c>
      <c r="FI185" s="300" t="s">
        <v>282</v>
      </c>
      <c r="FJ185" s="300" t="s">
        <v>282</v>
      </c>
      <c r="FK185" s="300" t="s">
        <v>283</v>
      </c>
      <c r="FL185" s="306" t="s">
        <v>259</v>
      </c>
      <c r="FM185" s="322" t="s">
        <v>282</v>
      </c>
      <c r="FN185" s="308" t="e">
        <f>IF(Table1[[#This Row],[Tanggal Pengajuan Dokumen]]="","",Table1[[#This Row],[PLAN PERMIT
start]]-Table1[[#This Row],[Tanggal Pengajuan Dokumen]])</f>
        <v>#VALUE!</v>
      </c>
      <c r="FO185" s="407">
        <v>45188</v>
      </c>
      <c r="FP185" s="286"/>
      <c r="FQ185" s="308"/>
      <c r="FR185" s="308"/>
      <c r="FS185" s="308" t="str">
        <f t="shared" si="9"/>
        <v>Sudah Terbit</v>
      </c>
      <c r="FT1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5" s="314">
        <f ca="1">IF(Table1[[#This Row],[Status Izin]]="Selesai",Table1[[#This Row],[PLAN PERMIT
finish]]-Table1[[#This Row],[Tanggal Terbit/ Target Izin Terbit]],ROUNDUP(Table1[[#This Row],[PLAN PERMIT
finish]]-NOW(),0))</f>
        <v>614</v>
      </c>
      <c r="FV1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85" s="314"/>
      <c r="FX185" s="42"/>
      <c r="FY185" s="310"/>
      <c r="FZ185" s="311"/>
      <c r="GA1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5" s="300">
        <v>45795</v>
      </c>
      <c r="GC185" s="322"/>
      <c r="GD1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5" s="300">
        <v>45795</v>
      </c>
      <c r="GF185" s="322"/>
      <c r="GG1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5" s="300">
        <v>45789</v>
      </c>
      <c r="GI185" s="300">
        <v>45795</v>
      </c>
      <c r="GJ185" s="322">
        <v>45726</v>
      </c>
      <c r="GK1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5" s="300">
        <v>45803</v>
      </c>
      <c r="GM185" s="300" t="e">
        <v>#N/A</v>
      </c>
      <c r="GN185" s="300">
        <v>45823</v>
      </c>
      <c r="GO185" s="300" t="e">
        <v>#N/A</v>
      </c>
      <c r="GP185" s="286"/>
      <c r="GQ1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5" s="300" t="s">
        <v>261</v>
      </c>
      <c r="GS185" s="300" t="s">
        <v>261</v>
      </c>
      <c r="GT185" s="324" t="s">
        <v>1364</v>
      </c>
      <c r="GU185" s="314" t="str">
        <f>IF(Table1[[#This Row],[Hydro Tes Actual
(tanggal)]]&lt;&gt;"","Sudah","Belum")</f>
        <v>Sudah</v>
      </c>
      <c r="GV185" s="300" t="s">
        <v>261</v>
      </c>
      <c r="GW185" s="300" t="s">
        <v>261</v>
      </c>
      <c r="GX185" s="365" t="s">
        <v>1365</v>
      </c>
      <c r="GY185" s="314" t="str">
        <f>IF(Table1[[#This Row],[Interkoneksi Actual
(tanggal)]]&lt;&gt;"","Sudah","Belum")</f>
        <v>Sudah</v>
      </c>
      <c r="GZ185" s="300" t="s">
        <v>261</v>
      </c>
      <c r="HA185" s="300" t="s">
        <v>261</v>
      </c>
      <c r="HB185" s="301">
        <v>45755</v>
      </c>
      <c r="HC185" s="314" t="str">
        <f>IF(Table1[[#This Row],[Flushing Actual
(tanggal)]]&lt;&gt;"","Sudah","Belum")</f>
        <v>Sudah</v>
      </c>
      <c r="HD185" s="300">
        <v>45821</v>
      </c>
      <c r="HE185" s="300" t="e">
        <v>#N/A</v>
      </c>
      <c r="HF185" s="300">
        <v>45830</v>
      </c>
      <c r="HG185" s="301">
        <v>45800</v>
      </c>
      <c r="HH1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5" s="300" t="s">
        <v>261</v>
      </c>
      <c r="HJ185" s="300" t="s">
        <v>261</v>
      </c>
      <c r="HK185" s="301"/>
      <c r="HL185" s="286"/>
      <c r="HM185" s="300">
        <v>45835</v>
      </c>
      <c r="HN185" s="300">
        <v>45835</v>
      </c>
      <c r="HO185" s="300" t="e">
        <v>#N/A</v>
      </c>
      <c r="HP185" s="300"/>
      <c r="HQ185" s="301">
        <v>45800</v>
      </c>
      <c r="HR1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5" s="300">
        <v>45842</v>
      </c>
      <c r="HT185" s="300"/>
      <c r="HU185" s="300">
        <v>45842</v>
      </c>
      <c r="HV185" s="497"/>
      <c r="HW185" s="301">
        <v>45930</v>
      </c>
      <c r="HX1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5" s="42"/>
      <c r="HZ185" s="322"/>
      <c r="IA185" s="306"/>
      <c r="IC185" s="585">
        <f>IFERROR(ROUND((Table1[[#This Row],[PLAN TC
finish]]-Table1[[#This Row],[PLAN MC-0
start]])/30,2),"")</f>
        <v>1.37</v>
      </c>
      <c r="ID185">
        <f>DATEDIF(Table1[[#This Row],[PLAN MC-0
start]],Table1[[#This Row],[PLAN TC
finish]],"m")</f>
        <v>1</v>
      </c>
    </row>
    <row r="186" spans="1:238" s="4" customFormat="1" ht="15" customHeight="1" x14ac:dyDescent="0.25">
      <c r="B186" s="281">
        <f>SUBTOTAL(3,$D$5:D186)</f>
        <v>182</v>
      </c>
      <c r="C186" s="318">
        <v>182</v>
      </c>
      <c r="D186" s="308" t="s">
        <v>244</v>
      </c>
      <c r="E186" s="308" t="s">
        <v>1366</v>
      </c>
      <c r="F186" s="308" t="s">
        <v>1367</v>
      </c>
      <c r="G186" s="319">
        <v>45935</v>
      </c>
      <c r="H186" s="308" t="s">
        <v>681</v>
      </c>
      <c r="I186" s="308" t="s">
        <v>278</v>
      </c>
      <c r="J186" s="285"/>
      <c r="K186" s="308" t="s">
        <v>1165</v>
      </c>
      <c r="L186" s="286" t="s">
        <v>250</v>
      </c>
      <c r="M186" s="286" t="s">
        <v>269</v>
      </c>
      <c r="N186" s="94">
        <v>97</v>
      </c>
      <c r="O186" s="31" t="s">
        <v>252</v>
      </c>
      <c r="P18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6" s="35" t="e">
        <v>#N/A</v>
      </c>
      <c r="S186" s="35">
        <v>1</v>
      </c>
      <c r="T186" s="35">
        <f>Table1[[#This Row],[Progres Total Aktual
(%)]]</f>
        <v>1</v>
      </c>
      <c r="U186" s="106">
        <f>Table1[[#This Row],[Progres Aktual
(%)]]-Table1[[#This Row],[Target Progres
(%)]]</f>
        <v>0</v>
      </c>
      <c r="V186" s="320">
        <f>Table1[[#This Row],["Volume
BA MC-0"]]</f>
        <v>97</v>
      </c>
      <c r="W186" s="321">
        <f>Table1[[#This Row],[Total Panjang Pipa Aktual
(Sum-&gt;)3]]</f>
        <v>92</v>
      </c>
      <c r="X186" s="42"/>
      <c r="Y186" s="62" t="s">
        <v>1368</v>
      </c>
      <c r="Z186" s="62">
        <v>819928155</v>
      </c>
      <c r="AA186" s="62">
        <f>Table1[[#This Row],[Nilai RAB Jaringan
(file pa aji)]]</f>
        <v>819928155</v>
      </c>
      <c r="AB186" s="290">
        <f>SUM(Table1[[#This Row],[RAB Kegiatan Umum]:[RAB Perizinan]])</f>
        <v>0</v>
      </c>
      <c r="AC186" s="290"/>
      <c r="AD186" s="290"/>
      <c r="AE186" s="290"/>
      <c r="AF186" s="290"/>
      <c r="AG186" s="406">
        <v>2107039</v>
      </c>
      <c r="AH186" s="35" t="e">
        <f>SUM(Table1[[#This Row],[Bobot Keg Umum]:[Bobot Perizinan]])</f>
        <v>#DIV/0!</v>
      </c>
      <c r="AI186" s="35" t="e">
        <f>Table1[[#This Row],[RAB Kegiatan Umum]]/Table1[[#This Row],[Nilai RAB Jaringan
(Exclude Ppn)]]</f>
        <v>#DIV/0!</v>
      </c>
      <c r="AJ186" s="35" t="e">
        <f>Table1[[#This Row],[RAB Pemasangan]]/Table1[[#This Row],[Nilai RAB Jaringan
(Exclude Ppn)]]</f>
        <v>#DIV/0!</v>
      </c>
      <c r="AK186" s="35" t="e">
        <f>Table1[[#This Row],[RAB Pengadaan]]/Table1[[#This Row],[Nilai RAB Jaringan
(Exclude Ppn)]]</f>
        <v>#DIV/0!</v>
      </c>
      <c r="AL186" s="35" t="e">
        <f>Table1[[#This Row],[RAB Perizinan]]/Table1[[#This Row],[Nilai RAB Jaringan
(Exclude Ppn)]]</f>
        <v>#DIV/0!</v>
      </c>
      <c r="AM186" s="42"/>
      <c r="AN186" s="256">
        <v>97</v>
      </c>
      <c r="AO186" s="256">
        <f>SUM(Table1[[#This Row],[Pipa 63 mm]:[Pipa 1,800 mm]])</f>
        <v>0</v>
      </c>
      <c r="AP186" s="256"/>
      <c r="AQ186" s="256"/>
      <c r="AR186" s="256"/>
      <c r="AS186" s="256"/>
      <c r="AT186" s="256"/>
      <c r="AU186" s="256"/>
      <c r="AV186" s="256"/>
      <c r="AW186" s="256"/>
      <c r="AX186" s="256"/>
      <c r="AY186" s="256"/>
      <c r="AZ186" s="256"/>
      <c r="BA186" s="256"/>
      <c r="BB186" s="256"/>
      <c r="BC186" s="256"/>
      <c r="BD186" s="256"/>
      <c r="BE186" s="256"/>
      <c r="BF186" s="256"/>
      <c r="BG186" s="256"/>
      <c r="BH186" s="256"/>
      <c r="BI186" s="256"/>
      <c r="BJ186" s="36">
        <f>SUM(Table1[[#This Row],[Pipa 63 mm2]:[Pipa 1,800 mm21]])</f>
        <v>92</v>
      </c>
      <c r="BK186" s="32"/>
      <c r="BL186" s="32"/>
      <c r="BM186" s="32">
        <v>92</v>
      </c>
      <c r="BN186" s="32"/>
      <c r="BO186" s="32"/>
      <c r="BP186" s="32"/>
      <c r="BQ186" s="32"/>
      <c r="BR186" s="32"/>
      <c r="BS186" s="32"/>
      <c r="BT186" s="32"/>
      <c r="BU186" s="32"/>
      <c r="BV186" s="32"/>
      <c r="BW186" s="32"/>
      <c r="BX186" s="32"/>
      <c r="BY186" s="32"/>
      <c r="BZ186" s="32"/>
      <c r="CA186" s="32"/>
      <c r="CB186" s="32"/>
      <c r="CC186" s="32"/>
      <c r="CD186" s="32"/>
      <c r="CE186" s="32">
        <v>0</v>
      </c>
      <c r="CF186" s="32">
        <v>0</v>
      </c>
      <c r="CG186" s="32">
        <v>0</v>
      </c>
      <c r="CH186" s="32">
        <v>0</v>
      </c>
      <c r="CI186" s="32">
        <f t="shared" si="10"/>
        <v>0</v>
      </c>
      <c r="CJ186" s="60">
        <f>IF((Table1[[#This Row],["Volume
BA MC-0"]]-Table1[[#This Row],[Total Panjang Pipa Aktual
(Sum-&gt;)3]]-Table1[[#This Row],[Total Volume
tidak dapat dipasang]])&gt;=0,Table1[[#This Row],["Volume
BA MC-0"]]-Table1[[#This Row],[Total Panjang Pipa Aktual
(Sum-&gt;)3]]-Table1[[#This Row],[Total Volume
tidak dapat dipasang]],0)</f>
        <v>5</v>
      </c>
      <c r="CK186" s="42"/>
      <c r="CL186" s="113"/>
      <c r="CM186" s="35"/>
      <c r="CN186" s="113"/>
      <c r="CO186" s="113"/>
      <c r="CP1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6" s="61">
        <f>IFERROR(Table1[[#This Row],[Progres Keg. Umum
(%)]]*Table1[[#This Row],[Nilai RAB Jaringan
(file pa aji)]],0)</f>
        <v>0</v>
      </c>
      <c r="CR186" s="61">
        <f>IFERROR(Table1[[#This Row],[Progres MOS
(%)]]*Table1[[#This Row],[Nilai RAB Jaringan
(file pa aji)]],0)</f>
        <v>0</v>
      </c>
      <c r="CS186" s="61">
        <f>IFERROR(Table1[[#This Row],[Progres Pemasangan
(%)]]*Table1[[#This Row],[Nilai RAB Jaringan
(file pa aji)]],0)</f>
        <v>0</v>
      </c>
      <c r="CT186" s="61">
        <f>IFERROR(Table1[[#This Row],[Progres Perizinan
(%)]]*Table1[[#This Row],[Nilai RAB Jaringan
(file pa aji)]],0)</f>
        <v>0</v>
      </c>
      <c r="CU186" s="789">
        <v>222085059</v>
      </c>
      <c r="CV186" s="299">
        <v>222085059</v>
      </c>
      <c r="CW186" s="552">
        <v>222085059</v>
      </c>
      <c r="CX186" s="789">
        <f>_xlfn.XLOOKUP(Table1[[#This Row],[Kode Program]],'[1]Breakdown VOWD Greenfield'!$E:$E,'[1]Breakdown VOWD Greenfield'!$AT:$AT)</f>
        <v>222085059</v>
      </c>
      <c r="CY186" s="42"/>
      <c r="CZ186" s="300">
        <v>45719</v>
      </c>
      <c r="DA186" s="300">
        <v>45746</v>
      </c>
      <c r="DB186" s="301">
        <v>45719</v>
      </c>
      <c r="DC186" s="286" t="s">
        <v>1369</v>
      </c>
      <c r="DD186" s="62">
        <v>812928155</v>
      </c>
      <c r="DE1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6" s="301">
        <v>45726</v>
      </c>
      <c r="DG186" s="286" t="s">
        <v>1370</v>
      </c>
      <c r="DH186" s="62">
        <v>812928155</v>
      </c>
      <c r="DI1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6" s="300">
        <v>45747</v>
      </c>
      <c r="DK186" s="300">
        <v>45788</v>
      </c>
      <c r="DL186" s="301">
        <v>45824</v>
      </c>
      <c r="DM186" s="286" t="s">
        <v>1371</v>
      </c>
      <c r="DN1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186" s="301">
        <v>45876</v>
      </c>
      <c r="DP186" s="286" t="s">
        <v>1372</v>
      </c>
      <c r="DQ186" s="308" t="s">
        <v>371</v>
      </c>
      <c r="DR1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6" s="300">
        <v>45747</v>
      </c>
      <c r="DT186" s="300" t="e">
        <v>#N/A</v>
      </c>
      <c r="DU186" s="300">
        <v>45788</v>
      </c>
      <c r="DV186" s="300" t="e">
        <v>#N/A</v>
      </c>
      <c r="DW186" s="301">
        <v>45737</v>
      </c>
      <c r="DX186" s="286" t="s">
        <v>1373</v>
      </c>
      <c r="DY186" s="304"/>
      <c r="DZ186" s="304"/>
      <c r="EA1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6" s="301">
        <v>46008</v>
      </c>
      <c r="EC186" s="302"/>
      <c r="ED186" s="302"/>
      <c r="EE186" s="300" t="s">
        <v>1374</v>
      </c>
      <c r="EF186" s="35">
        <v>1</v>
      </c>
      <c r="EG186" s="307">
        <v>1</v>
      </c>
      <c r="EH186" s="286" t="str">
        <f>IF(Table1[[#This Row],[PO Material Aktual 
(%)]]&gt;=100%,"Selesai PO = 100%",IF(Table1[[#This Row],[PO Material Aktual 
(%)]]&gt;=50%,"Proses PO &gt; 100%",IF(Table1[[#This Row],[PO Material Aktual 
(%)]]&gt;0%,"Proses PO &gt; 50%",IF(Table1[[#This Row],[PO Material Aktual 
(%)]]=0,"Belum PO = 0%"))))</f>
        <v>Selesai PO = 100%</v>
      </c>
      <c r="EI1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6" s="300">
        <v>45789</v>
      </c>
      <c r="EK186" s="300" t="e">
        <v>#N/A</v>
      </c>
      <c r="EL186" s="300">
        <v>45816</v>
      </c>
      <c r="EM186" s="300" t="e">
        <v>#N/A</v>
      </c>
      <c r="EN186" s="301">
        <v>46044</v>
      </c>
      <c r="EO186" s="302"/>
      <c r="EP186" s="302"/>
      <c r="EQ186" s="82">
        <v>1</v>
      </c>
      <c r="ER186" s="82">
        <v>1</v>
      </c>
      <c r="ES186" s="286" t="str">
        <f>IF(Table1[[#This Row],[Progres MOS]]&gt;=100%,"Selesai MOS = 100%",IF(Table1[[#This Row],[Progres MOS]]&gt;=50%,"Proses MOS &gt; 100%",IF(Table1[[#This Row],[Progres MOS]]&gt;0%,"Proses MOS &gt; 50%",IF(Table1[[#This Row],[Progres MOS]]=0,"Belum MOS = 0%"))))</f>
        <v>Selesai MOS = 100%</v>
      </c>
      <c r="ET1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6" s="42"/>
      <c r="EV186" s="300">
        <v>45747</v>
      </c>
      <c r="EW186" s="300" t="e">
        <v>#N/A</v>
      </c>
      <c r="EX186" s="300">
        <v>45802</v>
      </c>
      <c r="EY186" s="300" t="e">
        <v>#N/A</v>
      </c>
      <c r="EZ186" s="322" t="s">
        <v>298</v>
      </c>
      <c r="FA186" s="306" t="s">
        <v>259</v>
      </c>
      <c r="FB186" s="300" t="s">
        <v>260</v>
      </c>
      <c r="FC186" s="300">
        <v>45840</v>
      </c>
      <c r="FD186" s="300" t="s">
        <v>260</v>
      </c>
      <c r="FE186" s="300">
        <v>45895</v>
      </c>
      <c r="FF186" s="300">
        <v>45919</v>
      </c>
      <c r="FG186" s="300" t="s">
        <v>260</v>
      </c>
      <c r="FH186" s="300" t="s">
        <v>260</v>
      </c>
      <c r="FI186" s="300">
        <v>46010</v>
      </c>
      <c r="FJ186" s="300" t="s">
        <v>260</v>
      </c>
      <c r="FK186" s="300">
        <v>46112</v>
      </c>
      <c r="FL186" s="306" t="s">
        <v>298</v>
      </c>
      <c r="FM186" s="322">
        <v>45840</v>
      </c>
      <c r="FN186" s="308">
        <f>IF(Table1[[#This Row],[Tanggal Pengajuan Dokumen]]="","",Table1[[#This Row],[PLAN PERMIT
start]]-Table1[[#This Row],[Tanggal Pengajuan Dokumen]])</f>
        <v>-93</v>
      </c>
      <c r="FO186" s="407">
        <v>46086</v>
      </c>
      <c r="FP186" s="286"/>
      <c r="FQ186" s="308"/>
      <c r="FR186" s="308"/>
      <c r="FS186" s="308" t="str">
        <f t="shared" si="9"/>
        <v>Sudah Terbit</v>
      </c>
      <c r="FT1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6" s="314">
        <f ca="1">IF(Table1[[#This Row],[Status Izin]]="Selesai",Table1[[#This Row],[PLAN PERMIT
finish]]-Table1[[#This Row],[Tanggal Terbit/ Target Izin Terbit]],ROUNDUP(Table1[[#This Row],[PLAN PERMIT
finish]]-NOW(),0))</f>
        <v>-284</v>
      </c>
      <c r="FV1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6" s="314"/>
      <c r="FX186" s="42"/>
      <c r="FY186" s="310"/>
      <c r="FZ186" s="311"/>
      <c r="GA1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6" s="300">
        <v>45795</v>
      </c>
      <c r="GC186" s="322"/>
      <c r="GD1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186" s="300">
        <v>45795</v>
      </c>
      <c r="GF186" s="322"/>
      <c r="GG1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186" s="300">
        <v>45789</v>
      </c>
      <c r="GI186" s="300">
        <v>45795</v>
      </c>
      <c r="GJ186" s="322">
        <v>45729</v>
      </c>
      <c r="GK1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6" s="300">
        <v>45803</v>
      </c>
      <c r="GM186" s="300" t="e">
        <v>#N/A</v>
      </c>
      <c r="GN186" s="300">
        <v>45823</v>
      </c>
      <c r="GO186" s="300" t="e">
        <v>#N/A</v>
      </c>
      <c r="GP186" s="286"/>
      <c r="GQ1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6" s="300" t="s">
        <v>261</v>
      </c>
      <c r="GS186" s="300" t="s">
        <v>261</v>
      </c>
      <c r="GT186" s="324">
        <v>45732</v>
      </c>
      <c r="GU186" s="314" t="str">
        <f>IF(Table1[[#This Row],[Hydro Tes Actual
(tanggal)]]&lt;&gt;"","Sudah","Belum")</f>
        <v>Sudah</v>
      </c>
      <c r="GV186" s="300" t="s">
        <v>261</v>
      </c>
      <c r="GW186" s="300" t="s">
        <v>261</v>
      </c>
      <c r="GX186" s="301">
        <v>45734</v>
      </c>
      <c r="GY186" s="314" t="str">
        <f>IF(Table1[[#This Row],[Interkoneksi Actual
(tanggal)]]&lt;&gt;"","Sudah","Belum")</f>
        <v>Sudah</v>
      </c>
      <c r="GZ186" s="300" t="s">
        <v>261</v>
      </c>
      <c r="HA186" s="300" t="s">
        <v>261</v>
      </c>
      <c r="HB186" s="301" t="s">
        <v>1375</v>
      </c>
      <c r="HC186" s="314" t="str">
        <f>IF(Table1[[#This Row],[Flushing Actual
(tanggal)]]&lt;&gt;"","Sudah","Belum")</f>
        <v>Sudah</v>
      </c>
      <c r="HD186" s="300">
        <v>45821</v>
      </c>
      <c r="HE186" s="300" t="e">
        <v>#N/A</v>
      </c>
      <c r="HF186" s="300">
        <v>45830</v>
      </c>
      <c r="HG186" s="301">
        <v>45800</v>
      </c>
      <c r="HH1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6" s="300" t="s">
        <v>261</v>
      </c>
      <c r="HJ186" s="300" t="s">
        <v>261</v>
      </c>
      <c r="HK186" s="301"/>
      <c r="HL186" s="286"/>
      <c r="HM186" s="300">
        <v>45835</v>
      </c>
      <c r="HN186" s="300">
        <v>45835</v>
      </c>
      <c r="HO186" s="300" t="e">
        <v>#N/A</v>
      </c>
      <c r="HP186" s="300"/>
      <c r="HQ186" s="301">
        <v>45800</v>
      </c>
      <c r="HR1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6" s="300">
        <v>45842</v>
      </c>
      <c r="HT186" s="300"/>
      <c r="HU186" s="300">
        <v>45842</v>
      </c>
      <c r="HV186" s="497"/>
      <c r="HW186" s="301">
        <v>45931</v>
      </c>
      <c r="HX1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6" s="42"/>
      <c r="HZ186" s="322"/>
      <c r="IA186" s="306"/>
      <c r="IC186" s="585">
        <f>IFERROR(ROUND((Table1[[#This Row],[PLAN TC
finish]]-Table1[[#This Row],[PLAN MC-0
start]])/30,2),"")</f>
        <v>1.37</v>
      </c>
      <c r="ID186">
        <f>DATEDIF(Table1[[#This Row],[PLAN MC-0
start]],Table1[[#This Row],[PLAN TC
finish]],"m")</f>
        <v>1</v>
      </c>
    </row>
    <row r="187" spans="1:238" s="4" customFormat="1" ht="15" customHeight="1" x14ac:dyDescent="0.25">
      <c r="B187" s="281">
        <f>SUBTOTAL(3,$D$5:D187)</f>
        <v>183</v>
      </c>
      <c r="C187" s="318">
        <v>183</v>
      </c>
      <c r="D187" s="308" t="s">
        <v>244</v>
      </c>
      <c r="E187" s="308" t="s">
        <v>1376</v>
      </c>
      <c r="F187" s="308" t="s">
        <v>1377</v>
      </c>
      <c r="G187" s="319">
        <v>45935</v>
      </c>
      <c r="H187" s="308" t="s">
        <v>681</v>
      </c>
      <c r="I187" s="308" t="s">
        <v>278</v>
      </c>
      <c r="J187" s="285" t="s">
        <v>882</v>
      </c>
      <c r="K187" s="308" t="s">
        <v>1165</v>
      </c>
      <c r="L187" s="286" t="s">
        <v>250</v>
      </c>
      <c r="M187" s="286" t="s">
        <v>269</v>
      </c>
      <c r="N187" s="94">
        <v>110</v>
      </c>
      <c r="O187" s="31" t="s">
        <v>252</v>
      </c>
      <c r="P18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7" s="35" t="e">
        <v>#N/A</v>
      </c>
      <c r="S187" s="35">
        <v>1</v>
      </c>
      <c r="T187" s="35">
        <f>Table1[[#This Row],[Progres Total Aktual
(%)]]</f>
        <v>1</v>
      </c>
      <c r="U187" s="106">
        <f>Table1[[#This Row],[Progres Aktual
(%)]]-Table1[[#This Row],[Target Progres
(%)]]</f>
        <v>0</v>
      </c>
      <c r="V187" s="320">
        <f>Table1[[#This Row],["Volume
BA MC-0"]]</f>
        <v>91</v>
      </c>
      <c r="W187" s="321">
        <f>Table1[[#This Row],[Total Panjang Pipa Aktual
(Sum-&gt;)3]]</f>
        <v>76.099999999999994</v>
      </c>
      <c r="X187" s="42"/>
      <c r="Y187" s="62" t="s">
        <v>1378</v>
      </c>
      <c r="Z187" s="62">
        <v>209071728</v>
      </c>
      <c r="AA187" s="62">
        <f>Table1[[#This Row],[Nilai RAB Jaringan
(file pa aji)]]</f>
        <v>209071728</v>
      </c>
      <c r="AB187" s="290">
        <f>SUM(Table1[[#This Row],[RAB Kegiatan Umum]:[RAB Perizinan]])</f>
        <v>0</v>
      </c>
      <c r="AC187" s="290"/>
      <c r="AD187" s="290"/>
      <c r="AE187" s="290"/>
      <c r="AF187" s="290"/>
      <c r="AG187" s="406">
        <v>18963348</v>
      </c>
      <c r="AH187" s="35" t="e">
        <f>SUM(Table1[[#This Row],[Bobot Keg Umum]:[Bobot Perizinan]])</f>
        <v>#DIV/0!</v>
      </c>
      <c r="AI187" s="35" t="e">
        <f>Table1[[#This Row],[RAB Kegiatan Umum]]/Table1[[#This Row],[Nilai RAB Jaringan
(Exclude Ppn)]]</f>
        <v>#DIV/0!</v>
      </c>
      <c r="AJ187" s="35" t="e">
        <f>Table1[[#This Row],[RAB Pemasangan]]/Table1[[#This Row],[Nilai RAB Jaringan
(Exclude Ppn)]]</f>
        <v>#DIV/0!</v>
      </c>
      <c r="AK187" s="35" t="e">
        <f>Table1[[#This Row],[RAB Pengadaan]]/Table1[[#This Row],[Nilai RAB Jaringan
(Exclude Ppn)]]</f>
        <v>#DIV/0!</v>
      </c>
      <c r="AL187" s="35" t="e">
        <f>Table1[[#This Row],[RAB Perizinan]]/Table1[[#This Row],[Nilai RAB Jaringan
(Exclude Ppn)]]</f>
        <v>#DIV/0!</v>
      </c>
      <c r="AM187" s="42"/>
      <c r="AN187" s="256">
        <v>91</v>
      </c>
      <c r="AO187" s="256">
        <f>SUM(Table1[[#This Row],[Pipa 63 mm]:[Pipa 1,800 mm]])</f>
        <v>0</v>
      </c>
      <c r="AP187" s="256"/>
      <c r="AQ187" s="256"/>
      <c r="AR187" s="256"/>
      <c r="AS187" s="256"/>
      <c r="AT187" s="256"/>
      <c r="AU187" s="256"/>
      <c r="AV187" s="256"/>
      <c r="AW187" s="256"/>
      <c r="AX187" s="256"/>
      <c r="AY187" s="256"/>
      <c r="AZ187" s="256"/>
      <c r="BA187" s="256"/>
      <c r="BB187" s="256"/>
      <c r="BC187" s="256"/>
      <c r="BD187" s="256"/>
      <c r="BE187" s="256"/>
      <c r="BF187" s="256"/>
      <c r="BG187" s="256"/>
      <c r="BH187" s="256"/>
      <c r="BI187" s="256"/>
      <c r="BJ187" s="36">
        <f>SUM(Table1[[#This Row],[Pipa 63 mm2]:[Pipa 1,800 mm21]])</f>
        <v>76.099999999999994</v>
      </c>
      <c r="BK187" s="32">
        <v>76.099999999999994</v>
      </c>
      <c r="BL187" s="32"/>
      <c r="BM187" s="32"/>
      <c r="BN187" s="32"/>
      <c r="BO187" s="32"/>
      <c r="BP187" s="32"/>
      <c r="BQ187" s="32"/>
      <c r="BR187" s="32"/>
      <c r="BS187" s="32"/>
      <c r="BT187" s="32"/>
      <c r="BU187" s="32"/>
      <c r="BV187" s="32"/>
      <c r="BW187" s="32"/>
      <c r="BX187" s="32"/>
      <c r="BY187" s="32"/>
      <c r="BZ187" s="32"/>
      <c r="CA187" s="32"/>
      <c r="CB187" s="32"/>
      <c r="CC187" s="32"/>
      <c r="CD187" s="32"/>
      <c r="CE187" s="32">
        <v>0</v>
      </c>
      <c r="CF187" s="32">
        <v>0</v>
      </c>
      <c r="CG187" s="32">
        <v>0</v>
      </c>
      <c r="CH187" s="32">
        <v>0</v>
      </c>
      <c r="CI187" s="32">
        <f t="shared" si="10"/>
        <v>0</v>
      </c>
      <c r="CJ187" s="60">
        <f>IF((Table1[[#This Row],["Volume
BA MC-0"]]-Table1[[#This Row],[Total Panjang Pipa Aktual
(Sum-&gt;)3]]-Table1[[#This Row],[Total Volume
tidak dapat dipasang]])&gt;=0,Table1[[#This Row],["Volume
BA MC-0"]]-Table1[[#This Row],[Total Panjang Pipa Aktual
(Sum-&gt;)3]]-Table1[[#This Row],[Total Volume
tidak dapat dipasang]],0)</f>
        <v>14.900000000000006</v>
      </c>
      <c r="CK187" s="42"/>
      <c r="CL187" s="113"/>
      <c r="CM187" s="35"/>
      <c r="CN187" s="113"/>
      <c r="CO187" s="113"/>
      <c r="CP1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7" s="61">
        <f>IFERROR(Table1[[#This Row],[Progres Keg. Umum
(%)]]*Table1[[#This Row],[Nilai RAB Jaringan
(file pa aji)]],0)</f>
        <v>0</v>
      </c>
      <c r="CR187" s="61">
        <f>IFERROR(Table1[[#This Row],[Progres MOS
(%)]]*Table1[[#This Row],[Nilai RAB Jaringan
(file pa aji)]],0)</f>
        <v>0</v>
      </c>
      <c r="CS187" s="61">
        <f>IFERROR(Table1[[#This Row],[Progres Pemasangan
(%)]]*Table1[[#This Row],[Nilai RAB Jaringan
(file pa aji)]],0)</f>
        <v>0</v>
      </c>
      <c r="CT187" s="61">
        <f>IFERROR(Table1[[#This Row],[Progres Perizinan
(%)]]*Table1[[#This Row],[Nilai RAB Jaringan
(file pa aji)]],0)</f>
        <v>0</v>
      </c>
      <c r="CU187" s="789">
        <v>318167097</v>
      </c>
      <c r="CV187" s="299">
        <v>318167097</v>
      </c>
      <c r="CW187" s="552">
        <v>318167097</v>
      </c>
      <c r="CX187" s="789">
        <f>_xlfn.XLOOKUP(Table1[[#This Row],[Kode Program]],'[1]Breakdown VOWD Greenfield'!$E:$E,'[1]Breakdown VOWD Greenfield'!$AT:$AT)</f>
        <v>318167097</v>
      </c>
      <c r="CY187" s="42"/>
      <c r="CZ187" s="300">
        <v>45747</v>
      </c>
      <c r="DA187" s="300">
        <v>45774</v>
      </c>
      <c r="DB187" s="301">
        <v>45755</v>
      </c>
      <c r="DC187" s="286" t="s">
        <v>1379</v>
      </c>
      <c r="DD187" s="62">
        <v>209071725</v>
      </c>
      <c r="DE1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7" s="301">
        <v>45763</v>
      </c>
      <c r="DG187" s="286" t="s">
        <v>1380</v>
      </c>
      <c r="DH187" s="62">
        <v>209071725</v>
      </c>
      <c r="DI1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7" s="300">
        <v>45775</v>
      </c>
      <c r="DK187" s="300">
        <v>45816</v>
      </c>
      <c r="DL187" s="301">
        <v>45784</v>
      </c>
      <c r="DM187" s="286" t="s">
        <v>1381</v>
      </c>
      <c r="DN1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7" s="301">
        <v>45876</v>
      </c>
      <c r="DP187" s="286" t="s">
        <v>1382</v>
      </c>
      <c r="DQ187" s="308" t="s">
        <v>371</v>
      </c>
      <c r="DR1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7" s="300">
        <v>45775</v>
      </c>
      <c r="DT187" s="300" t="e">
        <v>#N/A</v>
      </c>
      <c r="DU187" s="300">
        <v>45816</v>
      </c>
      <c r="DV187" s="300" t="e">
        <v>#N/A</v>
      </c>
      <c r="DW187" s="301">
        <v>45784</v>
      </c>
      <c r="DX187" s="286" t="s">
        <v>1383</v>
      </c>
      <c r="DY187" s="304"/>
      <c r="DZ187" s="304"/>
      <c r="EA1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7" s="301">
        <v>46160</v>
      </c>
      <c r="EC187" s="302"/>
      <c r="ED187" s="302"/>
      <c r="EE187" s="300" t="s">
        <v>1384</v>
      </c>
      <c r="EF187" s="35">
        <v>1</v>
      </c>
      <c r="EG187" s="307">
        <v>1</v>
      </c>
      <c r="EH187" s="286" t="str">
        <f>IF(Table1[[#This Row],[PO Material Aktual 
(%)]]&gt;=100%,"Selesai PO = 100%",IF(Table1[[#This Row],[PO Material Aktual 
(%)]]&gt;=50%,"Proses PO &gt; 100%",IF(Table1[[#This Row],[PO Material Aktual 
(%)]]&gt;0%,"Proses PO &gt; 50%",IF(Table1[[#This Row],[PO Material Aktual 
(%)]]=0,"Belum PO = 0%"))))</f>
        <v>Selesai PO = 100%</v>
      </c>
      <c r="EI1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7" s="300">
        <v>45817</v>
      </c>
      <c r="EK187" s="300" t="e">
        <v>#N/A</v>
      </c>
      <c r="EL187" s="300">
        <v>45865</v>
      </c>
      <c r="EM187" s="300" t="e">
        <v>#N/A</v>
      </c>
      <c r="EN187" s="301">
        <v>46091</v>
      </c>
      <c r="EO187" s="302"/>
      <c r="EP187" s="302"/>
      <c r="EQ187" s="82">
        <v>1</v>
      </c>
      <c r="ER187" s="82">
        <v>1</v>
      </c>
      <c r="ES187" s="286" t="str">
        <f>IF(Table1[[#This Row],[Progres MOS]]&gt;=100%,"Selesai MOS = 100%",IF(Table1[[#This Row],[Progres MOS]]&gt;=50%,"Proses MOS &gt; 100%",IF(Table1[[#This Row],[Progres MOS]]&gt;0%,"Proses MOS &gt; 50%",IF(Table1[[#This Row],[Progres MOS]]=0,"Belum MOS = 0%"))))</f>
        <v>Selesai MOS = 100%</v>
      </c>
      <c r="ET1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7" s="42"/>
      <c r="EV187" s="300">
        <v>45775</v>
      </c>
      <c r="EW187" s="300" t="e">
        <v>#N/A</v>
      </c>
      <c r="EX187" s="300">
        <v>45865</v>
      </c>
      <c r="EY187" s="300" t="e">
        <v>#N/A</v>
      </c>
      <c r="EZ187" s="322" t="s">
        <v>298</v>
      </c>
      <c r="FA187" s="306" t="s">
        <v>259</v>
      </c>
      <c r="FB187" s="300" t="s">
        <v>260</v>
      </c>
      <c r="FC187" s="300">
        <v>45838</v>
      </c>
      <c r="FD187" s="300" t="s">
        <v>260</v>
      </c>
      <c r="FE187" s="300">
        <v>45888</v>
      </c>
      <c r="FF187" s="300">
        <v>45944</v>
      </c>
      <c r="FG187" s="300" t="s">
        <v>260</v>
      </c>
      <c r="FH187" s="300" t="s">
        <v>260</v>
      </c>
      <c r="FI187" s="300">
        <v>46010</v>
      </c>
      <c r="FJ187" s="300" t="s">
        <v>260</v>
      </c>
      <c r="FK187" s="300">
        <v>46113</v>
      </c>
      <c r="FL187" s="306" t="s">
        <v>298</v>
      </c>
      <c r="FM187" s="322">
        <v>45838</v>
      </c>
      <c r="FN187" s="308">
        <f>IF(Table1[[#This Row],[Tanggal Pengajuan Dokumen]]="","",Table1[[#This Row],[PLAN PERMIT
start]]-Table1[[#This Row],[Tanggal Pengajuan Dokumen]])</f>
        <v>-63</v>
      </c>
      <c r="FO187" s="407">
        <v>46086</v>
      </c>
      <c r="FP187" s="286"/>
      <c r="FQ187" s="308"/>
      <c r="FR187" s="308"/>
      <c r="FS187" s="308" t="str">
        <f t="shared" si="9"/>
        <v>Sudah Terbit</v>
      </c>
      <c r="FT1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7" s="314">
        <f ca="1">IF(Table1[[#This Row],[Status Izin]]="Selesai",Table1[[#This Row],[PLAN PERMIT
finish]]-Table1[[#This Row],[Tanggal Terbit/ Target Izin Terbit]],ROUNDUP(Table1[[#This Row],[PLAN PERMIT
finish]]-NOW(),0))</f>
        <v>-221</v>
      </c>
      <c r="FV1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7" s="314"/>
      <c r="FX187" s="42"/>
      <c r="FY187" s="310"/>
      <c r="FZ187" s="311"/>
      <c r="GA1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7" s="300">
        <v>45818</v>
      </c>
      <c r="GC187" s="322">
        <v>45826</v>
      </c>
      <c r="GD1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7" s="300">
        <v>45825</v>
      </c>
      <c r="GF187" s="322" t="s">
        <v>1385</v>
      </c>
      <c r="GG1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7" s="300">
        <v>45831</v>
      </c>
      <c r="GI187" s="300">
        <v>45832</v>
      </c>
      <c r="GJ187" s="322">
        <v>45827</v>
      </c>
      <c r="GK1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87" s="300">
        <v>45866</v>
      </c>
      <c r="GM187" s="300" t="e">
        <v>#N/A</v>
      </c>
      <c r="GN187" s="300">
        <v>45886</v>
      </c>
      <c r="GO187" s="300" t="e">
        <v>#N/A</v>
      </c>
      <c r="GP187" s="286"/>
      <c r="GQ1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7" s="300" t="s">
        <v>261</v>
      </c>
      <c r="GS187" s="300" t="s">
        <v>261</v>
      </c>
      <c r="GT187" s="324">
        <v>45933</v>
      </c>
      <c r="GU187" s="314" t="str">
        <f>IF(Table1[[#This Row],[Hydro Tes Actual
(tanggal)]]&lt;&gt;"","Sudah","Belum")</f>
        <v>Sudah</v>
      </c>
      <c r="GV187" s="300" t="s">
        <v>261</v>
      </c>
      <c r="GW187" s="300" t="s">
        <v>261</v>
      </c>
      <c r="GX187" s="301">
        <v>45934</v>
      </c>
      <c r="GY187" s="314" t="str">
        <f>IF(Table1[[#This Row],[Interkoneksi Actual
(tanggal)]]&lt;&gt;"","Sudah","Belum")</f>
        <v>Sudah</v>
      </c>
      <c r="GZ187" s="300" t="s">
        <v>261</v>
      </c>
      <c r="HA187" s="300" t="s">
        <v>261</v>
      </c>
      <c r="HB187" s="301">
        <v>45934</v>
      </c>
      <c r="HC187" s="314" t="str">
        <f>IF(Table1[[#This Row],[Flushing Actual
(tanggal)]]&lt;&gt;"","Sudah","Belum")</f>
        <v>Sudah</v>
      </c>
      <c r="HD187" s="300">
        <v>45877</v>
      </c>
      <c r="HE187" s="300" t="e">
        <v>#N/A</v>
      </c>
      <c r="HF187" s="300">
        <v>45882</v>
      </c>
      <c r="HG187" s="301">
        <v>45948</v>
      </c>
      <c r="HH1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87" s="300" t="s">
        <v>261</v>
      </c>
      <c r="HJ187" s="300" t="s">
        <v>261</v>
      </c>
      <c r="HK187" s="301"/>
      <c r="HL187" s="286"/>
      <c r="HM187" s="300">
        <v>45891</v>
      </c>
      <c r="HN187" s="300">
        <v>45891</v>
      </c>
      <c r="HO187" s="300" t="e">
        <v>#N/A</v>
      </c>
      <c r="HP187" s="300"/>
      <c r="HQ187" s="301">
        <v>45950</v>
      </c>
      <c r="HR1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87" s="300">
        <v>45898</v>
      </c>
      <c r="HT187" s="300"/>
      <c r="HU187" s="300">
        <v>45898</v>
      </c>
      <c r="HV187" s="497"/>
      <c r="HW187" s="301">
        <v>45980</v>
      </c>
      <c r="HX1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7" s="42"/>
      <c r="HZ187" s="322"/>
      <c r="IA187" s="306"/>
      <c r="IC187" s="585">
        <f>IFERROR(ROUND((Table1[[#This Row],[PLAN TC
finish]]-Table1[[#This Row],[PLAN MC-0
start]])/30,2),"")</f>
        <v>1.7</v>
      </c>
      <c r="ID187">
        <f>DATEDIF(Table1[[#This Row],[PLAN MC-0
start]],Table1[[#This Row],[PLAN TC
finish]],"m")</f>
        <v>1</v>
      </c>
    </row>
    <row r="188" spans="1:238" s="223" customFormat="1" ht="15" customHeight="1" x14ac:dyDescent="0.25">
      <c r="B188" s="281">
        <f>SUBTOTAL(3,$D$5:D188)</f>
        <v>184</v>
      </c>
      <c r="C188" s="332">
        <v>184</v>
      </c>
      <c r="D188" s="370" t="s">
        <v>244</v>
      </c>
      <c r="E188" s="370" t="s">
        <v>1386</v>
      </c>
      <c r="F188" s="370" t="s">
        <v>1387</v>
      </c>
      <c r="G188" s="368">
        <v>45935</v>
      </c>
      <c r="H188" s="370" t="s">
        <v>681</v>
      </c>
      <c r="I188" s="336" t="s">
        <v>278</v>
      </c>
      <c r="J188" s="367" t="s">
        <v>943</v>
      </c>
      <c r="K188" s="336" t="s">
        <v>1165</v>
      </c>
      <c r="L188" s="337" t="s">
        <v>250</v>
      </c>
      <c r="M188" s="775" t="s">
        <v>269</v>
      </c>
      <c r="N188" s="224">
        <v>465</v>
      </c>
      <c r="O188" s="225" t="s">
        <v>252</v>
      </c>
      <c r="P18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8" s="290" t="s">
        <v>389</v>
      </c>
      <c r="R188" s="341" t="e">
        <v>#N/A</v>
      </c>
      <c r="S188" s="227">
        <v>1</v>
      </c>
      <c r="T188" s="227">
        <f>Table1[[#This Row],[Progres Total Aktual
(%)]]</f>
        <v>6.4062256248597543E-2</v>
      </c>
      <c r="U188" s="228">
        <f>Table1[[#This Row],[Progres Aktual
(%)]]-Table1[[#This Row],[Target Progres
(%)]]</f>
        <v>-0.93593774375140248</v>
      </c>
      <c r="V188" s="229">
        <f>Table1[[#This Row],["Volume
BA MC-0"]]</f>
        <v>472</v>
      </c>
      <c r="W188" s="230">
        <f>Table1[[#This Row],[Total Panjang Pipa Aktual
(Sum-&gt;)3]]</f>
        <v>0</v>
      </c>
      <c r="X188" s="238"/>
      <c r="Y188" s="345" t="s">
        <v>1388</v>
      </c>
      <c r="Z188" s="345">
        <v>1243463102</v>
      </c>
      <c r="AA188" s="345">
        <f>Table1[[#This Row],[Nilai RAB Jaringan
(file pa aji)]]</f>
        <v>1243463102</v>
      </c>
      <c r="AB188" s="340">
        <f>SUM(Table1[[#This Row],[RAB Kegiatan Umum]:[RAB Perizinan]])</f>
        <v>0</v>
      </c>
      <c r="AC188" s="340"/>
      <c r="AD188" s="340"/>
      <c r="AE188" s="340"/>
      <c r="AF188" s="340"/>
      <c r="AG188" s="409">
        <v>77960430</v>
      </c>
      <c r="AH188" s="341" t="e">
        <f>SUM(Table1[[#This Row],[Bobot Keg Umum]:[Bobot Perizinan]])</f>
        <v>#DIV/0!</v>
      </c>
      <c r="AI188" s="341" t="e">
        <f>Table1[[#This Row],[RAB Kegiatan Umum]]/Table1[[#This Row],[Nilai RAB Jaringan
(Exclude Ppn)]]</f>
        <v>#DIV/0!</v>
      </c>
      <c r="AJ188" s="341" t="e">
        <f>Table1[[#This Row],[RAB Pemasangan]]/Table1[[#This Row],[Nilai RAB Jaringan
(Exclude Ppn)]]</f>
        <v>#DIV/0!</v>
      </c>
      <c r="AK188" s="341" t="e">
        <f>Table1[[#This Row],[RAB Pengadaan]]/Table1[[#This Row],[Nilai RAB Jaringan
(Exclude Ppn)]]</f>
        <v>#DIV/0!</v>
      </c>
      <c r="AL188" s="341" t="e">
        <f>Table1[[#This Row],[RAB Perizinan]]/Table1[[#This Row],[Nilai RAB Jaringan
(Exclude Ppn)]]</f>
        <v>#DIV/0!</v>
      </c>
      <c r="AM188" s="42"/>
      <c r="AN188" s="346">
        <v>472</v>
      </c>
      <c r="AO188" s="346">
        <f>SUM(Table1[[#This Row],[Pipa 63 mm]:[Pipa 1,800 mm]])</f>
        <v>0</v>
      </c>
      <c r="AP188" s="346"/>
      <c r="AQ188" s="346"/>
      <c r="AR188" s="346"/>
      <c r="AS188" s="346"/>
      <c r="AT188" s="346"/>
      <c r="AU188" s="346"/>
      <c r="AV188" s="346"/>
      <c r="AW188" s="346"/>
      <c r="AX188" s="346"/>
      <c r="AY188" s="346"/>
      <c r="AZ188" s="346"/>
      <c r="BA188" s="346"/>
      <c r="BB188" s="346"/>
      <c r="BC188" s="346"/>
      <c r="BD188" s="346"/>
      <c r="BE188" s="346"/>
      <c r="BF188" s="346"/>
      <c r="BG188" s="346"/>
      <c r="BH188" s="346"/>
      <c r="BI188" s="346"/>
      <c r="BJ188" s="347">
        <f>SUM(Table1[[#This Row],[Pipa 63 mm2]:[Pipa 1,800 mm21]])</f>
        <v>0</v>
      </c>
      <c r="BK188" s="348"/>
      <c r="BL188" s="348"/>
      <c r="BM188" s="348"/>
      <c r="BN188" s="348"/>
      <c r="BO188" s="348"/>
      <c r="BP188" s="348"/>
      <c r="BQ188" s="348"/>
      <c r="BR188" s="348"/>
      <c r="BS188" s="348"/>
      <c r="BT188" s="348"/>
      <c r="BU188" s="348"/>
      <c r="BV188" s="348"/>
      <c r="BW188" s="348"/>
      <c r="BX188" s="348"/>
      <c r="BY188" s="348"/>
      <c r="BZ188" s="348"/>
      <c r="CA188" s="348"/>
      <c r="CB188" s="348"/>
      <c r="CC188" s="348"/>
      <c r="CD188" s="348"/>
      <c r="CE188" s="348">
        <v>0</v>
      </c>
      <c r="CF188" s="348">
        <v>0</v>
      </c>
      <c r="CG188" s="348">
        <v>0</v>
      </c>
      <c r="CH188" s="348">
        <v>0</v>
      </c>
      <c r="CI188" s="348">
        <f t="shared" si="10"/>
        <v>0</v>
      </c>
      <c r="CJ188" s="410">
        <f>IF((Table1[[#This Row],["Volume
BA MC-0"]]-Table1[[#This Row],[Total Panjang Pipa Aktual
(Sum-&gt;)3]]-Table1[[#This Row],[Total Volume
tidak dapat dipasang]])&gt;=0,Table1[[#This Row],["Volume
BA MC-0"]]-Table1[[#This Row],[Total Panjang Pipa Aktual
(Sum-&gt;)3]]-Table1[[#This Row],[Total Volume
tidak dapat dipasang]],0)</f>
        <v>472</v>
      </c>
      <c r="CK188" s="42"/>
      <c r="CL188" s="349"/>
      <c r="CM188" s="341"/>
      <c r="CN188" s="349"/>
      <c r="CO188" s="349"/>
      <c r="CP18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6.4062256248597543E-2</v>
      </c>
      <c r="CQ188" s="350">
        <f>IFERROR(Table1[[#This Row],[Progres Keg. Umum
(%)]]*Table1[[#This Row],[Nilai RAB Jaringan
(file pa aji)]],0)</f>
        <v>0</v>
      </c>
      <c r="CR188" s="350">
        <f>IFERROR(Table1[[#This Row],[Progres MOS
(%)]]*Table1[[#This Row],[Nilai RAB Jaringan
(file pa aji)]],0)</f>
        <v>0</v>
      </c>
      <c r="CS188" s="350">
        <f>IFERROR(Table1[[#This Row],[Progres Pemasangan
(%)]]*Table1[[#This Row],[Nilai RAB Jaringan
(file pa aji)]],0)</f>
        <v>0</v>
      </c>
      <c r="CT188" s="350">
        <f>IFERROR(Table1[[#This Row],[Progres Perizinan
(%)]]*Table1[[#This Row],[Nilai RAB Jaringan
(file pa aji)]],0)</f>
        <v>0</v>
      </c>
      <c r="CU188" s="789">
        <v>79659051.875999987</v>
      </c>
      <c r="CV188" s="299">
        <v>79659051.875999987</v>
      </c>
      <c r="CW188" s="551">
        <v>0</v>
      </c>
      <c r="CX188" s="789">
        <f>_xlfn.XLOOKUP(Table1[[#This Row],[Kode Program]],'[1]Breakdown VOWD Greenfield'!$E:$E,'[1]Breakdown VOWD Greenfield'!$AT:$AT)</f>
        <v>0</v>
      </c>
      <c r="CY188" s="42"/>
      <c r="CZ188" s="356">
        <v>45747</v>
      </c>
      <c r="DA188" s="356">
        <v>45774</v>
      </c>
      <c r="DB188" s="358">
        <v>45755</v>
      </c>
      <c r="DC188" s="337" t="s">
        <v>1389</v>
      </c>
      <c r="DD188" s="345">
        <v>1243463101</v>
      </c>
      <c r="DE1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8" s="358">
        <v>45763</v>
      </c>
      <c r="DG188" s="337" t="s">
        <v>1390</v>
      </c>
      <c r="DH188" s="345">
        <v>1243463101</v>
      </c>
      <c r="DI18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8" s="356">
        <v>45775</v>
      </c>
      <c r="DK188" s="356">
        <v>45816</v>
      </c>
      <c r="DL188" s="358">
        <v>45783</v>
      </c>
      <c r="DM188" s="337" t="s">
        <v>1391</v>
      </c>
      <c r="DN188"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8" s="358">
        <v>45831</v>
      </c>
      <c r="DP188" s="337" t="s">
        <v>1392</v>
      </c>
      <c r="DQ188" s="336" t="s">
        <v>312</v>
      </c>
      <c r="DR188"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8" s="356">
        <v>45775</v>
      </c>
      <c r="DT188" s="356" t="e">
        <v>#N/A</v>
      </c>
      <c r="DU188" s="356">
        <v>45816</v>
      </c>
      <c r="DV188" s="356" t="e">
        <v>#N/A</v>
      </c>
      <c r="DW188" s="358">
        <v>46000</v>
      </c>
      <c r="DX188" s="337" t="s">
        <v>1393</v>
      </c>
      <c r="DY188" s="352"/>
      <c r="DZ188" s="352"/>
      <c r="EA188"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88" s="358"/>
      <c r="EC188" s="412"/>
      <c r="ED188" s="412"/>
      <c r="EE188" s="356"/>
      <c r="EF188" s="341">
        <v>0.95</v>
      </c>
      <c r="EG188" s="353">
        <v>0.95</v>
      </c>
      <c r="EH188" s="337" t="str">
        <f>IF(Table1[[#This Row],[PO Material Aktual 
(%)]]&gt;=100%,"Selesai PO = 100%",IF(Table1[[#This Row],[PO Material Aktual 
(%)]]&gt;=50%,"Proses PO &gt; 100%",IF(Table1[[#This Row],[PO Material Aktual 
(%)]]&gt;0%,"Proses PO &gt; 50%",IF(Table1[[#This Row],[PO Material Aktual 
(%)]]=0,"Belum PO = 0%"))))</f>
        <v>Proses PO &gt; 100%</v>
      </c>
      <c r="EI18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88" s="356">
        <v>45817</v>
      </c>
      <c r="EK188" s="356" t="e">
        <v>#N/A</v>
      </c>
      <c r="EL188" s="356">
        <v>45865</v>
      </c>
      <c r="EM188" s="356" t="e">
        <v>#N/A</v>
      </c>
      <c r="EN188" s="358"/>
      <c r="EO188" s="412"/>
      <c r="EP188" s="412"/>
      <c r="EQ188" s="83">
        <v>0.85</v>
      </c>
      <c r="ER188" s="83">
        <v>0.85</v>
      </c>
      <c r="ES188" s="337" t="str">
        <f>IF(Table1[[#This Row],[Progres MOS]]&gt;=100%,"Selesai MOS = 100%",IF(Table1[[#This Row],[Progres MOS]]&gt;=50%,"Proses MOS &gt; 100%",IF(Table1[[#This Row],[Progres MOS]]&gt;0%,"Proses MOS &gt; 50%",IF(Table1[[#This Row],[Progres MOS]]=0,"Belum MOS = 0%"))))</f>
        <v>Proses MOS &gt; 100%</v>
      </c>
      <c r="ET1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88" s="42"/>
      <c r="EV188" s="356">
        <v>45775</v>
      </c>
      <c r="EW188" s="356" t="e">
        <v>#N/A</v>
      </c>
      <c r="EX188" s="356">
        <v>45865</v>
      </c>
      <c r="EY188" s="356" t="e">
        <v>#N/A</v>
      </c>
      <c r="EZ188" s="354" t="s">
        <v>298</v>
      </c>
      <c r="FA188" s="413" t="s">
        <v>259</v>
      </c>
      <c r="FB188" s="356" t="s">
        <v>260</v>
      </c>
      <c r="FC188" s="300">
        <v>45838</v>
      </c>
      <c r="FD188" s="356" t="s">
        <v>260</v>
      </c>
      <c r="FE188" s="356">
        <v>45888</v>
      </c>
      <c r="FF188" s="356">
        <v>45944</v>
      </c>
      <c r="FG188" s="356" t="s">
        <v>260</v>
      </c>
      <c r="FH188" s="356" t="s">
        <v>260</v>
      </c>
      <c r="FI188" s="356">
        <v>46010</v>
      </c>
      <c r="FJ188" s="356" t="s">
        <v>260</v>
      </c>
      <c r="FK188" s="356">
        <v>46113</v>
      </c>
      <c r="FL188" s="413" t="s">
        <v>298</v>
      </c>
      <c r="FM188" s="354">
        <v>45838</v>
      </c>
      <c r="FN188" s="336">
        <f>IF(Table1[[#This Row],[Tanggal Pengajuan Dokumen]]="","",Table1[[#This Row],[PLAN PERMIT
start]]-Table1[[#This Row],[Tanggal Pengajuan Dokumen]])</f>
        <v>-63</v>
      </c>
      <c r="FO188" s="414">
        <v>46086</v>
      </c>
      <c r="FP188" s="337"/>
      <c r="FQ188" s="336"/>
      <c r="FR188" s="336"/>
      <c r="FS188" s="336" t="str">
        <f t="shared" si="9"/>
        <v>Sudah Terbit</v>
      </c>
      <c r="FT18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8" s="357">
        <f ca="1">IF(Table1[[#This Row],[Status Izin]]="Selesai",Table1[[#This Row],[PLAN PERMIT
finish]]-Table1[[#This Row],[Tanggal Terbit/ Target Izin Terbit]],ROUNDUP(Table1[[#This Row],[PLAN PERMIT
finish]]-NOW(),0))</f>
        <v>-221</v>
      </c>
      <c r="FV18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8" s="357"/>
      <c r="FX188" s="42"/>
      <c r="FY188" s="310"/>
      <c r="FZ188" s="311"/>
      <c r="GA1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8" s="373">
        <v>45818</v>
      </c>
      <c r="GC188" s="379">
        <v>45826</v>
      </c>
      <c r="GD188"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8" s="373">
        <v>45825</v>
      </c>
      <c r="GF188" s="379" t="s">
        <v>1385</v>
      </c>
      <c r="GG188"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8" s="373">
        <v>45831</v>
      </c>
      <c r="GI188" s="373">
        <v>45832</v>
      </c>
      <c r="GJ188" s="379">
        <v>45832</v>
      </c>
      <c r="GK188" s="775"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8" s="373">
        <v>45866</v>
      </c>
      <c r="GM188" s="373" t="e">
        <v>#N/A</v>
      </c>
      <c r="GN188" s="373">
        <v>45914</v>
      </c>
      <c r="GO188" s="373" t="e">
        <v>#N/A</v>
      </c>
      <c r="GP188" s="775"/>
      <c r="GQ188"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8" s="373" t="s">
        <v>261</v>
      </c>
      <c r="GS188" s="373" t="s">
        <v>261</v>
      </c>
      <c r="GT188" s="382"/>
      <c r="GU188" s="380" t="str">
        <f>IF(Table1[[#This Row],[Hydro Tes Actual
(tanggal)]]&lt;&gt;"","Sudah","Belum")</f>
        <v>Belum</v>
      </c>
      <c r="GV188" s="373" t="s">
        <v>261</v>
      </c>
      <c r="GW188" s="373" t="s">
        <v>261</v>
      </c>
      <c r="GX188" s="374"/>
      <c r="GY188" s="380" t="str">
        <f>IF(Table1[[#This Row],[Interkoneksi Actual
(tanggal)]]&lt;&gt;"","Sudah","Belum")</f>
        <v>Belum</v>
      </c>
      <c r="GZ188" s="373" t="s">
        <v>261</v>
      </c>
      <c r="HA188" s="373" t="s">
        <v>261</v>
      </c>
      <c r="HB188" s="374"/>
      <c r="HC188" s="380" t="str">
        <f>IF(Table1[[#This Row],[Flushing Actual
(tanggal)]]&lt;&gt;"","Sudah","Belum")</f>
        <v>Belum</v>
      </c>
      <c r="HD188" s="373">
        <v>45905</v>
      </c>
      <c r="HE188" s="373" t="e">
        <v>#N/A</v>
      </c>
      <c r="HF188" s="373">
        <v>45910</v>
      </c>
      <c r="HG188" s="374"/>
      <c r="HH188"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88" s="373" t="s">
        <v>261</v>
      </c>
      <c r="HJ188" s="373" t="s">
        <v>261</v>
      </c>
      <c r="HK188" s="374"/>
      <c r="HL188" s="775"/>
      <c r="HM188" s="373">
        <v>45919</v>
      </c>
      <c r="HN188" s="373">
        <v>45919</v>
      </c>
      <c r="HO188" s="579"/>
      <c r="HP188" s="579"/>
      <c r="HQ188" s="374"/>
      <c r="HR188"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88" s="373">
        <v>45926</v>
      </c>
      <c r="HT188" s="373"/>
      <c r="HU188" s="373">
        <v>45926</v>
      </c>
      <c r="HV188" s="373"/>
      <c r="HW188" s="374"/>
      <c r="HX188"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88" s="42"/>
      <c r="HZ188" s="354"/>
      <c r="IA188" s="306"/>
      <c r="IC188" s="585">
        <f>IFERROR(ROUND((Table1[[#This Row],[PLAN TC
finish]]-Table1[[#This Row],[PLAN MC-0
start]])/30,2),"")</f>
        <v>2.63</v>
      </c>
      <c r="ID188">
        <f>DATEDIF(Table1[[#This Row],[PLAN MC-0
start]],Table1[[#This Row],[PLAN TC
finish]],"m")</f>
        <v>2</v>
      </c>
    </row>
    <row r="189" spans="1:238" s="4" customFormat="1" ht="15" customHeight="1" x14ac:dyDescent="0.25">
      <c r="B189" s="281">
        <f>SUBTOTAL(3,$D$5:D189)</f>
        <v>185</v>
      </c>
      <c r="C189" s="318">
        <v>185</v>
      </c>
      <c r="D189" s="308" t="s">
        <v>244</v>
      </c>
      <c r="E189" s="308" t="s">
        <v>1394</v>
      </c>
      <c r="F189" s="308" t="s">
        <v>1395</v>
      </c>
      <c r="G189" s="319">
        <v>45935</v>
      </c>
      <c r="H189" s="308" t="s">
        <v>681</v>
      </c>
      <c r="I189" s="308" t="s">
        <v>278</v>
      </c>
      <c r="J189" s="285"/>
      <c r="K189" s="308" t="s">
        <v>1165</v>
      </c>
      <c r="L189" s="286" t="s">
        <v>250</v>
      </c>
      <c r="M189" s="286" t="s">
        <v>269</v>
      </c>
      <c r="N189" s="94">
        <v>438</v>
      </c>
      <c r="O189" s="31" t="s">
        <v>252</v>
      </c>
      <c r="P18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89" s="35" t="e">
        <v>#N/A</v>
      </c>
      <c r="S189" s="35">
        <v>1</v>
      </c>
      <c r="T189" s="35">
        <f>Table1[[#This Row],[Progres Total Aktual
(%)]]</f>
        <v>1</v>
      </c>
      <c r="U189" s="106">
        <f>Table1[[#This Row],[Progres Aktual
(%)]]-Table1[[#This Row],[Target Progres
(%)]]</f>
        <v>0</v>
      </c>
      <c r="V189" s="320">
        <f>Table1[[#This Row],["Volume
BA MC-0"]]</f>
        <v>584</v>
      </c>
      <c r="W189" s="321">
        <f>Table1[[#This Row],[Total Panjang Pipa Aktual
(Sum-&gt;)3]]</f>
        <v>438</v>
      </c>
      <c r="X189" s="42"/>
      <c r="Y189" s="62" t="s">
        <v>1396</v>
      </c>
      <c r="Z189" s="62">
        <v>669615923</v>
      </c>
      <c r="AA189" s="62">
        <f>Table1[[#This Row],[Nilai RAB Jaringan
(file pa aji)]]</f>
        <v>669615923</v>
      </c>
      <c r="AB189" s="290">
        <f>SUM(Table1[[#This Row],[RAB Kegiatan Umum]:[RAB Perizinan]])</f>
        <v>0</v>
      </c>
      <c r="AC189" s="290"/>
      <c r="AD189" s="290"/>
      <c r="AE189" s="290"/>
      <c r="AF189" s="290"/>
      <c r="AG189" s="406">
        <v>111673048</v>
      </c>
      <c r="AH189" s="35" t="e">
        <f>SUM(Table1[[#This Row],[Bobot Keg Umum]:[Bobot Perizinan]])</f>
        <v>#DIV/0!</v>
      </c>
      <c r="AI189" s="35" t="e">
        <f>Table1[[#This Row],[RAB Kegiatan Umum]]/Table1[[#This Row],[Nilai RAB Jaringan
(Exclude Ppn)]]</f>
        <v>#DIV/0!</v>
      </c>
      <c r="AJ189" s="35" t="e">
        <f>Table1[[#This Row],[RAB Pemasangan]]/Table1[[#This Row],[Nilai RAB Jaringan
(Exclude Ppn)]]</f>
        <v>#DIV/0!</v>
      </c>
      <c r="AK189" s="35" t="e">
        <f>Table1[[#This Row],[RAB Pengadaan]]/Table1[[#This Row],[Nilai RAB Jaringan
(Exclude Ppn)]]</f>
        <v>#DIV/0!</v>
      </c>
      <c r="AL189" s="35" t="e">
        <f>Table1[[#This Row],[RAB Perizinan]]/Table1[[#This Row],[Nilai RAB Jaringan
(Exclude Ppn)]]</f>
        <v>#DIV/0!</v>
      </c>
      <c r="AM189" s="42"/>
      <c r="AN189" s="256">
        <v>584</v>
      </c>
      <c r="AO189" s="256">
        <f>SUM(Table1[[#This Row],[Pipa 63 mm]:[Pipa 1,800 mm]])</f>
        <v>0</v>
      </c>
      <c r="AP189" s="256"/>
      <c r="AQ189" s="256"/>
      <c r="AR189" s="256"/>
      <c r="AS189" s="256"/>
      <c r="AT189" s="256"/>
      <c r="AU189" s="256"/>
      <c r="AV189" s="256"/>
      <c r="AW189" s="256"/>
      <c r="AX189" s="256"/>
      <c r="AY189" s="256"/>
      <c r="AZ189" s="256"/>
      <c r="BA189" s="256"/>
      <c r="BB189" s="256"/>
      <c r="BC189" s="256"/>
      <c r="BD189" s="256"/>
      <c r="BE189" s="256"/>
      <c r="BF189" s="256"/>
      <c r="BG189" s="256"/>
      <c r="BH189" s="256"/>
      <c r="BI189" s="256"/>
      <c r="BJ189" s="36">
        <f>SUM(Table1[[#This Row],[Pipa 63 mm2]:[Pipa 1,800 mm21]])</f>
        <v>438</v>
      </c>
      <c r="BK189" s="32">
        <v>311.60000000000002</v>
      </c>
      <c r="BL189" s="32">
        <v>126.4</v>
      </c>
      <c r="BM189" s="32"/>
      <c r="BN189" s="32"/>
      <c r="BO189" s="32"/>
      <c r="BP189" s="32"/>
      <c r="BQ189" s="32"/>
      <c r="BR189" s="32"/>
      <c r="BS189" s="32"/>
      <c r="BT189" s="32"/>
      <c r="BU189" s="32"/>
      <c r="BV189" s="32"/>
      <c r="BW189" s="32"/>
      <c r="BX189" s="32"/>
      <c r="BY189" s="32"/>
      <c r="BZ189" s="32"/>
      <c r="CA189" s="32"/>
      <c r="CB189" s="32"/>
      <c r="CC189" s="32"/>
      <c r="CD189" s="32"/>
      <c r="CE189" s="32">
        <v>0</v>
      </c>
      <c r="CF189" s="32">
        <v>0</v>
      </c>
      <c r="CG189" s="32">
        <v>0</v>
      </c>
      <c r="CH189" s="32">
        <v>0</v>
      </c>
      <c r="CI189" s="32">
        <f t="shared" si="10"/>
        <v>0</v>
      </c>
      <c r="CJ189" s="60">
        <f>IF((Table1[[#This Row],["Volume
BA MC-0"]]-Table1[[#This Row],[Total Panjang Pipa Aktual
(Sum-&gt;)3]]-Table1[[#This Row],[Total Volume
tidak dapat dipasang]])&gt;=0,Table1[[#This Row],["Volume
BA MC-0"]]-Table1[[#This Row],[Total Panjang Pipa Aktual
(Sum-&gt;)3]]-Table1[[#This Row],[Total Volume
tidak dapat dipasang]],0)</f>
        <v>146</v>
      </c>
      <c r="CK189" s="42"/>
      <c r="CL189" s="113"/>
      <c r="CM189" s="35"/>
      <c r="CN189" s="113"/>
      <c r="CO189" s="113"/>
      <c r="CP1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89" s="61">
        <f>IFERROR(Table1[[#This Row],[Progres Keg. Umum
(%)]]*Table1[[#This Row],[Nilai RAB Jaringan
(file pa aji)]],0)</f>
        <v>0</v>
      </c>
      <c r="CR189" s="61">
        <f>IFERROR(Table1[[#This Row],[Progres MOS
(%)]]*Table1[[#This Row],[Nilai RAB Jaringan
(file pa aji)]],0)</f>
        <v>0</v>
      </c>
      <c r="CS189" s="61">
        <f>IFERROR(Table1[[#This Row],[Progres Pemasangan
(%)]]*Table1[[#This Row],[Nilai RAB Jaringan
(file pa aji)]],0)</f>
        <v>0</v>
      </c>
      <c r="CT189" s="61">
        <f>IFERROR(Table1[[#This Row],[Progres Perizinan
(%)]]*Table1[[#This Row],[Nilai RAB Jaringan
(file pa aji)]],0)</f>
        <v>0</v>
      </c>
      <c r="CU189" s="789">
        <v>955834029</v>
      </c>
      <c r="CV189" s="299">
        <v>955834029</v>
      </c>
      <c r="CW189" s="552">
        <v>955834029</v>
      </c>
      <c r="CX189" s="789">
        <f>_xlfn.XLOOKUP(Table1[[#This Row],[Kode Program]],'[1]Breakdown VOWD Greenfield'!$E:$E,'[1]Breakdown VOWD Greenfield'!$AT:$AT)</f>
        <v>955834029</v>
      </c>
      <c r="CY189" s="42"/>
      <c r="CZ189" s="300">
        <v>45747</v>
      </c>
      <c r="DA189" s="300">
        <v>45774</v>
      </c>
      <c r="DB189" s="301">
        <v>45761</v>
      </c>
      <c r="DC189" s="286" t="s">
        <v>1397</v>
      </c>
      <c r="DD189" s="62">
        <v>669615922</v>
      </c>
      <c r="DE1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89" s="301">
        <v>45771</v>
      </c>
      <c r="DG189" s="286" t="s">
        <v>1398</v>
      </c>
      <c r="DH189" s="62">
        <v>669615922</v>
      </c>
      <c r="DI1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89" s="300">
        <v>45775</v>
      </c>
      <c r="DK189" s="300">
        <v>45816</v>
      </c>
      <c r="DL189" s="301">
        <v>45784</v>
      </c>
      <c r="DM189" s="286" t="s">
        <v>1399</v>
      </c>
      <c r="DN1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89" s="301">
        <v>45831</v>
      </c>
      <c r="DP189" s="286" t="s">
        <v>1400</v>
      </c>
      <c r="DQ189" s="308" t="s">
        <v>312</v>
      </c>
      <c r="DR1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89" s="300">
        <v>45775</v>
      </c>
      <c r="DT189" s="300" t="e">
        <v>#N/A</v>
      </c>
      <c r="DU189" s="300">
        <v>45816</v>
      </c>
      <c r="DV189" s="300" t="e">
        <v>#N/A</v>
      </c>
      <c r="DW189" s="301">
        <v>45783</v>
      </c>
      <c r="DX189" s="286" t="s">
        <v>1401</v>
      </c>
      <c r="DY189" s="304"/>
      <c r="DZ189" s="304"/>
      <c r="EA1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89" s="301">
        <v>46160</v>
      </c>
      <c r="EC189" s="302"/>
      <c r="ED189" s="302"/>
      <c r="EE189" s="300" t="s">
        <v>1402</v>
      </c>
      <c r="EF189" s="35">
        <v>1</v>
      </c>
      <c r="EG189" s="307">
        <v>1</v>
      </c>
      <c r="EH189" s="286" t="str">
        <f>IF(Table1[[#This Row],[PO Material Aktual 
(%)]]&gt;=100%,"Selesai PO = 100%",IF(Table1[[#This Row],[PO Material Aktual 
(%)]]&gt;=50%,"Proses PO &gt; 100%",IF(Table1[[#This Row],[PO Material Aktual 
(%)]]&gt;0%,"Proses PO &gt; 50%",IF(Table1[[#This Row],[PO Material Aktual 
(%)]]=0,"Belum PO = 0%"))))</f>
        <v>Selesai PO = 100%</v>
      </c>
      <c r="EI1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89" s="300">
        <v>45817</v>
      </c>
      <c r="EK189" s="300" t="e">
        <v>#N/A</v>
      </c>
      <c r="EL189" s="300">
        <v>45865</v>
      </c>
      <c r="EM189" s="300" t="e">
        <v>#N/A</v>
      </c>
      <c r="EN189" s="301">
        <v>46091</v>
      </c>
      <c r="EO189" s="302"/>
      <c r="EP189" s="302"/>
      <c r="EQ189" s="82">
        <v>1</v>
      </c>
      <c r="ER189" s="82">
        <v>1</v>
      </c>
      <c r="ES189" s="286" t="str">
        <f>IF(Table1[[#This Row],[Progres MOS]]&gt;=100%,"Selesai MOS = 100%",IF(Table1[[#This Row],[Progres MOS]]&gt;=50%,"Proses MOS &gt; 100%",IF(Table1[[#This Row],[Progres MOS]]&gt;0%,"Proses MOS &gt; 50%",IF(Table1[[#This Row],[Progres MOS]]=0,"Belum MOS = 0%"))))</f>
        <v>Selesai MOS = 100%</v>
      </c>
      <c r="ET1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89" s="42"/>
      <c r="EV189" s="300">
        <v>45775</v>
      </c>
      <c r="EW189" s="300" t="e">
        <v>#N/A</v>
      </c>
      <c r="EX189" s="300">
        <v>45865</v>
      </c>
      <c r="EY189" s="300" t="e">
        <v>#N/A</v>
      </c>
      <c r="EZ189" s="322" t="s">
        <v>298</v>
      </c>
      <c r="FA189" s="306" t="s">
        <v>259</v>
      </c>
      <c r="FB189" s="300" t="s">
        <v>260</v>
      </c>
      <c r="FC189" s="300">
        <v>45838</v>
      </c>
      <c r="FD189" s="300" t="s">
        <v>260</v>
      </c>
      <c r="FE189" s="300">
        <v>45888</v>
      </c>
      <c r="FF189" s="300">
        <v>45944</v>
      </c>
      <c r="FG189" s="300" t="s">
        <v>260</v>
      </c>
      <c r="FH189" s="300" t="s">
        <v>260</v>
      </c>
      <c r="FI189" s="300">
        <v>46010</v>
      </c>
      <c r="FJ189" s="300" t="s">
        <v>260</v>
      </c>
      <c r="FK189" s="300">
        <v>46113</v>
      </c>
      <c r="FL189" s="306" t="s">
        <v>298</v>
      </c>
      <c r="FM189" s="322">
        <v>45838</v>
      </c>
      <c r="FN189" s="308">
        <f>IF(Table1[[#This Row],[Tanggal Pengajuan Dokumen]]="","",Table1[[#This Row],[PLAN PERMIT
start]]-Table1[[#This Row],[Tanggal Pengajuan Dokumen]])</f>
        <v>-63</v>
      </c>
      <c r="FO189" s="407">
        <v>46086</v>
      </c>
      <c r="FP189" s="286"/>
      <c r="FQ189" s="308"/>
      <c r="FR189" s="308"/>
      <c r="FS189" s="308" t="str">
        <f t="shared" si="9"/>
        <v>Sudah Terbit</v>
      </c>
      <c r="FT1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89" s="314">
        <f ca="1">IF(Table1[[#This Row],[Status Izin]]="Selesai",Table1[[#This Row],[PLAN PERMIT
finish]]-Table1[[#This Row],[Tanggal Terbit/ Target Izin Terbit]],ROUNDUP(Table1[[#This Row],[PLAN PERMIT
finish]]-NOW(),0))</f>
        <v>-221</v>
      </c>
      <c r="FV1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89" s="314"/>
      <c r="FX189" s="42"/>
      <c r="FY189" s="310"/>
      <c r="FZ189" s="311"/>
      <c r="GA1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89" s="300">
        <v>45818</v>
      </c>
      <c r="GC189" s="322">
        <v>45826</v>
      </c>
      <c r="GD1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89" s="300">
        <v>45825</v>
      </c>
      <c r="GF189" s="322" t="s">
        <v>1403</v>
      </c>
      <c r="GG1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89" s="300">
        <v>45831</v>
      </c>
      <c r="GI189" s="300">
        <v>45832</v>
      </c>
      <c r="GJ189" s="322">
        <v>45832</v>
      </c>
      <c r="GK189"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89" s="300">
        <v>45866</v>
      </c>
      <c r="GM189" s="300" t="e">
        <v>#N/A</v>
      </c>
      <c r="GN189" s="300">
        <v>45914</v>
      </c>
      <c r="GO189" s="300" t="e">
        <v>#N/A</v>
      </c>
      <c r="GP189" s="286"/>
      <c r="GQ1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89" s="300" t="s">
        <v>261</v>
      </c>
      <c r="GS189" s="300" t="s">
        <v>261</v>
      </c>
      <c r="GT189" s="324">
        <v>45856</v>
      </c>
      <c r="GU189" s="314" t="str">
        <f>IF(Table1[[#This Row],[Hydro Tes Actual
(tanggal)]]&lt;&gt;"","Sudah","Belum")</f>
        <v>Sudah</v>
      </c>
      <c r="GV189" s="300" t="s">
        <v>261</v>
      </c>
      <c r="GW189" s="300" t="s">
        <v>261</v>
      </c>
      <c r="GX189" s="301">
        <v>45857</v>
      </c>
      <c r="GY189" s="314" t="str">
        <f>IF(Table1[[#This Row],[Interkoneksi Actual
(tanggal)]]&lt;&gt;"","Sudah","Belum")</f>
        <v>Sudah</v>
      </c>
      <c r="GZ189" s="300" t="s">
        <v>261</v>
      </c>
      <c r="HA189" s="300" t="s">
        <v>261</v>
      </c>
      <c r="HB189" s="301">
        <v>45862</v>
      </c>
      <c r="HC189" s="314" t="str">
        <f>IF(Table1[[#This Row],[Flushing Actual
(tanggal)]]&lt;&gt;"","Sudah","Belum")</f>
        <v>Sudah</v>
      </c>
      <c r="HD189" s="300">
        <v>45905</v>
      </c>
      <c r="HE189" s="300" t="e">
        <v>#N/A</v>
      </c>
      <c r="HF189" s="300">
        <v>45910</v>
      </c>
      <c r="HG189" s="301">
        <v>45870</v>
      </c>
      <c r="HH1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89" s="300" t="s">
        <v>261</v>
      </c>
      <c r="HJ189" s="300" t="s">
        <v>261</v>
      </c>
      <c r="HK189" s="301"/>
      <c r="HL189" s="286"/>
      <c r="HM189" s="300">
        <v>45919</v>
      </c>
      <c r="HN189" s="300">
        <v>45919</v>
      </c>
      <c r="HO189" s="300" t="e">
        <v>#N/A</v>
      </c>
      <c r="HP189" s="300"/>
      <c r="HQ189" s="301">
        <v>45870</v>
      </c>
      <c r="HR1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89" s="300">
        <v>45926</v>
      </c>
      <c r="HT189" s="300"/>
      <c r="HU189" s="300">
        <v>45926</v>
      </c>
      <c r="HV189" s="497"/>
      <c r="HW189" s="301">
        <v>45931</v>
      </c>
      <c r="HX1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89" s="42"/>
      <c r="HZ189" s="322"/>
      <c r="IA189" s="306"/>
      <c r="IC189" s="585">
        <f>IFERROR(ROUND((Table1[[#This Row],[PLAN TC
finish]]-Table1[[#This Row],[PLAN MC-0
start]])/30,2),"")</f>
        <v>2.63</v>
      </c>
      <c r="ID189">
        <f>DATEDIF(Table1[[#This Row],[PLAN MC-0
start]],Table1[[#This Row],[PLAN TC
finish]],"m")</f>
        <v>2</v>
      </c>
    </row>
    <row r="190" spans="1:238" s="223" customFormat="1" ht="15" customHeight="1" x14ac:dyDescent="0.25">
      <c r="B190" s="281">
        <f>SUBTOTAL(3,$D$5:D190)</f>
        <v>186</v>
      </c>
      <c r="C190" s="332">
        <v>186</v>
      </c>
      <c r="D190" s="370" t="s">
        <v>244</v>
      </c>
      <c r="E190" s="370" t="s">
        <v>1404</v>
      </c>
      <c r="F190" s="370" t="s">
        <v>1405</v>
      </c>
      <c r="G190" s="368">
        <v>45935</v>
      </c>
      <c r="H190" s="370" t="s">
        <v>681</v>
      </c>
      <c r="I190" s="336" t="s">
        <v>278</v>
      </c>
      <c r="J190" s="367" t="s">
        <v>943</v>
      </c>
      <c r="K190" s="336" t="s">
        <v>1165</v>
      </c>
      <c r="L190" s="337" t="s">
        <v>250</v>
      </c>
      <c r="M190" s="775" t="s">
        <v>269</v>
      </c>
      <c r="N190" s="224">
        <v>856</v>
      </c>
      <c r="O190" s="225" t="s">
        <v>252</v>
      </c>
      <c r="P190"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0" s="290" t="s">
        <v>389</v>
      </c>
      <c r="R190" s="341" t="e">
        <v>#N/A</v>
      </c>
      <c r="S190" s="227">
        <v>1</v>
      </c>
      <c r="T190" s="227">
        <f>Table1[[#This Row],[Progres Total Aktual
(%)]]</f>
        <v>0</v>
      </c>
      <c r="U190" s="228">
        <f>Table1[[#This Row],[Progres Aktual
(%)]]-Table1[[#This Row],[Target Progres
(%)]]</f>
        <v>-1</v>
      </c>
      <c r="V190" s="229">
        <f>Table1[[#This Row],["Volume
BA MC-0"]]</f>
        <v>815</v>
      </c>
      <c r="W190" s="230">
        <f>Table1[[#This Row],[Total Panjang Pipa Aktual
(Sum-&gt;)3]]</f>
        <v>0</v>
      </c>
      <c r="X190" s="238"/>
      <c r="Y190" s="345" t="s">
        <v>1406</v>
      </c>
      <c r="Z190" s="345">
        <v>1682806890</v>
      </c>
      <c r="AA190" s="345">
        <f>Table1[[#This Row],[Nilai RAB Jaringan
(file pa aji)]]</f>
        <v>1682806890</v>
      </c>
      <c r="AB190" s="340">
        <f>SUM(Table1[[#This Row],[RAB Kegiatan Umum]:[RAB Perizinan]])</f>
        <v>0</v>
      </c>
      <c r="AC190" s="340"/>
      <c r="AD190" s="340"/>
      <c r="AE190" s="340"/>
      <c r="AF190" s="340"/>
      <c r="AG190" s="409">
        <v>210703863</v>
      </c>
      <c r="AH190" s="341" t="e">
        <f>SUM(Table1[[#This Row],[Bobot Keg Umum]:[Bobot Perizinan]])</f>
        <v>#DIV/0!</v>
      </c>
      <c r="AI190" s="341" t="e">
        <f>Table1[[#This Row],[RAB Kegiatan Umum]]/Table1[[#This Row],[Nilai RAB Jaringan
(Exclude Ppn)]]</f>
        <v>#DIV/0!</v>
      </c>
      <c r="AJ190" s="341" t="e">
        <f>Table1[[#This Row],[RAB Pemasangan]]/Table1[[#This Row],[Nilai RAB Jaringan
(Exclude Ppn)]]</f>
        <v>#DIV/0!</v>
      </c>
      <c r="AK190" s="341" t="e">
        <f>Table1[[#This Row],[RAB Pengadaan]]/Table1[[#This Row],[Nilai RAB Jaringan
(Exclude Ppn)]]</f>
        <v>#DIV/0!</v>
      </c>
      <c r="AL190" s="341" t="e">
        <f>Table1[[#This Row],[RAB Perizinan]]/Table1[[#This Row],[Nilai RAB Jaringan
(Exclude Ppn)]]</f>
        <v>#DIV/0!</v>
      </c>
      <c r="AM190" s="42"/>
      <c r="AN190" s="346">
        <v>815</v>
      </c>
      <c r="AO190" s="346">
        <f>SUM(Table1[[#This Row],[Pipa 63 mm]:[Pipa 1,800 mm]])</f>
        <v>0</v>
      </c>
      <c r="AP190" s="346"/>
      <c r="AQ190" s="346"/>
      <c r="AR190" s="346"/>
      <c r="AS190" s="346"/>
      <c r="AT190" s="346"/>
      <c r="AU190" s="346"/>
      <c r="AV190" s="346"/>
      <c r="AW190" s="346"/>
      <c r="AX190" s="346"/>
      <c r="AY190" s="346"/>
      <c r="AZ190" s="346"/>
      <c r="BA190" s="346"/>
      <c r="BB190" s="346"/>
      <c r="BC190" s="346"/>
      <c r="BD190" s="346"/>
      <c r="BE190" s="346"/>
      <c r="BF190" s="346"/>
      <c r="BG190" s="346"/>
      <c r="BH190" s="346"/>
      <c r="BI190" s="346"/>
      <c r="BJ190" s="347">
        <f>SUM(Table1[[#This Row],[Pipa 63 mm2]:[Pipa 1,800 mm21]])</f>
        <v>0</v>
      </c>
      <c r="BK190" s="348"/>
      <c r="BL190" s="348"/>
      <c r="BM190" s="348"/>
      <c r="BN190" s="348"/>
      <c r="BO190" s="348"/>
      <c r="BP190" s="348"/>
      <c r="BQ190" s="348"/>
      <c r="BR190" s="348"/>
      <c r="BS190" s="348"/>
      <c r="BT190" s="348"/>
      <c r="BU190" s="348"/>
      <c r="BV190" s="348"/>
      <c r="BW190" s="348"/>
      <c r="BX190" s="348"/>
      <c r="BY190" s="348"/>
      <c r="BZ190" s="348"/>
      <c r="CA190" s="348"/>
      <c r="CB190" s="348"/>
      <c r="CC190" s="348"/>
      <c r="CD190" s="348"/>
      <c r="CE190" s="348">
        <v>0</v>
      </c>
      <c r="CF190" s="348">
        <v>0</v>
      </c>
      <c r="CG190" s="348">
        <v>0</v>
      </c>
      <c r="CH190" s="348">
        <v>0</v>
      </c>
      <c r="CI190" s="348">
        <f t="shared" si="10"/>
        <v>0</v>
      </c>
      <c r="CJ190" s="410">
        <f>IF((Table1[[#This Row],["Volume
BA MC-0"]]-Table1[[#This Row],[Total Panjang Pipa Aktual
(Sum-&gt;)3]]-Table1[[#This Row],[Total Volume
tidak dapat dipasang]])&gt;=0,Table1[[#This Row],["Volume
BA MC-0"]]-Table1[[#This Row],[Total Panjang Pipa Aktual
(Sum-&gt;)3]]-Table1[[#This Row],[Total Volume
tidak dapat dipasang]],0)</f>
        <v>815</v>
      </c>
      <c r="CK190" s="42"/>
      <c r="CL190" s="349"/>
      <c r="CM190" s="341"/>
      <c r="CN190" s="349"/>
      <c r="CO190" s="349"/>
      <c r="CP190"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0" s="350">
        <f>IFERROR(Table1[[#This Row],[Progres Keg. Umum
(%)]]*Table1[[#This Row],[Nilai RAB Jaringan
(file pa aji)]],0)</f>
        <v>0</v>
      </c>
      <c r="CR190" s="350">
        <f>IFERROR(Table1[[#This Row],[Progres MOS
(%)]]*Table1[[#This Row],[Nilai RAB Jaringan
(file pa aji)]],0)</f>
        <v>0</v>
      </c>
      <c r="CS190" s="350">
        <f>IFERROR(Table1[[#This Row],[Progres Pemasangan
(%)]]*Table1[[#This Row],[Nilai RAB Jaringan
(file pa aji)]],0)</f>
        <v>0</v>
      </c>
      <c r="CT190" s="350">
        <f>IFERROR(Table1[[#This Row],[Progres Perizinan
(%)]]*Table1[[#This Row],[Nilai RAB Jaringan
(file pa aji)]],0)</f>
        <v>0</v>
      </c>
      <c r="CU190" s="789">
        <v>0</v>
      </c>
      <c r="CV190" s="299">
        <v>0</v>
      </c>
      <c r="CW190" s="551">
        <v>0</v>
      </c>
      <c r="CX190" s="789">
        <f>_xlfn.XLOOKUP(Table1[[#This Row],[Kode Program]],'[1]Breakdown VOWD Greenfield'!$E:$E,'[1]Breakdown VOWD Greenfield'!$AT:$AT)</f>
        <v>0</v>
      </c>
      <c r="CY190" s="42"/>
      <c r="CZ190" s="356">
        <v>45747</v>
      </c>
      <c r="DA190" s="356">
        <v>45774</v>
      </c>
      <c r="DB190" s="358">
        <v>45755</v>
      </c>
      <c r="DC190" s="337" t="s">
        <v>1407</v>
      </c>
      <c r="DD190" s="345">
        <v>1682806890</v>
      </c>
      <c r="DE1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0" s="358">
        <v>45763</v>
      </c>
      <c r="DG190" s="337" t="s">
        <v>1408</v>
      </c>
      <c r="DH190" s="345">
        <v>1682806890</v>
      </c>
      <c r="DI19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0" s="356">
        <v>45775</v>
      </c>
      <c r="DK190" s="356">
        <v>45816</v>
      </c>
      <c r="DL190" s="358">
        <v>45783</v>
      </c>
      <c r="DM190" s="337" t="s">
        <v>1409</v>
      </c>
      <c r="DN190"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0" s="358">
        <v>45867</v>
      </c>
      <c r="DP190" s="337" t="s">
        <v>1410</v>
      </c>
      <c r="DQ190" s="336" t="s">
        <v>371</v>
      </c>
      <c r="DR190"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0" s="356">
        <v>45775</v>
      </c>
      <c r="DT190" s="356" t="e">
        <v>#N/A</v>
      </c>
      <c r="DU190" s="356">
        <v>45816</v>
      </c>
      <c r="DV190" s="356" t="e">
        <v>#N/A</v>
      </c>
      <c r="DW190" s="358">
        <v>46008</v>
      </c>
      <c r="DX190" s="337" t="s">
        <v>1411</v>
      </c>
      <c r="DY190" s="352"/>
      <c r="DZ190" s="352"/>
      <c r="EA190"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190" s="358"/>
      <c r="EC190" s="412"/>
      <c r="ED190" s="412"/>
      <c r="EE190" s="356"/>
      <c r="EF190" s="341">
        <v>0.92307692307692313</v>
      </c>
      <c r="EG190" s="353">
        <v>0.92307692307692313</v>
      </c>
      <c r="EH190" s="337" t="str">
        <f>IF(Table1[[#This Row],[PO Material Aktual 
(%)]]&gt;=100%,"Selesai PO = 100%",IF(Table1[[#This Row],[PO Material Aktual 
(%)]]&gt;=50%,"Proses PO &gt; 100%",IF(Table1[[#This Row],[PO Material Aktual 
(%)]]&gt;0%,"Proses PO &gt; 50%",IF(Table1[[#This Row],[PO Material Aktual 
(%)]]=0,"Belum PO = 0%"))))</f>
        <v>Proses PO &gt; 100%</v>
      </c>
      <c r="EI19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0" s="356">
        <v>45817</v>
      </c>
      <c r="EK190" s="356" t="e">
        <v>#N/A</v>
      </c>
      <c r="EL190" s="356">
        <v>45865</v>
      </c>
      <c r="EM190" s="356" t="e">
        <v>#N/A</v>
      </c>
      <c r="EN190" s="358"/>
      <c r="EO190" s="412"/>
      <c r="EP190" s="412"/>
      <c r="EQ190" s="83">
        <v>0.86842105263157898</v>
      </c>
      <c r="ER190" s="83">
        <v>0.86842105263157898</v>
      </c>
      <c r="ES190" s="337" t="str">
        <f>IF(Table1[[#This Row],[Progres MOS]]&gt;=100%,"Selesai MOS = 100%",IF(Table1[[#This Row],[Progres MOS]]&gt;=50%,"Proses MOS &gt; 100%",IF(Table1[[#This Row],[Progres MOS]]&gt;0%,"Proses MOS &gt; 50%",IF(Table1[[#This Row],[Progres MOS]]=0,"Belum MOS = 0%"))))</f>
        <v>Proses MOS &gt; 100%</v>
      </c>
      <c r="ET1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0" s="42"/>
      <c r="EV190" s="356">
        <v>45775</v>
      </c>
      <c r="EW190" s="356" t="e">
        <v>#N/A</v>
      </c>
      <c r="EX190" s="356">
        <v>45865</v>
      </c>
      <c r="EY190" s="356" t="e">
        <v>#N/A</v>
      </c>
      <c r="EZ190" s="354" t="s">
        <v>298</v>
      </c>
      <c r="FA190" s="413" t="s">
        <v>259</v>
      </c>
      <c r="FB190" s="356" t="s">
        <v>260</v>
      </c>
      <c r="FC190" s="300">
        <v>45838</v>
      </c>
      <c r="FD190" s="356" t="s">
        <v>260</v>
      </c>
      <c r="FE190" s="356">
        <v>45888</v>
      </c>
      <c r="FF190" s="356">
        <v>45944</v>
      </c>
      <c r="FG190" s="356" t="s">
        <v>260</v>
      </c>
      <c r="FH190" s="356" t="s">
        <v>260</v>
      </c>
      <c r="FI190" s="356">
        <v>46010</v>
      </c>
      <c r="FJ190" s="356" t="s">
        <v>260</v>
      </c>
      <c r="FK190" s="356">
        <v>46113</v>
      </c>
      <c r="FL190" s="413" t="s">
        <v>298</v>
      </c>
      <c r="FM190" s="354">
        <v>45838</v>
      </c>
      <c r="FN190" s="336">
        <f>IF(Table1[[#This Row],[Tanggal Pengajuan Dokumen]]="","",Table1[[#This Row],[PLAN PERMIT
start]]-Table1[[#This Row],[Tanggal Pengajuan Dokumen]])</f>
        <v>-63</v>
      </c>
      <c r="FO190" s="414">
        <v>46086</v>
      </c>
      <c r="FP190" s="337"/>
      <c r="FQ190" s="336"/>
      <c r="FR190" s="336"/>
      <c r="FS190" s="336" t="str">
        <f t="shared" si="9"/>
        <v>Sudah Terbit</v>
      </c>
      <c r="FT19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0" s="357">
        <f ca="1">IF(Table1[[#This Row],[Status Izin]]="Selesai",Table1[[#This Row],[PLAN PERMIT
finish]]-Table1[[#This Row],[Tanggal Terbit/ Target Izin Terbit]],ROUNDUP(Table1[[#This Row],[PLAN PERMIT
finish]]-NOW(),0))</f>
        <v>-221</v>
      </c>
      <c r="FV19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0" s="357"/>
      <c r="FX190" s="42"/>
      <c r="FY190" s="310"/>
      <c r="FZ190" s="311"/>
      <c r="GA1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0" s="373">
        <v>45818</v>
      </c>
      <c r="GC190" s="379">
        <v>45826</v>
      </c>
      <c r="GD190" s="775"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0" s="373">
        <v>45825</v>
      </c>
      <c r="GF190" s="379" t="s">
        <v>1385</v>
      </c>
      <c r="GG190" s="775"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0" s="373">
        <v>45831</v>
      </c>
      <c r="GI190" s="373">
        <v>45832</v>
      </c>
      <c r="GJ190" s="379">
        <v>45827</v>
      </c>
      <c r="GK190" s="775"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0" s="373">
        <v>45866</v>
      </c>
      <c r="GM190" s="373" t="e">
        <v>#N/A</v>
      </c>
      <c r="GN190" s="373">
        <v>45914</v>
      </c>
      <c r="GO190" s="373" t="e">
        <v>#N/A</v>
      </c>
      <c r="GP190" s="775"/>
      <c r="GQ190" s="775"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0" s="373" t="s">
        <v>261</v>
      </c>
      <c r="GS190" s="373" t="s">
        <v>261</v>
      </c>
      <c r="GT190" s="382"/>
      <c r="GU190" s="380" t="str">
        <f>IF(Table1[[#This Row],[Hydro Tes Actual
(tanggal)]]&lt;&gt;"","Sudah","Belum")</f>
        <v>Belum</v>
      </c>
      <c r="GV190" s="373" t="s">
        <v>261</v>
      </c>
      <c r="GW190" s="373" t="s">
        <v>261</v>
      </c>
      <c r="GX190" s="374"/>
      <c r="GY190" s="380" t="str">
        <f>IF(Table1[[#This Row],[Interkoneksi Actual
(tanggal)]]&lt;&gt;"","Sudah","Belum")</f>
        <v>Belum</v>
      </c>
      <c r="GZ190" s="373" t="s">
        <v>261</v>
      </c>
      <c r="HA190" s="373" t="s">
        <v>261</v>
      </c>
      <c r="HB190" s="374"/>
      <c r="HC190" s="380" t="str">
        <f>IF(Table1[[#This Row],[Flushing Actual
(tanggal)]]&lt;&gt;"","Sudah","Belum")</f>
        <v>Belum</v>
      </c>
      <c r="HD190" s="373">
        <v>45905</v>
      </c>
      <c r="HE190" s="373" t="e">
        <v>#N/A</v>
      </c>
      <c r="HF190" s="373">
        <v>45910</v>
      </c>
      <c r="HG190" s="374"/>
      <c r="HH190" s="775"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0" s="373" t="s">
        <v>261</v>
      </c>
      <c r="HJ190" s="373" t="s">
        <v>261</v>
      </c>
      <c r="HK190" s="374"/>
      <c r="HL190" s="775"/>
      <c r="HM190" s="373">
        <v>45919</v>
      </c>
      <c r="HN190" s="373">
        <v>45919</v>
      </c>
      <c r="HO190" s="579"/>
      <c r="HP190" s="579"/>
      <c r="HQ190" s="374"/>
      <c r="HR190" s="384"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0" s="373">
        <v>45926</v>
      </c>
      <c r="HT190" s="373"/>
      <c r="HU190" s="373">
        <v>45926</v>
      </c>
      <c r="HV190" s="373"/>
      <c r="HW190" s="374"/>
      <c r="HX190" s="37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0" s="42"/>
      <c r="HZ190" s="354"/>
      <c r="IA190" s="306"/>
      <c r="IC190" s="585">
        <f>IFERROR(ROUND((Table1[[#This Row],[PLAN TC
finish]]-Table1[[#This Row],[PLAN MC-0
start]])/30,2),"")</f>
        <v>2.63</v>
      </c>
      <c r="ID190">
        <f>DATEDIF(Table1[[#This Row],[PLAN MC-0
start]],Table1[[#This Row],[PLAN TC
finish]],"m")</f>
        <v>2</v>
      </c>
    </row>
    <row r="191" spans="1:238" s="4" customFormat="1" ht="15" customHeight="1" x14ac:dyDescent="0.25">
      <c r="B191" s="281">
        <f>SUBTOTAL(3,$D$5:D191)</f>
        <v>187</v>
      </c>
      <c r="C191" s="318">
        <v>187</v>
      </c>
      <c r="D191" s="308" t="s">
        <v>244</v>
      </c>
      <c r="E191" s="308" t="s">
        <v>1412</v>
      </c>
      <c r="F191" s="308" t="s">
        <v>1413</v>
      </c>
      <c r="G191" s="319">
        <v>45935</v>
      </c>
      <c r="H191" s="308" t="s">
        <v>681</v>
      </c>
      <c r="I191" s="308" t="s">
        <v>278</v>
      </c>
      <c r="J191" s="285"/>
      <c r="K191" s="308" t="s">
        <v>1165</v>
      </c>
      <c r="L191" s="286" t="s">
        <v>250</v>
      </c>
      <c r="M191" s="286" t="s">
        <v>269</v>
      </c>
      <c r="N191" s="94">
        <v>973</v>
      </c>
      <c r="O191" s="31" t="s">
        <v>252</v>
      </c>
      <c r="P19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1" s="35" t="e">
        <v>#N/A</v>
      </c>
      <c r="S191" s="35">
        <v>1</v>
      </c>
      <c r="T191" s="35">
        <f>Table1[[#This Row],[Progres Total Aktual
(%)]]</f>
        <v>1</v>
      </c>
      <c r="U191" s="106">
        <f>Table1[[#This Row],[Progres Aktual
(%)]]-Table1[[#This Row],[Target Progres
(%)]]</f>
        <v>0</v>
      </c>
      <c r="V191" s="320">
        <f>Table1[[#This Row],["Volume
BA MC-0"]]</f>
        <v>1096</v>
      </c>
      <c r="W191" s="321">
        <f>Table1[[#This Row],[Total Panjang Pipa Aktual
(Sum-&gt;)3]]</f>
        <v>1075.4000000000001</v>
      </c>
      <c r="X191" s="42"/>
      <c r="Y191" s="62" t="s">
        <v>1414</v>
      </c>
      <c r="Z191" s="62">
        <v>1596658844</v>
      </c>
      <c r="AA191" s="62">
        <f>Table1[[#This Row],[Nilai RAB Jaringan
(file pa aji)]]</f>
        <v>1596658844</v>
      </c>
      <c r="AB191" s="290">
        <f>SUM(Table1[[#This Row],[RAB Kegiatan Umum]:[RAB Perizinan]])</f>
        <v>0</v>
      </c>
      <c r="AC191" s="290"/>
      <c r="AD191" s="290"/>
      <c r="AE191" s="290"/>
      <c r="AF191" s="290"/>
      <c r="AG191" s="406">
        <v>99030816</v>
      </c>
      <c r="AH191" s="35" t="e">
        <f>SUM(Table1[[#This Row],[Bobot Keg Umum]:[Bobot Perizinan]])</f>
        <v>#DIV/0!</v>
      </c>
      <c r="AI191" s="35" t="e">
        <f>Table1[[#This Row],[RAB Kegiatan Umum]]/Table1[[#This Row],[Nilai RAB Jaringan
(Exclude Ppn)]]</f>
        <v>#DIV/0!</v>
      </c>
      <c r="AJ191" s="35" t="e">
        <f>Table1[[#This Row],[RAB Pemasangan]]/Table1[[#This Row],[Nilai RAB Jaringan
(Exclude Ppn)]]</f>
        <v>#DIV/0!</v>
      </c>
      <c r="AK191" s="35" t="e">
        <f>Table1[[#This Row],[RAB Pengadaan]]/Table1[[#This Row],[Nilai RAB Jaringan
(Exclude Ppn)]]</f>
        <v>#DIV/0!</v>
      </c>
      <c r="AL191" s="35" t="e">
        <f>Table1[[#This Row],[RAB Perizinan]]/Table1[[#This Row],[Nilai RAB Jaringan
(Exclude Ppn)]]</f>
        <v>#DIV/0!</v>
      </c>
      <c r="AM191" s="42"/>
      <c r="AN191" s="256">
        <v>1096</v>
      </c>
      <c r="AO191" s="256">
        <f>SUM(Table1[[#This Row],[Pipa 63 mm]:[Pipa 1,800 mm]])</f>
        <v>0</v>
      </c>
      <c r="AP191" s="256"/>
      <c r="AQ191" s="256"/>
      <c r="AR191" s="256"/>
      <c r="AS191" s="256"/>
      <c r="AT191" s="256"/>
      <c r="AU191" s="256"/>
      <c r="AV191" s="256"/>
      <c r="AW191" s="256"/>
      <c r="AX191" s="256"/>
      <c r="AY191" s="256"/>
      <c r="AZ191" s="256"/>
      <c r="BA191" s="256"/>
      <c r="BB191" s="256"/>
      <c r="BC191" s="256"/>
      <c r="BD191" s="256"/>
      <c r="BE191" s="256"/>
      <c r="BF191" s="256"/>
      <c r="BG191" s="256"/>
      <c r="BH191" s="256"/>
      <c r="BI191" s="256"/>
      <c r="BJ191" s="36">
        <f>SUM(Table1[[#This Row],[Pipa 63 mm2]:[Pipa 1,800 mm21]])</f>
        <v>1075.4000000000001</v>
      </c>
      <c r="BK191" s="32">
        <v>789.8</v>
      </c>
      <c r="BL191" s="32">
        <v>285.60000000000002</v>
      </c>
      <c r="BM191" s="32"/>
      <c r="BN191" s="32"/>
      <c r="BO191" s="32"/>
      <c r="BP191" s="32"/>
      <c r="BQ191" s="32"/>
      <c r="BR191" s="32"/>
      <c r="BS191" s="32"/>
      <c r="BT191" s="32"/>
      <c r="BU191" s="32"/>
      <c r="BV191" s="32"/>
      <c r="BW191" s="32"/>
      <c r="BX191" s="32"/>
      <c r="BY191" s="32"/>
      <c r="BZ191" s="32"/>
      <c r="CA191" s="32"/>
      <c r="CB191" s="32"/>
      <c r="CC191" s="32"/>
      <c r="CD191" s="32"/>
      <c r="CE191" s="32">
        <v>0</v>
      </c>
      <c r="CF191" s="32">
        <v>0</v>
      </c>
      <c r="CG191" s="32">
        <v>0</v>
      </c>
      <c r="CH191" s="32">
        <v>0</v>
      </c>
      <c r="CI191" s="32">
        <f t="shared" si="10"/>
        <v>0</v>
      </c>
      <c r="CJ191" s="60">
        <f>IF((Table1[[#This Row],["Volume
BA MC-0"]]-Table1[[#This Row],[Total Panjang Pipa Aktual
(Sum-&gt;)3]]-Table1[[#This Row],[Total Volume
tidak dapat dipasang]])&gt;=0,Table1[[#This Row],["Volume
BA MC-0"]]-Table1[[#This Row],[Total Panjang Pipa Aktual
(Sum-&gt;)3]]-Table1[[#This Row],[Total Volume
tidak dapat dipasang]],0)</f>
        <v>20.599999999999909</v>
      </c>
      <c r="CK191" s="42"/>
      <c r="CL191" s="113"/>
      <c r="CM191" s="35"/>
      <c r="CN191" s="113"/>
      <c r="CO191" s="113"/>
      <c r="CP1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1" s="61">
        <f>IFERROR(Table1[[#This Row],[Progres Keg. Umum
(%)]]*Table1[[#This Row],[Nilai RAB Jaringan
(file pa aji)]],0)</f>
        <v>0</v>
      </c>
      <c r="CR191" s="61">
        <f>IFERROR(Table1[[#This Row],[Progres MOS
(%)]]*Table1[[#This Row],[Nilai RAB Jaringan
(file pa aji)]],0)</f>
        <v>0</v>
      </c>
      <c r="CS191" s="61">
        <f>IFERROR(Table1[[#This Row],[Progres Pemasangan
(%)]]*Table1[[#This Row],[Nilai RAB Jaringan
(file pa aji)]],0)</f>
        <v>0</v>
      </c>
      <c r="CT191" s="61">
        <f>IFERROR(Table1[[#This Row],[Progres Perizinan
(%)]]*Table1[[#This Row],[Nilai RAB Jaringan
(file pa aji)]],0)</f>
        <v>0</v>
      </c>
      <c r="CU191" s="789">
        <v>1600900275</v>
      </c>
      <c r="CV191" s="299">
        <v>1600900275</v>
      </c>
      <c r="CW191" s="552">
        <v>1600900275</v>
      </c>
      <c r="CX191" s="789">
        <f>_xlfn.XLOOKUP(Table1[[#This Row],[Kode Program]],'[1]Breakdown VOWD Greenfield'!$E:$E,'[1]Breakdown VOWD Greenfield'!$AT:$AT)</f>
        <v>1600900275</v>
      </c>
      <c r="CY191" s="42"/>
      <c r="CZ191" s="300">
        <v>45747</v>
      </c>
      <c r="DA191" s="300">
        <v>45774</v>
      </c>
      <c r="DB191" s="301">
        <v>45757</v>
      </c>
      <c r="DC191" s="286" t="s">
        <v>1415</v>
      </c>
      <c r="DD191" s="62">
        <v>1596658844</v>
      </c>
      <c r="DE1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1" s="301">
        <v>45783</v>
      </c>
      <c r="DG191" s="286" t="s">
        <v>1416</v>
      </c>
      <c r="DH191" s="62">
        <v>1596658844</v>
      </c>
      <c r="DI19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1" s="300">
        <v>45775</v>
      </c>
      <c r="DK191" s="300">
        <v>45816</v>
      </c>
      <c r="DL191" s="301">
        <v>45797</v>
      </c>
      <c r="DM191" s="286" t="s">
        <v>1417</v>
      </c>
      <c r="DN1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1" s="301">
        <v>45831</v>
      </c>
      <c r="DP191" s="286" t="s">
        <v>1418</v>
      </c>
      <c r="DQ191" s="308" t="s">
        <v>312</v>
      </c>
      <c r="DR1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1" s="300">
        <v>45775</v>
      </c>
      <c r="DT191" s="300" t="e">
        <v>#N/A</v>
      </c>
      <c r="DU191" s="300">
        <v>45816</v>
      </c>
      <c r="DV191" s="300" t="e">
        <v>#N/A</v>
      </c>
      <c r="DW191" s="301">
        <v>45797</v>
      </c>
      <c r="DX191" s="286" t="s">
        <v>1419</v>
      </c>
      <c r="DY191" s="304"/>
      <c r="DZ191" s="304"/>
      <c r="EA1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1" s="301">
        <v>46038</v>
      </c>
      <c r="EC191" s="302"/>
      <c r="ED191" s="302"/>
      <c r="EE191" s="300" t="s">
        <v>1420</v>
      </c>
      <c r="EF191" s="35">
        <v>1</v>
      </c>
      <c r="EG191" s="307">
        <v>1</v>
      </c>
      <c r="EH191" s="286" t="str">
        <f>IF(Table1[[#This Row],[PO Material Aktual 
(%)]]&gt;=100%,"Selesai PO = 100%",IF(Table1[[#This Row],[PO Material Aktual 
(%)]]&gt;=50%,"Proses PO &gt; 100%",IF(Table1[[#This Row],[PO Material Aktual 
(%)]]&gt;0%,"Proses PO &gt; 50%",IF(Table1[[#This Row],[PO Material Aktual 
(%)]]=0,"Belum PO = 0%"))))</f>
        <v>Selesai PO = 100%</v>
      </c>
      <c r="EI19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1" s="300">
        <v>45817</v>
      </c>
      <c r="EK191" s="300" t="e">
        <v>#N/A</v>
      </c>
      <c r="EL191" s="300">
        <v>45865</v>
      </c>
      <c r="EM191" s="300" t="e">
        <v>#N/A</v>
      </c>
      <c r="EN191" s="301">
        <v>46151</v>
      </c>
      <c r="EO191" s="302"/>
      <c r="EP191" s="302"/>
      <c r="EQ191" s="82">
        <v>1</v>
      </c>
      <c r="ER191" s="82">
        <v>1</v>
      </c>
      <c r="ES191" s="286" t="str">
        <f>IF(Table1[[#This Row],[Progres MOS]]&gt;=100%,"Selesai MOS = 100%",IF(Table1[[#This Row],[Progres MOS]]&gt;=50%,"Proses MOS &gt; 100%",IF(Table1[[#This Row],[Progres MOS]]&gt;0%,"Proses MOS &gt; 50%",IF(Table1[[#This Row],[Progres MOS]]=0,"Belum MOS = 0%"))))</f>
        <v>Selesai MOS = 100%</v>
      </c>
      <c r="ET1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1" s="42"/>
      <c r="EV191" s="300">
        <v>45775</v>
      </c>
      <c r="EW191" s="300" t="e">
        <v>#N/A</v>
      </c>
      <c r="EX191" s="300">
        <v>45865</v>
      </c>
      <c r="EY191" s="300" t="e">
        <v>#N/A</v>
      </c>
      <c r="EZ191" s="322" t="s">
        <v>298</v>
      </c>
      <c r="FA191" s="306" t="s">
        <v>259</v>
      </c>
      <c r="FB191" s="300" t="s">
        <v>260</v>
      </c>
      <c r="FC191" s="300">
        <v>45838</v>
      </c>
      <c r="FD191" s="300" t="s">
        <v>260</v>
      </c>
      <c r="FE191" s="300">
        <v>45888</v>
      </c>
      <c r="FF191" s="300">
        <v>45944</v>
      </c>
      <c r="FG191" s="300" t="s">
        <v>260</v>
      </c>
      <c r="FH191" s="300" t="s">
        <v>260</v>
      </c>
      <c r="FI191" s="300">
        <v>46010</v>
      </c>
      <c r="FJ191" s="300" t="s">
        <v>260</v>
      </c>
      <c r="FK191" s="300">
        <v>46113</v>
      </c>
      <c r="FL191" s="306" t="s">
        <v>298</v>
      </c>
      <c r="FM191" s="322">
        <v>45838</v>
      </c>
      <c r="FN191" s="308">
        <f>IF(Table1[[#This Row],[Tanggal Pengajuan Dokumen]]="","",Table1[[#This Row],[PLAN PERMIT
start]]-Table1[[#This Row],[Tanggal Pengajuan Dokumen]])</f>
        <v>-63</v>
      </c>
      <c r="FO191" s="407">
        <v>46086</v>
      </c>
      <c r="FP191" s="286"/>
      <c r="FQ191" s="308"/>
      <c r="FR191" s="308"/>
      <c r="FS191" s="308" t="str">
        <f t="shared" si="9"/>
        <v>Sudah Terbit</v>
      </c>
      <c r="FT19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1" s="314">
        <f ca="1">IF(Table1[[#This Row],[Status Izin]]="Selesai",Table1[[#This Row],[PLAN PERMIT
finish]]-Table1[[#This Row],[Tanggal Terbit/ Target Izin Terbit]],ROUNDUP(Table1[[#This Row],[PLAN PERMIT
finish]]-NOW(),0))</f>
        <v>-221</v>
      </c>
      <c r="FV19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1" s="314"/>
      <c r="FX191" s="42"/>
      <c r="FY191" s="310"/>
      <c r="FZ191" s="311"/>
      <c r="GA1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1" s="300">
        <v>45818</v>
      </c>
      <c r="GC191" s="322">
        <v>45826</v>
      </c>
      <c r="GD19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1" s="300">
        <v>45825</v>
      </c>
      <c r="GF191" s="322" t="s">
        <v>1385</v>
      </c>
      <c r="GG19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1" s="300">
        <v>45831</v>
      </c>
      <c r="GI191" s="300">
        <v>45832</v>
      </c>
      <c r="GJ191" s="322">
        <v>45832</v>
      </c>
      <c r="GK191"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1" s="300">
        <v>45866</v>
      </c>
      <c r="GM191" s="300" t="e">
        <v>#N/A</v>
      </c>
      <c r="GN191" s="300">
        <v>45914</v>
      </c>
      <c r="GO191" s="300" t="e">
        <v>#N/A</v>
      </c>
      <c r="GP191" s="286"/>
      <c r="GQ19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1" s="300" t="s">
        <v>261</v>
      </c>
      <c r="GS191" s="300" t="s">
        <v>261</v>
      </c>
      <c r="GT191" s="324">
        <v>45866</v>
      </c>
      <c r="GU191" s="314" t="str">
        <f>IF(Table1[[#This Row],[Hydro Tes Actual
(tanggal)]]&lt;&gt;"","Sudah","Belum")</f>
        <v>Sudah</v>
      </c>
      <c r="GV191" s="300" t="s">
        <v>261</v>
      </c>
      <c r="GW191" s="300" t="s">
        <v>261</v>
      </c>
      <c r="GX191" s="301">
        <v>45858</v>
      </c>
      <c r="GY191" s="314" t="str">
        <f>IF(Table1[[#This Row],[Interkoneksi Actual
(tanggal)]]&lt;&gt;"","Sudah","Belum")</f>
        <v>Sudah</v>
      </c>
      <c r="GZ191" s="300" t="s">
        <v>261</v>
      </c>
      <c r="HA191" s="300" t="s">
        <v>261</v>
      </c>
      <c r="HB191" s="301"/>
      <c r="HC191" s="314" t="str">
        <f>IF(Table1[[#This Row],[Flushing Actual
(tanggal)]]&lt;&gt;"","Sudah","Belum")</f>
        <v>Belum</v>
      </c>
      <c r="HD191" s="300">
        <v>45905</v>
      </c>
      <c r="HE191" s="300" t="e">
        <v>#N/A</v>
      </c>
      <c r="HF191" s="300">
        <v>45910</v>
      </c>
      <c r="HG191" s="301">
        <v>45894</v>
      </c>
      <c r="HH19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191" s="300" t="s">
        <v>261</v>
      </c>
      <c r="HJ191" s="300" t="s">
        <v>261</v>
      </c>
      <c r="HK191" s="301"/>
      <c r="HL191" s="286"/>
      <c r="HM191" s="300">
        <v>45919</v>
      </c>
      <c r="HN191" s="300">
        <v>45919</v>
      </c>
      <c r="HO191" s="300" t="e">
        <v>#N/A</v>
      </c>
      <c r="HP191" s="300"/>
      <c r="HQ191" s="301">
        <v>45894</v>
      </c>
      <c r="HR19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191" s="300">
        <v>45926</v>
      </c>
      <c r="HT191" s="300"/>
      <c r="HU191" s="300">
        <v>45926</v>
      </c>
      <c r="HV191" s="497"/>
      <c r="HW191" s="301">
        <v>45931</v>
      </c>
      <c r="HX19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1" s="42"/>
      <c r="HZ191" s="322"/>
      <c r="IA191" s="306"/>
      <c r="IC191" s="585">
        <f>IFERROR(ROUND((Table1[[#This Row],[PLAN TC
finish]]-Table1[[#This Row],[PLAN MC-0
start]])/30,2),"")</f>
        <v>2.63</v>
      </c>
      <c r="ID191">
        <f>DATEDIF(Table1[[#This Row],[PLAN MC-0
start]],Table1[[#This Row],[PLAN TC
finish]],"m")</f>
        <v>2</v>
      </c>
    </row>
    <row r="192" spans="1:238" s="30" customFormat="1" ht="15" customHeight="1" x14ac:dyDescent="0.25">
      <c r="A192" s="72"/>
      <c r="B192" s="281">
        <f>SUBTOTAL(3,$D$5:D192)</f>
        <v>188</v>
      </c>
      <c r="C192" s="332">
        <v>188</v>
      </c>
      <c r="D192" s="336" t="s">
        <v>244</v>
      </c>
      <c r="E192" s="336" t="s">
        <v>1421</v>
      </c>
      <c r="F192" s="336" t="s">
        <v>1422</v>
      </c>
      <c r="G192" s="334">
        <v>45935</v>
      </c>
      <c r="H192" s="336" t="s">
        <v>681</v>
      </c>
      <c r="I192" s="336" t="s">
        <v>278</v>
      </c>
      <c r="J192" s="355" t="s">
        <v>389</v>
      </c>
      <c r="K192" s="336" t="s">
        <v>1165</v>
      </c>
      <c r="L192" s="337" t="s">
        <v>250</v>
      </c>
      <c r="M192" s="337" t="s">
        <v>269</v>
      </c>
      <c r="N192" s="338">
        <v>19</v>
      </c>
      <c r="O192" s="339" t="s">
        <v>252</v>
      </c>
      <c r="P19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2" s="340" t="s">
        <v>389</v>
      </c>
      <c r="R192" s="341" t="e">
        <v>#N/A</v>
      </c>
      <c r="S192" s="341">
        <v>1</v>
      </c>
      <c r="T192" s="341">
        <f>Table1[[#This Row],[Progres Total Aktual
(%)]]</f>
        <v>0</v>
      </c>
      <c r="U192" s="342">
        <f>Table1[[#This Row],[Progres Aktual
(%)]]-Table1[[#This Row],[Target Progres
(%)]]</f>
        <v>-1</v>
      </c>
      <c r="V192" s="343">
        <f>Table1[[#This Row],["Volume
BA MC-0"]]</f>
        <v>18</v>
      </c>
      <c r="W192" s="344">
        <f>Table1[[#This Row],[Total Panjang Pipa Aktual
(Sum-&gt;)3]]</f>
        <v>0</v>
      </c>
      <c r="X192" s="42"/>
      <c r="Y192" s="62" t="s">
        <v>1423</v>
      </c>
      <c r="Z192" s="345">
        <v>44660203</v>
      </c>
      <c r="AA192" s="62">
        <f>Table1[[#This Row],[Nilai RAB Jaringan
(file pa aji)]]</f>
        <v>44660203</v>
      </c>
      <c r="AB192" s="340">
        <f>SUM(Table1[[#This Row],[RAB Kegiatan Umum]:[RAB Perizinan]])</f>
        <v>0</v>
      </c>
      <c r="AC192" s="340"/>
      <c r="AD192" s="340"/>
      <c r="AE192" s="340"/>
      <c r="AF192" s="340"/>
      <c r="AG192" s="409">
        <v>31605580</v>
      </c>
      <c r="AH192" s="341" t="e">
        <f>SUM(Table1[[#This Row],[Bobot Keg Umum]:[Bobot Perizinan]])</f>
        <v>#DIV/0!</v>
      </c>
      <c r="AI192" s="341" t="e">
        <f>Table1[[#This Row],[RAB Kegiatan Umum]]/Table1[[#This Row],[Nilai RAB Jaringan
(Exclude Ppn)]]</f>
        <v>#DIV/0!</v>
      </c>
      <c r="AJ192" s="341" t="e">
        <f>Table1[[#This Row],[RAB Pemasangan]]/Table1[[#This Row],[Nilai RAB Jaringan
(Exclude Ppn)]]</f>
        <v>#DIV/0!</v>
      </c>
      <c r="AK192" s="341" t="e">
        <f>Table1[[#This Row],[RAB Pengadaan]]/Table1[[#This Row],[Nilai RAB Jaringan
(Exclude Ppn)]]</f>
        <v>#DIV/0!</v>
      </c>
      <c r="AL192" s="341" t="e">
        <f>Table1[[#This Row],[RAB Perizinan]]/Table1[[#This Row],[Nilai RAB Jaringan
(Exclude Ppn)]]</f>
        <v>#DIV/0!</v>
      </c>
      <c r="AM192" s="42"/>
      <c r="AN192" s="346">
        <v>18</v>
      </c>
      <c r="AO192" s="346">
        <f>SUM(Table1[[#This Row],[Pipa 63 mm]:[Pipa 1,800 mm]])</f>
        <v>0</v>
      </c>
      <c r="AP192" s="346"/>
      <c r="AQ192" s="346"/>
      <c r="AR192" s="346"/>
      <c r="AS192" s="346"/>
      <c r="AT192" s="346"/>
      <c r="AU192" s="346"/>
      <c r="AV192" s="346"/>
      <c r="AW192" s="346"/>
      <c r="AX192" s="346"/>
      <c r="AY192" s="346"/>
      <c r="AZ192" s="346"/>
      <c r="BA192" s="346"/>
      <c r="BB192" s="346"/>
      <c r="BC192" s="346"/>
      <c r="BD192" s="346"/>
      <c r="BE192" s="346"/>
      <c r="BF192" s="346"/>
      <c r="BG192" s="346"/>
      <c r="BH192" s="346"/>
      <c r="BI192" s="346"/>
      <c r="BJ192" s="347">
        <f>SUM(Table1[[#This Row],[Pipa 63 mm2]:[Pipa 1,800 mm21]])</f>
        <v>0</v>
      </c>
      <c r="BK192" s="348"/>
      <c r="BL192" s="348"/>
      <c r="BM192" s="348"/>
      <c r="BN192" s="348"/>
      <c r="BO192" s="348"/>
      <c r="BP192" s="348"/>
      <c r="BQ192" s="348"/>
      <c r="BR192" s="348"/>
      <c r="BS192" s="348"/>
      <c r="BT192" s="348"/>
      <c r="BU192" s="348"/>
      <c r="BV192" s="348"/>
      <c r="BW192" s="348"/>
      <c r="BX192" s="348"/>
      <c r="BY192" s="348"/>
      <c r="BZ192" s="348"/>
      <c r="CA192" s="348"/>
      <c r="CB192" s="348"/>
      <c r="CC192" s="348"/>
      <c r="CD192" s="348"/>
      <c r="CE192" s="348">
        <v>0</v>
      </c>
      <c r="CF192" s="348">
        <v>19</v>
      </c>
      <c r="CG192" s="348">
        <v>0</v>
      </c>
      <c r="CH192" s="348">
        <v>0</v>
      </c>
      <c r="CI192" s="348">
        <f t="shared" si="10"/>
        <v>19</v>
      </c>
      <c r="CJ192" s="348">
        <f>IF((Table1[[#This Row],["Volume
BA MC-0"]]-Table1[[#This Row],[Total Panjang Pipa Aktual
(Sum-&gt;)3]]-Table1[[#This Row],[Total Volume
tidak dapat dipasang]])&gt;=0,Table1[[#This Row],["Volume
BA MC-0"]]-Table1[[#This Row],[Total Panjang Pipa Aktual
(Sum-&gt;)3]]-Table1[[#This Row],[Total Volume
tidak dapat dipasang]],0)</f>
        <v>0</v>
      </c>
      <c r="CK192" s="42"/>
      <c r="CL192" s="349"/>
      <c r="CM192" s="341"/>
      <c r="CN192" s="349"/>
      <c r="CO192" s="349"/>
      <c r="CP1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2" s="350">
        <f>IFERROR(Table1[[#This Row],[Progres Keg. Umum
(%)]]*Table1[[#This Row],[Nilai RAB Jaringan
(file pa aji)]],0)</f>
        <v>0</v>
      </c>
      <c r="CR192" s="350">
        <f>IFERROR(Table1[[#This Row],[Progres MOS
(%)]]*Table1[[#This Row],[Nilai RAB Jaringan
(file pa aji)]],0)</f>
        <v>0</v>
      </c>
      <c r="CS192" s="350">
        <f>IFERROR(Table1[[#This Row],[Progres Pemasangan
(%)]]*Table1[[#This Row],[Nilai RAB Jaringan
(file pa aji)]],0)</f>
        <v>0</v>
      </c>
      <c r="CT192" s="350">
        <f>IFERROR(Table1[[#This Row],[Progres Perizinan
(%)]]*Table1[[#This Row],[Nilai RAB Jaringan
(file pa aji)]],0)</f>
        <v>0</v>
      </c>
      <c r="CU192" s="789">
        <v>0</v>
      </c>
      <c r="CV192" s="299">
        <v>0</v>
      </c>
      <c r="CW192" s="551">
        <v>0</v>
      </c>
      <c r="CX192" s="789">
        <f>_xlfn.XLOOKUP(Table1[[#This Row],[Kode Program]],'[1]Breakdown VOWD Greenfield'!$E:$E,'[1]Breakdown VOWD Greenfield'!$AT:$AT)</f>
        <v>0</v>
      </c>
      <c r="CY192" s="42"/>
      <c r="CZ192" s="356">
        <v>45747</v>
      </c>
      <c r="DA192" s="356">
        <v>45774</v>
      </c>
      <c r="DB192" s="301">
        <v>45731</v>
      </c>
      <c r="DC192" s="337" t="s">
        <v>1424</v>
      </c>
      <c r="DD192" s="345">
        <v>44660203</v>
      </c>
      <c r="DE1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2" s="301">
        <v>45763</v>
      </c>
      <c r="DG192" s="337" t="s">
        <v>1425</v>
      </c>
      <c r="DH192" s="345">
        <v>44660203</v>
      </c>
      <c r="DI192"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2" s="356">
        <v>45775</v>
      </c>
      <c r="DK192" s="356">
        <v>45816</v>
      </c>
      <c r="DL192" s="301">
        <v>45782</v>
      </c>
      <c r="DM192" s="351" t="s">
        <v>1426</v>
      </c>
      <c r="DN1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2" s="301">
        <v>45831</v>
      </c>
      <c r="DP192" s="337" t="s">
        <v>1427</v>
      </c>
      <c r="DQ192" s="336" t="s">
        <v>312</v>
      </c>
      <c r="DR1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2" s="356">
        <v>45775</v>
      </c>
      <c r="DT192" s="356" t="e">
        <v>#N/A</v>
      </c>
      <c r="DU192" s="356">
        <v>45816</v>
      </c>
      <c r="DV192" s="356" t="e">
        <v>#N/A</v>
      </c>
      <c r="DW192" s="301"/>
      <c r="DX192" s="337">
        <v>0</v>
      </c>
      <c r="DY192" s="352"/>
      <c r="DZ192" s="352"/>
      <c r="EA1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2" s="301"/>
      <c r="EC192" s="302"/>
      <c r="ED192" s="302"/>
      <c r="EE192" s="300"/>
      <c r="EF192" s="341" t="b">
        <v>0</v>
      </c>
      <c r="EG192" s="353" t="b">
        <v>0</v>
      </c>
      <c r="EH192" s="286" t="str">
        <f>IF(Table1[[#This Row],[PO Material Aktual 
(%)]]&gt;=100%,"Selesai PO = 100%",IF(Table1[[#This Row],[PO Material Aktual 
(%)]]&gt;=50%,"Proses PO &gt; 100%",IF(Table1[[#This Row],[PO Material Aktual 
(%)]]&gt;0%,"Proses PO &gt; 50%",IF(Table1[[#This Row],[PO Material Aktual 
(%)]]=0,"Belum PO = 0%"))))</f>
        <v>Selesai PO = 100%</v>
      </c>
      <c r="EI1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2" s="356">
        <v>45817</v>
      </c>
      <c r="EK192" s="356" t="e">
        <v>#N/A</v>
      </c>
      <c r="EL192" s="356">
        <v>45865</v>
      </c>
      <c r="EM192" s="356" t="e">
        <v>#N/A</v>
      </c>
      <c r="EN192" s="301"/>
      <c r="EO192" s="302"/>
      <c r="EP192" s="302"/>
      <c r="EQ192" s="83" t="b">
        <v>0</v>
      </c>
      <c r="ER192" s="83" t="b">
        <v>0</v>
      </c>
      <c r="ES192" s="286" t="str">
        <f>IF(Table1[[#This Row],[Progres MOS]]&gt;=100%,"Selesai MOS = 100%",IF(Table1[[#This Row],[Progres MOS]]&gt;=50%,"Proses MOS &gt; 100%",IF(Table1[[#This Row],[Progres MOS]]&gt;0%,"Proses MOS &gt; 50%",IF(Table1[[#This Row],[Progres MOS]]=0,"Belum MOS = 0%"))))</f>
        <v>Selesai MOS = 100%</v>
      </c>
      <c r="ET1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2" s="42"/>
      <c r="EV192" s="356">
        <v>45775</v>
      </c>
      <c r="EW192" s="356" t="e">
        <v>#N/A</v>
      </c>
      <c r="EX192" s="356">
        <v>45865</v>
      </c>
      <c r="EY192" s="356" t="e">
        <v>#N/A</v>
      </c>
      <c r="EZ192" s="354" t="s">
        <v>298</v>
      </c>
      <c r="FA192" s="355" t="s">
        <v>389</v>
      </c>
      <c r="FB192" s="356"/>
      <c r="FC192" s="300"/>
      <c r="FD192" s="356"/>
      <c r="FE192" s="356"/>
      <c r="FF192" s="356"/>
      <c r="FG192" s="356"/>
      <c r="FH192" s="356"/>
      <c r="FI192" s="356"/>
      <c r="FJ192" s="356"/>
      <c r="FK192" s="356"/>
      <c r="FL192" s="306" t="str">
        <f>Table1[[#This Row],[IPPJU]]</f>
        <v>9.Proses Penerbitan Izin</v>
      </c>
      <c r="FM192" s="306"/>
      <c r="FN192" s="284" t="str">
        <f>IF(Table1[[#This Row],[Tanggal Pengajuan Dokumen]]="","",Table1[[#This Row],[PLAN PERMIT
start]]-Table1[[#This Row],[Tanggal Pengajuan Dokumen]])</f>
        <v/>
      </c>
      <c r="FO192" s="414">
        <v>46086</v>
      </c>
      <c r="FP192" s="286"/>
      <c r="FQ192" s="308"/>
      <c r="FR192" s="308"/>
      <c r="FS192" s="308" t="str">
        <f t="shared" si="9"/>
        <v>On Going</v>
      </c>
      <c r="FT19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2" s="357">
        <f ca="1">IF(Table1[[#This Row],[Status Izin]]="Selesai",Table1[[#This Row],[PLAN PERMIT
finish]]-Table1[[#This Row],[Tanggal Terbit/ Target Izin Terbit]],ROUNDUP(Table1[[#This Row],[PLAN PERMIT
finish]]-NOW(),0))</f>
        <v>-339</v>
      </c>
      <c r="FV19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2" s="357"/>
      <c r="FX192" s="42"/>
      <c r="FY192" s="310"/>
      <c r="FZ192" s="311"/>
      <c r="GA1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2" s="356">
        <v>45818</v>
      </c>
      <c r="GC192" s="354">
        <v>45826</v>
      </c>
      <c r="GD19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2" s="356">
        <v>45825</v>
      </c>
      <c r="GF192" s="354" t="s">
        <v>1385</v>
      </c>
      <c r="GG19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2" s="356">
        <v>45831</v>
      </c>
      <c r="GI192" s="356">
        <v>45832</v>
      </c>
      <c r="GJ192" s="354">
        <v>45467</v>
      </c>
      <c r="GK19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2" s="356">
        <v>45866</v>
      </c>
      <c r="GM192" s="356" t="e">
        <v>#N/A</v>
      </c>
      <c r="GN192" s="356">
        <v>45886</v>
      </c>
      <c r="GO192" s="356" t="e">
        <v>#N/A</v>
      </c>
      <c r="GP192" s="337"/>
      <c r="GQ19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2" s="356" t="s">
        <v>261</v>
      </c>
      <c r="GS192" s="356" t="s">
        <v>261</v>
      </c>
      <c r="GT192" s="360"/>
      <c r="GU192" s="357" t="str">
        <f>IF(Table1[[#This Row],[Hydro Tes Actual
(tanggal)]]&lt;&gt;"","Sudah","Belum")</f>
        <v>Belum</v>
      </c>
      <c r="GV192" s="356" t="s">
        <v>261</v>
      </c>
      <c r="GW192" s="356" t="s">
        <v>261</v>
      </c>
      <c r="GX192" s="358"/>
      <c r="GY192" s="314" t="str">
        <f>IF(Table1[[#This Row],[Interkoneksi Actual
(tanggal)]]&lt;&gt;"","Sudah","Belum")</f>
        <v>Belum</v>
      </c>
      <c r="GZ192" s="356" t="s">
        <v>261</v>
      </c>
      <c r="HA192" s="356" t="s">
        <v>261</v>
      </c>
      <c r="HB192" s="358"/>
      <c r="HC192" s="314" t="str">
        <f>IF(Table1[[#This Row],[Flushing Actual
(tanggal)]]&lt;&gt;"","Sudah","Belum")</f>
        <v>Belum</v>
      </c>
      <c r="HD192" s="356">
        <v>45877</v>
      </c>
      <c r="HE192" s="356" t="e">
        <v>#N/A</v>
      </c>
      <c r="HF192" s="356">
        <v>45882</v>
      </c>
      <c r="HG192" s="358"/>
      <c r="HH19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2" s="356" t="s">
        <v>261</v>
      </c>
      <c r="HJ192" s="356" t="s">
        <v>261</v>
      </c>
      <c r="HK192" s="358"/>
      <c r="HL192" s="337"/>
      <c r="HM192" s="356">
        <v>45891</v>
      </c>
      <c r="HN192" s="356">
        <v>45891</v>
      </c>
      <c r="HO192" s="356" t="e">
        <v>#N/A</v>
      </c>
      <c r="HP192" s="356"/>
      <c r="HQ192" s="358"/>
      <c r="HR192"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2" s="356">
        <v>45898</v>
      </c>
      <c r="HT192" s="356"/>
      <c r="HU192" s="356">
        <v>45898</v>
      </c>
      <c r="HV192" s="580"/>
      <c r="HW192" s="358"/>
      <c r="HX19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2" s="42"/>
      <c r="HZ192" s="354"/>
      <c r="IA192" s="306"/>
      <c r="IC192" s="585">
        <f>IFERROR(ROUND((Table1[[#This Row],[PLAN TC
finish]]-Table1[[#This Row],[PLAN MC-0
start]])/30,2),"")</f>
        <v>1.7</v>
      </c>
      <c r="ID192">
        <f>DATEDIF(Table1[[#This Row],[PLAN MC-0
start]],Table1[[#This Row],[PLAN TC
finish]],"m")</f>
        <v>1</v>
      </c>
    </row>
    <row r="193" spans="1:238" s="4" customFormat="1" ht="15" customHeight="1" x14ac:dyDescent="0.25">
      <c r="B193" s="281">
        <f>SUBTOTAL(3,$D$5:D193)</f>
        <v>189</v>
      </c>
      <c r="C193" s="318">
        <v>189</v>
      </c>
      <c r="D193" s="308" t="s">
        <v>244</v>
      </c>
      <c r="E193" s="308" t="s">
        <v>1428</v>
      </c>
      <c r="F193" s="308" t="s">
        <v>1429</v>
      </c>
      <c r="G193" s="319">
        <v>45935</v>
      </c>
      <c r="H193" s="308" t="s">
        <v>681</v>
      </c>
      <c r="I193" s="308" t="s">
        <v>278</v>
      </c>
      <c r="J193" s="285" t="s">
        <v>882</v>
      </c>
      <c r="K193" s="308" t="s">
        <v>1165</v>
      </c>
      <c r="L193" s="286" t="s">
        <v>250</v>
      </c>
      <c r="M193" s="286" t="s">
        <v>269</v>
      </c>
      <c r="N193" s="94">
        <v>889</v>
      </c>
      <c r="O193" s="31" t="s">
        <v>252</v>
      </c>
      <c r="P19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3" s="35" t="e">
        <v>#N/A</v>
      </c>
      <c r="S193" s="35">
        <v>1</v>
      </c>
      <c r="T193" s="35">
        <f>Table1[[#This Row],[Progres Total Aktual
(%)]]</f>
        <v>1</v>
      </c>
      <c r="U193" s="106">
        <f>Table1[[#This Row],[Progres Aktual
(%)]]-Table1[[#This Row],[Target Progres
(%)]]</f>
        <v>0</v>
      </c>
      <c r="V193" s="320">
        <f>Table1[[#This Row],["Volume
BA MC-0"]]</f>
        <v>978</v>
      </c>
      <c r="W193" s="321">
        <f>Table1[[#This Row],[Total Panjang Pipa Aktual
(Sum-&gt;)3]]</f>
        <v>889</v>
      </c>
      <c r="X193" s="42"/>
      <c r="Y193" s="62" t="s">
        <v>1430</v>
      </c>
      <c r="Z193" s="62">
        <v>1865946320</v>
      </c>
      <c r="AA193" s="62">
        <f>Table1[[#This Row],[Nilai RAB Jaringan
(file pa aji)]]</f>
        <v>1865946320</v>
      </c>
      <c r="AB193" s="290">
        <f>SUM(Table1[[#This Row],[RAB Kegiatan Umum]:[RAB Perizinan]])</f>
        <v>0</v>
      </c>
      <c r="AC193" s="290"/>
      <c r="AD193" s="290"/>
      <c r="AE193" s="290"/>
      <c r="AF193" s="290"/>
      <c r="AG193" s="406">
        <v>73746353</v>
      </c>
      <c r="AH193" s="35" t="e">
        <f>SUM(Table1[[#This Row],[Bobot Keg Umum]:[Bobot Perizinan]])</f>
        <v>#DIV/0!</v>
      </c>
      <c r="AI193" s="35" t="e">
        <f>Table1[[#This Row],[RAB Kegiatan Umum]]/Table1[[#This Row],[Nilai RAB Jaringan
(Exclude Ppn)]]</f>
        <v>#DIV/0!</v>
      </c>
      <c r="AJ193" s="35" t="e">
        <f>Table1[[#This Row],[RAB Pemasangan]]/Table1[[#This Row],[Nilai RAB Jaringan
(Exclude Ppn)]]</f>
        <v>#DIV/0!</v>
      </c>
      <c r="AK193" s="35" t="e">
        <f>Table1[[#This Row],[RAB Pengadaan]]/Table1[[#This Row],[Nilai RAB Jaringan
(Exclude Ppn)]]</f>
        <v>#DIV/0!</v>
      </c>
      <c r="AL193" s="35" t="e">
        <f>Table1[[#This Row],[RAB Perizinan]]/Table1[[#This Row],[Nilai RAB Jaringan
(Exclude Ppn)]]</f>
        <v>#DIV/0!</v>
      </c>
      <c r="AM193" s="42"/>
      <c r="AN193" s="256">
        <v>978</v>
      </c>
      <c r="AO193" s="256">
        <f>SUM(Table1[[#This Row],[Pipa 63 mm]:[Pipa 1,800 mm]])</f>
        <v>0</v>
      </c>
      <c r="AP193" s="256"/>
      <c r="AQ193" s="256"/>
      <c r="AR193" s="256"/>
      <c r="AS193" s="256"/>
      <c r="AT193" s="256"/>
      <c r="AU193" s="256"/>
      <c r="AV193" s="256"/>
      <c r="AW193" s="256"/>
      <c r="AX193" s="256"/>
      <c r="AY193" s="256"/>
      <c r="AZ193" s="256"/>
      <c r="BA193" s="256"/>
      <c r="BB193" s="256"/>
      <c r="BC193" s="256"/>
      <c r="BD193" s="256"/>
      <c r="BE193" s="256"/>
      <c r="BF193" s="256"/>
      <c r="BG193" s="256"/>
      <c r="BH193" s="256"/>
      <c r="BI193" s="256"/>
      <c r="BJ193" s="36">
        <f>SUM(Table1[[#This Row],[Pipa 63 mm2]:[Pipa 1,800 mm21]])</f>
        <v>889</v>
      </c>
      <c r="BK193" s="32">
        <v>760</v>
      </c>
      <c r="BL193" s="32">
        <v>129</v>
      </c>
      <c r="BM193" s="32"/>
      <c r="BN193" s="32"/>
      <c r="BO193" s="32"/>
      <c r="BP193" s="32"/>
      <c r="BQ193" s="32"/>
      <c r="BR193" s="32"/>
      <c r="BS193" s="32"/>
      <c r="BT193" s="32"/>
      <c r="BU193" s="32"/>
      <c r="BV193" s="32"/>
      <c r="BW193" s="32"/>
      <c r="BX193" s="32"/>
      <c r="BY193" s="32"/>
      <c r="BZ193" s="32"/>
      <c r="CA193" s="32"/>
      <c r="CB193" s="32"/>
      <c r="CC193" s="32"/>
      <c r="CD193" s="32"/>
      <c r="CE193" s="32">
        <v>0</v>
      </c>
      <c r="CF193" s="32">
        <v>0</v>
      </c>
      <c r="CG193" s="32">
        <v>0</v>
      </c>
      <c r="CH193" s="32">
        <v>0</v>
      </c>
      <c r="CI193" s="32">
        <f t="shared" si="10"/>
        <v>0</v>
      </c>
      <c r="CJ193" s="60">
        <f>IF((Table1[[#This Row],["Volume
BA MC-0"]]-Table1[[#This Row],[Total Panjang Pipa Aktual
(Sum-&gt;)3]]-Table1[[#This Row],[Total Volume
tidak dapat dipasang]])&gt;=0,Table1[[#This Row],["Volume
BA MC-0"]]-Table1[[#This Row],[Total Panjang Pipa Aktual
(Sum-&gt;)3]]-Table1[[#This Row],[Total Volume
tidak dapat dipasang]],0)</f>
        <v>89</v>
      </c>
      <c r="CK193" s="42"/>
      <c r="CL193" s="113"/>
      <c r="CM193" s="35"/>
      <c r="CN193" s="113"/>
      <c r="CO193" s="113"/>
      <c r="CP1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3" s="61">
        <f>IFERROR(Table1[[#This Row],[Progres Keg. Umum
(%)]]*Table1[[#This Row],[Nilai RAB Jaringan
(file pa aji)]],0)</f>
        <v>0</v>
      </c>
      <c r="CR193" s="61">
        <f>IFERROR(Table1[[#This Row],[Progres MOS
(%)]]*Table1[[#This Row],[Nilai RAB Jaringan
(file pa aji)]],0)</f>
        <v>0</v>
      </c>
      <c r="CS193" s="61">
        <f>IFERROR(Table1[[#This Row],[Progres Pemasangan
(%)]]*Table1[[#This Row],[Nilai RAB Jaringan
(file pa aji)]],0)</f>
        <v>0</v>
      </c>
      <c r="CT193" s="61">
        <f>IFERROR(Table1[[#This Row],[Progres Perizinan
(%)]]*Table1[[#This Row],[Nilai RAB Jaringan
(file pa aji)]],0)</f>
        <v>0</v>
      </c>
      <c r="CU193" s="789">
        <v>3094782505</v>
      </c>
      <c r="CV193" s="299">
        <v>3094782505</v>
      </c>
      <c r="CW193" s="552">
        <v>3094782505</v>
      </c>
      <c r="CX193" s="789">
        <f>_xlfn.XLOOKUP(Table1[[#This Row],[Kode Program]],'[1]Breakdown VOWD Greenfield'!$E:$E,'[1]Breakdown VOWD Greenfield'!$AT:$AT)</f>
        <v>3094782505</v>
      </c>
      <c r="CY193" s="42"/>
      <c r="CZ193" s="300">
        <v>45747</v>
      </c>
      <c r="DA193" s="300">
        <v>45774</v>
      </c>
      <c r="DB193" s="301">
        <v>45758</v>
      </c>
      <c r="DC193" s="286" t="s">
        <v>1431</v>
      </c>
      <c r="DD193" s="62">
        <v>1865946319</v>
      </c>
      <c r="DE1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3" s="301">
        <v>45771</v>
      </c>
      <c r="DG193" s="286" t="s">
        <v>1432</v>
      </c>
      <c r="DH193" s="62">
        <v>1865946319</v>
      </c>
      <c r="DI1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3" s="300">
        <v>45775</v>
      </c>
      <c r="DK193" s="300">
        <v>45816</v>
      </c>
      <c r="DL193" s="301">
        <v>45792</v>
      </c>
      <c r="DM193" s="286" t="s">
        <v>1433</v>
      </c>
      <c r="DN1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3" s="301">
        <v>45825</v>
      </c>
      <c r="DP193" s="286" t="s">
        <v>1434</v>
      </c>
      <c r="DQ193" s="308" t="s">
        <v>560</v>
      </c>
      <c r="DR1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3" s="300">
        <v>45775</v>
      </c>
      <c r="DT193" s="300" t="e">
        <v>#N/A</v>
      </c>
      <c r="DU193" s="300">
        <v>45816</v>
      </c>
      <c r="DV193" s="300" t="e">
        <v>#N/A</v>
      </c>
      <c r="DW193" s="301">
        <v>45792</v>
      </c>
      <c r="DX193" s="286" t="s">
        <v>1435</v>
      </c>
      <c r="DY193" s="304"/>
      <c r="DZ193" s="304"/>
      <c r="EA1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3" s="301">
        <v>46112</v>
      </c>
      <c r="EC193" s="302"/>
      <c r="ED193" s="302"/>
      <c r="EE193" s="300" t="s">
        <v>1436</v>
      </c>
      <c r="EF193" s="35" t="b">
        <v>0</v>
      </c>
      <c r="EG193" s="307" t="b">
        <v>0</v>
      </c>
      <c r="EH193" s="286" t="str">
        <f>IF(Table1[[#This Row],[PO Material Aktual 
(%)]]&gt;=100%,"Selesai PO = 100%",IF(Table1[[#This Row],[PO Material Aktual 
(%)]]&gt;=50%,"Proses PO &gt; 100%",IF(Table1[[#This Row],[PO Material Aktual 
(%)]]&gt;0%,"Proses PO &gt; 50%",IF(Table1[[#This Row],[PO Material Aktual 
(%)]]=0,"Belum PO = 0%"))))</f>
        <v>Selesai PO = 100%</v>
      </c>
      <c r="EI193"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3" s="300">
        <v>45817</v>
      </c>
      <c r="EK193" s="300" t="e">
        <v>#N/A</v>
      </c>
      <c r="EL193" s="300">
        <v>45865</v>
      </c>
      <c r="EM193" s="300" t="e">
        <v>#N/A</v>
      </c>
      <c r="EN193" s="301">
        <v>46151</v>
      </c>
      <c r="EO193" s="302"/>
      <c r="EP193" s="302"/>
      <c r="EQ193" s="82" t="b">
        <v>0</v>
      </c>
      <c r="ER193" s="82" t="b">
        <v>0</v>
      </c>
      <c r="ES193" s="286" t="str">
        <f>IF(Table1[[#This Row],[Progres MOS]]&gt;=100%,"Selesai MOS = 100%",IF(Table1[[#This Row],[Progres MOS]]&gt;=50%,"Proses MOS &gt; 100%",IF(Table1[[#This Row],[Progres MOS]]&gt;0%,"Proses MOS &gt; 50%",IF(Table1[[#This Row],[Progres MOS]]=0,"Belum MOS = 0%"))))</f>
        <v>Selesai MOS = 100%</v>
      </c>
      <c r="ET1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3" s="42"/>
      <c r="EV193" s="300">
        <v>45775</v>
      </c>
      <c r="EW193" s="300" t="e">
        <v>#N/A</v>
      </c>
      <c r="EX193" s="300">
        <v>45865</v>
      </c>
      <c r="EY193" s="300" t="e">
        <v>#N/A</v>
      </c>
      <c r="EZ193" s="322" t="s">
        <v>298</v>
      </c>
      <c r="FA193" s="306" t="s">
        <v>259</v>
      </c>
      <c r="FB193" s="300" t="s">
        <v>260</v>
      </c>
      <c r="FC193" s="300">
        <v>45838</v>
      </c>
      <c r="FD193" s="300" t="s">
        <v>260</v>
      </c>
      <c r="FE193" s="300">
        <v>45888</v>
      </c>
      <c r="FF193" s="300">
        <v>45944</v>
      </c>
      <c r="FG193" s="300" t="s">
        <v>260</v>
      </c>
      <c r="FH193" s="300" t="s">
        <v>260</v>
      </c>
      <c r="FI193" s="300">
        <v>46010</v>
      </c>
      <c r="FJ193" s="300" t="s">
        <v>260</v>
      </c>
      <c r="FK193" s="300">
        <v>46113</v>
      </c>
      <c r="FL193" s="306" t="s">
        <v>298</v>
      </c>
      <c r="FM193" s="322">
        <v>45838</v>
      </c>
      <c r="FN193" s="308">
        <f>IF(Table1[[#This Row],[Tanggal Pengajuan Dokumen]]="","",Table1[[#This Row],[PLAN PERMIT
start]]-Table1[[#This Row],[Tanggal Pengajuan Dokumen]])</f>
        <v>-63</v>
      </c>
      <c r="FO193" s="407">
        <v>46086</v>
      </c>
      <c r="FP193" s="286"/>
      <c r="FQ193" s="308"/>
      <c r="FR193" s="308"/>
      <c r="FS193" s="308" t="str">
        <f t="shared" ref="FS193:FS256" si="11">IF(AND(COUNTIF(EZ193:FR193,"*terbit*")&gt;=1,COUNTBLANK(FP193:FR193)=3),"Sudah Terbit",IF(COUNTIF(EZ193:FR193,"*terbit*")=COUNTA(EZ193:FR193),"Sudah Terbit","On Going"))</f>
        <v>Sudah Terbit</v>
      </c>
      <c r="FT1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3" s="314">
        <f ca="1">IF(Table1[[#This Row],[Status Izin]]="Selesai",Table1[[#This Row],[PLAN PERMIT
finish]]-Table1[[#This Row],[Tanggal Terbit/ Target Izin Terbit]],ROUNDUP(Table1[[#This Row],[PLAN PERMIT
finish]]-NOW(),0))</f>
        <v>-221</v>
      </c>
      <c r="FV1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3" s="314"/>
      <c r="FX193" s="42"/>
      <c r="FY193" s="310"/>
      <c r="FZ193" s="311"/>
      <c r="GA1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3" s="300">
        <v>45818</v>
      </c>
      <c r="GC193" s="322">
        <v>45826</v>
      </c>
      <c r="GD1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3" s="300">
        <v>45825</v>
      </c>
      <c r="GF193" s="322" t="s">
        <v>1385</v>
      </c>
      <c r="GG1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3" s="300">
        <v>45831</v>
      </c>
      <c r="GI193" s="300">
        <v>45832</v>
      </c>
      <c r="GJ193" s="322">
        <v>45833</v>
      </c>
      <c r="GK1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3" s="300">
        <v>45866</v>
      </c>
      <c r="GM193" s="300" t="e">
        <v>#N/A</v>
      </c>
      <c r="GN193" s="300">
        <v>45914</v>
      </c>
      <c r="GO193" s="300" t="e">
        <v>#N/A</v>
      </c>
      <c r="GP193" s="286"/>
      <c r="GQ1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3" s="300" t="s">
        <v>261</v>
      </c>
      <c r="GS193" s="300" t="s">
        <v>261</v>
      </c>
      <c r="GT193" s="324">
        <v>46003</v>
      </c>
      <c r="GU193" s="314" t="str">
        <f>IF(Table1[[#This Row],[Hydro Tes Actual
(tanggal)]]&lt;&gt;"","Sudah","Belum")</f>
        <v>Sudah</v>
      </c>
      <c r="GV193" s="300" t="s">
        <v>261</v>
      </c>
      <c r="GW193" s="300" t="s">
        <v>261</v>
      </c>
      <c r="GX193" s="301">
        <v>45980</v>
      </c>
      <c r="GY193" s="314" t="str">
        <f>IF(Table1[[#This Row],[Interkoneksi Actual
(tanggal)]]&lt;&gt;"","Sudah","Belum")</f>
        <v>Sudah</v>
      </c>
      <c r="GZ193" s="300" t="s">
        <v>261</v>
      </c>
      <c r="HA193" s="300" t="s">
        <v>261</v>
      </c>
      <c r="HB193" s="301">
        <v>46007</v>
      </c>
      <c r="HC193" s="314" t="str">
        <f>IF(Table1[[#This Row],[Flushing Actual
(tanggal)]]&lt;&gt;"","Sudah","Belum")</f>
        <v>Sudah</v>
      </c>
      <c r="HD193" s="300">
        <v>45905</v>
      </c>
      <c r="HE193" s="300" t="e">
        <v>#N/A</v>
      </c>
      <c r="HF193" s="300">
        <v>45910</v>
      </c>
      <c r="HG193" s="301">
        <v>46010</v>
      </c>
      <c r="HH1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3" s="300" t="s">
        <v>261</v>
      </c>
      <c r="HJ193" s="300" t="s">
        <v>261</v>
      </c>
      <c r="HK193" s="301"/>
      <c r="HL193" s="286"/>
      <c r="HM193" s="300">
        <v>45919</v>
      </c>
      <c r="HN193" s="300">
        <v>45919</v>
      </c>
      <c r="HO193" s="300" t="e">
        <v>#N/A</v>
      </c>
      <c r="HP193" s="300"/>
      <c r="HQ193" s="301">
        <v>46015</v>
      </c>
      <c r="HR19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3" s="300">
        <v>45926</v>
      </c>
      <c r="HT193" s="300"/>
      <c r="HU193" s="300">
        <v>45926</v>
      </c>
      <c r="HV193" s="497"/>
      <c r="HW193" s="301">
        <v>46024</v>
      </c>
      <c r="HX1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3" s="42"/>
      <c r="HZ193" s="322"/>
      <c r="IA193" s="306"/>
      <c r="IC193" s="585">
        <f>IFERROR(ROUND((Table1[[#This Row],[PLAN TC
finish]]-Table1[[#This Row],[PLAN MC-0
start]])/30,2),"")</f>
        <v>2.63</v>
      </c>
      <c r="ID193">
        <f>DATEDIF(Table1[[#This Row],[PLAN MC-0
start]],Table1[[#This Row],[PLAN TC
finish]],"m")</f>
        <v>2</v>
      </c>
    </row>
    <row r="194" spans="1:238" s="4" customFormat="1" ht="15" customHeight="1" x14ac:dyDescent="0.25">
      <c r="B194" s="281">
        <f>SUBTOTAL(3,$D$5:D194)</f>
        <v>190</v>
      </c>
      <c r="C194" s="318">
        <v>190</v>
      </c>
      <c r="D194" s="308" t="s">
        <v>244</v>
      </c>
      <c r="E194" s="308" t="s">
        <v>1437</v>
      </c>
      <c r="F194" s="308" t="s">
        <v>1438</v>
      </c>
      <c r="G194" s="319">
        <v>45935</v>
      </c>
      <c r="H194" s="308" t="s">
        <v>681</v>
      </c>
      <c r="I194" s="308" t="s">
        <v>278</v>
      </c>
      <c r="J194" s="285"/>
      <c r="K194" s="308" t="s">
        <v>1165</v>
      </c>
      <c r="L194" s="286" t="s">
        <v>250</v>
      </c>
      <c r="M194" s="286" t="s">
        <v>269</v>
      </c>
      <c r="N194" s="94">
        <v>197</v>
      </c>
      <c r="O194" s="31" t="s">
        <v>252</v>
      </c>
      <c r="P19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4" s="35" t="e">
        <v>#N/A</v>
      </c>
      <c r="S194" s="35">
        <v>1</v>
      </c>
      <c r="T194" s="35">
        <f>Table1[[#This Row],[Progres Total Aktual
(%)]]</f>
        <v>1</v>
      </c>
      <c r="U194" s="106">
        <f>Table1[[#This Row],[Progres Aktual
(%)]]-Table1[[#This Row],[Target Progres
(%)]]</f>
        <v>0</v>
      </c>
      <c r="V194" s="320">
        <f>Table1[[#This Row],["Volume
BA MC-0"]]</f>
        <v>284.8</v>
      </c>
      <c r="W194" s="321">
        <f>Table1[[#This Row],[Total Panjang Pipa Aktual
(Sum-&gt;)3]]</f>
        <v>273.7</v>
      </c>
      <c r="X194" s="42"/>
      <c r="Y194" s="62" t="s">
        <v>1439</v>
      </c>
      <c r="Z194" s="62">
        <v>366257567</v>
      </c>
      <c r="AA194" s="62">
        <f>Table1[[#This Row],[Nilai RAB Jaringan
(file pa aji)]]</f>
        <v>366257567</v>
      </c>
      <c r="AB194" s="290">
        <f>SUM(Table1[[#This Row],[RAB Kegiatan Umum]:[RAB Perizinan]])</f>
        <v>0</v>
      </c>
      <c r="AC194" s="290"/>
      <c r="AD194" s="290"/>
      <c r="AE194" s="290"/>
      <c r="AF194" s="290"/>
      <c r="AG194" s="406">
        <v>50568928</v>
      </c>
      <c r="AH194" s="35" t="e">
        <f>SUM(Table1[[#This Row],[Bobot Keg Umum]:[Bobot Perizinan]])</f>
        <v>#DIV/0!</v>
      </c>
      <c r="AI194" s="35" t="e">
        <f>Table1[[#This Row],[RAB Kegiatan Umum]]/Table1[[#This Row],[Nilai RAB Jaringan
(Exclude Ppn)]]</f>
        <v>#DIV/0!</v>
      </c>
      <c r="AJ194" s="35" t="e">
        <f>Table1[[#This Row],[RAB Pemasangan]]/Table1[[#This Row],[Nilai RAB Jaringan
(Exclude Ppn)]]</f>
        <v>#DIV/0!</v>
      </c>
      <c r="AK194" s="35" t="e">
        <f>Table1[[#This Row],[RAB Pengadaan]]/Table1[[#This Row],[Nilai RAB Jaringan
(Exclude Ppn)]]</f>
        <v>#DIV/0!</v>
      </c>
      <c r="AL194" s="35" t="e">
        <f>Table1[[#This Row],[RAB Perizinan]]/Table1[[#This Row],[Nilai RAB Jaringan
(Exclude Ppn)]]</f>
        <v>#DIV/0!</v>
      </c>
      <c r="AM194" s="42"/>
      <c r="AN194" s="256">
        <v>284.8</v>
      </c>
      <c r="AO194" s="256">
        <f>SUM(Table1[[#This Row],[Pipa 63 mm]:[Pipa 1,800 mm]])</f>
        <v>0</v>
      </c>
      <c r="AP194" s="256"/>
      <c r="AQ194" s="256"/>
      <c r="AR194" s="256"/>
      <c r="AS194" s="256"/>
      <c r="AT194" s="256"/>
      <c r="AU194" s="256"/>
      <c r="AV194" s="256"/>
      <c r="AW194" s="256"/>
      <c r="AX194" s="256"/>
      <c r="AY194" s="256"/>
      <c r="AZ194" s="256"/>
      <c r="BA194" s="256"/>
      <c r="BB194" s="256"/>
      <c r="BC194" s="256"/>
      <c r="BD194" s="256"/>
      <c r="BE194" s="256"/>
      <c r="BF194" s="256"/>
      <c r="BG194" s="256"/>
      <c r="BH194" s="256"/>
      <c r="BI194" s="256"/>
      <c r="BJ194" s="36">
        <f>SUM(Table1[[#This Row],[Pipa 63 mm2]:[Pipa 1,800 mm21]])</f>
        <v>273.7</v>
      </c>
      <c r="BK194" s="32">
        <v>273.7</v>
      </c>
      <c r="BL194" s="32"/>
      <c r="BM194" s="32"/>
      <c r="BN194" s="32"/>
      <c r="BO194" s="32"/>
      <c r="BP194" s="32"/>
      <c r="BQ194" s="32"/>
      <c r="BR194" s="32"/>
      <c r="BS194" s="32"/>
      <c r="BT194" s="32"/>
      <c r="BU194" s="32"/>
      <c r="BV194" s="32"/>
      <c r="BW194" s="32"/>
      <c r="BX194" s="32"/>
      <c r="BY194" s="32"/>
      <c r="BZ194" s="32"/>
      <c r="CA194" s="32"/>
      <c r="CB194" s="32"/>
      <c r="CC194" s="32"/>
      <c r="CD194" s="32"/>
      <c r="CE194" s="32">
        <v>12.8</v>
      </c>
      <c r="CF194" s="32">
        <v>0</v>
      </c>
      <c r="CG194" s="32">
        <v>0</v>
      </c>
      <c r="CH194" s="32">
        <v>0</v>
      </c>
      <c r="CI194" s="32">
        <f t="shared" si="10"/>
        <v>12.8</v>
      </c>
      <c r="CJ194" s="60">
        <f>IF((Table1[[#This Row],["Volume
BA MC-0"]]-Table1[[#This Row],[Total Panjang Pipa Aktual
(Sum-&gt;)3]]-Table1[[#This Row],[Total Volume
tidak dapat dipasang]])&gt;=0,Table1[[#This Row],["Volume
BA MC-0"]]-Table1[[#This Row],[Total Panjang Pipa Aktual
(Sum-&gt;)3]]-Table1[[#This Row],[Total Volume
tidak dapat dipasang]],0)</f>
        <v>0</v>
      </c>
      <c r="CK194" s="42"/>
      <c r="CL194" s="113"/>
      <c r="CM194" s="35"/>
      <c r="CN194" s="113"/>
      <c r="CO194" s="113"/>
      <c r="CP1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4" s="61">
        <f>IFERROR(Table1[[#This Row],[Progres Keg. Umum
(%)]]*Table1[[#This Row],[Nilai RAB Jaringan
(file pa aji)]],0)</f>
        <v>0</v>
      </c>
      <c r="CR194" s="61">
        <f>IFERROR(Table1[[#This Row],[Progres MOS
(%)]]*Table1[[#This Row],[Nilai RAB Jaringan
(file pa aji)]],0)</f>
        <v>0</v>
      </c>
      <c r="CS194" s="61">
        <f>IFERROR(Table1[[#This Row],[Progres Pemasangan
(%)]]*Table1[[#This Row],[Nilai RAB Jaringan
(file pa aji)]],0)</f>
        <v>0</v>
      </c>
      <c r="CT194" s="61">
        <f>IFERROR(Table1[[#This Row],[Progres Perizinan
(%)]]*Table1[[#This Row],[Nilai RAB Jaringan
(file pa aji)]],0)</f>
        <v>0</v>
      </c>
      <c r="CU194" s="789">
        <v>384654388</v>
      </c>
      <c r="CV194" s="299">
        <v>384654388</v>
      </c>
      <c r="CW194" s="552">
        <v>384654388</v>
      </c>
      <c r="CX194" s="789">
        <f>_xlfn.XLOOKUP(Table1[[#This Row],[Kode Program]],'[1]Breakdown VOWD Greenfield'!$E:$E,'[1]Breakdown VOWD Greenfield'!$AT:$AT)</f>
        <v>384654388</v>
      </c>
      <c r="CY194" s="42"/>
      <c r="CZ194" s="300">
        <v>45747</v>
      </c>
      <c r="DA194" s="300">
        <v>45774</v>
      </c>
      <c r="DB194" s="301">
        <v>45761</v>
      </c>
      <c r="DC194" s="286" t="s">
        <v>1440</v>
      </c>
      <c r="DD194" s="62">
        <v>366257567</v>
      </c>
      <c r="DE1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4" s="301">
        <v>45771</v>
      </c>
      <c r="DG194" s="286" t="s">
        <v>1441</v>
      </c>
      <c r="DH194" s="62">
        <v>366257567</v>
      </c>
      <c r="DI19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4" s="300">
        <v>45775</v>
      </c>
      <c r="DK194" s="300">
        <v>45816</v>
      </c>
      <c r="DL194" s="301">
        <v>45784</v>
      </c>
      <c r="DM194" s="286" t="s">
        <v>1442</v>
      </c>
      <c r="DN1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4" s="301">
        <v>45825</v>
      </c>
      <c r="DP194" s="286" t="s">
        <v>1443</v>
      </c>
      <c r="DQ194" s="308" t="s">
        <v>560</v>
      </c>
      <c r="DR1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4" s="300">
        <v>45775</v>
      </c>
      <c r="DT194" s="300" t="e">
        <v>#N/A</v>
      </c>
      <c r="DU194" s="300">
        <v>45816</v>
      </c>
      <c r="DV194" s="300" t="e">
        <v>#N/A</v>
      </c>
      <c r="DW194" s="301">
        <v>45784</v>
      </c>
      <c r="DX194" s="286" t="s">
        <v>1444</v>
      </c>
      <c r="DY194" s="304"/>
      <c r="DZ194" s="304"/>
      <c r="EA1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4" s="301">
        <v>46160</v>
      </c>
      <c r="EC194" s="302"/>
      <c r="ED194" s="302"/>
      <c r="EE194" s="300" t="s">
        <v>1445</v>
      </c>
      <c r="EF194" s="35" t="b">
        <v>0</v>
      </c>
      <c r="EG194" s="307" t="b">
        <v>0</v>
      </c>
      <c r="EH194" s="286" t="str">
        <f>IF(Table1[[#This Row],[PO Material Aktual 
(%)]]&gt;=100%,"Selesai PO = 100%",IF(Table1[[#This Row],[PO Material Aktual 
(%)]]&gt;=50%,"Proses PO &gt; 100%",IF(Table1[[#This Row],[PO Material Aktual 
(%)]]&gt;0%,"Proses PO &gt; 50%",IF(Table1[[#This Row],[PO Material Aktual 
(%)]]=0,"Belum PO = 0%"))))</f>
        <v>Selesai PO = 100%</v>
      </c>
      <c r="EI19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4" s="300">
        <v>45817</v>
      </c>
      <c r="EK194" s="300" t="e">
        <v>#N/A</v>
      </c>
      <c r="EL194" s="300">
        <v>45865</v>
      </c>
      <c r="EM194" s="300" t="e">
        <v>#N/A</v>
      </c>
      <c r="EN194" s="301">
        <v>46061</v>
      </c>
      <c r="EO194" s="302"/>
      <c r="EP194" s="302"/>
      <c r="EQ194" s="82" t="b">
        <v>0</v>
      </c>
      <c r="ER194" s="82" t="b">
        <v>0</v>
      </c>
      <c r="ES194" s="286" t="str">
        <f>IF(Table1[[#This Row],[Progres MOS]]&gt;=100%,"Selesai MOS = 100%",IF(Table1[[#This Row],[Progres MOS]]&gt;=50%,"Proses MOS &gt; 100%",IF(Table1[[#This Row],[Progres MOS]]&gt;0%,"Proses MOS &gt; 50%",IF(Table1[[#This Row],[Progres MOS]]=0,"Belum MOS = 0%"))))</f>
        <v>Selesai MOS = 100%</v>
      </c>
      <c r="ET1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4" s="42"/>
      <c r="EV194" s="300">
        <v>45775</v>
      </c>
      <c r="EW194" s="300" t="e">
        <v>#N/A</v>
      </c>
      <c r="EX194" s="300">
        <v>45865</v>
      </c>
      <c r="EY194" s="300" t="e">
        <v>#N/A</v>
      </c>
      <c r="EZ194" s="322" t="s">
        <v>298</v>
      </c>
      <c r="FA194" s="306" t="s">
        <v>259</v>
      </c>
      <c r="FB194" s="300" t="s">
        <v>260</v>
      </c>
      <c r="FC194" s="300">
        <v>45838</v>
      </c>
      <c r="FD194" s="300" t="s">
        <v>260</v>
      </c>
      <c r="FE194" s="300">
        <v>45895</v>
      </c>
      <c r="FF194" s="300">
        <v>45929</v>
      </c>
      <c r="FG194" s="300" t="s">
        <v>260</v>
      </c>
      <c r="FH194" s="300" t="s">
        <v>260</v>
      </c>
      <c r="FI194" s="300">
        <v>46010</v>
      </c>
      <c r="FJ194" s="300" t="s">
        <v>260</v>
      </c>
      <c r="FK194" s="300">
        <v>46093</v>
      </c>
      <c r="FL194" s="306" t="s">
        <v>298</v>
      </c>
      <c r="FM194" s="322">
        <v>45838</v>
      </c>
      <c r="FN194" s="308">
        <f>IF(Table1[[#This Row],[Tanggal Pengajuan Dokumen]]="","",Table1[[#This Row],[PLAN PERMIT
start]]-Table1[[#This Row],[Tanggal Pengajuan Dokumen]])</f>
        <v>-63</v>
      </c>
      <c r="FO194" s="407">
        <v>46086</v>
      </c>
      <c r="FP194" s="286"/>
      <c r="FQ194" s="308"/>
      <c r="FR194" s="308"/>
      <c r="FS194" s="308" t="str">
        <f t="shared" si="11"/>
        <v>Sudah Terbit</v>
      </c>
      <c r="FT19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4" s="314">
        <f ca="1">IF(Table1[[#This Row],[Status Izin]]="Selesai",Table1[[#This Row],[PLAN PERMIT
finish]]-Table1[[#This Row],[Tanggal Terbit/ Target Izin Terbit]],ROUNDUP(Table1[[#This Row],[PLAN PERMIT
finish]]-NOW(),0))</f>
        <v>-221</v>
      </c>
      <c r="FV19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4" s="314"/>
      <c r="FX194" s="42"/>
      <c r="FY194" s="310"/>
      <c r="FZ194" s="311"/>
      <c r="GA1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4" s="300">
        <v>45818</v>
      </c>
      <c r="GC194" s="322">
        <v>45826</v>
      </c>
      <c r="GD19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4" s="300">
        <v>45825</v>
      </c>
      <c r="GF194" s="322" t="s">
        <v>1385</v>
      </c>
      <c r="GG19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4" s="300">
        <v>45831</v>
      </c>
      <c r="GI194" s="300">
        <v>45832</v>
      </c>
      <c r="GJ194" s="322">
        <v>45833</v>
      </c>
      <c r="GK19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194" s="300">
        <v>45866</v>
      </c>
      <c r="GM194" s="300" t="e">
        <v>#N/A</v>
      </c>
      <c r="GN194" s="300">
        <v>45886</v>
      </c>
      <c r="GO194" s="300" t="e">
        <v>#N/A</v>
      </c>
      <c r="GP194" s="286"/>
      <c r="GQ19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4" s="300" t="s">
        <v>261</v>
      </c>
      <c r="GS194" s="300" t="s">
        <v>261</v>
      </c>
      <c r="GT194" s="324">
        <v>45874</v>
      </c>
      <c r="GU194" s="314" t="str">
        <f>IF(Table1[[#This Row],[Hydro Tes Actual
(tanggal)]]&lt;&gt;"","Sudah","Belum")</f>
        <v>Sudah</v>
      </c>
      <c r="GV194" s="300" t="s">
        <v>261</v>
      </c>
      <c r="GW194" s="300" t="s">
        <v>261</v>
      </c>
      <c r="GX194" s="301">
        <v>45875</v>
      </c>
      <c r="GY194" s="314" t="str">
        <f>IF(Table1[[#This Row],[Interkoneksi Actual
(tanggal)]]&lt;&gt;"","Sudah","Belum")</f>
        <v>Sudah</v>
      </c>
      <c r="GZ194" s="300" t="s">
        <v>261</v>
      </c>
      <c r="HA194" s="300" t="s">
        <v>261</v>
      </c>
      <c r="HB194" s="301">
        <v>45882</v>
      </c>
      <c r="HC194" s="314" t="str">
        <f>IF(Table1[[#This Row],[Flushing Actual
(tanggal)]]&lt;&gt;"","Sudah","Belum")</f>
        <v>Sudah</v>
      </c>
      <c r="HD194" s="300">
        <v>45877</v>
      </c>
      <c r="HE194" s="300" t="e">
        <v>#N/A</v>
      </c>
      <c r="HF194" s="300">
        <v>45882</v>
      </c>
      <c r="HG194" s="301">
        <v>45894</v>
      </c>
      <c r="HH19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4" s="300" t="s">
        <v>261</v>
      </c>
      <c r="HJ194" s="300" t="s">
        <v>261</v>
      </c>
      <c r="HK194" s="301"/>
      <c r="HL194" s="286"/>
      <c r="HM194" s="300">
        <v>45891</v>
      </c>
      <c r="HN194" s="300">
        <v>45891</v>
      </c>
      <c r="HO194" s="300" t="e">
        <v>#N/A</v>
      </c>
      <c r="HP194" s="300"/>
      <c r="HQ194" s="301">
        <v>45894</v>
      </c>
      <c r="HR19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4" s="300">
        <v>45898</v>
      </c>
      <c r="HT194" s="300"/>
      <c r="HU194" s="300">
        <v>45898</v>
      </c>
      <c r="HV194" s="497"/>
      <c r="HW194" s="301">
        <v>45931</v>
      </c>
      <c r="HX19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4" s="42"/>
      <c r="HZ194" s="322"/>
      <c r="IA194" s="306"/>
      <c r="IC194" s="585">
        <f>IFERROR(ROUND((Table1[[#This Row],[PLAN TC
finish]]-Table1[[#This Row],[PLAN MC-0
start]])/30,2),"")</f>
        <v>1.7</v>
      </c>
      <c r="ID194">
        <f>DATEDIF(Table1[[#This Row],[PLAN MC-0
start]],Table1[[#This Row],[PLAN TC
finish]],"m")</f>
        <v>1</v>
      </c>
    </row>
    <row r="195" spans="1:238" s="4" customFormat="1" ht="15" customHeight="1" x14ac:dyDescent="0.25">
      <c r="B195" s="281">
        <f>SUBTOTAL(3,$D$5:D195)</f>
        <v>191</v>
      </c>
      <c r="C195" s="318">
        <v>191</v>
      </c>
      <c r="D195" s="308" t="s">
        <v>244</v>
      </c>
      <c r="E195" s="308" t="s">
        <v>1446</v>
      </c>
      <c r="F195" s="308" t="s">
        <v>1447</v>
      </c>
      <c r="G195" s="319">
        <v>45935</v>
      </c>
      <c r="H195" s="308" t="s">
        <v>681</v>
      </c>
      <c r="I195" s="308" t="s">
        <v>278</v>
      </c>
      <c r="J195" s="285"/>
      <c r="K195" s="308" t="s">
        <v>1165</v>
      </c>
      <c r="L195" s="286" t="s">
        <v>250</v>
      </c>
      <c r="M195" s="286" t="s">
        <v>269</v>
      </c>
      <c r="N195" s="94">
        <v>138</v>
      </c>
      <c r="O195" s="31" t="s">
        <v>252</v>
      </c>
      <c r="P19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5" s="35" t="e">
        <v>#N/A</v>
      </c>
      <c r="S195" s="35">
        <v>1</v>
      </c>
      <c r="T195" s="35">
        <f>Table1[[#This Row],[Progres Total Aktual
(%)]]</f>
        <v>1</v>
      </c>
      <c r="U195" s="106">
        <f>Table1[[#This Row],[Progres Aktual
(%)]]-Table1[[#This Row],[Target Progres
(%)]]</f>
        <v>0</v>
      </c>
      <c r="V195" s="320">
        <f>Table1[[#This Row],["Volume
BA MC-0"]]</f>
        <v>112</v>
      </c>
      <c r="W195" s="321">
        <f>Table1[[#This Row],[Total Panjang Pipa Aktual
(Sum-&gt;)3]]</f>
        <v>149.69999999999999</v>
      </c>
      <c r="X195" s="42"/>
      <c r="Y195" s="62" t="s">
        <v>1448</v>
      </c>
      <c r="Z195" s="62">
        <v>450632935</v>
      </c>
      <c r="AA195" s="62">
        <f>Table1[[#This Row],[Nilai RAB Jaringan
(file pa aji)]]</f>
        <v>450632935</v>
      </c>
      <c r="AB195" s="290">
        <f>SUM(Table1[[#This Row],[RAB Kegiatan Umum]:[RAB Perizinan]])</f>
        <v>0</v>
      </c>
      <c r="AC195" s="290"/>
      <c r="AD195" s="290"/>
      <c r="AE195" s="290"/>
      <c r="AF195" s="290"/>
      <c r="AG195" s="406">
        <v>86388584</v>
      </c>
      <c r="AH195" s="35" t="e">
        <f>SUM(Table1[[#This Row],[Bobot Keg Umum]:[Bobot Perizinan]])</f>
        <v>#DIV/0!</v>
      </c>
      <c r="AI195" s="35" t="e">
        <f>Table1[[#This Row],[RAB Kegiatan Umum]]/Table1[[#This Row],[Nilai RAB Jaringan
(Exclude Ppn)]]</f>
        <v>#DIV/0!</v>
      </c>
      <c r="AJ195" s="35" t="e">
        <f>Table1[[#This Row],[RAB Pemasangan]]/Table1[[#This Row],[Nilai RAB Jaringan
(Exclude Ppn)]]</f>
        <v>#DIV/0!</v>
      </c>
      <c r="AK195" s="35" t="e">
        <f>Table1[[#This Row],[RAB Pengadaan]]/Table1[[#This Row],[Nilai RAB Jaringan
(Exclude Ppn)]]</f>
        <v>#DIV/0!</v>
      </c>
      <c r="AL195" s="35" t="e">
        <f>Table1[[#This Row],[RAB Perizinan]]/Table1[[#This Row],[Nilai RAB Jaringan
(Exclude Ppn)]]</f>
        <v>#DIV/0!</v>
      </c>
      <c r="AM195" s="42"/>
      <c r="AN195" s="256">
        <v>112</v>
      </c>
      <c r="AO195" s="256">
        <f>SUM(Table1[[#This Row],[Pipa 63 mm]:[Pipa 1,800 mm]])</f>
        <v>0</v>
      </c>
      <c r="AP195" s="256"/>
      <c r="AQ195" s="256"/>
      <c r="AR195" s="256"/>
      <c r="AS195" s="256"/>
      <c r="AT195" s="256"/>
      <c r="AU195" s="256"/>
      <c r="AV195" s="256"/>
      <c r="AW195" s="256"/>
      <c r="AX195" s="256"/>
      <c r="AY195" s="256"/>
      <c r="AZ195" s="256"/>
      <c r="BA195" s="256"/>
      <c r="BB195" s="256"/>
      <c r="BC195" s="256"/>
      <c r="BD195" s="256"/>
      <c r="BE195" s="256"/>
      <c r="BF195" s="256"/>
      <c r="BG195" s="256"/>
      <c r="BH195" s="256"/>
      <c r="BI195" s="256"/>
      <c r="BJ195" s="36">
        <f>SUM(Table1[[#This Row],[Pipa 63 mm2]:[Pipa 1,800 mm21]])</f>
        <v>149.69999999999999</v>
      </c>
      <c r="BK195" s="32">
        <v>119.7</v>
      </c>
      <c r="BL195" s="32">
        <v>30</v>
      </c>
      <c r="BM195" s="32"/>
      <c r="BN195" s="32"/>
      <c r="BO195" s="32"/>
      <c r="BP195" s="32"/>
      <c r="BQ195" s="32"/>
      <c r="BR195" s="32"/>
      <c r="BS195" s="32"/>
      <c r="BT195" s="32"/>
      <c r="BU195" s="32"/>
      <c r="BV195" s="32"/>
      <c r="BW195" s="32"/>
      <c r="BX195" s="32"/>
      <c r="BY195" s="32"/>
      <c r="BZ195" s="32"/>
      <c r="CA195" s="32"/>
      <c r="CB195" s="32"/>
      <c r="CC195" s="32"/>
      <c r="CD195" s="32"/>
      <c r="CE195" s="32">
        <v>0</v>
      </c>
      <c r="CF195" s="32">
        <v>0</v>
      </c>
      <c r="CG195" s="32">
        <v>0</v>
      </c>
      <c r="CH195" s="32">
        <v>0</v>
      </c>
      <c r="CI195" s="32">
        <f t="shared" si="10"/>
        <v>0</v>
      </c>
      <c r="CJ195" s="60">
        <f>IF((Table1[[#This Row],["Volume
BA MC-0"]]-Table1[[#This Row],[Total Panjang Pipa Aktual
(Sum-&gt;)3]]-Table1[[#This Row],[Total Volume
tidak dapat dipasang]])&gt;=0,Table1[[#This Row],["Volume
BA MC-0"]]-Table1[[#This Row],[Total Panjang Pipa Aktual
(Sum-&gt;)3]]-Table1[[#This Row],[Total Volume
tidak dapat dipasang]],0)</f>
        <v>0</v>
      </c>
      <c r="CK195" s="42"/>
      <c r="CL195" s="113"/>
      <c r="CM195" s="35"/>
      <c r="CN195" s="113"/>
      <c r="CO195" s="113"/>
      <c r="CP1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5" s="61">
        <f>IFERROR(Table1[[#This Row],[Progres Keg. Umum
(%)]]*Table1[[#This Row],[Nilai RAB Jaringan
(file pa aji)]],0)</f>
        <v>0</v>
      </c>
      <c r="CR195" s="61">
        <f>IFERROR(Table1[[#This Row],[Progres MOS
(%)]]*Table1[[#This Row],[Nilai RAB Jaringan
(file pa aji)]],0)</f>
        <v>0</v>
      </c>
      <c r="CS195" s="61">
        <f>IFERROR(Table1[[#This Row],[Progres Pemasangan
(%)]]*Table1[[#This Row],[Nilai RAB Jaringan
(file pa aji)]],0)</f>
        <v>0</v>
      </c>
      <c r="CT195" s="61">
        <f>IFERROR(Table1[[#This Row],[Progres Perizinan
(%)]]*Table1[[#This Row],[Nilai RAB Jaringan
(file pa aji)]],0)</f>
        <v>0</v>
      </c>
      <c r="CU195" s="789">
        <v>494298884</v>
      </c>
      <c r="CV195" s="299">
        <v>494298884</v>
      </c>
      <c r="CW195" s="552">
        <v>494298884</v>
      </c>
      <c r="CX195" s="789">
        <f>_xlfn.XLOOKUP(Table1[[#This Row],[Kode Program]],'[1]Breakdown VOWD Greenfield'!$E:$E,'[1]Breakdown VOWD Greenfield'!$AT:$AT)</f>
        <v>494298884</v>
      </c>
      <c r="CY195" s="42"/>
      <c r="CZ195" s="300">
        <v>45747</v>
      </c>
      <c r="DA195" s="300">
        <v>45774</v>
      </c>
      <c r="DB195" s="301">
        <v>45757</v>
      </c>
      <c r="DC195" s="286" t="s">
        <v>1449</v>
      </c>
      <c r="DD195" s="62">
        <v>450632934</v>
      </c>
      <c r="DE1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5" s="301">
        <v>45792</v>
      </c>
      <c r="DG195" s="286" t="s">
        <v>1450</v>
      </c>
      <c r="DH195" s="62">
        <v>450632934</v>
      </c>
      <c r="DI1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5" s="300">
        <v>45775</v>
      </c>
      <c r="DK195" s="300">
        <v>45816</v>
      </c>
      <c r="DL195" s="301">
        <v>45810</v>
      </c>
      <c r="DM195" s="286" t="s">
        <v>1451</v>
      </c>
      <c r="DN1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5" s="301">
        <v>45876</v>
      </c>
      <c r="DP195" s="286" t="s">
        <v>1452</v>
      </c>
      <c r="DQ195" s="308" t="s">
        <v>560</v>
      </c>
      <c r="DR1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5" s="300">
        <v>45775</v>
      </c>
      <c r="DT195" s="300" t="e">
        <v>#N/A</v>
      </c>
      <c r="DU195" s="300">
        <v>45816</v>
      </c>
      <c r="DV195" s="300" t="e">
        <v>#N/A</v>
      </c>
      <c r="DW195" s="301">
        <v>45810</v>
      </c>
      <c r="DX195" s="286" t="s">
        <v>1453</v>
      </c>
      <c r="DY195" s="304"/>
      <c r="DZ195" s="304"/>
      <c r="EA1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5" s="301">
        <v>46160</v>
      </c>
      <c r="EC195" s="302"/>
      <c r="ED195" s="302"/>
      <c r="EE195" s="300" t="s">
        <v>1445</v>
      </c>
      <c r="EF195" s="35" t="b">
        <v>0</v>
      </c>
      <c r="EG195" s="307" t="b">
        <v>0</v>
      </c>
      <c r="EH195" s="286" t="str">
        <f>IF(Table1[[#This Row],[PO Material Aktual 
(%)]]&gt;=100%,"Selesai PO = 100%",IF(Table1[[#This Row],[PO Material Aktual 
(%)]]&gt;=50%,"Proses PO &gt; 100%",IF(Table1[[#This Row],[PO Material Aktual 
(%)]]&gt;0%,"Proses PO &gt; 50%",IF(Table1[[#This Row],[PO Material Aktual 
(%)]]=0,"Belum PO = 0%"))))</f>
        <v>Selesai PO = 100%</v>
      </c>
      <c r="EI1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5" s="300">
        <v>45817</v>
      </c>
      <c r="EK195" s="300" t="e">
        <v>#N/A</v>
      </c>
      <c r="EL195" s="300">
        <v>45865</v>
      </c>
      <c r="EM195" s="300" t="e">
        <v>#N/A</v>
      </c>
      <c r="EN195" s="301">
        <v>46091</v>
      </c>
      <c r="EO195" s="302"/>
      <c r="EP195" s="302"/>
      <c r="EQ195" s="82" t="b">
        <v>0</v>
      </c>
      <c r="ER195" s="82" t="b">
        <v>0</v>
      </c>
      <c r="ES195" s="286" t="str">
        <f>IF(Table1[[#This Row],[Progres MOS]]&gt;=100%,"Selesai MOS = 100%",IF(Table1[[#This Row],[Progres MOS]]&gt;=50%,"Proses MOS &gt; 100%",IF(Table1[[#This Row],[Progres MOS]]&gt;0%,"Proses MOS &gt; 50%",IF(Table1[[#This Row],[Progres MOS]]=0,"Belum MOS = 0%"))))</f>
        <v>Selesai MOS = 100%</v>
      </c>
      <c r="ET1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5" s="42"/>
      <c r="EV195" s="300">
        <v>45775</v>
      </c>
      <c r="EW195" s="300" t="e">
        <v>#N/A</v>
      </c>
      <c r="EX195" s="300">
        <v>45865</v>
      </c>
      <c r="EY195" s="300" t="e">
        <v>#N/A</v>
      </c>
      <c r="EZ195" s="322" t="s">
        <v>298</v>
      </c>
      <c r="FA195" s="306" t="s">
        <v>259</v>
      </c>
      <c r="FB195" s="300" t="s">
        <v>260</v>
      </c>
      <c r="FC195" s="300">
        <v>45838</v>
      </c>
      <c r="FD195" s="300" t="s">
        <v>260</v>
      </c>
      <c r="FE195" s="300">
        <v>45888</v>
      </c>
      <c r="FF195" s="300">
        <v>45944</v>
      </c>
      <c r="FG195" s="300" t="s">
        <v>260</v>
      </c>
      <c r="FH195" s="300" t="s">
        <v>260</v>
      </c>
      <c r="FI195" s="300">
        <v>46010</v>
      </c>
      <c r="FJ195" s="300" t="s">
        <v>260</v>
      </c>
      <c r="FK195" s="300">
        <v>46113</v>
      </c>
      <c r="FL195" s="306" t="s">
        <v>298</v>
      </c>
      <c r="FM195" s="322">
        <v>45838</v>
      </c>
      <c r="FN195" s="308">
        <f>IF(Table1[[#This Row],[Tanggal Pengajuan Dokumen]]="","",Table1[[#This Row],[PLAN PERMIT
start]]-Table1[[#This Row],[Tanggal Pengajuan Dokumen]])</f>
        <v>-63</v>
      </c>
      <c r="FO195" s="407">
        <v>46086</v>
      </c>
      <c r="FP195" s="286"/>
      <c r="FQ195" s="308"/>
      <c r="FR195" s="308"/>
      <c r="FS195" s="308" t="str">
        <f t="shared" si="11"/>
        <v>Sudah Terbit</v>
      </c>
      <c r="FT1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5" s="314">
        <f ca="1">IF(Table1[[#This Row],[Status Izin]]="Selesai",Table1[[#This Row],[PLAN PERMIT
finish]]-Table1[[#This Row],[Tanggal Terbit/ Target Izin Terbit]],ROUNDUP(Table1[[#This Row],[PLAN PERMIT
finish]]-NOW(),0))</f>
        <v>-221</v>
      </c>
      <c r="FV1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5" s="314"/>
      <c r="FX195" s="42"/>
      <c r="FY195" s="310"/>
      <c r="FZ195" s="311"/>
      <c r="GA1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5" s="300">
        <v>45818</v>
      </c>
      <c r="GC195" s="322">
        <v>45826</v>
      </c>
      <c r="GD1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5" s="300">
        <v>45825</v>
      </c>
      <c r="GF195" s="322" t="s">
        <v>1385</v>
      </c>
      <c r="GG1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5" s="300">
        <v>45831</v>
      </c>
      <c r="GI195" s="300">
        <v>45832</v>
      </c>
      <c r="GJ195" s="322">
        <v>45832</v>
      </c>
      <c r="GK195" s="286" t="b">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0</v>
      </c>
      <c r="GL195" s="300">
        <v>45866</v>
      </c>
      <c r="GM195" s="300" t="e">
        <v>#N/A</v>
      </c>
      <c r="GN195" s="300">
        <v>45886</v>
      </c>
      <c r="GO195" s="300" t="e">
        <v>#N/A</v>
      </c>
      <c r="GP195" s="286"/>
      <c r="GQ1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5" s="300" t="s">
        <v>261</v>
      </c>
      <c r="GS195" s="300" t="s">
        <v>261</v>
      </c>
      <c r="GT195" s="324">
        <v>45901</v>
      </c>
      <c r="GU195" s="314" t="str">
        <f>IF(Table1[[#This Row],[Hydro Tes Actual
(tanggal)]]&lt;&gt;"","Sudah","Belum")</f>
        <v>Sudah</v>
      </c>
      <c r="GV195" s="300" t="s">
        <v>261</v>
      </c>
      <c r="GW195" s="300" t="s">
        <v>261</v>
      </c>
      <c r="GX195" s="301">
        <v>45904</v>
      </c>
      <c r="GY195" s="314" t="str">
        <f>IF(Table1[[#This Row],[Interkoneksi Actual
(tanggal)]]&lt;&gt;"","Sudah","Belum")</f>
        <v>Sudah</v>
      </c>
      <c r="GZ195" s="300" t="s">
        <v>261</v>
      </c>
      <c r="HA195" s="300" t="s">
        <v>261</v>
      </c>
      <c r="HB195" s="301">
        <v>45926</v>
      </c>
      <c r="HC195" s="314" t="str">
        <f>IF(Table1[[#This Row],[Flushing Actual
(tanggal)]]&lt;&gt;"","Sudah","Belum")</f>
        <v>Sudah</v>
      </c>
      <c r="HD195" s="300">
        <v>45877</v>
      </c>
      <c r="HE195" s="300" t="e">
        <v>#N/A</v>
      </c>
      <c r="HF195" s="300">
        <v>45882</v>
      </c>
      <c r="HG195" s="301">
        <v>45924</v>
      </c>
      <c r="HH1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5" s="300" t="s">
        <v>261</v>
      </c>
      <c r="HJ195" s="300" t="s">
        <v>261</v>
      </c>
      <c r="HK195" s="301"/>
      <c r="HL195" s="286"/>
      <c r="HM195" s="300">
        <v>45891</v>
      </c>
      <c r="HN195" s="300">
        <v>45891</v>
      </c>
      <c r="HO195" s="300" t="e">
        <v>#N/A</v>
      </c>
      <c r="HP195" s="300"/>
      <c r="HQ195" s="301">
        <v>45929</v>
      </c>
      <c r="HR1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5" s="300">
        <v>45898</v>
      </c>
      <c r="HT195" s="300"/>
      <c r="HU195" s="300">
        <v>45898</v>
      </c>
      <c r="HV195" s="497"/>
      <c r="HW195" s="301">
        <v>45934</v>
      </c>
      <c r="HX1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5" s="42"/>
      <c r="HZ195" s="322"/>
      <c r="IA195" s="306"/>
      <c r="IC195" s="585">
        <f>IFERROR(ROUND((Table1[[#This Row],[PLAN TC
finish]]-Table1[[#This Row],[PLAN MC-0
start]])/30,2),"")</f>
        <v>1.7</v>
      </c>
      <c r="ID195">
        <f>DATEDIF(Table1[[#This Row],[PLAN MC-0
start]],Table1[[#This Row],[PLAN TC
finish]],"m")</f>
        <v>1</v>
      </c>
    </row>
    <row r="196" spans="1:238" s="4" customFormat="1" ht="15" customHeight="1" x14ac:dyDescent="0.25">
      <c r="B196" s="281">
        <f>SUBTOTAL(3,$D$5:D196)</f>
        <v>192</v>
      </c>
      <c r="C196" s="318">
        <v>192</v>
      </c>
      <c r="D196" s="308" t="s">
        <v>244</v>
      </c>
      <c r="E196" s="308" t="s">
        <v>1454</v>
      </c>
      <c r="F196" s="308" t="s">
        <v>1455</v>
      </c>
      <c r="G196" s="319">
        <v>45935</v>
      </c>
      <c r="H196" s="308" t="s">
        <v>681</v>
      </c>
      <c r="I196" s="308" t="s">
        <v>278</v>
      </c>
      <c r="J196" s="285" t="s">
        <v>882</v>
      </c>
      <c r="K196" s="308" t="s">
        <v>1165</v>
      </c>
      <c r="L196" s="286" t="s">
        <v>250</v>
      </c>
      <c r="M196" s="286" t="s">
        <v>269</v>
      </c>
      <c r="N196" s="94">
        <v>216</v>
      </c>
      <c r="O196" s="31" t="s">
        <v>252</v>
      </c>
      <c r="P19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6" s="35" t="e">
        <v>#N/A</v>
      </c>
      <c r="S196" s="35">
        <v>1</v>
      </c>
      <c r="T196" s="35">
        <f>Table1[[#This Row],[Progres Total Aktual
(%)]]</f>
        <v>1</v>
      </c>
      <c r="U196" s="106">
        <f>Table1[[#This Row],[Progres Aktual
(%)]]-Table1[[#This Row],[Target Progres
(%)]]</f>
        <v>0</v>
      </c>
      <c r="V196" s="320">
        <f>Table1[[#This Row],["Volume
BA MC-0"]]</f>
        <v>333</v>
      </c>
      <c r="W196" s="321">
        <f>Table1[[#This Row],[Total Panjang Pipa Aktual
(Sum-&gt;)3]]</f>
        <v>456</v>
      </c>
      <c r="X196" s="42"/>
      <c r="Y196" s="62" t="s">
        <v>1456</v>
      </c>
      <c r="Z196" s="62">
        <v>471970179</v>
      </c>
      <c r="AA196" s="62">
        <f>Table1[[#This Row],[Nilai RAB Jaringan
(file pa aji)]]</f>
        <v>471970179</v>
      </c>
      <c r="AB196" s="290">
        <f>SUM(Table1[[#This Row],[RAB Kegiatan Umum]:[RAB Perizinan]])</f>
        <v>0</v>
      </c>
      <c r="AC196" s="290"/>
      <c r="AD196" s="290"/>
      <c r="AE196" s="290"/>
      <c r="AF196" s="290"/>
      <c r="AG196" s="406">
        <v>105351932</v>
      </c>
      <c r="AH196" s="35" t="e">
        <f>SUM(Table1[[#This Row],[Bobot Keg Umum]:[Bobot Perizinan]])</f>
        <v>#DIV/0!</v>
      </c>
      <c r="AI196" s="35" t="e">
        <f>Table1[[#This Row],[RAB Kegiatan Umum]]/Table1[[#This Row],[Nilai RAB Jaringan
(Exclude Ppn)]]</f>
        <v>#DIV/0!</v>
      </c>
      <c r="AJ196" s="35" t="e">
        <f>Table1[[#This Row],[RAB Pemasangan]]/Table1[[#This Row],[Nilai RAB Jaringan
(Exclude Ppn)]]</f>
        <v>#DIV/0!</v>
      </c>
      <c r="AK196" s="35" t="e">
        <f>Table1[[#This Row],[RAB Pengadaan]]/Table1[[#This Row],[Nilai RAB Jaringan
(Exclude Ppn)]]</f>
        <v>#DIV/0!</v>
      </c>
      <c r="AL196" s="35" t="e">
        <f>Table1[[#This Row],[RAB Perizinan]]/Table1[[#This Row],[Nilai RAB Jaringan
(Exclude Ppn)]]</f>
        <v>#DIV/0!</v>
      </c>
      <c r="AM196" s="42"/>
      <c r="AN196" s="256">
        <v>333</v>
      </c>
      <c r="AO196" s="256">
        <f>SUM(Table1[[#This Row],[Pipa 63 mm]:[Pipa 1,800 mm]])</f>
        <v>0</v>
      </c>
      <c r="AP196" s="256"/>
      <c r="AQ196" s="256"/>
      <c r="AR196" s="256"/>
      <c r="AS196" s="256"/>
      <c r="AT196" s="256"/>
      <c r="AU196" s="256"/>
      <c r="AV196" s="256"/>
      <c r="AW196" s="256"/>
      <c r="AX196" s="256"/>
      <c r="AY196" s="256"/>
      <c r="AZ196" s="256"/>
      <c r="BA196" s="256"/>
      <c r="BB196" s="256"/>
      <c r="BC196" s="256"/>
      <c r="BD196" s="256"/>
      <c r="BE196" s="256"/>
      <c r="BF196" s="256"/>
      <c r="BG196" s="256"/>
      <c r="BH196" s="256"/>
      <c r="BI196" s="256"/>
      <c r="BJ196" s="36">
        <f>SUM(Table1[[#This Row],[Pipa 63 mm2]:[Pipa 1,800 mm21]])</f>
        <v>456</v>
      </c>
      <c r="BK196" s="32">
        <v>456</v>
      </c>
      <c r="BL196" s="32"/>
      <c r="BM196" s="32"/>
      <c r="BN196" s="32"/>
      <c r="BO196" s="32"/>
      <c r="BP196" s="32"/>
      <c r="BQ196" s="32"/>
      <c r="BR196" s="32"/>
      <c r="BS196" s="32"/>
      <c r="BT196" s="32"/>
      <c r="BU196" s="32"/>
      <c r="BV196" s="32"/>
      <c r="BW196" s="32"/>
      <c r="BX196" s="32"/>
      <c r="BY196" s="32"/>
      <c r="BZ196" s="32"/>
      <c r="CA196" s="32"/>
      <c r="CB196" s="32"/>
      <c r="CC196" s="32"/>
      <c r="CD196" s="32"/>
      <c r="CE196" s="32">
        <v>0</v>
      </c>
      <c r="CF196" s="32">
        <v>0</v>
      </c>
      <c r="CG196" s="32">
        <v>0</v>
      </c>
      <c r="CH196" s="32">
        <v>0</v>
      </c>
      <c r="CI196" s="32">
        <f t="shared" si="10"/>
        <v>0</v>
      </c>
      <c r="CJ196" s="60">
        <f>IF((Table1[[#This Row],["Volume
BA MC-0"]]-Table1[[#This Row],[Total Panjang Pipa Aktual
(Sum-&gt;)3]]-Table1[[#This Row],[Total Volume
tidak dapat dipasang]])&gt;=0,Table1[[#This Row],["Volume
BA MC-0"]]-Table1[[#This Row],[Total Panjang Pipa Aktual
(Sum-&gt;)3]]-Table1[[#This Row],[Total Volume
tidak dapat dipasang]],0)</f>
        <v>0</v>
      </c>
      <c r="CK196" s="42"/>
      <c r="CL196" s="113"/>
      <c r="CM196" s="35"/>
      <c r="CN196" s="113"/>
      <c r="CO196" s="113"/>
      <c r="CP19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6" s="61">
        <f>IFERROR(Table1[[#This Row],[Progres Keg. Umum
(%)]]*Table1[[#This Row],[Nilai RAB Jaringan
(file pa aji)]],0)</f>
        <v>0</v>
      </c>
      <c r="CR196" s="61">
        <f>IFERROR(Table1[[#This Row],[Progres MOS
(%)]]*Table1[[#This Row],[Nilai RAB Jaringan
(file pa aji)]],0)</f>
        <v>0</v>
      </c>
      <c r="CS196" s="61">
        <f>IFERROR(Table1[[#This Row],[Progres Pemasangan
(%)]]*Table1[[#This Row],[Nilai RAB Jaringan
(file pa aji)]],0)</f>
        <v>0</v>
      </c>
      <c r="CT196" s="61">
        <f>IFERROR(Table1[[#This Row],[Progres Perizinan
(%)]]*Table1[[#This Row],[Nilai RAB Jaringan
(file pa aji)]],0)</f>
        <v>0</v>
      </c>
      <c r="CU196" s="789">
        <v>777456839</v>
      </c>
      <c r="CV196" s="299">
        <v>777456839</v>
      </c>
      <c r="CW196" s="552">
        <v>777456839</v>
      </c>
      <c r="CX196" s="789">
        <f>_xlfn.XLOOKUP(Table1[[#This Row],[Kode Program]],'[1]Breakdown VOWD Greenfield'!$E:$E,'[1]Breakdown VOWD Greenfield'!$AT:$AT)</f>
        <v>777456839</v>
      </c>
      <c r="CY196" s="42"/>
      <c r="CZ196" s="300">
        <v>45747</v>
      </c>
      <c r="DA196" s="300">
        <v>45774</v>
      </c>
      <c r="DB196" s="301">
        <v>45757</v>
      </c>
      <c r="DC196" s="286" t="s">
        <v>1457</v>
      </c>
      <c r="DD196" s="62">
        <v>724290992</v>
      </c>
      <c r="DE1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6" s="301">
        <v>45771</v>
      </c>
      <c r="DG196" s="286" t="s">
        <v>1458</v>
      </c>
      <c r="DH196" s="62">
        <v>724290992</v>
      </c>
      <c r="DI1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6" s="300">
        <v>45775</v>
      </c>
      <c r="DK196" s="300">
        <v>45816</v>
      </c>
      <c r="DL196" s="301">
        <v>45792</v>
      </c>
      <c r="DM196" s="286" t="s">
        <v>1459</v>
      </c>
      <c r="DN1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6" s="301">
        <v>45867</v>
      </c>
      <c r="DP196" s="286" t="s">
        <v>1460</v>
      </c>
      <c r="DQ196" s="308" t="s">
        <v>371</v>
      </c>
      <c r="DR1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6" s="300">
        <v>45775</v>
      </c>
      <c r="DT196" s="300" t="e">
        <v>#N/A</v>
      </c>
      <c r="DU196" s="300">
        <v>45816</v>
      </c>
      <c r="DV196" s="300" t="e">
        <v>#N/A</v>
      </c>
      <c r="DW196" s="301">
        <v>45792</v>
      </c>
      <c r="DX196" s="286" t="s">
        <v>1461</v>
      </c>
      <c r="DY196" s="304"/>
      <c r="DZ196" s="304"/>
      <c r="EA1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6" s="301">
        <v>46160</v>
      </c>
      <c r="EC196" s="302"/>
      <c r="ED196" s="302"/>
      <c r="EE196" s="300" t="s">
        <v>1445</v>
      </c>
      <c r="EF196" s="35" t="b">
        <v>0</v>
      </c>
      <c r="EG196" s="307" t="b">
        <v>0</v>
      </c>
      <c r="EH196" s="286" t="str">
        <f>IF(Table1[[#This Row],[PO Material Aktual 
(%)]]&gt;=100%,"Selesai PO = 100%",IF(Table1[[#This Row],[PO Material Aktual 
(%)]]&gt;=50%,"Proses PO &gt; 100%",IF(Table1[[#This Row],[PO Material Aktual 
(%)]]&gt;0%,"Proses PO &gt; 50%",IF(Table1[[#This Row],[PO Material Aktual 
(%)]]=0,"Belum PO = 0%"))))</f>
        <v>Selesai PO = 100%</v>
      </c>
      <c r="EI19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6" s="300">
        <v>45817</v>
      </c>
      <c r="EK196" s="300" t="e">
        <v>#N/A</v>
      </c>
      <c r="EL196" s="300">
        <v>45865</v>
      </c>
      <c r="EM196" s="300" t="e">
        <v>#N/A</v>
      </c>
      <c r="EN196" s="301">
        <v>46091</v>
      </c>
      <c r="EO196" s="302"/>
      <c r="EP196" s="302"/>
      <c r="EQ196" s="82" t="b">
        <v>0</v>
      </c>
      <c r="ER196" s="82" t="b">
        <v>0</v>
      </c>
      <c r="ES196" s="286" t="str">
        <f>IF(Table1[[#This Row],[Progres MOS]]&gt;=100%,"Selesai MOS = 100%",IF(Table1[[#This Row],[Progres MOS]]&gt;=50%,"Proses MOS &gt; 100%",IF(Table1[[#This Row],[Progres MOS]]&gt;0%,"Proses MOS &gt; 50%",IF(Table1[[#This Row],[Progres MOS]]=0,"Belum MOS = 0%"))))</f>
        <v>Selesai MOS = 100%</v>
      </c>
      <c r="ET1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6" s="42"/>
      <c r="EV196" s="300">
        <v>45775</v>
      </c>
      <c r="EW196" s="300" t="e">
        <v>#N/A</v>
      </c>
      <c r="EX196" s="300">
        <v>45865</v>
      </c>
      <c r="EY196" s="300" t="e">
        <v>#N/A</v>
      </c>
      <c r="EZ196" s="322" t="s">
        <v>298</v>
      </c>
      <c r="FA196" s="306" t="s">
        <v>259</v>
      </c>
      <c r="FB196" s="300" t="s">
        <v>260</v>
      </c>
      <c r="FC196" s="300">
        <v>45838</v>
      </c>
      <c r="FD196" s="300" t="s">
        <v>260</v>
      </c>
      <c r="FE196" s="300">
        <v>45888</v>
      </c>
      <c r="FF196" s="300">
        <v>45944</v>
      </c>
      <c r="FG196" s="300" t="s">
        <v>260</v>
      </c>
      <c r="FH196" s="300" t="s">
        <v>260</v>
      </c>
      <c r="FI196" s="300">
        <v>46010</v>
      </c>
      <c r="FJ196" s="300" t="s">
        <v>260</v>
      </c>
      <c r="FK196" s="300">
        <v>46113</v>
      </c>
      <c r="FL196" s="306" t="s">
        <v>298</v>
      </c>
      <c r="FM196" s="322">
        <v>45838</v>
      </c>
      <c r="FN196" s="308">
        <f>IF(Table1[[#This Row],[Tanggal Pengajuan Dokumen]]="","",Table1[[#This Row],[PLAN PERMIT
start]]-Table1[[#This Row],[Tanggal Pengajuan Dokumen]])</f>
        <v>-63</v>
      </c>
      <c r="FO196" s="407">
        <v>46086</v>
      </c>
      <c r="FP196" s="286"/>
      <c r="FQ196" s="308"/>
      <c r="FR196" s="308"/>
      <c r="FS196" s="308" t="str">
        <f t="shared" si="11"/>
        <v>Sudah Terbit</v>
      </c>
      <c r="FT1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6" s="314">
        <f ca="1">IF(Table1[[#This Row],[Status Izin]]="Selesai",Table1[[#This Row],[PLAN PERMIT
finish]]-Table1[[#This Row],[Tanggal Terbit/ Target Izin Terbit]],ROUNDUP(Table1[[#This Row],[PLAN PERMIT
finish]]-NOW(),0))</f>
        <v>-221</v>
      </c>
      <c r="FV1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196" s="314"/>
      <c r="FX196" s="42"/>
      <c r="FY196" s="310"/>
      <c r="FZ196" s="311"/>
      <c r="GA1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6" s="300">
        <v>45818</v>
      </c>
      <c r="GC196" s="322">
        <v>45826</v>
      </c>
      <c r="GD1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196" s="300">
        <v>45825</v>
      </c>
      <c r="GF196" s="322" t="s">
        <v>1385</v>
      </c>
      <c r="GG1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6" s="300">
        <v>45831</v>
      </c>
      <c r="GI196" s="300">
        <v>45832</v>
      </c>
      <c r="GJ196" s="322">
        <v>45827</v>
      </c>
      <c r="GK1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6" s="300">
        <v>45866</v>
      </c>
      <c r="GM196" s="300" t="e">
        <v>#N/A</v>
      </c>
      <c r="GN196" s="300">
        <v>45886</v>
      </c>
      <c r="GO196" s="300" t="e">
        <v>#N/A</v>
      </c>
      <c r="GP196" s="286"/>
      <c r="GQ1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6" s="300" t="s">
        <v>261</v>
      </c>
      <c r="GS196" s="300" t="s">
        <v>261</v>
      </c>
      <c r="GT196" s="324">
        <v>45973</v>
      </c>
      <c r="GU196" s="314" t="str">
        <f>IF(Table1[[#This Row],[Hydro Tes Actual
(tanggal)]]&lt;&gt;"","Sudah","Belum")</f>
        <v>Sudah</v>
      </c>
      <c r="GV196" s="300" t="s">
        <v>261</v>
      </c>
      <c r="GW196" s="300" t="s">
        <v>261</v>
      </c>
      <c r="GX196" s="301">
        <v>45974</v>
      </c>
      <c r="GY196" s="314" t="str">
        <f>IF(Table1[[#This Row],[Interkoneksi Actual
(tanggal)]]&lt;&gt;"","Sudah","Belum")</f>
        <v>Sudah</v>
      </c>
      <c r="GZ196" s="300" t="s">
        <v>261</v>
      </c>
      <c r="HA196" s="300" t="s">
        <v>261</v>
      </c>
      <c r="HB196" s="301">
        <v>45976</v>
      </c>
      <c r="HC196" s="314" t="str">
        <f>IF(Table1[[#This Row],[Flushing Actual
(tanggal)]]&lt;&gt;"","Sudah","Belum")</f>
        <v>Sudah</v>
      </c>
      <c r="HD196" s="300">
        <v>45877</v>
      </c>
      <c r="HE196" s="300" t="e">
        <v>#N/A</v>
      </c>
      <c r="HF196" s="300">
        <v>45882</v>
      </c>
      <c r="HG196" s="301">
        <v>45980</v>
      </c>
      <c r="HH1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6" s="300" t="s">
        <v>261</v>
      </c>
      <c r="HJ196" s="300" t="s">
        <v>261</v>
      </c>
      <c r="HK196" s="301"/>
      <c r="HL196" s="286"/>
      <c r="HM196" s="300">
        <v>45891</v>
      </c>
      <c r="HN196" s="300">
        <v>45891</v>
      </c>
      <c r="HO196" s="300" t="e">
        <v>#N/A</v>
      </c>
      <c r="HP196" s="300"/>
      <c r="HQ196" s="301">
        <v>46008</v>
      </c>
      <c r="HR1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6" s="300">
        <v>45898</v>
      </c>
      <c r="HT196" s="300"/>
      <c r="HU196" s="300">
        <v>45898</v>
      </c>
      <c r="HV196" s="497"/>
      <c r="HW196" s="301">
        <v>46024</v>
      </c>
      <c r="HX19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6" s="42"/>
      <c r="HZ196" s="322"/>
      <c r="IA196" s="306"/>
      <c r="IC196" s="585">
        <f>IFERROR(ROUND((Table1[[#This Row],[PLAN TC
finish]]-Table1[[#This Row],[PLAN MC-0
start]])/30,2),"")</f>
        <v>1.7</v>
      </c>
      <c r="ID196">
        <f>DATEDIF(Table1[[#This Row],[PLAN MC-0
start]],Table1[[#This Row],[PLAN TC
finish]],"m")</f>
        <v>1</v>
      </c>
    </row>
    <row r="197" spans="1:238" s="4" customFormat="1" ht="15" customHeight="1" x14ac:dyDescent="0.25">
      <c r="B197" s="281">
        <f>SUBTOTAL(3,$D$5:D197)</f>
        <v>193</v>
      </c>
      <c r="C197" s="318">
        <v>193</v>
      </c>
      <c r="D197" s="308" t="s">
        <v>244</v>
      </c>
      <c r="E197" s="308" t="s">
        <v>1462</v>
      </c>
      <c r="F197" s="308" t="s">
        <v>1463</v>
      </c>
      <c r="G197" s="319">
        <v>45935</v>
      </c>
      <c r="H197" s="308" t="s">
        <v>681</v>
      </c>
      <c r="I197" s="308" t="s">
        <v>278</v>
      </c>
      <c r="J197" s="285"/>
      <c r="K197" s="308" t="s">
        <v>1165</v>
      </c>
      <c r="L197" s="286" t="s">
        <v>250</v>
      </c>
      <c r="M197" s="286" t="s">
        <v>269</v>
      </c>
      <c r="N197" s="94">
        <v>142</v>
      </c>
      <c r="O197" s="31" t="s">
        <v>252</v>
      </c>
      <c r="P19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7" s="35" t="e">
        <v>#N/A</v>
      </c>
      <c r="S197" s="35">
        <v>1</v>
      </c>
      <c r="T197" s="35">
        <f>Table1[[#This Row],[Progres Total Aktual
(%)]]</f>
        <v>1</v>
      </c>
      <c r="U197" s="106">
        <f>Table1[[#This Row],[Progres Aktual
(%)]]-Table1[[#This Row],[Target Progres
(%)]]</f>
        <v>0</v>
      </c>
      <c r="V197" s="320">
        <f>Table1[[#This Row],["Volume
BA MC-0"]]</f>
        <v>130</v>
      </c>
      <c r="W197" s="321">
        <f>Table1[[#This Row],[Total Panjang Pipa Aktual
(Sum-&gt;)3]]</f>
        <v>123.89999999999999</v>
      </c>
      <c r="X197" s="42"/>
      <c r="Y197" s="62" t="s">
        <v>1464</v>
      </c>
      <c r="Z197" s="62">
        <v>326207745</v>
      </c>
      <c r="AA197" s="62">
        <f>Table1[[#This Row],[Nilai RAB Jaringan
(file pa aji)]]</f>
        <v>326207745</v>
      </c>
      <c r="AB197" s="290">
        <f>SUM(Table1[[#This Row],[RAB Kegiatan Umum]:[RAB Perizinan]])</f>
        <v>0</v>
      </c>
      <c r="AC197" s="290"/>
      <c r="AD197" s="290"/>
      <c r="AE197" s="290"/>
      <c r="AF197" s="290"/>
      <c r="AG197" s="406">
        <v>455839140</v>
      </c>
      <c r="AH197" s="35" t="e">
        <f>SUM(Table1[[#This Row],[Bobot Keg Umum]:[Bobot Perizinan]])</f>
        <v>#DIV/0!</v>
      </c>
      <c r="AI197" s="35" t="e">
        <f>Table1[[#This Row],[RAB Kegiatan Umum]]/Table1[[#This Row],[Nilai RAB Jaringan
(Exclude Ppn)]]</f>
        <v>#DIV/0!</v>
      </c>
      <c r="AJ197" s="35" t="e">
        <f>Table1[[#This Row],[RAB Pemasangan]]/Table1[[#This Row],[Nilai RAB Jaringan
(Exclude Ppn)]]</f>
        <v>#DIV/0!</v>
      </c>
      <c r="AK197" s="35" t="e">
        <f>Table1[[#This Row],[RAB Pengadaan]]/Table1[[#This Row],[Nilai RAB Jaringan
(Exclude Ppn)]]</f>
        <v>#DIV/0!</v>
      </c>
      <c r="AL197" s="35" t="e">
        <f>Table1[[#This Row],[RAB Perizinan]]/Table1[[#This Row],[Nilai RAB Jaringan
(Exclude Ppn)]]</f>
        <v>#DIV/0!</v>
      </c>
      <c r="AM197" s="42"/>
      <c r="AN197" s="256">
        <v>130</v>
      </c>
      <c r="AO197" s="256">
        <f>SUM(Table1[[#This Row],[Pipa 63 mm]:[Pipa 1,800 mm]])</f>
        <v>0</v>
      </c>
      <c r="AP197" s="256"/>
      <c r="AQ197" s="256"/>
      <c r="AR197" s="256"/>
      <c r="AS197" s="256"/>
      <c r="AT197" s="256"/>
      <c r="AU197" s="256"/>
      <c r="AV197" s="256"/>
      <c r="AW197" s="256"/>
      <c r="AX197" s="256"/>
      <c r="AY197" s="256"/>
      <c r="AZ197" s="256"/>
      <c r="BA197" s="256"/>
      <c r="BB197" s="256"/>
      <c r="BC197" s="256"/>
      <c r="BD197" s="256"/>
      <c r="BE197" s="256"/>
      <c r="BF197" s="256"/>
      <c r="BG197" s="256"/>
      <c r="BH197" s="256"/>
      <c r="BI197" s="256"/>
      <c r="BJ197" s="36">
        <f>SUM(Table1[[#This Row],[Pipa 63 mm2]:[Pipa 1,800 mm21]])</f>
        <v>123.89999999999999</v>
      </c>
      <c r="BK197" s="32">
        <f>43.8+80.1</f>
        <v>123.89999999999999</v>
      </c>
      <c r="BL197" s="32"/>
      <c r="BM197" s="32"/>
      <c r="BN197" s="32"/>
      <c r="BO197" s="32"/>
      <c r="BP197" s="32"/>
      <c r="BQ197" s="32"/>
      <c r="BR197" s="32"/>
      <c r="BS197" s="32"/>
      <c r="BT197" s="32"/>
      <c r="BU197" s="32"/>
      <c r="BV197" s="32"/>
      <c r="BW197" s="32"/>
      <c r="BX197" s="32"/>
      <c r="BY197" s="32"/>
      <c r="BZ197" s="32"/>
      <c r="CA197" s="32"/>
      <c r="CB197" s="32"/>
      <c r="CC197" s="32"/>
      <c r="CD197" s="32"/>
      <c r="CE197" s="32">
        <v>0</v>
      </c>
      <c r="CF197" s="32">
        <v>0</v>
      </c>
      <c r="CG197" s="32">
        <v>0</v>
      </c>
      <c r="CH197" s="32">
        <v>0</v>
      </c>
      <c r="CI197" s="32">
        <f t="shared" ref="CI197:CI253" si="12">SUM(CE197:CH197)</f>
        <v>0</v>
      </c>
      <c r="CJ197" s="60">
        <f>IF((Table1[[#This Row],["Volume
BA MC-0"]]-Table1[[#This Row],[Total Panjang Pipa Aktual
(Sum-&gt;)3]]-Table1[[#This Row],[Total Volume
tidak dapat dipasang]])&gt;=0,Table1[[#This Row],["Volume
BA MC-0"]]-Table1[[#This Row],[Total Panjang Pipa Aktual
(Sum-&gt;)3]]-Table1[[#This Row],[Total Volume
tidak dapat dipasang]],0)</f>
        <v>6.1000000000000085</v>
      </c>
      <c r="CK197" s="42"/>
      <c r="CL197" s="113"/>
      <c r="CM197" s="35"/>
      <c r="CN197" s="113"/>
      <c r="CO197" s="113"/>
      <c r="CP1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7" s="61">
        <f>IFERROR(Table1[[#This Row],[Progres Keg. Umum
(%)]]*Table1[[#This Row],[Nilai RAB Jaringan
(file pa aji)]],0)</f>
        <v>0</v>
      </c>
      <c r="CR197" s="61">
        <f>IFERROR(Table1[[#This Row],[Progres MOS
(%)]]*Table1[[#This Row],[Nilai RAB Jaringan
(file pa aji)]],0)</f>
        <v>0</v>
      </c>
      <c r="CS197" s="61">
        <f>IFERROR(Table1[[#This Row],[Progres Pemasangan
(%)]]*Table1[[#This Row],[Nilai RAB Jaringan
(file pa aji)]],0)</f>
        <v>0</v>
      </c>
      <c r="CT197" s="61">
        <f>IFERROR(Table1[[#This Row],[Progres Perizinan
(%)]]*Table1[[#This Row],[Nilai RAB Jaringan
(file pa aji)]],0)</f>
        <v>0</v>
      </c>
      <c r="CU197" s="789">
        <v>239740973</v>
      </c>
      <c r="CV197" s="299">
        <v>239740973</v>
      </c>
      <c r="CW197" s="552">
        <v>239740973</v>
      </c>
      <c r="CX197" s="789">
        <f>_xlfn.XLOOKUP(Table1[[#This Row],[Kode Program]],'[1]Breakdown VOWD Greenfield'!$E:$E,'[1]Breakdown VOWD Greenfield'!$AT:$AT)</f>
        <v>239740973</v>
      </c>
      <c r="CY197" s="42"/>
      <c r="CZ197" s="300">
        <v>45775</v>
      </c>
      <c r="DA197" s="300">
        <v>45802</v>
      </c>
      <c r="DB197" s="301">
        <v>45779</v>
      </c>
      <c r="DC197" s="286" t="s">
        <v>1465</v>
      </c>
      <c r="DD197" s="62">
        <v>326207746</v>
      </c>
      <c r="DE1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7" s="301">
        <v>45790</v>
      </c>
      <c r="DG197" s="286" t="s">
        <v>1466</v>
      </c>
      <c r="DH197" s="62">
        <v>326207746</v>
      </c>
      <c r="DI1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7" s="300">
        <v>45803</v>
      </c>
      <c r="DK197" s="300">
        <v>45872</v>
      </c>
      <c r="DL197" s="301">
        <v>45811</v>
      </c>
      <c r="DM197" s="286" t="s">
        <v>1467</v>
      </c>
      <c r="DN1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7" s="301">
        <v>45834</v>
      </c>
      <c r="DP197" s="286" t="s">
        <v>1468</v>
      </c>
      <c r="DQ197" s="308" t="s">
        <v>479</v>
      </c>
      <c r="DR1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197" s="300">
        <v>45803</v>
      </c>
      <c r="DT197" s="300" t="e">
        <v>#N/A</v>
      </c>
      <c r="DU197" s="300">
        <v>45844</v>
      </c>
      <c r="DV197" s="300" t="e">
        <v>#N/A</v>
      </c>
      <c r="DW197" s="301">
        <v>45811</v>
      </c>
      <c r="DX197" s="286" t="s">
        <v>1469</v>
      </c>
      <c r="DY197" s="304"/>
      <c r="DZ197" s="304"/>
      <c r="EA1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7" s="301">
        <v>46007</v>
      </c>
      <c r="EC197" s="302"/>
      <c r="ED197" s="302"/>
      <c r="EE197" s="300" t="s">
        <v>1470</v>
      </c>
      <c r="EF197" s="35" t="b">
        <v>0</v>
      </c>
      <c r="EG197" s="307" t="b">
        <v>0</v>
      </c>
      <c r="EH197" s="286" t="str">
        <f>IF(Table1[[#This Row],[PO Material Aktual 
(%)]]&gt;=100%,"Selesai PO = 100%",IF(Table1[[#This Row],[PO Material Aktual 
(%)]]&gt;=50%,"Proses PO &gt; 100%",IF(Table1[[#This Row],[PO Material Aktual 
(%)]]&gt;0%,"Proses PO &gt; 50%",IF(Table1[[#This Row],[PO Material Aktual 
(%)]]=0,"Belum PO = 0%"))))</f>
        <v>Selesai PO = 100%</v>
      </c>
      <c r="EI1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7" s="300">
        <v>45845</v>
      </c>
      <c r="EK197" s="300" t="e">
        <v>#N/A</v>
      </c>
      <c r="EL197" s="300">
        <v>45900</v>
      </c>
      <c r="EM197" s="300" t="e">
        <v>#N/A</v>
      </c>
      <c r="EN197" s="301">
        <v>46156</v>
      </c>
      <c r="EO197" s="302"/>
      <c r="EP197" s="302"/>
      <c r="EQ197" s="82" t="b">
        <v>0</v>
      </c>
      <c r="ER197" s="82" t="b">
        <v>0</v>
      </c>
      <c r="ES197" s="286" t="str">
        <f>IF(Table1[[#This Row],[Progres MOS]]&gt;=100%,"Selesai MOS = 100%",IF(Table1[[#This Row],[Progres MOS]]&gt;=50%,"Proses MOS &gt; 100%",IF(Table1[[#This Row],[Progres MOS]]&gt;0%,"Proses MOS &gt; 50%",IF(Table1[[#This Row],[Progres MOS]]=0,"Belum MOS = 0%"))))</f>
        <v>Selesai MOS = 100%</v>
      </c>
      <c r="ET1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7" s="42"/>
      <c r="EV197" s="300">
        <v>45803</v>
      </c>
      <c r="EW197" s="300" t="e">
        <v>#N/A</v>
      </c>
      <c r="EX197" s="300">
        <v>45900</v>
      </c>
      <c r="EY197" s="300" t="e">
        <v>#N/A</v>
      </c>
      <c r="EZ197" s="322" t="s">
        <v>259</v>
      </c>
      <c r="FA197" s="306" t="s">
        <v>259</v>
      </c>
      <c r="FB197" s="300" t="s">
        <v>260</v>
      </c>
      <c r="FC197" s="300" t="s">
        <v>282</v>
      </c>
      <c r="FD197" s="300" t="s">
        <v>282</v>
      </c>
      <c r="FE197" s="300" t="s">
        <v>282</v>
      </c>
      <c r="FF197" s="300" t="s">
        <v>282</v>
      </c>
      <c r="FG197" s="300" t="s">
        <v>282</v>
      </c>
      <c r="FH197" s="300" t="s">
        <v>282</v>
      </c>
      <c r="FI197" s="300" t="s">
        <v>282</v>
      </c>
      <c r="FJ197" s="300" t="s">
        <v>282</v>
      </c>
      <c r="FK197" s="300" t="s">
        <v>283</v>
      </c>
      <c r="FL197" s="306" t="s">
        <v>259</v>
      </c>
      <c r="FM197" s="322" t="s">
        <v>282</v>
      </c>
      <c r="FN197" s="308" t="e">
        <f>IF(Table1[[#This Row],[Tanggal Pengajuan Dokumen]]="","",Table1[[#This Row],[PLAN PERMIT
start]]-Table1[[#This Row],[Tanggal Pengajuan Dokumen]])</f>
        <v>#VALUE!</v>
      </c>
      <c r="FO197" s="407">
        <v>45188</v>
      </c>
      <c r="FP197" s="286"/>
      <c r="FQ197" s="308"/>
      <c r="FR197" s="308"/>
      <c r="FS197" s="308" t="str">
        <f t="shared" si="11"/>
        <v>Sudah Terbit</v>
      </c>
      <c r="FT1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7" s="314">
        <f ca="1">IF(Table1[[#This Row],[Status Izin]]="Selesai",Table1[[#This Row],[PLAN PERMIT
finish]]-Table1[[#This Row],[Tanggal Terbit/ Target Izin Terbit]],ROUNDUP(Table1[[#This Row],[PLAN PERMIT
finish]]-NOW(),0))</f>
        <v>712</v>
      </c>
      <c r="FV1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7" s="314"/>
      <c r="FX197" s="42"/>
      <c r="FY197" s="310"/>
      <c r="FZ197" s="311"/>
      <c r="GA1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7" s="300">
        <v>45874</v>
      </c>
      <c r="GC197" s="322">
        <v>45840</v>
      </c>
      <c r="GD1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7" s="300">
        <v>45881</v>
      </c>
      <c r="GF197" s="322" t="s">
        <v>1385</v>
      </c>
      <c r="GG1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7" s="300">
        <v>45887</v>
      </c>
      <c r="GI197" s="300">
        <v>45893</v>
      </c>
      <c r="GJ197" s="322">
        <v>45845</v>
      </c>
      <c r="GK1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7" s="300">
        <v>45901</v>
      </c>
      <c r="GM197" s="300" t="e">
        <v>#N/A</v>
      </c>
      <c r="GN197" s="300">
        <v>45914</v>
      </c>
      <c r="GO197" s="300" t="e">
        <v>#N/A</v>
      </c>
      <c r="GP197" s="286"/>
      <c r="GQ1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7" s="300" t="s">
        <v>261</v>
      </c>
      <c r="GS197" s="300" t="s">
        <v>261</v>
      </c>
      <c r="GT197" s="324">
        <v>45910</v>
      </c>
      <c r="GU197" s="314" t="str">
        <f>IF(Table1[[#This Row],[Hydro Tes Actual
(tanggal)]]&lt;&gt;"","Sudah","Belum")</f>
        <v>Sudah</v>
      </c>
      <c r="GV197" s="300" t="s">
        <v>261</v>
      </c>
      <c r="GW197" s="300" t="s">
        <v>261</v>
      </c>
      <c r="GX197" s="301">
        <v>45910</v>
      </c>
      <c r="GY197" s="314" t="str">
        <f>IF(Table1[[#This Row],[Interkoneksi Actual
(tanggal)]]&lt;&gt;"","Sudah","Belum")</f>
        <v>Sudah</v>
      </c>
      <c r="GZ197" s="300" t="s">
        <v>261</v>
      </c>
      <c r="HA197" s="300" t="s">
        <v>261</v>
      </c>
      <c r="HB197" s="301">
        <v>45922</v>
      </c>
      <c r="HC197" s="314" t="str">
        <f>IF(Table1[[#This Row],[Flushing Actual
(tanggal)]]&lt;&gt;"","Sudah","Belum")</f>
        <v>Sudah</v>
      </c>
      <c r="HD197" s="300">
        <v>45905</v>
      </c>
      <c r="HE197" s="300" t="e">
        <v>#N/A</v>
      </c>
      <c r="HF197" s="300">
        <v>45914</v>
      </c>
      <c r="HG197" s="301">
        <v>45922</v>
      </c>
      <c r="HH1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7" s="300" t="s">
        <v>261</v>
      </c>
      <c r="HJ197" s="300" t="s">
        <v>261</v>
      </c>
      <c r="HK197" s="301"/>
      <c r="HL197" s="286"/>
      <c r="HM197" s="300">
        <v>45919</v>
      </c>
      <c r="HN197" s="300">
        <v>45919</v>
      </c>
      <c r="HO197" s="300" t="e">
        <v>#N/A</v>
      </c>
      <c r="HP197" s="300"/>
      <c r="HQ197" s="301">
        <v>45926</v>
      </c>
      <c r="HR1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7" s="300">
        <v>45926</v>
      </c>
      <c r="HT197" s="300"/>
      <c r="HU197" s="300">
        <v>45926</v>
      </c>
      <c r="HV197" s="497"/>
      <c r="HW197" s="301">
        <v>45933</v>
      </c>
      <c r="HX1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7" s="42"/>
      <c r="HZ197" s="322"/>
      <c r="IA197" s="306"/>
      <c r="IC197" s="585">
        <f>IFERROR(ROUND((Table1[[#This Row],[PLAN TC
finish]]-Table1[[#This Row],[PLAN MC-0
start]])/30,2),"")</f>
        <v>0.9</v>
      </c>
      <c r="ID197">
        <f>DATEDIF(Table1[[#This Row],[PLAN MC-0
start]],Table1[[#This Row],[PLAN TC
finish]],"m")</f>
        <v>0</v>
      </c>
    </row>
    <row r="198" spans="1:238" s="30" customFormat="1" ht="15" customHeight="1" x14ac:dyDescent="0.25">
      <c r="A198" s="72"/>
      <c r="B198" s="281">
        <f>SUBTOTAL(3,$D$5:D198)</f>
        <v>194</v>
      </c>
      <c r="C198" s="332">
        <v>194</v>
      </c>
      <c r="D198" s="336" t="s">
        <v>244</v>
      </c>
      <c r="E198" s="336" t="s">
        <v>1471</v>
      </c>
      <c r="F198" s="336" t="s">
        <v>1472</v>
      </c>
      <c r="G198" s="334">
        <v>45935</v>
      </c>
      <c r="H198" s="336" t="s">
        <v>681</v>
      </c>
      <c r="I198" s="336" t="s">
        <v>278</v>
      </c>
      <c r="J198" s="355" t="s">
        <v>389</v>
      </c>
      <c r="K198" s="336" t="s">
        <v>1165</v>
      </c>
      <c r="L198" s="337" t="s">
        <v>250</v>
      </c>
      <c r="M198" s="337" t="s">
        <v>269</v>
      </c>
      <c r="N198" s="338">
        <v>42</v>
      </c>
      <c r="O198" s="339" t="s">
        <v>252</v>
      </c>
      <c r="P19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8" s="340" t="s">
        <v>389</v>
      </c>
      <c r="R198" s="341" t="e">
        <v>#N/A</v>
      </c>
      <c r="S198" s="341">
        <v>1</v>
      </c>
      <c r="T198" s="341">
        <f>Table1[[#This Row],[Progres Total Aktual
(%)]]</f>
        <v>0</v>
      </c>
      <c r="U198" s="342">
        <f>Table1[[#This Row],[Progres Aktual
(%)]]-Table1[[#This Row],[Target Progres
(%)]]</f>
        <v>-1</v>
      </c>
      <c r="V198" s="343">
        <f>Table1[[#This Row],["Volume
BA MC-0"]]</f>
        <v>0</v>
      </c>
      <c r="W198" s="344">
        <f>Table1[[#This Row],[Total Panjang Pipa Aktual
(Sum-&gt;)3]]</f>
        <v>0</v>
      </c>
      <c r="X198" s="42"/>
      <c r="Y198" s="62" t="s">
        <v>1473</v>
      </c>
      <c r="Z198" s="345">
        <v>120504095</v>
      </c>
      <c r="AA198" s="62">
        <f>Table1[[#This Row],[Nilai RAB Jaringan
(file pa aji)]]</f>
        <v>120504095</v>
      </c>
      <c r="AB198" s="340">
        <f>SUM(Table1[[#This Row],[RAB Kegiatan Umum]:[RAB Perizinan]])</f>
        <v>0</v>
      </c>
      <c r="AC198" s="340"/>
      <c r="AD198" s="340"/>
      <c r="AE198" s="340"/>
      <c r="AF198" s="340"/>
      <c r="AG198" s="409">
        <v>178838223</v>
      </c>
      <c r="AH198" s="341" t="e">
        <f>SUM(Table1[[#This Row],[Bobot Keg Umum]:[Bobot Perizinan]])</f>
        <v>#DIV/0!</v>
      </c>
      <c r="AI198" s="341" t="e">
        <f>Table1[[#This Row],[RAB Kegiatan Umum]]/Table1[[#This Row],[Nilai RAB Jaringan
(Exclude Ppn)]]</f>
        <v>#DIV/0!</v>
      </c>
      <c r="AJ198" s="341" t="e">
        <f>Table1[[#This Row],[RAB Pemasangan]]/Table1[[#This Row],[Nilai RAB Jaringan
(Exclude Ppn)]]</f>
        <v>#DIV/0!</v>
      </c>
      <c r="AK198" s="341" t="e">
        <f>Table1[[#This Row],[RAB Pengadaan]]/Table1[[#This Row],[Nilai RAB Jaringan
(Exclude Ppn)]]</f>
        <v>#DIV/0!</v>
      </c>
      <c r="AL198" s="341" t="e">
        <f>Table1[[#This Row],[RAB Perizinan]]/Table1[[#This Row],[Nilai RAB Jaringan
(Exclude Ppn)]]</f>
        <v>#DIV/0!</v>
      </c>
      <c r="AM198" s="42"/>
      <c r="AN198" s="346">
        <v>0</v>
      </c>
      <c r="AO198" s="346">
        <f>SUM(Table1[[#This Row],[Pipa 63 mm]:[Pipa 1,800 mm]])</f>
        <v>0</v>
      </c>
      <c r="AP198" s="346"/>
      <c r="AQ198" s="346"/>
      <c r="AR198" s="346"/>
      <c r="AS198" s="346"/>
      <c r="AT198" s="346"/>
      <c r="AU198" s="346"/>
      <c r="AV198" s="346"/>
      <c r="AW198" s="346"/>
      <c r="AX198" s="346"/>
      <c r="AY198" s="346"/>
      <c r="AZ198" s="346"/>
      <c r="BA198" s="346"/>
      <c r="BB198" s="346"/>
      <c r="BC198" s="346"/>
      <c r="BD198" s="346"/>
      <c r="BE198" s="346"/>
      <c r="BF198" s="346"/>
      <c r="BG198" s="346"/>
      <c r="BH198" s="346"/>
      <c r="BI198" s="346"/>
      <c r="BJ198" s="347">
        <f>SUM(Table1[[#This Row],[Pipa 63 mm2]:[Pipa 1,800 mm21]])</f>
        <v>0</v>
      </c>
      <c r="BK198" s="348"/>
      <c r="BL198" s="348"/>
      <c r="BM198" s="348"/>
      <c r="BN198" s="348"/>
      <c r="BO198" s="348"/>
      <c r="BP198" s="348"/>
      <c r="BQ198" s="348"/>
      <c r="BR198" s="348"/>
      <c r="BS198" s="348"/>
      <c r="BT198" s="348"/>
      <c r="BU198" s="348"/>
      <c r="BV198" s="348"/>
      <c r="BW198" s="348"/>
      <c r="BX198" s="348"/>
      <c r="BY198" s="348"/>
      <c r="BZ198" s="348"/>
      <c r="CA198" s="348"/>
      <c r="CB198" s="348"/>
      <c r="CC198" s="348"/>
      <c r="CD198" s="348"/>
      <c r="CE198" s="348">
        <v>0</v>
      </c>
      <c r="CF198" s="348">
        <v>0</v>
      </c>
      <c r="CG198" s="348">
        <v>0</v>
      </c>
      <c r="CH198" s="348">
        <v>0</v>
      </c>
      <c r="CI198" s="348">
        <f t="shared" si="12"/>
        <v>0</v>
      </c>
      <c r="CJ198" s="348">
        <f>IF((Table1[[#This Row],["Volume
BA MC-0"]]-Table1[[#This Row],[Total Panjang Pipa Aktual
(Sum-&gt;)3]]-Table1[[#This Row],[Total Volume
tidak dapat dipasang]])&gt;=0,Table1[[#This Row],["Volume
BA MC-0"]]-Table1[[#This Row],[Total Panjang Pipa Aktual
(Sum-&gt;)3]]-Table1[[#This Row],[Total Volume
tidak dapat dipasang]],0)</f>
        <v>0</v>
      </c>
      <c r="CK198" s="42"/>
      <c r="CL198" s="349"/>
      <c r="CM198" s="341"/>
      <c r="CN198" s="349"/>
      <c r="CO198" s="349"/>
      <c r="CP1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198" s="350">
        <f>IFERROR(Table1[[#This Row],[Progres Keg. Umum
(%)]]*Table1[[#This Row],[Nilai RAB Jaringan
(file pa aji)]],0)</f>
        <v>0</v>
      </c>
      <c r="CR198" s="350">
        <f>IFERROR(Table1[[#This Row],[Progres MOS
(%)]]*Table1[[#This Row],[Nilai RAB Jaringan
(file pa aji)]],0)</f>
        <v>0</v>
      </c>
      <c r="CS198" s="350">
        <f>IFERROR(Table1[[#This Row],[Progres Pemasangan
(%)]]*Table1[[#This Row],[Nilai RAB Jaringan
(file pa aji)]],0)</f>
        <v>0</v>
      </c>
      <c r="CT198" s="350">
        <f>IFERROR(Table1[[#This Row],[Progres Perizinan
(%)]]*Table1[[#This Row],[Nilai RAB Jaringan
(file pa aji)]],0)</f>
        <v>0</v>
      </c>
      <c r="CU198" s="789">
        <v>0</v>
      </c>
      <c r="CV198" s="299">
        <v>0</v>
      </c>
      <c r="CW198" s="551">
        <v>0</v>
      </c>
      <c r="CX198" s="789">
        <f>_xlfn.XLOOKUP(Table1[[#This Row],[Kode Program]],'[1]Breakdown VOWD Greenfield'!$E:$E,'[1]Breakdown VOWD Greenfield'!$AT:$AT)</f>
        <v>0</v>
      </c>
      <c r="CY198" s="42"/>
      <c r="CZ198" s="356">
        <v>45775</v>
      </c>
      <c r="DA198" s="356">
        <v>45802</v>
      </c>
      <c r="DB198" s="301">
        <v>45779</v>
      </c>
      <c r="DC198" s="337" t="s">
        <v>1474</v>
      </c>
      <c r="DD198" s="345">
        <v>120504096</v>
      </c>
      <c r="DE1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8" s="301">
        <v>45803</v>
      </c>
      <c r="DG198" s="337" t="s">
        <v>1475</v>
      </c>
      <c r="DH198" s="345">
        <v>120504096</v>
      </c>
      <c r="DI198"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198" s="356">
        <v>45803</v>
      </c>
      <c r="DK198" s="356">
        <v>45872</v>
      </c>
      <c r="DL198" s="301">
        <v>45836</v>
      </c>
      <c r="DM198" s="351" t="s">
        <v>1476</v>
      </c>
      <c r="DN1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8" s="301">
        <v>45876</v>
      </c>
      <c r="DP198" s="337" t="s">
        <v>1477</v>
      </c>
      <c r="DQ198" s="336" t="s">
        <v>479</v>
      </c>
      <c r="DR1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8" s="356">
        <v>45803</v>
      </c>
      <c r="DT198" s="356" t="e">
        <v>#N/A</v>
      </c>
      <c r="DU198" s="356">
        <v>45844</v>
      </c>
      <c r="DV198" s="356" t="e">
        <v>#N/A</v>
      </c>
      <c r="DW198" s="301"/>
      <c r="DX198" s="337">
        <v>0</v>
      </c>
      <c r="DY198" s="352"/>
      <c r="DZ198" s="352"/>
      <c r="EA1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198" s="301"/>
      <c r="EC198" s="302"/>
      <c r="ED198" s="302"/>
      <c r="EE198" s="300"/>
      <c r="EF198" s="341" t="b">
        <v>0</v>
      </c>
      <c r="EG198" s="353" t="b">
        <v>0</v>
      </c>
      <c r="EH198" s="286" t="str">
        <f>IF(Table1[[#This Row],[PO Material Aktual 
(%)]]&gt;=100%,"Selesai PO = 100%",IF(Table1[[#This Row],[PO Material Aktual 
(%)]]&gt;=50%,"Proses PO &gt; 100%",IF(Table1[[#This Row],[PO Material Aktual 
(%)]]&gt;0%,"Proses PO &gt; 50%",IF(Table1[[#This Row],[PO Material Aktual 
(%)]]=0,"Belum PO = 0%"))))</f>
        <v>Selesai PO = 100%</v>
      </c>
      <c r="EI1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198" s="356">
        <v>45845</v>
      </c>
      <c r="EK198" s="356" t="e">
        <v>#N/A</v>
      </c>
      <c r="EL198" s="356">
        <v>45900</v>
      </c>
      <c r="EM198" s="356" t="e">
        <v>#N/A</v>
      </c>
      <c r="EN198" s="301"/>
      <c r="EO198" s="302"/>
      <c r="EP198" s="302"/>
      <c r="EQ198" s="83" t="b">
        <v>0</v>
      </c>
      <c r="ER198" s="83" t="b">
        <v>0</v>
      </c>
      <c r="ES198" s="286" t="str">
        <f>IF(Table1[[#This Row],[Progres MOS]]&gt;=100%,"Selesai MOS = 100%",IF(Table1[[#This Row],[Progres MOS]]&gt;=50%,"Proses MOS &gt; 100%",IF(Table1[[#This Row],[Progres MOS]]&gt;0%,"Proses MOS &gt; 50%",IF(Table1[[#This Row],[Progres MOS]]=0,"Belum MOS = 0%"))))</f>
        <v>Selesai MOS = 100%</v>
      </c>
      <c r="ET1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198" s="42"/>
      <c r="EV198" s="356">
        <v>45803</v>
      </c>
      <c r="EW198" s="356" t="e">
        <v>#N/A</v>
      </c>
      <c r="EX198" s="356">
        <v>45900</v>
      </c>
      <c r="EY198" s="356" t="e">
        <v>#N/A</v>
      </c>
      <c r="EZ198" s="354" t="s">
        <v>1337</v>
      </c>
      <c r="FA198" s="355" t="s">
        <v>389</v>
      </c>
      <c r="FB198" s="356"/>
      <c r="FC198" s="300"/>
      <c r="FD198" s="356"/>
      <c r="FE198" s="356"/>
      <c r="FF198" s="356"/>
      <c r="FG198" s="356"/>
      <c r="FH198" s="356"/>
      <c r="FI198" s="356"/>
      <c r="FJ198" s="356"/>
      <c r="FK198" s="356"/>
      <c r="FL198" s="306" t="str">
        <f>Table1[[#This Row],[IPPJU]]</f>
        <v>Izin Dari PPKK</v>
      </c>
      <c r="FM198" s="306"/>
      <c r="FN198" s="284" t="str">
        <f>IF(Table1[[#This Row],[Tanggal Pengajuan Dokumen]]="","",Table1[[#This Row],[PLAN PERMIT
start]]-Table1[[#This Row],[Tanggal Pengajuan Dokumen]])</f>
        <v/>
      </c>
      <c r="FO198" s="414">
        <v>45188</v>
      </c>
      <c r="FP198" s="286"/>
      <c r="FQ198" s="308"/>
      <c r="FR198" s="308"/>
      <c r="FS198" s="308" t="str">
        <f t="shared" si="11"/>
        <v>On Going</v>
      </c>
      <c r="FT19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198" s="357">
        <f ca="1">IF(Table1[[#This Row],[Status Izin]]="Selesai",Table1[[#This Row],[PLAN PERMIT
finish]]-Table1[[#This Row],[Tanggal Terbit/ Target Izin Terbit]],ROUNDUP(Table1[[#This Row],[PLAN PERMIT
finish]]-NOW(),0))</f>
        <v>-304</v>
      </c>
      <c r="FV19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8" s="357"/>
      <c r="FX198" s="42"/>
      <c r="FY198" s="310"/>
      <c r="FZ198" s="311"/>
      <c r="GA1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8" s="356">
        <v>45874</v>
      </c>
      <c r="GC198" s="354">
        <v>45840</v>
      </c>
      <c r="GD19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8" s="356">
        <v>45881</v>
      </c>
      <c r="GF198" s="354" t="s">
        <v>1385</v>
      </c>
      <c r="GG19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8" s="356">
        <v>45887</v>
      </c>
      <c r="GI198" s="356">
        <v>45893</v>
      </c>
      <c r="GJ198" s="354">
        <v>45845</v>
      </c>
      <c r="GK19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8" s="356">
        <v>45901</v>
      </c>
      <c r="GM198" s="356" t="e">
        <v>#N/A</v>
      </c>
      <c r="GN198" s="356">
        <v>45914</v>
      </c>
      <c r="GO198" s="356" t="e">
        <v>#N/A</v>
      </c>
      <c r="GP198" s="337"/>
      <c r="GQ19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8" s="356" t="s">
        <v>261</v>
      </c>
      <c r="GS198" s="356" t="s">
        <v>261</v>
      </c>
      <c r="GT198" s="360"/>
      <c r="GU198" s="357" t="str">
        <f>IF(Table1[[#This Row],[Hydro Tes Actual
(tanggal)]]&lt;&gt;"","Sudah","Belum")</f>
        <v>Belum</v>
      </c>
      <c r="GV198" s="356" t="s">
        <v>261</v>
      </c>
      <c r="GW198" s="356" t="s">
        <v>261</v>
      </c>
      <c r="GX198" s="358"/>
      <c r="GY198" s="314" t="str">
        <f>IF(Table1[[#This Row],[Interkoneksi Actual
(tanggal)]]&lt;&gt;"","Sudah","Belum")</f>
        <v>Belum</v>
      </c>
      <c r="GZ198" s="356" t="s">
        <v>261</v>
      </c>
      <c r="HA198" s="356" t="s">
        <v>261</v>
      </c>
      <c r="HB198" s="358"/>
      <c r="HC198" s="314" t="str">
        <f>IF(Table1[[#This Row],[Flushing Actual
(tanggal)]]&lt;&gt;"","Sudah","Belum")</f>
        <v>Belum</v>
      </c>
      <c r="HD198" s="356">
        <v>45905</v>
      </c>
      <c r="HE198" s="356" t="e">
        <v>#N/A</v>
      </c>
      <c r="HF198" s="356">
        <v>45914</v>
      </c>
      <c r="HG198" s="358"/>
      <c r="HH19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198" s="356" t="s">
        <v>261</v>
      </c>
      <c r="HJ198" s="356" t="s">
        <v>261</v>
      </c>
      <c r="HK198" s="358"/>
      <c r="HL198" s="337"/>
      <c r="HM198" s="356">
        <v>45919</v>
      </c>
      <c r="HN198" s="356">
        <v>45919</v>
      </c>
      <c r="HO198" s="356" t="e">
        <v>#N/A</v>
      </c>
      <c r="HP198" s="356"/>
      <c r="HQ198" s="358"/>
      <c r="HR198"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198" s="356">
        <v>45926</v>
      </c>
      <c r="HT198" s="356"/>
      <c r="HU198" s="356">
        <v>45926</v>
      </c>
      <c r="HV198" s="580"/>
      <c r="HW198" s="358"/>
      <c r="HX19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198" s="42"/>
      <c r="HZ198" s="354"/>
      <c r="IA198" s="306"/>
      <c r="IC198" s="585">
        <f>IFERROR(ROUND((Table1[[#This Row],[PLAN TC
finish]]-Table1[[#This Row],[PLAN MC-0
start]])/30,2),"")</f>
        <v>0.9</v>
      </c>
      <c r="ID198">
        <f>DATEDIF(Table1[[#This Row],[PLAN MC-0
start]],Table1[[#This Row],[PLAN TC
finish]],"m")</f>
        <v>0</v>
      </c>
    </row>
    <row r="199" spans="1:238" s="4" customFormat="1" ht="15" customHeight="1" x14ac:dyDescent="0.25">
      <c r="B199" s="281">
        <f>SUBTOTAL(3,$D$5:D199)</f>
        <v>195</v>
      </c>
      <c r="C199" s="318">
        <v>195</v>
      </c>
      <c r="D199" s="308" t="s">
        <v>244</v>
      </c>
      <c r="E199" s="308" t="s">
        <v>1478</v>
      </c>
      <c r="F199" s="308" t="s">
        <v>1479</v>
      </c>
      <c r="G199" s="319">
        <v>45935</v>
      </c>
      <c r="H199" s="308" t="s">
        <v>681</v>
      </c>
      <c r="I199" s="308" t="s">
        <v>278</v>
      </c>
      <c r="J199" s="285"/>
      <c r="K199" s="308" t="s">
        <v>1165</v>
      </c>
      <c r="L199" s="286" t="s">
        <v>250</v>
      </c>
      <c r="M199" s="286" t="s">
        <v>269</v>
      </c>
      <c r="N199" s="94">
        <v>25</v>
      </c>
      <c r="O199" s="31" t="s">
        <v>252</v>
      </c>
      <c r="P19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1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199" s="35" t="e">
        <v>#N/A</v>
      </c>
      <c r="S199" s="35">
        <v>1</v>
      </c>
      <c r="T199" s="35">
        <f>Table1[[#This Row],[Progres Total Aktual
(%)]]</f>
        <v>1</v>
      </c>
      <c r="U199" s="106">
        <f>Table1[[#This Row],[Progres Aktual
(%)]]-Table1[[#This Row],[Target Progres
(%)]]</f>
        <v>0</v>
      </c>
      <c r="V199" s="320">
        <f>Table1[[#This Row],["Volume
BA MC-0"]]</f>
        <v>32</v>
      </c>
      <c r="W199" s="321">
        <f>Table1[[#This Row],[Total Panjang Pipa Aktual
(Sum-&gt;)3]]</f>
        <v>26</v>
      </c>
      <c r="X199" s="42"/>
      <c r="Y199" s="62" t="s">
        <v>1480</v>
      </c>
      <c r="Z199" s="62">
        <v>90513781</v>
      </c>
      <c r="AA199" s="62">
        <f>Table1[[#This Row],[Nilai RAB Jaringan
(file pa aji)]]</f>
        <v>90513781</v>
      </c>
      <c r="AB199" s="290">
        <f>SUM(Table1[[#This Row],[RAB Kegiatan Umum]:[RAB Perizinan]])</f>
        <v>0</v>
      </c>
      <c r="AC199" s="290"/>
      <c r="AD199" s="290"/>
      <c r="AE199" s="290"/>
      <c r="AF199" s="290"/>
      <c r="AG199" s="406">
        <v>2107039</v>
      </c>
      <c r="AH199" s="35" t="e">
        <f>SUM(Table1[[#This Row],[Bobot Keg Umum]:[Bobot Perizinan]])</f>
        <v>#DIV/0!</v>
      </c>
      <c r="AI199" s="35" t="e">
        <f>Table1[[#This Row],[RAB Kegiatan Umum]]/Table1[[#This Row],[Nilai RAB Jaringan
(Exclude Ppn)]]</f>
        <v>#DIV/0!</v>
      </c>
      <c r="AJ199" s="35" t="e">
        <f>Table1[[#This Row],[RAB Pemasangan]]/Table1[[#This Row],[Nilai RAB Jaringan
(Exclude Ppn)]]</f>
        <v>#DIV/0!</v>
      </c>
      <c r="AK199" s="35" t="e">
        <f>Table1[[#This Row],[RAB Pengadaan]]/Table1[[#This Row],[Nilai RAB Jaringan
(Exclude Ppn)]]</f>
        <v>#DIV/0!</v>
      </c>
      <c r="AL199" s="35" t="e">
        <f>Table1[[#This Row],[RAB Perizinan]]/Table1[[#This Row],[Nilai RAB Jaringan
(Exclude Ppn)]]</f>
        <v>#DIV/0!</v>
      </c>
      <c r="AM199" s="42"/>
      <c r="AN199" s="256">
        <v>32</v>
      </c>
      <c r="AO199" s="256">
        <f>SUM(Table1[[#This Row],[Pipa 63 mm]:[Pipa 1,800 mm]])</f>
        <v>0</v>
      </c>
      <c r="AP199" s="256"/>
      <c r="AQ199" s="256"/>
      <c r="AR199" s="256"/>
      <c r="AS199" s="256"/>
      <c r="AT199" s="256"/>
      <c r="AU199" s="256"/>
      <c r="AV199" s="256"/>
      <c r="AW199" s="256"/>
      <c r="AX199" s="256"/>
      <c r="AY199" s="256"/>
      <c r="AZ199" s="256"/>
      <c r="BA199" s="256"/>
      <c r="BB199" s="256"/>
      <c r="BC199" s="256"/>
      <c r="BD199" s="256"/>
      <c r="BE199" s="256"/>
      <c r="BF199" s="256"/>
      <c r="BG199" s="256"/>
      <c r="BH199" s="256"/>
      <c r="BI199" s="256"/>
      <c r="BJ199" s="36">
        <f>SUM(Table1[[#This Row],[Pipa 63 mm2]:[Pipa 1,800 mm21]])</f>
        <v>26</v>
      </c>
      <c r="BK199" s="32">
        <v>26</v>
      </c>
      <c r="BL199" s="32"/>
      <c r="BM199" s="32"/>
      <c r="BN199" s="32"/>
      <c r="BO199" s="32"/>
      <c r="BP199" s="32"/>
      <c r="BQ199" s="32"/>
      <c r="BR199" s="32"/>
      <c r="BS199" s="32"/>
      <c r="BT199" s="32"/>
      <c r="BU199" s="32"/>
      <c r="BV199" s="32"/>
      <c r="BW199" s="32"/>
      <c r="BX199" s="32"/>
      <c r="BY199" s="32"/>
      <c r="BZ199" s="32"/>
      <c r="CA199" s="32"/>
      <c r="CB199" s="32"/>
      <c r="CC199" s="32"/>
      <c r="CD199" s="32"/>
      <c r="CE199" s="32">
        <v>0</v>
      </c>
      <c r="CF199" s="32">
        <v>0</v>
      </c>
      <c r="CG199" s="32">
        <v>0</v>
      </c>
      <c r="CH199" s="32">
        <v>0</v>
      </c>
      <c r="CI199" s="32">
        <f t="shared" si="12"/>
        <v>0</v>
      </c>
      <c r="CJ199" s="60">
        <f>IF((Table1[[#This Row],["Volume
BA MC-0"]]-Table1[[#This Row],[Total Panjang Pipa Aktual
(Sum-&gt;)3]]-Table1[[#This Row],[Total Volume
tidak dapat dipasang]])&gt;=0,Table1[[#This Row],["Volume
BA MC-0"]]-Table1[[#This Row],[Total Panjang Pipa Aktual
(Sum-&gt;)3]]-Table1[[#This Row],[Total Volume
tidak dapat dipasang]],0)</f>
        <v>6</v>
      </c>
      <c r="CK199" s="42"/>
      <c r="CL199" s="113"/>
      <c r="CM199" s="35"/>
      <c r="CN199" s="113"/>
      <c r="CO199" s="113"/>
      <c r="CP1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199" s="61">
        <f>IFERROR(Table1[[#This Row],[Progres Keg. Umum
(%)]]*Table1[[#This Row],[Nilai RAB Jaringan
(file pa aji)]],0)</f>
        <v>0</v>
      </c>
      <c r="CR199" s="61">
        <f>IFERROR(Table1[[#This Row],[Progres MOS
(%)]]*Table1[[#This Row],[Nilai RAB Jaringan
(file pa aji)]],0)</f>
        <v>0</v>
      </c>
      <c r="CS199" s="61">
        <f>IFERROR(Table1[[#This Row],[Progres Pemasangan
(%)]]*Table1[[#This Row],[Nilai RAB Jaringan
(file pa aji)]],0)</f>
        <v>0</v>
      </c>
      <c r="CT199" s="61">
        <f>IFERROR(Table1[[#This Row],[Progres Perizinan
(%)]]*Table1[[#This Row],[Nilai RAB Jaringan
(file pa aji)]],0)</f>
        <v>0</v>
      </c>
      <c r="CU199" s="789">
        <v>80554153</v>
      </c>
      <c r="CV199" s="299">
        <v>80554153</v>
      </c>
      <c r="CW199" s="552">
        <v>80554153</v>
      </c>
      <c r="CX199" s="789">
        <f>_xlfn.XLOOKUP(Table1[[#This Row],[Kode Program]],'[1]Breakdown VOWD Greenfield'!$E:$E,'[1]Breakdown VOWD Greenfield'!$AT:$AT)</f>
        <v>80554153</v>
      </c>
      <c r="CY199" s="42"/>
      <c r="CZ199" s="300">
        <v>45775</v>
      </c>
      <c r="DA199" s="300">
        <v>45802</v>
      </c>
      <c r="DB199" s="301">
        <v>45782</v>
      </c>
      <c r="DC199" s="286" t="s">
        <v>1481</v>
      </c>
      <c r="DD199" s="62">
        <v>90513782</v>
      </c>
      <c r="DE1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199" s="301">
        <v>45798</v>
      </c>
      <c r="DG199" s="286" t="s">
        <v>1482</v>
      </c>
      <c r="DH199" s="62">
        <v>90513782</v>
      </c>
      <c r="DI1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199" s="300">
        <v>45803</v>
      </c>
      <c r="DK199" s="300">
        <v>45872</v>
      </c>
      <c r="DL199" s="301">
        <v>45828</v>
      </c>
      <c r="DM199" s="286" t="s">
        <v>1483</v>
      </c>
      <c r="DN1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199" s="301">
        <v>45876</v>
      </c>
      <c r="DP199" s="286" t="s">
        <v>1484</v>
      </c>
      <c r="DQ199" s="308" t="s">
        <v>479</v>
      </c>
      <c r="DR1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199" s="300">
        <v>45803</v>
      </c>
      <c r="DT199" s="300" t="e">
        <v>#N/A</v>
      </c>
      <c r="DU199" s="300">
        <v>45844</v>
      </c>
      <c r="DV199" s="300" t="e">
        <v>#N/A</v>
      </c>
      <c r="DW199" s="301">
        <v>45828</v>
      </c>
      <c r="DX199" s="286" t="s">
        <v>1485</v>
      </c>
      <c r="DY199" s="304"/>
      <c r="DZ199" s="304"/>
      <c r="EA1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199" s="301">
        <v>46007</v>
      </c>
      <c r="EC199" s="302"/>
      <c r="ED199" s="302"/>
      <c r="EE199" s="300" t="s">
        <v>1486</v>
      </c>
      <c r="EF199" s="35">
        <v>1</v>
      </c>
      <c r="EG199" s="307">
        <v>1</v>
      </c>
      <c r="EH199" s="286" t="str">
        <f>IF(Table1[[#This Row],[PO Material Aktual 
(%)]]&gt;=100%,"Selesai PO = 100%",IF(Table1[[#This Row],[PO Material Aktual 
(%)]]&gt;=50%,"Proses PO &gt; 100%",IF(Table1[[#This Row],[PO Material Aktual 
(%)]]&gt;0%,"Proses PO &gt; 50%",IF(Table1[[#This Row],[PO Material Aktual 
(%)]]=0,"Belum PO = 0%"))))</f>
        <v>Selesai PO = 100%</v>
      </c>
      <c r="EI1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199" s="300">
        <v>45845</v>
      </c>
      <c r="EK199" s="300" t="e">
        <v>#N/A</v>
      </c>
      <c r="EL199" s="300">
        <v>45900</v>
      </c>
      <c r="EM199" s="300" t="e">
        <v>#N/A</v>
      </c>
      <c r="EN199" s="301">
        <v>46091</v>
      </c>
      <c r="EO199" s="302"/>
      <c r="EP199" s="302"/>
      <c r="EQ199" s="82">
        <v>1</v>
      </c>
      <c r="ER199" s="82">
        <v>1</v>
      </c>
      <c r="ES199" s="286" t="str">
        <f>IF(Table1[[#This Row],[Progres MOS]]&gt;=100%,"Selesai MOS = 100%",IF(Table1[[#This Row],[Progres MOS]]&gt;=50%,"Proses MOS &gt; 100%",IF(Table1[[#This Row],[Progres MOS]]&gt;0%,"Proses MOS &gt; 50%",IF(Table1[[#This Row],[Progres MOS]]=0,"Belum MOS = 0%"))))</f>
        <v>Selesai MOS = 100%</v>
      </c>
      <c r="ET1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199" s="42"/>
      <c r="EV199" s="300">
        <v>45803</v>
      </c>
      <c r="EW199" s="300" t="e">
        <v>#N/A</v>
      </c>
      <c r="EX199" s="300">
        <v>45900</v>
      </c>
      <c r="EY199" s="300" t="e">
        <v>#N/A</v>
      </c>
      <c r="EZ199" s="322" t="s">
        <v>1337</v>
      </c>
      <c r="FA199" s="306" t="s">
        <v>259</v>
      </c>
      <c r="FB199" s="300" t="s">
        <v>260</v>
      </c>
      <c r="FC199" s="300" t="s">
        <v>282</v>
      </c>
      <c r="FD199" s="300" t="s">
        <v>282</v>
      </c>
      <c r="FE199" s="300" t="s">
        <v>282</v>
      </c>
      <c r="FF199" s="300" t="s">
        <v>282</v>
      </c>
      <c r="FG199" s="300" t="s">
        <v>282</v>
      </c>
      <c r="FH199" s="300" t="s">
        <v>282</v>
      </c>
      <c r="FI199" s="300" t="s">
        <v>282</v>
      </c>
      <c r="FJ199" s="300" t="s">
        <v>282</v>
      </c>
      <c r="FK199" s="300" t="s">
        <v>283</v>
      </c>
      <c r="FL199" s="306" t="str">
        <f>Table1[[#This Row],[IPPJU]]</f>
        <v>Izin Dari PPKK</v>
      </c>
      <c r="FM199" s="322" t="s">
        <v>282</v>
      </c>
      <c r="FN199" s="308" t="e">
        <f>IF(Table1[[#This Row],[Tanggal Pengajuan Dokumen]]="","",Table1[[#This Row],[PLAN PERMIT
start]]-Table1[[#This Row],[Tanggal Pengajuan Dokumen]])</f>
        <v>#VALUE!</v>
      </c>
      <c r="FO199" s="407">
        <v>45188</v>
      </c>
      <c r="FP199" s="286"/>
      <c r="FQ199" s="308"/>
      <c r="FR199" s="308"/>
      <c r="FS199" s="308" t="str">
        <f t="shared" si="11"/>
        <v>Sudah Terbit</v>
      </c>
      <c r="FT1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199" s="314">
        <f ca="1">IF(Table1[[#This Row],[Status Izin]]="Selesai",Table1[[#This Row],[PLAN PERMIT
finish]]-Table1[[#This Row],[Tanggal Terbit/ Target Izin Terbit]],ROUNDUP(Table1[[#This Row],[PLAN PERMIT
finish]]-NOW(),0))</f>
        <v>712</v>
      </c>
      <c r="FV1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199" s="314"/>
      <c r="FX199" s="42"/>
      <c r="FY199" s="310"/>
      <c r="FZ199" s="311"/>
      <c r="GA1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199" s="300">
        <v>45874</v>
      </c>
      <c r="GC199" s="322">
        <v>45840</v>
      </c>
      <c r="GD1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199" s="300">
        <v>45881</v>
      </c>
      <c r="GF199" s="322" t="s">
        <v>1385</v>
      </c>
      <c r="GG1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199" s="300">
        <v>45887</v>
      </c>
      <c r="GI199" s="300">
        <v>45893</v>
      </c>
      <c r="GJ199" s="322">
        <v>45845</v>
      </c>
      <c r="GK1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199" s="300">
        <v>45901</v>
      </c>
      <c r="GM199" s="300" t="e">
        <v>#N/A</v>
      </c>
      <c r="GN199" s="300">
        <v>45914</v>
      </c>
      <c r="GO199" s="300" t="e">
        <v>#N/A</v>
      </c>
      <c r="GP199" s="286"/>
      <c r="GQ1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199" s="300" t="s">
        <v>261</v>
      </c>
      <c r="GS199" s="300" t="s">
        <v>261</v>
      </c>
      <c r="GT199" s="324">
        <v>45916</v>
      </c>
      <c r="GU199" s="314" t="str">
        <f>IF(Table1[[#This Row],[Hydro Tes Actual
(tanggal)]]&lt;&gt;"","Sudah","Belum")</f>
        <v>Sudah</v>
      </c>
      <c r="GV199" s="300" t="s">
        <v>261</v>
      </c>
      <c r="GW199" s="300" t="s">
        <v>261</v>
      </c>
      <c r="GX199" s="301">
        <v>45916</v>
      </c>
      <c r="GY199" s="314" t="str">
        <f>IF(Table1[[#This Row],[Interkoneksi Actual
(tanggal)]]&lt;&gt;"","Sudah","Belum")</f>
        <v>Sudah</v>
      </c>
      <c r="GZ199" s="300" t="s">
        <v>261</v>
      </c>
      <c r="HA199" s="300" t="s">
        <v>261</v>
      </c>
      <c r="HB199" s="301">
        <v>45916</v>
      </c>
      <c r="HC199" s="314" t="str">
        <f>IF(Table1[[#This Row],[Flushing Actual
(tanggal)]]&lt;&gt;"","Sudah","Belum")</f>
        <v>Sudah</v>
      </c>
      <c r="HD199" s="300">
        <v>45905</v>
      </c>
      <c r="HE199" s="300" t="e">
        <v>#N/A</v>
      </c>
      <c r="HF199" s="300">
        <v>45914</v>
      </c>
      <c r="HG199" s="301">
        <v>45922</v>
      </c>
      <c r="HH1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199" s="300" t="s">
        <v>261</v>
      </c>
      <c r="HJ199" s="300" t="s">
        <v>261</v>
      </c>
      <c r="HK199" s="301"/>
      <c r="HL199" s="286"/>
      <c r="HM199" s="300">
        <v>45919</v>
      </c>
      <c r="HN199" s="300">
        <v>45919</v>
      </c>
      <c r="HO199" s="300" t="e">
        <v>#N/A</v>
      </c>
      <c r="HP199" s="300"/>
      <c r="HQ199" s="301">
        <v>45926</v>
      </c>
      <c r="HR1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199" s="300">
        <v>45926</v>
      </c>
      <c r="HT199" s="300"/>
      <c r="HU199" s="300">
        <v>45926</v>
      </c>
      <c r="HV199" s="497"/>
      <c r="HW199" s="301">
        <v>45933</v>
      </c>
      <c r="HX1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199" s="42"/>
      <c r="HZ199" s="322"/>
      <c r="IA199" s="306"/>
      <c r="IC199" s="585">
        <f>IFERROR(ROUND((Table1[[#This Row],[PLAN TC
finish]]-Table1[[#This Row],[PLAN MC-0
start]])/30,2),"")</f>
        <v>0.9</v>
      </c>
      <c r="ID199">
        <f>DATEDIF(Table1[[#This Row],[PLAN MC-0
start]],Table1[[#This Row],[PLAN TC
finish]],"m")</f>
        <v>0</v>
      </c>
    </row>
    <row r="200" spans="1:238" s="4" customFormat="1" ht="15" customHeight="1" x14ac:dyDescent="0.25">
      <c r="B200" s="281">
        <f>SUBTOTAL(3,$D$5:D200)</f>
        <v>196</v>
      </c>
      <c r="C200" s="318">
        <v>196</v>
      </c>
      <c r="D200" s="308" t="s">
        <v>244</v>
      </c>
      <c r="E200" s="308" t="s">
        <v>1487</v>
      </c>
      <c r="F200" s="308" t="s">
        <v>1488</v>
      </c>
      <c r="G200" s="319">
        <v>45935</v>
      </c>
      <c r="H200" s="308" t="s">
        <v>681</v>
      </c>
      <c r="I200" s="308" t="s">
        <v>278</v>
      </c>
      <c r="J200" s="285"/>
      <c r="K200" s="308" t="s">
        <v>1165</v>
      </c>
      <c r="L200" s="286" t="s">
        <v>250</v>
      </c>
      <c r="M200" s="286" t="s">
        <v>269</v>
      </c>
      <c r="N200" s="94">
        <v>143</v>
      </c>
      <c r="O200" s="31" t="s">
        <v>252</v>
      </c>
      <c r="P20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0" s="35" t="e">
        <v>#N/A</v>
      </c>
      <c r="S200" s="35">
        <v>1</v>
      </c>
      <c r="T200" s="35">
        <f>Table1[[#This Row],[Progres Total Aktual
(%)]]</f>
        <v>1</v>
      </c>
      <c r="U200" s="106">
        <f>Table1[[#This Row],[Progres Aktual
(%)]]-Table1[[#This Row],[Target Progres
(%)]]</f>
        <v>0</v>
      </c>
      <c r="V200" s="320">
        <f>Table1[[#This Row],["Volume
BA MC-0"]]</f>
        <v>152</v>
      </c>
      <c r="W200" s="321">
        <f>Table1[[#This Row],[Total Panjang Pipa Aktual
(Sum-&gt;)3]]</f>
        <v>128</v>
      </c>
      <c r="X200" s="42"/>
      <c r="Y200" s="62" t="s">
        <v>1489</v>
      </c>
      <c r="Z200" s="62">
        <v>256419378</v>
      </c>
      <c r="AA200" s="62">
        <f>Table1[[#This Row],[Nilai RAB Jaringan
(file pa aji)]]</f>
        <v>256419378</v>
      </c>
      <c r="AB200" s="290">
        <f>SUM(Table1[[#This Row],[RAB Kegiatan Umum]:[RAB Perizinan]])</f>
        <v>0</v>
      </c>
      <c r="AC200" s="290"/>
      <c r="AD200" s="290"/>
      <c r="AE200" s="290"/>
      <c r="AF200" s="290"/>
      <c r="AG200" s="406">
        <v>21070387</v>
      </c>
      <c r="AH200" s="35" t="e">
        <f>SUM(Table1[[#This Row],[Bobot Keg Umum]:[Bobot Perizinan]])</f>
        <v>#DIV/0!</v>
      </c>
      <c r="AI200" s="35" t="e">
        <f>Table1[[#This Row],[RAB Kegiatan Umum]]/Table1[[#This Row],[Nilai RAB Jaringan
(Exclude Ppn)]]</f>
        <v>#DIV/0!</v>
      </c>
      <c r="AJ200" s="35" t="e">
        <f>Table1[[#This Row],[RAB Pemasangan]]/Table1[[#This Row],[Nilai RAB Jaringan
(Exclude Ppn)]]</f>
        <v>#DIV/0!</v>
      </c>
      <c r="AK200" s="35" t="e">
        <f>Table1[[#This Row],[RAB Pengadaan]]/Table1[[#This Row],[Nilai RAB Jaringan
(Exclude Ppn)]]</f>
        <v>#DIV/0!</v>
      </c>
      <c r="AL200" s="35" t="e">
        <f>Table1[[#This Row],[RAB Perizinan]]/Table1[[#This Row],[Nilai RAB Jaringan
(Exclude Ppn)]]</f>
        <v>#DIV/0!</v>
      </c>
      <c r="AM200" s="42"/>
      <c r="AN200" s="256">
        <v>152</v>
      </c>
      <c r="AO200" s="256">
        <f>SUM(Table1[[#This Row],[Pipa 63 mm]:[Pipa 1,800 mm]])</f>
        <v>0</v>
      </c>
      <c r="AP200" s="256"/>
      <c r="AQ200" s="256"/>
      <c r="AR200" s="256"/>
      <c r="AS200" s="256"/>
      <c r="AT200" s="256"/>
      <c r="AU200" s="256"/>
      <c r="AV200" s="256"/>
      <c r="AW200" s="256"/>
      <c r="AX200" s="256"/>
      <c r="AY200" s="256"/>
      <c r="AZ200" s="256"/>
      <c r="BA200" s="256"/>
      <c r="BB200" s="256"/>
      <c r="BC200" s="256"/>
      <c r="BD200" s="256"/>
      <c r="BE200" s="256"/>
      <c r="BF200" s="256"/>
      <c r="BG200" s="256"/>
      <c r="BH200" s="256"/>
      <c r="BI200" s="256"/>
      <c r="BJ200" s="36">
        <f>SUM(Table1[[#This Row],[Pipa 63 mm2]:[Pipa 1,800 mm21]])</f>
        <v>128</v>
      </c>
      <c r="BK200" s="32">
        <v>128</v>
      </c>
      <c r="BL200" s="32"/>
      <c r="BM200" s="32"/>
      <c r="BN200" s="32"/>
      <c r="BO200" s="32"/>
      <c r="BP200" s="32"/>
      <c r="BQ200" s="32"/>
      <c r="BR200" s="32"/>
      <c r="BS200" s="32"/>
      <c r="BT200" s="32"/>
      <c r="BU200" s="32"/>
      <c r="BV200" s="32"/>
      <c r="BW200" s="32"/>
      <c r="BX200" s="32"/>
      <c r="BY200" s="32"/>
      <c r="BZ200" s="32"/>
      <c r="CA200" s="32"/>
      <c r="CB200" s="32"/>
      <c r="CC200" s="32"/>
      <c r="CD200" s="32"/>
      <c r="CE200" s="32">
        <v>0</v>
      </c>
      <c r="CF200" s="32">
        <v>0</v>
      </c>
      <c r="CG200" s="32">
        <v>0</v>
      </c>
      <c r="CH200" s="32">
        <v>0</v>
      </c>
      <c r="CI200" s="32">
        <f t="shared" si="12"/>
        <v>0</v>
      </c>
      <c r="CJ200" s="60">
        <f>IF((Table1[[#This Row],["Volume
BA MC-0"]]-Table1[[#This Row],[Total Panjang Pipa Aktual
(Sum-&gt;)3]]-Table1[[#This Row],[Total Volume
tidak dapat dipasang]])&gt;=0,Table1[[#This Row],["Volume
BA MC-0"]]-Table1[[#This Row],[Total Panjang Pipa Aktual
(Sum-&gt;)3]]-Table1[[#This Row],[Total Volume
tidak dapat dipasang]],0)</f>
        <v>24</v>
      </c>
      <c r="CK200" s="42"/>
      <c r="CL200" s="113"/>
      <c r="CM200" s="35"/>
      <c r="CN200" s="113"/>
      <c r="CO200" s="113"/>
      <c r="CP20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0" s="61">
        <f>IFERROR(Table1[[#This Row],[Progres Keg. Umum
(%)]]*Table1[[#This Row],[Nilai RAB Jaringan
(file pa aji)]],0)</f>
        <v>0</v>
      </c>
      <c r="CR200" s="61">
        <f>IFERROR(Table1[[#This Row],[Progres MOS
(%)]]*Table1[[#This Row],[Nilai RAB Jaringan
(file pa aji)]],0)</f>
        <v>0</v>
      </c>
      <c r="CS200" s="61">
        <f>IFERROR(Table1[[#This Row],[Progres Pemasangan
(%)]]*Table1[[#This Row],[Nilai RAB Jaringan
(file pa aji)]],0)</f>
        <v>0</v>
      </c>
      <c r="CT200" s="61">
        <f>IFERROR(Table1[[#This Row],[Progres Perizinan
(%)]]*Table1[[#This Row],[Nilai RAB Jaringan
(file pa aji)]],0)</f>
        <v>0</v>
      </c>
      <c r="CU200" s="789">
        <v>176593904</v>
      </c>
      <c r="CV200" s="299">
        <v>176593904</v>
      </c>
      <c r="CW200" s="552">
        <v>176593904</v>
      </c>
      <c r="CX200" s="789">
        <f>_xlfn.XLOOKUP(Table1[[#This Row],[Kode Program]],'[1]Breakdown VOWD Greenfield'!$E:$E,'[1]Breakdown VOWD Greenfield'!$AT:$AT)</f>
        <v>176593904</v>
      </c>
      <c r="CY200" s="42"/>
      <c r="CZ200" s="300">
        <v>45775</v>
      </c>
      <c r="DA200" s="300">
        <v>45802</v>
      </c>
      <c r="DB200" s="301">
        <v>45782</v>
      </c>
      <c r="DC200" s="286" t="s">
        <v>1490</v>
      </c>
      <c r="DD200" s="62">
        <v>256419379</v>
      </c>
      <c r="DE2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0" s="301">
        <v>45799</v>
      </c>
      <c r="DG200" s="286" t="s">
        <v>1491</v>
      </c>
      <c r="DH200" s="62">
        <v>256419379</v>
      </c>
      <c r="DI2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0" s="300">
        <v>45803</v>
      </c>
      <c r="DK200" s="300">
        <v>45872</v>
      </c>
      <c r="DL200" s="301">
        <v>45822</v>
      </c>
      <c r="DM200" s="286" t="s">
        <v>1492</v>
      </c>
      <c r="DN2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0" s="301">
        <v>45876</v>
      </c>
      <c r="DP200" s="286" t="s">
        <v>1493</v>
      </c>
      <c r="DQ200" s="308" t="s">
        <v>479</v>
      </c>
      <c r="DR2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0" s="300">
        <v>45803</v>
      </c>
      <c r="DT200" s="300" t="e">
        <v>#N/A</v>
      </c>
      <c r="DU200" s="300">
        <v>45844</v>
      </c>
      <c r="DV200" s="300" t="e">
        <v>#N/A</v>
      </c>
      <c r="DW200" s="301">
        <v>45821</v>
      </c>
      <c r="DX200" s="286" t="s">
        <v>1494</v>
      </c>
      <c r="DY200" s="304"/>
      <c r="DZ200" s="304"/>
      <c r="EA2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0" s="301">
        <v>46160</v>
      </c>
      <c r="EC200" s="302"/>
      <c r="ED200" s="302"/>
      <c r="EE200" s="300" t="s">
        <v>1495</v>
      </c>
      <c r="EF200" s="35">
        <v>1</v>
      </c>
      <c r="EG200" s="307">
        <v>1</v>
      </c>
      <c r="EH200" s="286" t="str">
        <f>IF(Table1[[#This Row],[PO Material Aktual 
(%)]]&gt;=100%,"Selesai PO = 100%",IF(Table1[[#This Row],[PO Material Aktual 
(%)]]&gt;=50%,"Proses PO &gt; 100%",IF(Table1[[#This Row],[PO Material Aktual 
(%)]]&gt;0%,"Proses PO &gt; 50%",IF(Table1[[#This Row],[PO Material Aktual 
(%)]]=0,"Belum PO = 0%"))))</f>
        <v>Selesai PO = 100%</v>
      </c>
      <c r="EI20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0" s="300">
        <v>45845</v>
      </c>
      <c r="EK200" s="300" t="e">
        <v>#N/A</v>
      </c>
      <c r="EL200" s="300">
        <v>45900</v>
      </c>
      <c r="EM200" s="300" t="e">
        <v>#N/A</v>
      </c>
      <c r="EN200" s="301">
        <v>46091</v>
      </c>
      <c r="EO200" s="302"/>
      <c r="EP200" s="302"/>
      <c r="EQ200" s="82">
        <v>1</v>
      </c>
      <c r="ER200" s="82">
        <v>1</v>
      </c>
      <c r="ES200" s="286" t="str">
        <f>IF(Table1[[#This Row],[Progres MOS]]&gt;=100%,"Selesai MOS = 100%",IF(Table1[[#This Row],[Progres MOS]]&gt;=50%,"Proses MOS &gt; 100%",IF(Table1[[#This Row],[Progres MOS]]&gt;0%,"Proses MOS &gt; 50%",IF(Table1[[#This Row],[Progres MOS]]=0,"Belum MOS = 0%"))))</f>
        <v>Selesai MOS = 100%</v>
      </c>
      <c r="ET2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0" s="42"/>
      <c r="EV200" s="300">
        <v>45803</v>
      </c>
      <c r="EW200" s="300" t="e">
        <v>#N/A</v>
      </c>
      <c r="EX200" s="300">
        <v>45900</v>
      </c>
      <c r="EY200" s="300" t="e">
        <v>#N/A</v>
      </c>
      <c r="EZ200" s="322" t="s">
        <v>1337</v>
      </c>
      <c r="FA200" s="306" t="s">
        <v>259</v>
      </c>
      <c r="FB200" s="300" t="s">
        <v>260</v>
      </c>
      <c r="FC200" s="300" t="s">
        <v>282</v>
      </c>
      <c r="FD200" s="300" t="s">
        <v>282</v>
      </c>
      <c r="FE200" s="300" t="s">
        <v>282</v>
      </c>
      <c r="FF200" s="300" t="s">
        <v>282</v>
      </c>
      <c r="FG200" s="300" t="s">
        <v>282</v>
      </c>
      <c r="FH200" s="300" t="s">
        <v>282</v>
      </c>
      <c r="FI200" s="300" t="s">
        <v>282</v>
      </c>
      <c r="FJ200" s="300" t="s">
        <v>282</v>
      </c>
      <c r="FK200" s="300" t="s">
        <v>283</v>
      </c>
      <c r="FL200" s="306" t="str">
        <f>Table1[[#This Row],[IPPJU]]</f>
        <v>Izin Dari PPKK</v>
      </c>
      <c r="FM200" s="322" t="s">
        <v>282</v>
      </c>
      <c r="FN200" s="308" t="e">
        <f>IF(Table1[[#This Row],[Tanggal Pengajuan Dokumen]]="","",Table1[[#This Row],[PLAN PERMIT
start]]-Table1[[#This Row],[Tanggal Pengajuan Dokumen]])</f>
        <v>#VALUE!</v>
      </c>
      <c r="FO200" s="407">
        <v>45188</v>
      </c>
      <c r="FP200" s="286"/>
      <c r="FQ200" s="308"/>
      <c r="FR200" s="308"/>
      <c r="FS200" s="308" t="str">
        <f t="shared" si="11"/>
        <v>Sudah Terbit</v>
      </c>
      <c r="FT2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0" s="314">
        <f ca="1">IF(Table1[[#This Row],[Status Izin]]="Selesai",Table1[[#This Row],[PLAN PERMIT
finish]]-Table1[[#This Row],[Tanggal Terbit/ Target Izin Terbit]],ROUNDUP(Table1[[#This Row],[PLAN PERMIT
finish]]-NOW(),0))</f>
        <v>712</v>
      </c>
      <c r="FV2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00" s="314"/>
      <c r="FX200" s="42"/>
      <c r="FY200" s="310"/>
      <c r="FZ200" s="311"/>
      <c r="GA2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0" s="300">
        <v>45874</v>
      </c>
      <c r="GC200" s="322">
        <v>45840</v>
      </c>
      <c r="GD2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0" s="300">
        <v>45881</v>
      </c>
      <c r="GF200" s="322" t="s">
        <v>1385</v>
      </c>
      <c r="GG2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0" s="300">
        <v>45887</v>
      </c>
      <c r="GI200" s="300">
        <v>45893</v>
      </c>
      <c r="GJ200" s="322">
        <v>45845</v>
      </c>
      <c r="GK2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0" s="300">
        <v>45901</v>
      </c>
      <c r="GM200" s="300" t="e">
        <v>#N/A</v>
      </c>
      <c r="GN200" s="300">
        <v>45914</v>
      </c>
      <c r="GO200" s="300" t="e">
        <v>#N/A</v>
      </c>
      <c r="GP200" s="286"/>
      <c r="GQ2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0" s="300" t="s">
        <v>261</v>
      </c>
      <c r="GS200" s="300" t="s">
        <v>261</v>
      </c>
      <c r="GT200" s="324" t="s">
        <v>1496</v>
      </c>
      <c r="GU200" s="314" t="str">
        <f>IF(Table1[[#This Row],[Hydro Tes Actual
(tanggal)]]&lt;&gt;"","Sudah","Belum")</f>
        <v>Sudah</v>
      </c>
      <c r="GV200" s="300" t="s">
        <v>261</v>
      </c>
      <c r="GW200" s="300" t="s">
        <v>261</v>
      </c>
      <c r="GX200" s="301">
        <v>45916</v>
      </c>
      <c r="GY200" s="314" t="str">
        <f>IF(Table1[[#This Row],[Interkoneksi Actual
(tanggal)]]&lt;&gt;"","Sudah","Belum")</f>
        <v>Sudah</v>
      </c>
      <c r="GZ200" s="300" t="s">
        <v>261</v>
      </c>
      <c r="HA200" s="300" t="s">
        <v>261</v>
      </c>
      <c r="HB200" s="301">
        <v>45922</v>
      </c>
      <c r="HC200" s="314" t="str">
        <f>IF(Table1[[#This Row],[Flushing Actual
(tanggal)]]&lt;&gt;"","Sudah","Belum")</f>
        <v>Sudah</v>
      </c>
      <c r="HD200" s="300">
        <v>45905</v>
      </c>
      <c r="HE200" s="300" t="e">
        <v>#N/A</v>
      </c>
      <c r="HF200" s="300">
        <v>45914</v>
      </c>
      <c r="HG200" s="301">
        <v>45922</v>
      </c>
      <c r="HH2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0" s="300" t="s">
        <v>261</v>
      </c>
      <c r="HJ200" s="300" t="s">
        <v>261</v>
      </c>
      <c r="HK200" s="301"/>
      <c r="HL200" s="286"/>
      <c r="HM200" s="300">
        <v>45919</v>
      </c>
      <c r="HN200" s="300">
        <v>45919</v>
      </c>
      <c r="HO200" s="300" t="e">
        <v>#N/A</v>
      </c>
      <c r="HP200" s="300"/>
      <c r="HQ200" s="301">
        <v>45926</v>
      </c>
      <c r="HR2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0" s="300">
        <v>45926</v>
      </c>
      <c r="HT200" s="300"/>
      <c r="HU200" s="300">
        <v>45926</v>
      </c>
      <c r="HV200" s="497"/>
      <c r="HW200" s="301">
        <v>45933</v>
      </c>
      <c r="HX20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0" s="42"/>
      <c r="HZ200" s="322"/>
      <c r="IA200" s="306"/>
      <c r="IC200" s="585">
        <f>IFERROR(ROUND((Table1[[#This Row],[PLAN TC
finish]]-Table1[[#This Row],[PLAN MC-0
start]])/30,2),"")</f>
        <v>0.9</v>
      </c>
      <c r="ID200">
        <f>DATEDIF(Table1[[#This Row],[PLAN MC-0
start]],Table1[[#This Row],[PLAN TC
finish]],"m")</f>
        <v>0</v>
      </c>
    </row>
    <row r="201" spans="1:238" s="4" customFormat="1" ht="15" customHeight="1" x14ac:dyDescent="0.25">
      <c r="B201" s="281">
        <f>SUBTOTAL(3,$D$5:D201)</f>
        <v>197</v>
      </c>
      <c r="C201" s="318">
        <v>197</v>
      </c>
      <c r="D201" s="308" t="s">
        <v>244</v>
      </c>
      <c r="E201" s="308" t="s">
        <v>1497</v>
      </c>
      <c r="F201" s="587" t="s">
        <v>1498</v>
      </c>
      <c r="G201" s="319">
        <v>45935</v>
      </c>
      <c r="H201" s="308" t="s">
        <v>681</v>
      </c>
      <c r="I201" s="308" t="s">
        <v>278</v>
      </c>
      <c r="J201" s="285"/>
      <c r="K201" s="308" t="s">
        <v>1165</v>
      </c>
      <c r="L201" s="286" t="s">
        <v>250</v>
      </c>
      <c r="M201" s="286" t="s">
        <v>269</v>
      </c>
      <c r="N201" s="94">
        <v>563</v>
      </c>
      <c r="O201" s="31" t="s">
        <v>252</v>
      </c>
      <c r="P20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1" s="35" t="e">
        <v>#N/A</v>
      </c>
      <c r="S201" s="35">
        <v>1</v>
      </c>
      <c r="T201" s="35">
        <f>Table1[[#This Row],[Progres Total Aktual
(%)]]</f>
        <v>1</v>
      </c>
      <c r="U201" s="106">
        <f>Table1[[#This Row],[Progres Aktual
(%)]]-Table1[[#This Row],[Target Progres
(%)]]</f>
        <v>0</v>
      </c>
      <c r="V201" s="320">
        <f>Table1[[#This Row],["Volume
BA MC-0"]]</f>
        <v>84</v>
      </c>
      <c r="W201" s="321">
        <f>Table1[[#This Row],[Total Panjang Pipa Aktual
(Sum-&gt;)3]]</f>
        <v>84</v>
      </c>
      <c r="X201" s="42"/>
      <c r="Y201" s="62" t="s">
        <v>1499</v>
      </c>
      <c r="Z201" s="62">
        <v>166261796</v>
      </c>
      <c r="AA201" s="62">
        <f>Table1[[#This Row],[Nilai RAB Jaringan
(file pa aji)]]</f>
        <v>166261796</v>
      </c>
      <c r="AB201" s="290">
        <f>SUM(Table1[[#This Row],[RAB Kegiatan Umum]:[RAB Perizinan]])</f>
        <v>0</v>
      </c>
      <c r="AC201" s="290"/>
      <c r="AD201" s="290"/>
      <c r="AE201" s="290"/>
      <c r="AF201" s="290"/>
      <c r="AG201" s="406">
        <v>172743367</v>
      </c>
      <c r="AH201" s="35" t="e">
        <f>SUM(Table1[[#This Row],[Bobot Keg Umum]:[Bobot Perizinan]])</f>
        <v>#DIV/0!</v>
      </c>
      <c r="AI201" s="35" t="e">
        <f>Table1[[#This Row],[RAB Kegiatan Umum]]/Table1[[#This Row],[Nilai RAB Jaringan
(Exclude Ppn)]]</f>
        <v>#DIV/0!</v>
      </c>
      <c r="AJ201" s="35" t="e">
        <f>Table1[[#This Row],[RAB Pemasangan]]/Table1[[#This Row],[Nilai RAB Jaringan
(Exclude Ppn)]]</f>
        <v>#DIV/0!</v>
      </c>
      <c r="AK201" s="35" t="e">
        <f>Table1[[#This Row],[RAB Pengadaan]]/Table1[[#This Row],[Nilai RAB Jaringan
(Exclude Ppn)]]</f>
        <v>#DIV/0!</v>
      </c>
      <c r="AL201" s="35" t="e">
        <f>Table1[[#This Row],[RAB Perizinan]]/Table1[[#This Row],[Nilai RAB Jaringan
(Exclude Ppn)]]</f>
        <v>#DIV/0!</v>
      </c>
      <c r="AM201" s="42"/>
      <c r="AN201" s="256">
        <v>84</v>
      </c>
      <c r="AO201" s="256">
        <f>SUM(Table1[[#This Row],[Pipa 63 mm]:[Pipa 1,800 mm]])</f>
        <v>0</v>
      </c>
      <c r="AP201" s="256"/>
      <c r="AQ201" s="256"/>
      <c r="AR201" s="256"/>
      <c r="AS201" s="256"/>
      <c r="AT201" s="256"/>
      <c r="AU201" s="256"/>
      <c r="AV201" s="256"/>
      <c r="AW201" s="256"/>
      <c r="AX201" s="256"/>
      <c r="AY201" s="256"/>
      <c r="AZ201" s="256"/>
      <c r="BA201" s="256"/>
      <c r="BB201" s="256"/>
      <c r="BC201" s="256"/>
      <c r="BD201" s="256"/>
      <c r="BE201" s="256"/>
      <c r="BF201" s="256"/>
      <c r="BG201" s="256"/>
      <c r="BH201" s="256"/>
      <c r="BI201" s="256"/>
      <c r="BJ201" s="36">
        <f>SUM(Table1[[#This Row],[Pipa 63 mm2]:[Pipa 1,800 mm21]])</f>
        <v>84</v>
      </c>
      <c r="BK201" s="32">
        <v>84</v>
      </c>
      <c r="BL201" s="32"/>
      <c r="BM201" s="32"/>
      <c r="BN201" s="32"/>
      <c r="BO201" s="32"/>
      <c r="BP201" s="32"/>
      <c r="BQ201" s="32"/>
      <c r="BR201" s="32"/>
      <c r="BS201" s="32"/>
      <c r="BT201" s="32"/>
      <c r="BU201" s="32"/>
      <c r="BV201" s="32"/>
      <c r="BW201" s="32"/>
      <c r="BX201" s="32"/>
      <c r="BY201" s="32"/>
      <c r="BZ201" s="32"/>
      <c r="CA201" s="32"/>
      <c r="CB201" s="32"/>
      <c r="CC201" s="32"/>
      <c r="CD201" s="32"/>
      <c r="CE201" s="32">
        <v>0</v>
      </c>
      <c r="CF201" s="32">
        <v>0</v>
      </c>
      <c r="CG201" s="32">
        <v>0</v>
      </c>
      <c r="CH201" s="32">
        <v>0</v>
      </c>
      <c r="CI201" s="32">
        <f t="shared" si="12"/>
        <v>0</v>
      </c>
      <c r="CJ201" s="60">
        <f>IF((Table1[[#This Row],["Volume
BA MC-0"]]-Table1[[#This Row],[Total Panjang Pipa Aktual
(Sum-&gt;)3]]-Table1[[#This Row],[Total Volume
tidak dapat dipasang]])&gt;=0,Table1[[#This Row],["Volume
BA MC-0"]]-Table1[[#This Row],[Total Panjang Pipa Aktual
(Sum-&gt;)3]]-Table1[[#This Row],[Total Volume
tidak dapat dipasang]],0)</f>
        <v>0</v>
      </c>
      <c r="CK201" s="42"/>
      <c r="CL201" s="113"/>
      <c r="CM201" s="35"/>
      <c r="CN201" s="113"/>
      <c r="CO201" s="113"/>
      <c r="CP20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1" s="61">
        <f>IFERROR(Table1[[#This Row],[Progres Keg. Umum
(%)]]*Table1[[#This Row],[Nilai RAB Jaringan
(file pa aji)]],0)</f>
        <v>0</v>
      </c>
      <c r="CR201" s="61">
        <f>IFERROR(Table1[[#This Row],[Progres MOS
(%)]]*Table1[[#This Row],[Nilai RAB Jaringan
(file pa aji)]],0)</f>
        <v>0</v>
      </c>
      <c r="CS201" s="61">
        <f>IFERROR(Table1[[#This Row],[Progres Pemasangan
(%)]]*Table1[[#This Row],[Nilai RAB Jaringan
(file pa aji)]],0)</f>
        <v>0</v>
      </c>
      <c r="CT201" s="61">
        <f>IFERROR(Table1[[#This Row],[Progres Perizinan
(%)]]*Table1[[#This Row],[Nilai RAB Jaringan
(file pa aji)]],0)</f>
        <v>0</v>
      </c>
      <c r="CU201" s="789">
        <v>169535611</v>
      </c>
      <c r="CV201" s="299">
        <v>169535611</v>
      </c>
      <c r="CW201" s="552">
        <v>169535611</v>
      </c>
      <c r="CX201" s="789">
        <f>_xlfn.XLOOKUP(Table1[[#This Row],[Kode Program]],'[1]Breakdown VOWD Greenfield'!$E:$E,'[1]Breakdown VOWD Greenfield'!$AT:$AT)</f>
        <v>169535611</v>
      </c>
      <c r="CY201" s="42"/>
      <c r="CZ201" s="300">
        <v>45775</v>
      </c>
      <c r="DA201" s="300">
        <v>45802</v>
      </c>
      <c r="DB201" s="301">
        <v>45779</v>
      </c>
      <c r="DC201" s="286" t="s">
        <v>1500</v>
      </c>
      <c r="DD201" s="62">
        <v>166261797</v>
      </c>
      <c r="DE2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1" s="301">
        <v>45799</v>
      </c>
      <c r="DG201" s="286" t="s">
        <v>1501</v>
      </c>
      <c r="DH201" s="62">
        <v>166261797</v>
      </c>
      <c r="DI2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1" s="300">
        <v>45803</v>
      </c>
      <c r="DK201" s="300">
        <v>45865</v>
      </c>
      <c r="DL201" s="301">
        <v>45831</v>
      </c>
      <c r="DM201" s="286" t="s">
        <v>1502</v>
      </c>
      <c r="DN2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1" s="301">
        <v>45888</v>
      </c>
      <c r="DP201" s="286" t="s">
        <v>1503</v>
      </c>
      <c r="DQ201" s="308" t="s">
        <v>365</v>
      </c>
      <c r="DR2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1" s="300">
        <v>45803</v>
      </c>
      <c r="DT201" s="300" t="e">
        <v>#N/A</v>
      </c>
      <c r="DU201" s="300">
        <v>45844</v>
      </c>
      <c r="DV201" s="300" t="e">
        <v>#N/A</v>
      </c>
      <c r="DW201" s="301">
        <v>45831</v>
      </c>
      <c r="DX201" s="286" t="s">
        <v>1504</v>
      </c>
      <c r="DY201" s="304"/>
      <c r="DZ201" s="304"/>
      <c r="EA2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1" s="301">
        <v>46038</v>
      </c>
      <c r="EC201" s="302"/>
      <c r="ED201" s="302"/>
      <c r="EE201" s="300" t="s">
        <v>1505</v>
      </c>
      <c r="EF201" s="35">
        <v>1</v>
      </c>
      <c r="EG201" s="307">
        <v>1</v>
      </c>
      <c r="EH201" s="286" t="str">
        <f>IF(Table1[[#This Row],[PO Material Aktual 
(%)]]&gt;=100%,"Selesai PO = 100%",IF(Table1[[#This Row],[PO Material Aktual 
(%)]]&gt;=50%,"Proses PO &gt; 100%",IF(Table1[[#This Row],[PO Material Aktual 
(%)]]&gt;0%,"Proses PO &gt; 50%",IF(Table1[[#This Row],[PO Material Aktual 
(%)]]=0,"Belum PO = 0%"))))</f>
        <v>Selesai PO = 100%</v>
      </c>
      <c r="EI20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1" s="300">
        <v>45845</v>
      </c>
      <c r="EK201" s="300" t="e">
        <v>#N/A</v>
      </c>
      <c r="EL201" s="300">
        <v>45893</v>
      </c>
      <c r="EM201" s="300" t="e">
        <v>#N/A</v>
      </c>
      <c r="EN201" s="301">
        <v>46091</v>
      </c>
      <c r="EO201" s="302"/>
      <c r="EP201" s="302"/>
      <c r="EQ201" s="82">
        <v>1</v>
      </c>
      <c r="ER201" s="82">
        <v>1</v>
      </c>
      <c r="ES201" s="286" t="str">
        <f>IF(Table1[[#This Row],[Progres MOS]]&gt;=100%,"Selesai MOS = 100%",IF(Table1[[#This Row],[Progres MOS]]&gt;=50%,"Proses MOS &gt; 100%",IF(Table1[[#This Row],[Progres MOS]]&gt;0%,"Proses MOS &gt; 50%",IF(Table1[[#This Row],[Progres MOS]]=0,"Belum MOS = 0%"))))</f>
        <v>Selesai MOS = 100%</v>
      </c>
      <c r="ET2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1" s="42"/>
      <c r="EV201" s="300">
        <v>45803</v>
      </c>
      <c r="EW201" s="300" t="e">
        <v>#N/A</v>
      </c>
      <c r="EX201" s="300">
        <v>45893</v>
      </c>
      <c r="EY201" s="300" t="e">
        <v>#N/A</v>
      </c>
      <c r="EZ201" s="322" t="s">
        <v>298</v>
      </c>
      <c r="FA201" s="306" t="s">
        <v>298</v>
      </c>
      <c r="FB201" s="300" t="s">
        <v>260</v>
      </c>
      <c r="FC201" s="300">
        <v>45853</v>
      </c>
      <c r="FD201" s="300" t="s">
        <v>260</v>
      </c>
      <c r="FE201" s="300">
        <v>45882</v>
      </c>
      <c r="FF201" s="300">
        <v>45958</v>
      </c>
      <c r="FG201" s="300" t="s">
        <v>260</v>
      </c>
      <c r="FH201" s="300" t="s">
        <v>260</v>
      </c>
      <c r="FI201" s="300">
        <v>46003</v>
      </c>
      <c r="FJ201" s="300" t="s">
        <v>260</v>
      </c>
      <c r="FK201" s="300"/>
      <c r="FL201" s="306" t="s">
        <v>298</v>
      </c>
      <c r="FM201" s="322">
        <v>45853</v>
      </c>
      <c r="FN201" s="308">
        <f>IF(Table1[[#This Row],[Tanggal Pengajuan Dokumen]]="","",Table1[[#This Row],[PLAN PERMIT
start]]-Table1[[#This Row],[Tanggal Pengajuan Dokumen]])</f>
        <v>-50</v>
      </c>
      <c r="FO201" s="407">
        <v>46086</v>
      </c>
      <c r="FP201" s="286"/>
      <c r="FQ201" s="308"/>
      <c r="FR201" s="308"/>
      <c r="FS201" s="308" t="str">
        <f t="shared" si="11"/>
        <v>On Going</v>
      </c>
      <c r="FT2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1" s="314">
        <f ca="1">IF(Table1[[#This Row],[Status Izin]]="Selesai",Table1[[#This Row],[PLAN PERMIT
finish]]-Table1[[#This Row],[Tanggal Terbit/ Target Izin Terbit]],ROUNDUP(Table1[[#This Row],[PLAN PERMIT
finish]]-NOW(),0))</f>
        <v>-311</v>
      </c>
      <c r="FV2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1" s="314"/>
      <c r="FX201" s="42"/>
      <c r="FY201" s="310"/>
      <c r="FZ201" s="311"/>
      <c r="GA2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1" s="300">
        <v>45867</v>
      </c>
      <c r="GC201" s="322">
        <v>45840</v>
      </c>
      <c r="GD2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1" s="300">
        <v>45874</v>
      </c>
      <c r="GF201" s="322" t="s">
        <v>1385</v>
      </c>
      <c r="GG2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1" s="300">
        <v>45880</v>
      </c>
      <c r="GI201" s="300">
        <v>45886</v>
      </c>
      <c r="GJ201" s="322">
        <v>45841</v>
      </c>
      <c r="GK2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1" s="300">
        <v>45894</v>
      </c>
      <c r="GM201" s="300" t="e">
        <v>#N/A</v>
      </c>
      <c r="GN201" s="300">
        <v>45914</v>
      </c>
      <c r="GO201" s="300" t="e">
        <v>#N/A</v>
      </c>
      <c r="GP201" s="286"/>
      <c r="GQ2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1" s="300" t="s">
        <v>261</v>
      </c>
      <c r="GS201" s="300" t="s">
        <v>261</v>
      </c>
      <c r="GT201" s="324">
        <v>45907</v>
      </c>
      <c r="GU201" s="314" t="str">
        <f>IF(Table1[[#This Row],[Hydro Tes Actual
(tanggal)]]&lt;&gt;"","Sudah","Belum")</f>
        <v>Sudah</v>
      </c>
      <c r="GV201" s="300" t="s">
        <v>261</v>
      </c>
      <c r="GW201" s="300" t="s">
        <v>261</v>
      </c>
      <c r="GX201" s="301">
        <v>45907</v>
      </c>
      <c r="GY201" s="314" t="str">
        <f>IF(Table1[[#This Row],[Interkoneksi Actual
(tanggal)]]&lt;&gt;"","Sudah","Belum")</f>
        <v>Sudah</v>
      </c>
      <c r="GZ201" s="300" t="s">
        <v>261</v>
      </c>
      <c r="HA201" s="300" t="s">
        <v>261</v>
      </c>
      <c r="HB201" s="301">
        <v>45909</v>
      </c>
      <c r="HC201" s="314" t="str">
        <f>IF(Table1[[#This Row],[Flushing Actual
(tanggal)]]&lt;&gt;"","Sudah","Belum")</f>
        <v>Sudah</v>
      </c>
      <c r="HD201" s="300">
        <v>45905</v>
      </c>
      <c r="HE201" s="300" t="e">
        <v>#N/A</v>
      </c>
      <c r="HF201" s="300">
        <v>45914</v>
      </c>
      <c r="HG201" s="301">
        <v>45917</v>
      </c>
      <c r="HH2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1" s="300" t="s">
        <v>261</v>
      </c>
      <c r="HJ201" s="300" t="s">
        <v>261</v>
      </c>
      <c r="HK201" s="301"/>
      <c r="HL201" s="286"/>
      <c r="HM201" s="300">
        <v>45919</v>
      </c>
      <c r="HN201" s="300">
        <v>45919</v>
      </c>
      <c r="HO201" s="300" t="e">
        <v>#N/A</v>
      </c>
      <c r="HP201" s="300"/>
      <c r="HQ201" s="301">
        <v>45927</v>
      </c>
      <c r="HR2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1" s="300">
        <v>45926</v>
      </c>
      <c r="HT201" s="300"/>
      <c r="HU201" s="300">
        <v>45926</v>
      </c>
      <c r="HV201" s="497"/>
      <c r="HW201" s="301">
        <v>45933</v>
      </c>
      <c r="HX20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1" s="42"/>
      <c r="HZ201" s="322"/>
      <c r="IA201" s="306"/>
      <c r="IC201" s="585">
        <f>IFERROR(ROUND((Table1[[#This Row],[PLAN TC
finish]]-Table1[[#This Row],[PLAN MC-0
start]])/30,2),"")</f>
        <v>1.1299999999999999</v>
      </c>
      <c r="ID201">
        <f>DATEDIF(Table1[[#This Row],[PLAN MC-0
start]],Table1[[#This Row],[PLAN TC
finish]],"m")</f>
        <v>1</v>
      </c>
    </row>
    <row r="202" spans="1:238" s="4" customFormat="1" ht="15" customHeight="1" x14ac:dyDescent="0.25">
      <c r="B202" s="281">
        <f>SUBTOTAL(3,$D$5:D202)</f>
        <v>198</v>
      </c>
      <c r="C202" s="318">
        <v>198</v>
      </c>
      <c r="D202" s="308" t="s">
        <v>244</v>
      </c>
      <c r="E202" s="308" t="s">
        <v>1506</v>
      </c>
      <c r="F202" s="308" t="s">
        <v>1507</v>
      </c>
      <c r="G202" s="319">
        <v>45935</v>
      </c>
      <c r="H202" s="308" t="s">
        <v>681</v>
      </c>
      <c r="I202" s="308" t="s">
        <v>278</v>
      </c>
      <c r="J202" s="285"/>
      <c r="K202" s="308" t="s">
        <v>1165</v>
      </c>
      <c r="L202" s="286" t="s">
        <v>250</v>
      </c>
      <c r="M202" s="286" t="s">
        <v>269</v>
      </c>
      <c r="N202" s="94">
        <v>50</v>
      </c>
      <c r="O202" s="31" t="s">
        <v>252</v>
      </c>
      <c r="P20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2" s="35" t="e">
        <v>#N/A</v>
      </c>
      <c r="S202" s="35">
        <v>1</v>
      </c>
      <c r="T202" s="35">
        <f>Table1[[#This Row],[Progres Total Aktual
(%)]]</f>
        <v>1</v>
      </c>
      <c r="U202" s="106">
        <f>Table1[[#This Row],[Progres Aktual
(%)]]-Table1[[#This Row],[Target Progres
(%)]]</f>
        <v>0</v>
      </c>
      <c r="V202" s="320">
        <f>Table1[[#This Row],["Volume
BA MC-0"]]</f>
        <v>51</v>
      </c>
      <c r="W202" s="321">
        <f>Table1[[#This Row],[Total Panjang Pipa Aktual
(Sum-&gt;)3]]</f>
        <v>48</v>
      </c>
      <c r="X202" s="42"/>
      <c r="Y202" s="62" t="s">
        <v>1508</v>
      </c>
      <c r="Z202" s="62">
        <v>108210089</v>
      </c>
      <c r="AA202" s="62">
        <f>Table1[[#This Row],[Nilai RAB Jaringan
(file pa aji)]]</f>
        <v>108210089</v>
      </c>
      <c r="AB202" s="290">
        <f>SUM(Table1[[#This Row],[RAB Kegiatan Umum]:[RAB Perizinan]])</f>
        <v>0</v>
      </c>
      <c r="AC202" s="290"/>
      <c r="AD202" s="290"/>
      <c r="AE202" s="290"/>
      <c r="AF202" s="290"/>
      <c r="AG202" s="406">
        <v>52675966</v>
      </c>
      <c r="AH202" s="35" t="e">
        <f>SUM(Table1[[#This Row],[Bobot Keg Umum]:[Bobot Perizinan]])</f>
        <v>#DIV/0!</v>
      </c>
      <c r="AI202" s="35" t="e">
        <f>Table1[[#This Row],[RAB Kegiatan Umum]]/Table1[[#This Row],[Nilai RAB Jaringan
(Exclude Ppn)]]</f>
        <v>#DIV/0!</v>
      </c>
      <c r="AJ202" s="35" t="e">
        <f>Table1[[#This Row],[RAB Pemasangan]]/Table1[[#This Row],[Nilai RAB Jaringan
(Exclude Ppn)]]</f>
        <v>#DIV/0!</v>
      </c>
      <c r="AK202" s="35" t="e">
        <f>Table1[[#This Row],[RAB Pengadaan]]/Table1[[#This Row],[Nilai RAB Jaringan
(Exclude Ppn)]]</f>
        <v>#DIV/0!</v>
      </c>
      <c r="AL202" s="35" t="e">
        <f>Table1[[#This Row],[RAB Perizinan]]/Table1[[#This Row],[Nilai RAB Jaringan
(Exclude Ppn)]]</f>
        <v>#DIV/0!</v>
      </c>
      <c r="AM202" s="42"/>
      <c r="AN202" s="256">
        <v>51</v>
      </c>
      <c r="AO202" s="256">
        <f>SUM(Table1[[#This Row],[Pipa 63 mm]:[Pipa 1,800 mm]])</f>
        <v>0</v>
      </c>
      <c r="AP202" s="256"/>
      <c r="AQ202" s="256"/>
      <c r="AR202" s="256"/>
      <c r="AS202" s="256"/>
      <c r="AT202" s="256"/>
      <c r="AU202" s="256"/>
      <c r="AV202" s="256"/>
      <c r="AW202" s="256"/>
      <c r="AX202" s="256"/>
      <c r="AY202" s="256"/>
      <c r="AZ202" s="256"/>
      <c r="BA202" s="256"/>
      <c r="BB202" s="256"/>
      <c r="BC202" s="256"/>
      <c r="BD202" s="256"/>
      <c r="BE202" s="256"/>
      <c r="BF202" s="256"/>
      <c r="BG202" s="256"/>
      <c r="BH202" s="256"/>
      <c r="BI202" s="256"/>
      <c r="BJ202" s="36">
        <f>SUM(Table1[[#This Row],[Pipa 63 mm2]:[Pipa 1,800 mm21]])</f>
        <v>48</v>
      </c>
      <c r="BK202" s="32">
        <v>48</v>
      </c>
      <c r="BL202" s="32"/>
      <c r="BM202" s="32"/>
      <c r="BN202" s="32"/>
      <c r="BO202" s="32"/>
      <c r="BP202" s="32"/>
      <c r="BQ202" s="32"/>
      <c r="BR202" s="32"/>
      <c r="BS202" s="32"/>
      <c r="BT202" s="32"/>
      <c r="BU202" s="32"/>
      <c r="BV202" s="32"/>
      <c r="BW202" s="32"/>
      <c r="BX202" s="32"/>
      <c r="BY202" s="32"/>
      <c r="BZ202" s="32"/>
      <c r="CA202" s="32"/>
      <c r="CB202" s="32"/>
      <c r="CC202" s="32"/>
      <c r="CD202" s="32"/>
      <c r="CE202" s="32">
        <v>0</v>
      </c>
      <c r="CF202" s="32">
        <v>0</v>
      </c>
      <c r="CG202" s="32">
        <v>0</v>
      </c>
      <c r="CH202" s="32">
        <v>0</v>
      </c>
      <c r="CI202" s="32">
        <f t="shared" si="12"/>
        <v>0</v>
      </c>
      <c r="CJ202" s="60">
        <f>IF((Table1[[#This Row],["Volume
BA MC-0"]]-Table1[[#This Row],[Total Panjang Pipa Aktual
(Sum-&gt;)3]]-Table1[[#This Row],[Total Volume
tidak dapat dipasang]])&gt;=0,Table1[[#This Row],["Volume
BA MC-0"]]-Table1[[#This Row],[Total Panjang Pipa Aktual
(Sum-&gt;)3]]-Table1[[#This Row],[Total Volume
tidak dapat dipasang]],0)</f>
        <v>3</v>
      </c>
      <c r="CK202" s="42"/>
      <c r="CL202" s="113"/>
      <c r="CM202" s="35"/>
      <c r="CN202" s="113"/>
      <c r="CO202" s="113"/>
      <c r="CP2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2" s="61">
        <f>IFERROR(Table1[[#This Row],[Progres Keg. Umum
(%)]]*Table1[[#This Row],[Nilai RAB Jaringan
(file pa aji)]],0)</f>
        <v>0</v>
      </c>
      <c r="CR202" s="61">
        <f>IFERROR(Table1[[#This Row],[Progres MOS
(%)]]*Table1[[#This Row],[Nilai RAB Jaringan
(file pa aji)]],0)</f>
        <v>0</v>
      </c>
      <c r="CS202" s="61">
        <f>IFERROR(Table1[[#This Row],[Progres Pemasangan
(%)]]*Table1[[#This Row],[Nilai RAB Jaringan
(file pa aji)]],0)</f>
        <v>0</v>
      </c>
      <c r="CT202" s="61">
        <f>IFERROR(Table1[[#This Row],[Progres Perizinan
(%)]]*Table1[[#This Row],[Nilai RAB Jaringan
(file pa aji)]],0)</f>
        <v>0</v>
      </c>
      <c r="CU202" s="789">
        <v>78757722</v>
      </c>
      <c r="CV202" s="299">
        <v>78757722</v>
      </c>
      <c r="CW202" s="552">
        <v>78757722</v>
      </c>
      <c r="CX202" s="789">
        <f>_xlfn.XLOOKUP(Table1[[#This Row],[Kode Program]],'[1]Breakdown VOWD Greenfield'!$E:$E,'[1]Breakdown VOWD Greenfield'!$AT:$AT)</f>
        <v>78757722</v>
      </c>
      <c r="CY202" s="42"/>
      <c r="CZ202" s="300">
        <v>45775</v>
      </c>
      <c r="DA202" s="300">
        <v>45802</v>
      </c>
      <c r="DB202" s="301">
        <v>45783</v>
      </c>
      <c r="DC202" s="286" t="s">
        <v>1509</v>
      </c>
      <c r="DD202" s="62">
        <v>108210090</v>
      </c>
      <c r="DE2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2" s="301">
        <v>45799</v>
      </c>
      <c r="DG202" s="286" t="s">
        <v>1510</v>
      </c>
      <c r="DH202" s="62">
        <v>108210090</v>
      </c>
      <c r="DI2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2" s="300">
        <v>45803</v>
      </c>
      <c r="DK202" s="300">
        <v>45872</v>
      </c>
      <c r="DL202" s="301">
        <v>45831</v>
      </c>
      <c r="DM202" s="286" t="s">
        <v>1511</v>
      </c>
      <c r="DN2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2" s="301">
        <v>45876</v>
      </c>
      <c r="DP202" s="286" t="s">
        <v>1512</v>
      </c>
      <c r="DQ202" s="308" t="s">
        <v>371</v>
      </c>
      <c r="DR2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2" s="300">
        <v>45803</v>
      </c>
      <c r="DT202" s="300" t="e">
        <v>#N/A</v>
      </c>
      <c r="DU202" s="300">
        <v>45844</v>
      </c>
      <c r="DV202" s="300" t="e">
        <v>#N/A</v>
      </c>
      <c r="DW202" s="301">
        <v>45831</v>
      </c>
      <c r="DX202" s="286" t="s">
        <v>1513</v>
      </c>
      <c r="DY202" s="304"/>
      <c r="DZ202" s="304"/>
      <c r="EA2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02" s="301">
        <v>46039</v>
      </c>
      <c r="EC202" s="302"/>
      <c r="ED202" s="302"/>
      <c r="EE202" s="300" t="s">
        <v>1514</v>
      </c>
      <c r="EF202" s="35">
        <v>1</v>
      </c>
      <c r="EG202" s="307">
        <v>1</v>
      </c>
      <c r="EH202" s="286" t="str">
        <f>IF(Table1[[#This Row],[PO Material Aktual 
(%)]]&gt;=100%,"Selesai PO = 100%",IF(Table1[[#This Row],[PO Material Aktual 
(%)]]&gt;=50%,"Proses PO &gt; 100%",IF(Table1[[#This Row],[PO Material Aktual 
(%)]]&gt;0%,"Proses PO &gt; 50%",IF(Table1[[#This Row],[PO Material Aktual 
(%)]]=0,"Belum PO = 0%"))))</f>
        <v>Selesai PO = 100%</v>
      </c>
      <c r="EI2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2" s="300">
        <v>45845</v>
      </c>
      <c r="EK202" s="300" t="e">
        <v>#N/A</v>
      </c>
      <c r="EL202" s="300">
        <v>45900</v>
      </c>
      <c r="EM202" s="300" t="e">
        <v>#N/A</v>
      </c>
      <c r="EN202" s="301">
        <v>46091</v>
      </c>
      <c r="EO202" s="302"/>
      <c r="EP202" s="302"/>
      <c r="EQ202" s="82">
        <v>1</v>
      </c>
      <c r="ER202" s="82">
        <v>1</v>
      </c>
      <c r="ES202" s="286" t="str">
        <f>IF(Table1[[#This Row],[Progres MOS]]&gt;=100%,"Selesai MOS = 100%",IF(Table1[[#This Row],[Progres MOS]]&gt;=50%,"Proses MOS &gt; 100%",IF(Table1[[#This Row],[Progres MOS]]&gt;0%,"Proses MOS &gt; 50%",IF(Table1[[#This Row],[Progres MOS]]=0,"Belum MOS = 0%"))))</f>
        <v>Selesai MOS = 100%</v>
      </c>
      <c r="ET2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2" s="42"/>
      <c r="EV202" s="300">
        <v>45803</v>
      </c>
      <c r="EW202" s="300" t="e">
        <v>#N/A</v>
      </c>
      <c r="EX202" s="300">
        <v>45900</v>
      </c>
      <c r="EY202" s="300" t="e">
        <v>#N/A</v>
      </c>
      <c r="EZ202" s="322" t="s">
        <v>298</v>
      </c>
      <c r="FA202" s="306" t="s">
        <v>259</v>
      </c>
      <c r="FB202" s="300" t="s">
        <v>260</v>
      </c>
      <c r="FC202" s="300">
        <v>45840</v>
      </c>
      <c r="FD202" s="300" t="s">
        <v>260</v>
      </c>
      <c r="FE202" s="300">
        <v>45895</v>
      </c>
      <c r="FF202" s="300">
        <v>45919</v>
      </c>
      <c r="FG202" s="300" t="s">
        <v>260</v>
      </c>
      <c r="FH202" s="300" t="s">
        <v>260</v>
      </c>
      <c r="FI202" s="300">
        <v>46003</v>
      </c>
      <c r="FJ202" s="300" t="s">
        <v>260</v>
      </c>
      <c r="FK202" s="300">
        <v>46112</v>
      </c>
      <c r="FL202" s="306" t="s">
        <v>298</v>
      </c>
      <c r="FM202" s="322">
        <v>45840</v>
      </c>
      <c r="FN202" s="308">
        <f>IF(Table1[[#This Row],[Tanggal Pengajuan Dokumen]]="","",Table1[[#This Row],[PLAN PERMIT
start]]-Table1[[#This Row],[Tanggal Pengajuan Dokumen]])</f>
        <v>-37</v>
      </c>
      <c r="FO202" s="407">
        <v>46086</v>
      </c>
      <c r="FP202" s="286"/>
      <c r="FQ202" s="308"/>
      <c r="FR202" s="308"/>
      <c r="FS202" s="308" t="str">
        <f t="shared" si="11"/>
        <v>Sudah Terbit</v>
      </c>
      <c r="FT2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2" s="314">
        <f ca="1">IF(Table1[[#This Row],[Status Izin]]="Selesai",Table1[[#This Row],[PLAN PERMIT
finish]]-Table1[[#This Row],[Tanggal Terbit/ Target Izin Terbit]],ROUNDUP(Table1[[#This Row],[PLAN PERMIT
finish]]-NOW(),0))</f>
        <v>-186</v>
      </c>
      <c r="FV2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2" s="314"/>
      <c r="FX202" s="42"/>
      <c r="FY202" s="310"/>
      <c r="FZ202" s="311"/>
      <c r="GA2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2" s="300">
        <v>45874</v>
      </c>
      <c r="GC202" s="322">
        <v>45840</v>
      </c>
      <c r="GD2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2" s="300">
        <v>45881</v>
      </c>
      <c r="GF202" s="322" t="s">
        <v>1385</v>
      </c>
      <c r="GG2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2" s="300">
        <v>45887</v>
      </c>
      <c r="GI202" s="300">
        <v>45893</v>
      </c>
      <c r="GJ202" s="322">
        <v>45842</v>
      </c>
      <c r="GK2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2" s="300">
        <v>45901</v>
      </c>
      <c r="GM202" s="300" t="e">
        <v>#N/A</v>
      </c>
      <c r="GN202" s="300">
        <v>45914</v>
      </c>
      <c r="GO202" s="300" t="e">
        <v>#N/A</v>
      </c>
      <c r="GP202" s="286"/>
      <c r="GQ2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2" s="300" t="s">
        <v>261</v>
      </c>
      <c r="GS202" s="300" t="s">
        <v>261</v>
      </c>
      <c r="GT202" s="389">
        <v>45927</v>
      </c>
      <c r="GU202" s="314" t="str">
        <f>IF(Table1[[#This Row],[Hydro Tes Actual
(tanggal)]]&lt;&gt;"","Sudah","Belum")</f>
        <v>Sudah</v>
      </c>
      <c r="GV202" s="300" t="s">
        <v>261</v>
      </c>
      <c r="GW202" s="300" t="s">
        <v>261</v>
      </c>
      <c r="GX202" s="301">
        <v>45927</v>
      </c>
      <c r="GY202" s="314" t="str">
        <f>IF(Table1[[#This Row],[Interkoneksi Actual
(tanggal)]]&lt;&gt;"","Sudah","Belum")</f>
        <v>Sudah</v>
      </c>
      <c r="GZ202" s="300" t="s">
        <v>261</v>
      </c>
      <c r="HA202" s="300" t="s">
        <v>261</v>
      </c>
      <c r="HB202" s="301">
        <v>45927</v>
      </c>
      <c r="HC202" s="314" t="str">
        <f>IF(Table1[[#This Row],[Flushing Actual
(tanggal)]]&lt;&gt;"","Sudah","Belum")</f>
        <v>Sudah</v>
      </c>
      <c r="HD202" s="300">
        <v>45905</v>
      </c>
      <c r="HE202" s="300" t="e">
        <v>#N/A</v>
      </c>
      <c r="HF202" s="300">
        <v>45914</v>
      </c>
      <c r="HG202" s="301">
        <v>45927</v>
      </c>
      <c r="HH2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2" s="300" t="s">
        <v>261</v>
      </c>
      <c r="HJ202" s="300" t="s">
        <v>261</v>
      </c>
      <c r="HK202" s="301"/>
      <c r="HL202" s="286"/>
      <c r="HM202" s="300">
        <v>45919</v>
      </c>
      <c r="HN202" s="300">
        <v>45919</v>
      </c>
      <c r="HO202" s="300" t="e">
        <v>#N/A</v>
      </c>
      <c r="HP202" s="300"/>
      <c r="HQ202" s="301">
        <v>45930</v>
      </c>
      <c r="HR2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2" s="300">
        <v>45926</v>
      </c>
      <c r="HT202" s="300"/>
      <c r="HU202" s="300">
        <v>45926</v>
      </c>
      <c r="HV202" s="497"/>
      <c r="HW202" s="301">
        <v>45933</v>
      </c>
      <c r="HX2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2" s="42"/>
      <c r="HZ202" s="322"/>
      <c r="IA202" s="306"/>
      <c r="IC202" s="585">
        <f>IFERROR(ROUND((Table1[[#This Row],[PLAN TC
finish]]-Table1[[#This Row],[PLAN MC-0
start]])/30,2),"")</f>
        <v>0.9</v>
      </c>
      <c r="ID202">
        <f>DATEDIF(Table1[[#This Row],[PLAN MC-0
start]],Table1[[#This Row],[PLAN TC
finish]],"m")</f>
        <v>0</v>
      </c>
    </row>
    <row r="203" spans="1:238" s="4" customFormat="1" ht="15" customHeight="1" x14ac:dyDescent="0.25">
      <c r="B203" s="281">
        <f>SUBTOTAL(3,$D$5:D203)</f>
        <v>199</v>
      </c>
      <c r="C203" s="318">
        <v>199</v>
      </c>
      <c r="D203" s="285" t="s">
        <v>673</v>
      </c>
      <c r="E203" s="308" t="s">
        <v>1515</v>
      </c>
      <c r="F203" s="308" t="s">
        <v>1516</v>
      </c>
      <c r="G203" s="319">
        <v>45935</v>
      </c>
      <c r="H203" s="284" t="s">
        <v>247</v>
      </c>
      <c r="I203" s="308" t="s">
        <v>248</v>
      </c>
      <c r="J203" s="285" t="s">
        <v>943</v>
      </c>
      <c r="K203" s="308" t="s">
        <v>1517</v>
      </c>
      <c r="L203" s="286" t="s">
        <v>250</v>
      </c>
      <c r="M203" s="286" t="s">
        <v>251</v>
      </c>
      <c r="N203" s="94">
        <v>3460</v>
      </c>
      <c r="O203" s="113" t="s">
        <v>252</v>
      </c>
      <c r="P20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3" s="35" t="e">
        <v>#N/A</v>
      </c>
      <c r="S203" s="35">
        <v>1</v>
      </c>
      <c r="T203" s="35">
        <f>Table1[[#This Row],[Progres Total Aktual
(%)]]</f>
        <v>1</v>
      </c>
      <c r="U203" s="106">
        <f>Table1[[#This Row],[Progres Aktual
(%)]]-Table1[[#This Row],[Target Progres
(%)]]</f>
        <v>0</v>
      </c>
      <c r="V203" s="320">
        <f>Table1[[#This Row],["Volume
BA MC-0"]]</f>
        <v>3460</v>
      </c>
      <c r="W203" s="321">
        <f>Table1[[#This Row],[Total Panjang Pipa Aktual
(Sum-&gt;)3]]</f>
        <v>3738.5</v>
      </c>
      <c r="X203" s="42"/>
      <c r="Y203" s="62" t="s">
        <v>1518</v>
      </c>
      <c r="Z203" s="62">
        <v>257573804579</v>
      </c>
      <c r="AA203" s="62">
        <f>Table1[[#This Row],[Nilai RAB Jaringan
(file pa aji)]]</f>
        <v>257573804579</v>
      </c>
      <c r="AB203" s="290">
        <f>SUM(Table1[[#This Row],[RAB Kegiatan Umum]:[RAB Perizinan]])</f>
        <v>0</v>
      </c>
      <c r="AC203" s="290"/>
      <c r="AD203" s="290"/>
      <c r="AE203" s="290"/>
      <c r="AF203" s="290"/>
      <c r="AG203" s="406">
        <v>0</v>
      </c>
      <c r="AH203" s="35" t="e">
        <f>SUM(Table1[[#This Row],[Bobot Keg Umum]:[Bobot Perizinan]])</f>
        <v>#DIV/0!</v>
      </c>
      <c r="AI203" s="35" t="e">
        <f>Table1[[#This Row],[RAB Kegiatan Umum]]/Table1[[#This Row],[Nilai RAB Jaringan
(Exclude Ppn)]]</f>
        <v>#DIV/0!</v>
      </c>
      <c r="AJ203" s="35" t="e">
        <f>Table1[[#This Row],[RAB Pemasangan]]/Table1[[#This Row],[Nilai RAB Jaringan
(Exclude Ppn)]]</f>
        <v>#DIV/0!</v>
      </c>
      <c r="AK203" s="35" t="e">
        <f>Table1[[#This Row],[RAB Pengadaan]]/Table1[[#This Row],[Nilai RAB Jaringan
(Exclude Ppn)]]</f>
        <v>#DIV/0!</v>
      </c>
      <c r="AL203" s="35" t="e">
        <f>Table1[[#This Row],[RAB Perizinan]]/Table1[[#This Row],[Nilai RAB Jaringan
(Exclude Ppn)]]</f>
        <v>#DIV/0!</v>
      </c>
      <c r="AM203" s="42"/>
      <c r="AN203" s="256">
        <v>3460</v>
      </c>
      <c r="AO203" s="256">
        <f>SUM(Table1[[#This Row],[Pipa 63 mm]:[Pipa 1,800 mm]])</f>
        <v>0</v>
      </c>
      <c r="AP203" s="256"/>
      <c r="AQ203" s="256"/>
      <c r="AR203" s="256"/>
      <c r="AS203" s="256"/>
      <c r="AT203" s="256"/>
      <c r="AU203" s="256"/>
      <c r="AV203" s="256"/>
      <c r="AW203" s="256"/>
      <c r="AX203" s="256"/>
      <c r="AY203" s="256"/>
      <c r="AZ203" s="256"/>
      <c r="BA203" s="256"/>
      <c r="BB203" s="256"/>
      <c r="BC203" s="256"/>
      <c r="BD203" s="256"/>
      <c r="BE203" s="256"/>
      <c r="BF203" s="256"/>
      <c r="BG203" s="256"/>
      <c r="BH203" s="256"/>
      <c r="BI203" s="256"/>
      <c r="BJ203" s="416">
        <f>SUM(Table1[[#This Row],[Pipa 63 mm2]:[Pipa 1,800 mm21]])</f>
        <v>3738.5</v>
      </c>
      <c r="BK203" s="417"/>
      <c r="BL203" s="417"/>
      <c r="BM203" s="417"/>
      <c r="BN203" s="417"/>
      <c r="BO203" s="417"/>
      <c r="BP203" s="417"/>
      <c r="BQ203" s="417"/>
      <c r="BR203" s="417"/>
      <c r="BS203" s="417"/>
      <c r="BT203" s="417"/>
      <c r="BU203" s="417"/>
      <c r="BV203" s="417"/>
      <c r="BW203" s="417"/>
      <c r="BX203" s="417"/>
      <c r="BY203" s="417">
        <v>3738.5</v>
      </c>
      <c r="BZ203" s="417"/>
      <c r="CA203" s="417"/>
      <c r="CB203" s="417"/>
      <c r="CC203" s="417"/>
      <c r="CD203" s="417"/>
      <c r="CE203" s="32">
        <v>0</v>
      </c>
      <c r="CF203" s="32">
        <v>0</v>
      </c>
      <c r="CG203" s="32">
        <v>0</v>
      </c>
      <c r="CH203" s="32">
        <v>0</v>
      </c>
      <c r="CI203" s="32">
        <f t="shared" si="12"/>
        <v>0</v>
      </c>
      <c r="CJ203" s="60">
        <f>IF((Table1[[#This Row],["Volume
BA MC-0"]]-Table1[[#This Row],[Total Panjang Pipa Aktual
(Sum-&gt;)3]]-Table1[[#This Row],[Total Volume
tidak dapat dipasang]])&gt;=0,Table1[[#This Row],["Volume
BA MC-0"]]-Table1[[#This Row],[Total Panjang Pipa Aktual
(Sum-&gt;)3]]-Table1[[#This Row],[Total Volume
tidak dapat dipasang]],0)</f>
        <v>0</v>
      </c>
      <c r="CK203" s="42"/>
      <c r="CL203" s="113"/>
      <c r="CM203" s="35"/>
      <c r="CN203" s="113"/>
      <c r="CO203" s="113"/>
      <c r="CP2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3" s="61">
        <f>IFERROR(Table1[[#This Row],[Progres Keg. Umum
(%)]]*Table1[[#This Row],[Nilai RAB Jaringan
(file pa aji)]],0)</f>
        <v>0</v>
      </c>
      <c r="CR203" s="61">
        <f>IFERROR(Table1[[#This Row],[Progres MOS
(%)]]*Table1[[#This Row],[Nilai RAB Jaringan
(file pa aji)]],0)</f>
        <v>0</v>
      </c>
      <c r="CS203" s="61">
        <f>IFERROR(Table1[[#This Row],[Progres Pemasangan
(%)]]*Table1[[#This Row],[Nilai RAB Jaringan
(file pa aji)]],0)</f>
        <v>0</v>
      </c>
      <c r="CT203" s="61">
        <f>IFERROR(Table1[[#This Row],[Progres Perizinan
(%)]]*Table1[[#This Row],[Nilai RAB Jaringan
(file pa aji)]],0)</f>
        <v>0</v>
      </c>
      <c r="CU203" s="789">
        <v>211105238794</v>
      </c>
      <c r="CV203" s="299">
        <v>211105238794</v>
      </c>
      <c r="CW203" s="552">
        <v>211105238794</v>
      </c>
      <c r="CX203" s="789">
        <f>_xlfn.XLOOKUP(Table1[[#This Row],[Kode Program]],'[1]Breakdown VOWD Greenfield'!$E:$E,'[1]Breakdown VOWD Greenfield'!$AT:$AT)</f>
        <v>211105238794</v>
      </c>
      <c r="CY203" s="42"/>
      <c r="CZ203" s="300">
        <v>45656</v>
      </c>
      <c r="DA203" s="300">
        <v>45683</v>
      </c>
      <c r="DB203" s="301">
        <v>45573</v>
      </c>
      <c r="DC203" s="286" t="s">
        <v>1519</v>
      </c>
      <c r="DD203" s="62">
        <v>257573804578</v>
      </c>
      <c r="DE2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3" s="301">
        <v>45588</v>
      </c>
      <c r="DG203" s="286" t="s">
        <v>1520</v>
      </c>
      <c r="DH203" s="62">
        <v>257573804578</v>
      </c>
      <c r="DI2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3" s="300">
        <v>45684</v>
      </c>
      <c r="DK203" s="300">
        <v>45725</v>
      </c>
      <c r="DL203" s="301">
        <v>45773</v>
      </c>
      <c r="DM203" s="286" t="s">
        <v>1521</v>
      </c>
      <c r="DN2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3" s="301">
        <v>45810</v>
      </c>
      <c r="DP203" s="286" t="s">
        <v>1522</v>
      </c>
      <c r="DQ203" s="308" t="s">
        <v>910</v>
      </c>
      <c r="DR2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3" s="300">
        <v>45684</v>
      </c>
      <c r="DT203" s="300" t="e">
        <v>#N/A</v>
      </c>
      <c r="DU203" s="300">
        <v>45725</v>
      </c>
      <c r="DV203" s="300" t="e">
        <v>#N/A</v>
      </c>
      <c r="DW203" s="301">
        <v>45973</v>
      </c>
      <c r="DX203" s="286" t="s">
        <v>1523</v>
      </c>
      <c r="DY203" s="304"/>
      <c r="DZ203" s="304"/>
      <c r="EA2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3" s="301">
        <v>45985</v>
      </c>
      <c r="EC203" s="302"/>
      <c r="ED203" s="302"/>
      <c r="EE203" s="300" t="s">
        <v>1524</v>
      </c>
      <c r="EF203" s="35">
        <v>1</v>
      </c>
      <c r="EG203" s="307">
        <v>1</v>
      </c>
      <c r="EH203" s="286" t="str">
        <f>IF(Table1[[#This Row],[PO Material Aktual 
(%)]]&gt;=100%,"Selesai PO = 100%",IF(Table1[[#This Row],[PO Material Aktual 
(%)]]&gt;=50%,"Proses PO &gt; 100%",IF(Table1[[#This Row],[PO Material Aktual 
(%)]]&gt;0%,"Proses PO &gt; 50%",IF(Table1[[#This Row],[PO Material Aktual 
(%)]]=0,"Belum PO = 0%"))))</f>
        <v>Selesai PO = 100%</v>
      </c>
      <c r="EI2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3" s="300">
        <v>45726</v>
      </c>
      <c r="EK203" s="300" t="e">
        <v>#N/A</v>
      </c>
      <c r="EL203" s="300">
        <v>45816</v>
      </c>
      <c r="EM203" s="300" t="e">
        <v>#N/A</v>
      </c>
      <c r="EN203" s="301">
        <v>46078</v>
      </c>
      <c r="EO203" s="302"/>
      <c r="EP203" s="302"/>
      <c r="EQ203" s="82">
        <v>0.94771241830065356</v>
      </c>
      <c r="ER203" s="82">
        <v>0.94771241830065356</v>
      </c>
      <c r="ES203" s="286" t="str">
        <f>IF(Table1[[#This Row],[Progres MOS]]&gt;=100%,"Selesai MOS = 100%",IF(Table1[[#This Row],[Progres MOS]]&gt;=50%,"Proses MOS &gt; 100%",IF(Table1[[#This Row],[Progres MOS]]&gt;0%,"Proses MOS &gt; 50%",IF(Table1[[#This Row],[Progres MOS]]=0,"Belum MOS = 0%"))))</f>
        <v>Proses MOS &gt; 100%</v>
      </c>
      <c r="ET2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3" s="42"/>
      <c r="EV203" s="300">
        <v>45698</v>
      </c>
      <c r="EW203" s="300" t="e">
        <v>#N/A</v>
      </c>
      <c r="EX203" s="300">
        <v>45774</v>
      </c>
      <c r="EY203" s="300" t="e">
        <v>#N/A</v>
      </c>
      <c r="EZ203" s="322" t="s">
        <v>259</v>
      </c>
      <c r="FA203" s="306" t="s">
        <v>259</v>
      </c>
      <c r="FB203" s="300" t="s">
        <v>260</v>
      </c>
      <c r="FC203" s="300">
        <v>45716</v>
      </c>
      <c r="FD203" s="300" t="s">
        <v>260</v>
      </c>
      <c r="FE203" s="300">
        <v>45736</v>
      </c>
      <c r="FF203" s="300">
        <v>45764</v>
      </c>
      <c r="FG203" s="300" t="s">
        <v>260</v>
      </c>
      <c r="FH203" s="300" t="s">
        <v>260</v>
      </c>
      <c r="FI203" s="300">
        <v>45805</v>
      </c>
      <c r="FJ203" s="300" t="s">
        <v>260</v>
      </c>
      <c r="FK203" s="300">
        <v>45866</v>
      </c>
      <c r="FL203" s="306" t="s">
        <v>259</v>
      </c>
      <c r="FM203" s="322">
        <v>45716</v>
      </c>
      <c r="FN203" s="308">
        <f>IF(Table1[[#This Row],[Tanggal Pengajuan Dokumen]]="","",Table1[[#This Row],[PLAN PERMIT
start]]-Table1[[#This Row],[Tanggal Pengajuan Dokumen]])</f>
        <v>-18</v>
      </c>
      <c r="FO203" s="407">
        <v>45866</v>
      </c>
      <c r="FP203" s="286" t="s">
        <v>174</v>
      </c>
      <c r="FQ203" s="418"/>
      <c r="FR203" s="418" t="s">
        <v>174</v>
      </c>
      <c r="FS203" s="308" t="str">
        <f t="shared" si="11"/>
        <v>On Going</v>
      </c>
      <c r="FT2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3" s="314">
        <f ca="1">IF(Table1[[#This Row],[Status Izin]]="Selesai",Table1[[#This Row],[PLAN PERMIT
finish]]-Table1[[#This Row],[Tanggal Terbit/ Target Izin Terbit]],ROUNDUP(Table1[[#This Row],[PLAN PERMIT
finish]]-NOW(),0))</f>
        <v>-430</v>
      </c>
      <c r="FV2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3" s="314"/>
      <c r="FX203" s="42"/>
      <c r="FY203" s="310"/>
      <c r="FZ203" s="311"/>
      <c r="GA2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3" s="300">
        <v>45739</v>
      </c>
      <c r="GC203" s="322">
        <v>45817</v>
      </c>
      <c r="GD2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3" s="300">
        <v>45732</v>
      </c>
      <c r="GF203" s="322">
        <v>45821</v>
      </c>
      <c r="GG2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3" s="300">
        <v>45726</v>
      </c>
      <c r="GI203" s="300">
        <v>45732</v>
      </c>
      <c r="GJ203" s="322">
        <v>45831</v>
      </c>
      <c r="GK2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3" s="300">
        <v>45775</v>
      </c>
      <c r="GM203" s="300" t="e">
        <v>#N/A</v>
      </c>
      <c r="GN203" s="300">
        <v>45907</v>
      </c>
      <c r="GO203" s="300" t="e">
        <v>#N/A</v>
      </c>
      <c r="GP203" s="286"/>
      <c r="GQ2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3" s="300" t="s">
        <v>261</v>
      </c>
      <c r="GS203" s="391" t="s">
        <v>261</v>
      </c>
      <c r="GT203" s="419" t="s">
        <v>1525</v>
      </c>
      <c r="GU203" s="393" t="str">
        <f>IF(Table1[[#This Row],[Hydro Tes Actual
(tanggal)]]&lt;&gt;"","Sudah","Belum")</f>
        <v>Sudah</v>
      </c>
      <c r="GV203" s="300" t="s">
        <v>261</v>
      </c>
      <c r="GW203" s="300" t="s">
        <v>261</v>
      </c>
      <c r="GX203" s="301"/>
      <c r="GY203" s="314" t="str">
        <f>IF(Table1[[#This Row],[Interkoneksi Actual
(tanggal)]]&lt;&gt;"","Sudah","Belum")</f>
        <v>Belum</v>
      </c>
      <c r="GZ203" s="300" t="s">
        <v>261</v>
      </c>
      <c r="HA203" s="300" t="s">
        <v>261</v>
      </c>
      <c r="HB203" s="301"/>
      <c r="HC203" s="314" t="str">
        <f>IF(Table1[[#This Row],[Flushing Actual
(tanggal)]]&lt;&gt;"","Sudah","Belum")</f>
        <v>Belum</v>
      </c>
      <c r="HD203" s="300">
        <v>45880</v>
      </c>
      <c r="HE203" s="300" t="e">
        <v>#N/A</v>
      </c>
      <c r="HF203" s="300">
        <v>45900</v>
      </c>
      <c r="HG203" s="322">
        <v>46119</v>
      </c>
      <c r="HH2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3" s="300" t="s">
        <v>261</v>
      </c>
      <c r="HJ203" s="300" t="s">
        <v>261</v>
      </c>
      <c r="HK203" s="301"/>
      <c r="HL203" s="286"/>
      <c r="HM203" s="300">
        <v>45919</v>
      </c>
      <c r="HN203" s="300">
        <v>45919</v>
      </c>
      <c r="HO203" s="391"/>
      <c r="HP203" s="391"/>
      <c r="HQ203" s="301">
        <v>46122</v>
      </c>
      <c r="HR2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3" s="300">
        <v>45926</v>
      </c>
      <c r="HT203" s="300"/>
      <c r="HU203" s="300">
        <v>45926</v>
      </c>
      <c r="HV203" s="300"/>
      <c r="HW203" s="301">
        <v>46129</v>
      </c>
      <c r="HX2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3" s="42"/>
      <c r="HZ203" s="322"/>
      <c r="IA203" s="306"/>
      <c r="IC203" s="585">
        <f>IFERROR(ROUND((Table1[[#This Row],[PLAN TC
finish]]-Table1[[#This Row],[PLAN MC-0
start]])/30,2),"")</f>
        <v>5.8</v>
      </c>
      <c r="ID203">
        <f>DATEDIF(Table1[[#This Row],[PLAN MC-0
start]],Table1[[#This Row],[PLAN TC
finish]],"m")</f>
        <v>5</v>
      </c>
    </row>
    <row r="204" spans="1:238" s="4" customFormat="1" ht="15" customHeight="1" x14ac:dyDescent="0.25">
      <c r="B204" s="281">
        <f>SUBTOTAL(3,$D$5:D204)</f>
        <v>200</v>
      </c>
      <c r="C204" s="318">
        <v>200</v>
      </c>
      <c r="D204" s="285" t="s">
        <v>673</v>
      </c>
      <c r="E204" s="308" t="s">
        <v>1526</v>
      </c>
      <c r="F204" s="308" t="s">
        <v>1527</v>
      </c>
      <c r="G204" s="319">
        <v>45935</v>
      </c>
      <c r="H204" s="284" t="s">
        <v>247</v>
      </c>
      <c r="I204" s="308" t="s">
        <v>248</v>
      </c>
      <c r="J204" s="285" t="s">
        <v>943</v>
      </c>
      <c r="K204" s="308" t="s">
        <v>1517</v>
      </c>
      <c r="L204" s="286" t="s">
        <v>250</v>
      </c>
      <c r="M204" s="286" t="s">
        <v>251</v>
      </c>
      <c r="N204" s="94">
        <v>2000</v>
      </c>
      <c r="O204" s="113" t="s">
        <v>252</v>
      </c>
      <c r="P20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4" s="35" t="e">
        <v>#N/A</v>
      </c>
      <c r="S204" s="35">
        <v>1</v>
      </c>
      <c r="T204" s="35">
        <f>Table1[[#This Row],[Progres Total Aktual
(%)]]</f>
        <v>0.88416428721733498</v>
      </c>
      <c r="U204" s="106">
        <f>Table1[[#This Row],[Progres Aktual
(%)]]-Table1[[#This Row],[Target Progres
(%)]]</f>
        <v>-0.11583571278266502</v>
      </c>
      <c r="V204" s="320">
        <f>Table1[[#This Row],["Volume
BA MC-0"]]</f>
        <v>2000</v>
      </c>
      <c r="W204" s="321">
        <f>Table1[[#This Row],[Total Panjang Pipa Aktual
(Sum-&gt;)3]]</f>
        <v>1868.7</v>
      </c>
      <c r="X204" s="42"/>
      <c r="Y204" s="62" t="s">
        <v>1528</v>
      </c>
      <c r="Z204" s="62">
        <v>108549343103</v>
      </c>
      <c r="AA204" s="62">
        <f>Table1[[#This Row],[Nilai RAB Jaringan
(file pa aji)]]</f>
        <v>108549343103</v>
      </c>
      <c r="AB204" s="290">
        <f>SUM(Table1[[#This Row],[RAB Kegiatan Umum]:[RAB Perizinan]])</f>
        <v>0</v>
      </c>
      <c r="AC204" s="290"/>
      <c r="AD204" s="290"/>
      <c r="AE204" s="290"/>
      <c r="AF204" s="290"/>
      <c r="AG204" s="406">
        <v>0</v>
      </c>
      <c r="AH204" s="35" t="e">
        <f>SUM(Table1[[#This Row],[Bobot Keg Umum]:[Bobot Perizinan]])</f>
        <v>#DIV/0!</v>
      </c>
      <c r="AI204" s="35" t="e">
        <f>Table1[[#This Row],[RAB Kegiatan Umum]]/Table1[[#This Row],[Nilai RAB Jaringan
(Exclude Ppn)]]</f>
        <v>#DIV/0!</v>
      </c>
      <c r="AJ204" s="35" t="e">
        <f>Table1[[#This Row],[RAB Pemasangan]]/Table1[[#This Row],[Nilai RAB Jaringan
(Exclude Ppn)]]</f>
        <v>#DIV/0!</v>
      </c>
      <c r="AK204" s="35" t="e">
        <f>Table1[[#This Row],[RAB Pengadaan]]/Table1[[#This Row],[Nilai RAB Jaringan
(Exclude Ppn)]]</f>
        <v>#DIV/0!</v>
      </c>
      <c r="AL204" s="35" t="e">
        <f>Table1[[#This Row],[RAB Perizinan]]/Table1[[#This Row],[Nilai RAB Jaringan
(Exclude Ppn)]]</f>
        <v>#DIV/0!</v>
      </c>
      <c r="AM204" s="42"/>
      <c r="AN204" s="256">
        <v>2000</v>
      </c>
      <c r="AO204" s="256">
        <f>SUM(Table1[[#This Row],[Pipa 63 mm]:[Pipa 1,800 mm]])</f>
        <v>0</v>
      </c>
      <c r="AP204" s="256"/>
      <c r="AQ204" s="256"/>
      <c r="AR204" s="256"/>
      <c r="AS204" s="256"/>
      <c r="AT204" s="256"/>
      <c r="AU204" s="256"/>
      <c r="AV204" s="256"/>
      <c r="AW204" s="256"/>
      <c r="AX204" s="256"/>
      <c r="AY204" s="256"/>
      <c r="AZ204" s="256"/>
      <c r="BA204" s="256"/>
      <c r="BB204" s="256"/>
      <c r="BC204" s="256"/>
      <c r="BD204" s="256"/>
      <c r="BE204" s="256"/>
      <c r="BF204" s="256"/>
      <c r="BG204" s="256"/>
      <c r="BH204" s="256"/>
      <c r="BI204" s="256"/>
      <c r="BJ204" s="416">
        <f>SUM(Table1[[#This Row],[Pipa 63 mm2]:[Pipa 1,800 mm21]])</f>
        <v>1868.7</v>
      </c>
      <c r="BK204" s="32"/>
      <c r="BL204" s="32"/>
      <c r="BM204" s="32"/>
      <c r="BN204" s="32"/>
      <c r="BO204" s="32"/>
      <c r="BP204" s="32"/>
      <c r="BQ204" s="32"/>
      <c r="BR204" s="32"/>
      <c r="BS204" s="32"/>
      <c r="BT204" s="32"/>
      <c r="BU204" s="32"/>
      <c r="BV204" s="32"/>
      <c r="BW204" s="32">
        <v>1868.7</v>
      </c>
      <c r="BX204" s="32"/>
      <c r="BY204" s="32"/>
      <c r="BZ204" s="32"/>
      <c r="CA204" s="32"/>
      <c r="CB204" s="32"/>
      <c r="CC204" s="32"/>
      <c r="CD204" s="32"/>
      <c r="CE204" s="32">
        <v>0</v>
      </c>
      <c r="CF204" s="32">
        <v>0</v>
      </c>
      <c r="CG204" s="32">
        <v>0</v>
      </c>
      <c r="CH204" s="32">
        <v>0</v>
      </c>
      <c r="CI204" s="32">
        <f t="shared" si="12"/>
        <v>0</v>
      </c>
      <c r="CJ204" s="60">
        <f>IF((Table1[[#This Row],["Volume
BA MC-0"]]-Table1[[#This Row],[Total Panjang Pipa Aktual
(Sum-&gt;)3]]-Table1[[#This Row],[Total Volume
tidak dapat dipasang]])&gt;=0,Table1[[#This Row],["Volume
BA MC-0"]]-Table1[[#This Row],[Total Panjang Pipa Aktual
(Sum-&gt;)3]]-Table1[[#This Row],[Total Volume
tidak dapat dipasang]],0)</f>
        <v>131.29999999999995</v>
      </c>
      <c r="CK204" s="42"/>
      <c r="CL204" s="113"/>
      <c r="CM204" s="35"/>
      <c r="CN204" s="113"/>
      <c r="CO204" s="113"/>
      <c r="CP20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0.88416428721733498</v>
      </c>
      <c r="CQ204" s="61">
        <f>IFERROR(Table1[[#This Row],[Progres Keg. Umum
(%)]]*Table1[[#This Row],[Nilai RAB Jaringan
(file pa aji)]],0)</f>
        <v>0</v>
      </c>
      <c r="CR204" s="61">
        <f>IFERROR(Table1[[#This Row],[Progres MOS
(%)]]*Table1[[#This Row],[Nilai RAB Jaringan
(file pa aji)]],0)</f>
        <v>0</v>
      </c>
      <c r="CS204" s="61">
        <f>IFERROR(Table1[[#This Row],[Progres Pemasangan
(%)]]*Table1[[#This Row],[Nilai RAB Jaringan
(file pa aji)]],0)</f>
        <v>0</v>
      </c>
      <c r="CT204" s="61">
        <f>IFERROR(Table1[[#This Row],[Progres Perizinan
(%)]]*Table1[[#This Row],[Nilai RAB Jaringan
(file pa aji)]],0)</f>
        <v>0</v>
      </c>
      <c r="CU204" s="789">
        <v>95975452572.573929</v>
      </c>
      <c r="CV204" s="299">
        <v>95975452572.573929</v>
      </c>
      <c r="CW204" s="552">
        <v>0</v>
      </c>
      <c r="CX204" s="789">
        <f>_xlfn.XLOOKUP(Table1[[#This Row],[Kode Program]],'[1]Breakdown VOWD Greenfield'!$E:$E,'[1]Breakdown VOWD Greenfield'!$AT:$AT)</f>
        <v>0</v>
      </c>
      <c r="CY204" s="42"/>
      <c r="CZ204" s="300">
        <v>45656</v>
      </c>
      <c r="DA204" s="300">
        <v>45683</v>
      </c>
      <c r="DB204" s="301">
        <v>45573</v>
      </c>
      <c r="DC204" s="286" t="s">
        <v>1529</v>
      </c>
      <c r="DD204" s="62">
        <v>108549343104</v>
      </c>
      <c r="DE2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4" s="301">
        <v>45798</v>
      </c>
      <c r="DG204" s="286" t="s">
        <v>1530</v>
      </c>
      <c r="DH204" s="62">
        <v>108549343104</v>
      </c>
      <c r="DI2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4" s="300">
        <v>45684</v>
      </c>
      <c r="DK204" s="300">
        <v>45725</v>
      </c>
      <c r="DL204" s="301">
        <v>46029</v>
      </c>
      <c r="DM204" s="286" t="s">
        <v>1531</v>
      </c>
      <c r="DN2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4" s="301">
        <v>46071</v>
      </c>
      <c r="DP204" s="286" t="s">
        <v>1532</v>
      </c>
      <c r="DQ204" s="308" t="s">
        <v>910</v>
      </c>
      <c r="DR2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4" s="300">
        <v>45684</v>
      </c>
      <c r="DT204" s="300" t="e">
        <v>#N/A</v>
      </c>
      <c r="DU204" s="300">
        <v>45725</v>
      </c>
      <c r="DV204" s="300" t="e">
        <v>#N/A</v>
      </c>
      <c r="DW204" s="301">
        <v>46022</v>
      </c>
      <c r="DX204" s="286" t="s">
        <v>1533</v>
      </c>
      <c r="DY204" s="304"/>
      <c r="DZ204" s="304"/>
      <c r="EA2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4" s="301">
        <v>46049</v>
      </c>
      <c r="EC204" s="302"/>
      <c r="ED204" s="302"/>
      <c r="EE204" s="300" t="s">
        <v>1534</v>
      </c>
      <c r="EF204" s="35">
        <v>1</v>
      </c>
      <c r="EG204" s="307">
        <v>1</v>
      </c>
      <c r="EH204" s="286" t="str">
        <f>IF(Table1[[#This Row],[PO Material Aktual 
(%)]]&gt;=100%,"Selesai PO = 100%",IF(Table1[[#This Row],[PO Material Aktual 
(%)]]&gt;=50%,"Proses PO &gt; 100%",IF(Table1[[#This Row],[PO Material Aktual 
(%)]]&gt;0%,"Proses PO &gt; 50%",IF(Table1[[#This Row],[PO Material Aktual 
(%)]]=0,"Belum PO = 0%"))))</f>
        <v>Selesai PO = 100%</v>
      </c>
      <c r="EI20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4" s="300">
        <v>45726</v>
      </c>
      <c r="EK204" s="300" t="e">
        <v>#N/A</v>
      </c>
      <c r="EL204" s="300">
        <v>45816</v>
      </c>
      <c r="EM204" s="300" t="e">
        <v>#N/A</v>
      </c>
      <c r="EN204" s="301"/>
      <c r="EO204" s="302"/>
      <c r="EP204" s="302"/>
      <c r="EQ204" s="82">
        <v>0.74117647058823533</v>
      </c>
      <c r="ER204" s="82">
        <v>0.74117647058823533</v>
      </c>
      <c r="ES204" s="286" t="str">
        <f>IF(Table1[[#This Row],[Progres MOS]]&gt;=100%,"Selesai MOS = 100%",IF(Table1[[#This Row],[Progres MOS]]&gt;=50%,"Proses MOS &gt; 100%",IF(Table1[[#This Row],[Progres MOS]]&gt;0%,"Proses MOS &gt; 50%",IF(Table1[[#This Row],[Progres MOS]]=0,"Belum MOS = 0%"))))</f>
        <v>Proses MOS &gt; 100%</v>
      </c>
      <c r="ET2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4" s="42"/>
      <c r="EV204" s="300">
        <v>45698</v>
      </c>
      <c r="EW204" s="300" t="e">
        <v>#N/A</v>
      </c>
      <c r="EX204" s="300">
        <v>45774</v>
      </c>
      <c r="EY204" s="300" t="e">
        <v>#N/A</v>
      </c>
      <c r="EZ204" s="322" t="s">
        <v>259</v>
      </c>
      <c r="FA204" s="306" t="s">
        <v>259</v>
      </c>
      <c r="FB204" s="300" t="s">
        <v>260</v>
      </c>
      <c r="FC204" s="300">
        <v>45721</v>
      </c>
      <c r="FD204" s="300" t="s">
        <v>260</v>
      </c>
      <c r="FE204" s="300">
        <v>45741</v>
      </c>
      <c r="FF204" s="300">
        <v>45764</v>
      </c>
      <c r="FG204" s="300" t="s">
        <v>260</v>
      </c>
      <c r="FH204" s="300" t="s">
        <v>260</v>
      </c>
      <c r="FI204" s="300">
        <v>45805</v>
      </c>
      <c r="FJ204" s="300" t="s">
        <v>260</v>
      </c>
      <c r="FK204" s="300">
        <v>45866</v>
      </c>
      <c r="FL204" s="306" t="s">
        <v>259</v>
      </c>
      <c r="FM204" s="322">
        <v>45721</v>
      </c>
      <c r="FN204" s="308">
        <f>IF(Table1[[#This Row],[Tanggal Pengajuan Dokumen]]="","",Table1[[#This Row],[PLAN PERMIT
start]]-Table1[[#This Row],[Tanggal Pengajuan Dokumen]])</f>
        <v>-23</v>
      </c>
      <c r="FO204" s="407">
        <v>45866</v>
      </c>
      <c r="FP204" s="286" t="s">
        <v>172</v>
      </c>
      <c r="FQ204" s="308"/>
      <c r="FR204" s="308"/>
      <c r="FS204" s="308" t="str">
        <f t="shared" si="11"/>
        <v>On Going</v>
      </c>
      <c r="FT2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4" s="314">
        <f ca="1">IF(Table1[[#This Row],[Status Izin]]="Selesai",Table1[[#This Row],[PLAN PERMIT
finish]]-Table1[[#This Row],[Tanggal Terbit/ Target Izin Terbit]],ROUNDUP(Table1[[#This Row],[PLAN PERMIT
finish]]-NOW(),0))</f>
        <v>-430</v>
      </c>
      <c r="FV2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4" s="314"/>
      <c r="FX204" s="42"/>
      <c r="FY204" s="310"/>
      <c r="FZ204" s="311"/>
      <c r="GA2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4" s="300">
        <v>45739</v>
      </c>
      <c r="GC204" s="322">
        <v>45840</v>
      </c>
      <c r="GD2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4" s="300">
        <v>45732</v>
      </c>
      <c r="GF204" s="322">
        <v>45842</v>
      </c>
      <c r="GG2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4" s="300">
        <v>45726</v>
      </c>
      <c r="GI204" s="300">
        <v>45732</v>
      </c>
      <c r="GJ204" s="322">
        <v>45845</v>
      </c>
      <c r="GK2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4" s="300">
        <v>45775</v>
      </c>
      <c r="GM204" s="300" t="e">
        <v>#N/A</v>
      </c>
      <c r="GN204" s="300">
        <v>45907</v>
      </c>
      <c r="GO204" s="300" t="e">
        <v>#N/A</v>
      </c>
      <c r="GP204" s="286"/>
      <c r="GQ2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4" s="300" t="s">
        <v>261</v>
      </c>
      <c r="GS204" s="391" t="s">
        <v>261</v>
      </c>
      <c r="GT204" s="324"/>
      <c r="GU204" s="393" t="str">
        <f>IF(Table1[[#This Row],[Hydro Tes Actual
(tanggal)]]&lt;&gt;"","Sudah","Belum")</f>
        <v>Belum</v>
      </c>
      <c r="GV204" s="300" t="s">
        <v>261</v>
      </c>
      <c r="GW204" s="300" t="s">
        <v>261</v>
      </c>
      <c r="GX204" s="301"/>
      <c r="GY204" s="314" t="str">
        <f>IF(Table1[[#This Row],[Interkoneksi Actual
(tanggal)]]&lt;&gt;"","Sudah","Belum")</f>
        <v>Belum</v>
      </c>
      <c r="GZ204" s="300" t="s">
        <v>261</v>
      </c>
      <c r="HA204" s="300" t="s">
        <v>261</v>
      </c>
      <c r="HB204" s="301"/>
      <c r="HC204" s="314" t="str">
        <f>IF(Table1[[#This Row],[Flushing Actual
(tanggal)]]&lt;&gt;"","Sudah","Belum")</f>
        <v>Belum</v>
      </c>
      <c r="HD204" s="300">
        <v>45880</v>
      </c>
      <c r="HE204" s="300" t="e">
        <v>#N/A</v>
      </c>
      <c r="HF204" s="300">
        <v>45900</v>
      </c>
      <c r="HG204" s="322"/>
      <c r="HH2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4" s="300" t="s">
        <v>261</v>
      </c>
      <c r="HJ204" s="300" t="s">
        <v>261</v>
      </c>
      <c r="HK204" s="301"/>
      <c r="HL204" s="286"/>
      <c r="HM204" s="300">
        <v>45919</v>
      </c>
      <c r="HN204" s="300">
        <v>45919</v>
      </c>
      <c r="HO204" s="391">
        <v>46213</v>
      </c>
      <c r="HP204" s="391"/>
      <c r="HQ204" s="301"/>
      <c r="HR2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4" s="300">
        <v>45926</v>
      </c>
      <c r="HT204" s="300"/>
      <c r="HU204" s="300">
        <v>45926</v>
      </c>
      <c r="HV204" s="300">
        <v>46218</v>
      </c>
      <c r="HW204" s="301"/>
      <c r="HX20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4" s="42"/>
      <c r="HZ204" s="322"/>
      <c r="IA204" s="306"/>
      <c r="IC204" s="585">
        <f>IFERROR(ROUND((Table1[[#This Row],[PLAN TC
finish]]-Table1[[#This Row],[PLAN MC-0
start]])/30,2),"")</f>
        <v>5.8</v>
      </c>
      <c r="ID204">
        <f>DATEDIF(Table1[[#This Row],[PLAN MC-0
start]],Table1[[#This Row],[PLAN TC
finish]],"m")</f>
        <v>5</v>
      </c>
    </row>
    <row r="205" spans="1:238" s="4" customFormat="1" ht="15" customHeight="1" x14ac:dyDescent="0.25">
      <c r="B205" s="281">
        <f>SUBTOTAL(3,$D$5:D205)</f>
        <v>201</v>
      </c>
      <c r="C205" s="318">
        <v>201</v>
      </c>
      <c r="D205" s="285" t="s">
        <v>673</v>
      </c>
      <c r="E205" s="308" t="s">
        <v>1535</v>
      </c>
      <c r="F205" s="308" t="s">
        <v>1536</v>
      </c>
      <c r="G205" s="319">
        <v>45935</v>
      </c>
      <c r="H205" s="284" t="s">
        <v>247</v>
      </c>
      <c r="I205" s="308" t="s">
        <v>248</v>
      </c>
      <c r="J205" s="285" t="s">
        <v>882</v>
      </c>
      <c r="K205" s="308" t="s">
        <v>1517</v>
      </c>
      <c r="L205" s="286" t="s">
        <v>250</v>
      </c>
      <c r="M205" s="286" t="s">
        <v>251</v>
      </c>
      <c r="N205" s="94">
        <v>764</v>
      </c>
      <c r="O205" s="113" t="s">
        <v>252</v>
      </c>
      <c r="P20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5" s="35" t="e">
        <v>#N/A</v>
      </c>
      <c r="S205" s="35">
        <v>1</v>
      </c>
      <c r="T205" s="35">
        <f>Table1[[#This Row],[Progres Total Aktual
(%)]]</f>
        <v>1</v>
      </c>
      <c r="U205" s="106">
        <f>Table1[[#This Row],[Progres Aktual
(%)]]-Table1[[#This Row],[Target Progres
(%)]]</f>
        <v>0</v>
      </c>
      <c r="V205" s="320">
        <f>Table1[[#This Row],["Volume
BA MC-0"]]</f>
        <v>764</v>
      </c>
      <c r="W205" s="321">
        <f>Table1[[#This Row],[Total Panjang Pipa Aktual
(Sum-&gt;)3]]</f>
        <v>780</v>
      </c>
      <c r="X205" s="42"/>
      <c r="Y205" s="62" t="s">
        <v>1537</v>
      </c>
      <c r="Z205" s="62">
        <v>3542527649</v>
      </c>
      <c r="AA205" s="62">
        <f>Table1[[#This Row],[Nilai RAB Jaringan
(file pa aji)]]</f>
        <v>3542527649</v>
      </c>
      <c r="AB205" s="290">
        <f>SUM(Table1[[#This Row],[RAB Kegiatan Umum]:[RAB Perizinan]])</f>
        <v>0</v>
      </c>
      <c r="AC205" s="290"/>
      <c r="AD205" s="290"/>
      <c r="AE205" s="290"/>
      <c r="AF205" s="290"/>
      <c r="AG205" s="406">
        <v>0</v>
      </c>
      <c r="AH205" s="35" t="e">
        <f>SUM(Table1[[#This Row],[Bobot Keg Umum]:[Bobot Perizinan]])</f>
        <v>#DIV/0!</v>
      </c>
      <c r="AI205" s="35" t="e">
        <f>Table1[[#This Row],[RAB Kegiatan Umum]]/Table1[[#This Row],[Nilai RAB Jaringan
(Exclude Ppn)]]</f>
        <v>#DIV/0!</v>
      </c>
      <c r="AJ205" s="35" t="e">
        <f>Table1[[#This Row],[RAB Pemasangan]]/Table1[[#This Row],[Nilai RAB Jaringan
(Exclude Ppn)]]</f>
        <v>#DIV/0!</v>
      </c>
      <c r="AK205" s="35" t="e">
        <f>Table1[[#This Row],[RAB Pengadaan]]/Table1[[#This Row],[Nilai RAB Jaringan
(Exclude Ppn)]]</f>
        <v>#DIV/0!</v>
      </c>
      <c r="AL205" s="35" t="e">
        <f>Table1[[#This Row],[RAB Perizinan]]/Table1[[#This Row],[Nilai RAB Jaringan
(Exclude Ppn)]]</f>
        <v>#DIV/0!</v>
      </c>
      <c r="AM205" s="42"/>
      <c r="AN205" s="256">
        <v>764</v>
      </c>
      <c r="AO205" s="256">
        <f>SUM(Table1[[#This Row],[Pipa 63 mm]:[Pipa 1,800 mm]])</f>
        <v>0</v>
      </c>
      <c r="AP205" s="256"/>
      <c r="AQ205" s="256"/>
      <c r="AR205" s="256"/>
      <c r="AS205" s="256"/>
      <c r="AT205" s="256"/>
      <c r="AU205" s="256"/>
      <c r="AV205" s="256"/>
      <c r="AW205" s="256"/>
      <c r="AX205" s="256"/>
      <c r="AY205" s="256"/>
      <c r="AZ205" s="256"/>
      <c r="BA205" s="256"/>
      <c r="BB205" s="256"/>
      <c r="BC205" s="256"/>
      <c r="BD205" s="256"/>
      <c r="BE205" s="256"/>
      <c r="BF205" s="256"/>
      <c r="BG205" s="256"/>
      <c r="BH205" s="256"/>
      <c r="BI205" s="256"/>
      <c r="BJ205" s="416">
        <f>SUM(Table1[[#This Row],[Pipa 63 mm2]:[Pipa 1,800 mm21]])</f>
        <v>780</v>
      </c>
      <c r="BK205" s="32"/>
      <c r="BL205" s="32"/>
      <c r="BM205" s="32"/>
      <c r="BN205" s="32"/>
      <c r="BO205" s="32"/>
      <c r="BP205" s="32"/>
      <c r="BQ205" s="32">
        <v>780</v>
      </c>
      <c r="BR205" s="32"/>
      <c r="BS205" s="32"/>
      <c r="BT205" s="32"/>
      <c r="BU205" s="32"/>
      <c r="BV205" s="32"/>
      <c r="BW205" s="32"/>
      <c r="BX205" s="32"/>
      <c r="BY205" s="32"/>
      <c r="BZ205" s="32"/>
      <c r="CA205" s="32"/>
      <c r="CB205" s="32"/>
      <c r="CC205" s="32"/>
      <c r="CD205" s="32"/>
      <c r="CE205" s="32">
        <v>0</v>
      </c>
      <c r="CF205" s="32">
        <v>0</v>
      </c>
      <c r="CG205" s="32">
        <v>0</v>
      </c>
      <c r="CH205" s="32">
        <v>0</v>
      </c>
      <c r="CI205" s="32">
        <f t="shared" si="12"/>
        <v>0</v>
      </c>
      <c r="CJ205" s="60">
        <f>IF((Table1[[#This Row],["Volume
BA MC-0"]]-Table1[[#This Row],[Total Panjang Pipa Aktual
(Sum-&gt;)3]]-Table1[[#This Row],[Total Volume
tidak dapat dipasang]])&gt;=0,Table1[[#This Row],["Volume
BA MC-0"]]-Table1[[#This Row],[Total Panjang Pipa Aktual
(Sum-&gt;)3]]-Table1[[#This Row],[Total Volume
tidak dapat dipasang]],0)</f>
        <v>0</v>
      </c>
      <c r="CK205" s="42"/>
      <c r="CL205" s="113"/>
      <c r="CM205" s="35"/>
      <c r="CN205" s="113"/>
      <c r="CO205" s="113"/>
      <c r="CP2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5" s="61">
        <f>IFERROR(Table1[[#This Row],[Progres Keg. Umum
(%)]]*Table1[[#This Row],[Nilai RAB Jaringan
(file pa aji)]],0)</f>
        <v>0</v>
      </c>
      <c r="CR205" s="61">
        <f>IFERROR(Table1[[#This Row],[Progres MOS
(%)]]*Table1[[#This Row],[Nilai RAB Jaringan
(file pa aji)]],0)</f>
        <v>0</v>
      </c>
      <c r="CS205" s="61">
        <f>IFERROR(Table1[[#This Row],[Progres Pemasangan
(%)]]*Table1[[#This Row],[Nilai RAB Jaringan
(file pa aji)]],0)</f>
        <v>0</v>
      </c>
      <c r="CT205" s="61">
        <f>IFERROR(Table1[[#This Row],[Progres Perizinan
(%)]]*Table1[[#This Row],[Nilai RAB Jaringan
(file pa aji)]],0)</f>
        <v>0</v>
      </c>
      <c r="CU205" s="789">
        <v>3503528123</v>
      </c>
      <c r="CV205" s="299">
        <v>3503528123</v>
      </c>
      <c r="CW205" s="552">
        <v>3503528123</v>
      </c>
      <c r="CX205" s="789">
        <f>_xlfn.XLOOKUP(Table1[[#This Row],[Kode Program]],'[1]Breakdown VOWD Greenfield'!$E:$E,'[1]Breakdown VOWD Greenfield'!$AT:$AT)</f>
        <v>3503528123</v>
      </c>
      <c r="CY205" s="42"/>
      <c r="CZ205" s="300">
        <v>45656</v>
      </c>
      <c r="DA205" s="300">
        <v>45683</v>
      </c>
      <c r="DB205" s="301">
        <v>45573</v>
      </c>
      <c r="DC205" s="286" t="s">
        <v>1538</v>
      </c>
      <c r="DD205" s="62">
        <v>3542527648</v>
      </c>
      <c r="DE2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5" s="301">
        <v>45586</v>
      </c>
      <c r="DG205" s="286" t="s">
        <v>1539</v>
      </c>
      <c r="DH205" s="62">
        <v>3542527648</v>
      </c>
      <c r="DI2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5" s="300">
        <v>45684</v>
      </c>
      <c r="DK205" s="300">
        <v>45725</v>
      </c>
      <c r="DL205" s="301">
        <v>45772</v>
      </c>
      <c r="DM205" s="286" t="s">
        <v>1540</v>
      </c>
      <c r="DN2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5" s="301">
        <v>46010</v>
      </c>
      <c r="DP205" s="286" t="s">
        <v>1541</v>
      </c>
      <c r="DQ205" s="308" t="s">
        <v>1542</v>
      </c>
      <c r="DR2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5" s="300">
        <v>45684</v>
      </c>
      <c r="DT205" s="300" t="e">
        <v>#N/A</v>
      </c>
      <c r="DU205" s="300">
        <v>45725</v>
      </c>
      <c r="DV205" s="300" t="e">
        <v>#N/A</v>
      </c>
      <c r="DW205" s="301">
        <v>45772</v>
      </c>
      <c r="DX205" s="286" t="s">
        <v>1543</v>
      </c>
      <c r="DY205" s="304"/>
      <c r="DZ205" s="304"/>
      <c r="EA2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5" s="301">
        <v>46161</v>
      </c>
      <c r="EC205" s="302"/>
      <c r="ED205" s="302"/>
      <c r="EE205" s="300" t="s">
        <v>1544</v>
      </c>
      <c r="EF205" s="35">
        <v>1</v>
      </c>
      <c r="EG205" s="307">
        <v>1</v>
      </c>
      <c r="EH205" s="286" t="str">
        <f>IF(Table1[[#This Row],[PO Material Aktual 
(%)]]&gt;=100%,"Selesai PO = 100%",IF(Table1[[#This Row],[PO Material Aktual 
(%)]]&gt;=50%,"Proses PO &gt; 100%",IF(Table1[[#This Row],[PO Material Aktual 
(%)]]&gt;0%,"Proses PO &gt; 50%",IF(Table1[[#This Row],[PO Material Aktual 
(%)]]=0,"Belum PO = 0%"))))</f>
        <v>Selesai PO = 100%</v>
      </c>
      <c r="EI2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5" s="300">
        <v>45726</v>
      </c>
      <c r="EK205" s="300" t="e">
        <v>#N/A</v>
      </c>
      <c r="EL205" s="300">
        <v>45837</v>
      </c>
      <c r="EM205" s="300" t="e">
        <v>#N/A</v>
      </c>
      <c r="EN205" s="301">
        <v>46013</v>
      </c>
      <c r="EO205" s="302"/>
      <c r="EP205" s="302"/>
      <c r="EQ205" s="82">
        <v>1</v>
      </c>
      <c r="ER205" s="82">
        <v>1</v>
      </c>
      <c r="ES205" s="286" t="str">
        <f>IF(Table1[[#This Row],[Progres MOS]]&gt;=100%,"Selesai MOS = 100%",IF(Table1[[#This Row],[Progres MOS]]&gt;=50%,"Proses MOS &gt; 100%",IF(Table1[[#This Row],[Progres MOS]]&gt;0%,"Proses MOS &gt; 50%",IF(Table1[[#This Row],[Progres MOS]]=0,"Belum MOS = 0%"))))</f>
        <v>Selesai MOS = 100%</v>
      </c>
      <c r="ET2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5" s="42"/>
      <c r="EV205" s="300">
        <v>45712</v>
      </c>
      <c r="EW205" s="300" t="e">
        <v>#N/A</v>
      </c>
      <c r="EX205" s="300">
        <v>45837</v>
      </c>
      <c r="EY205" s="300" t="e">
        <v>#N/A</v>
      </c>
      <c r="EZ205" s="322" t="s">
        <v>259</v>
      </c>
      <c r="FA205" s="306" t="s">
        <v>259</v>
      </c>
      <c r="FB205" s="300" t="s">
        <v>260</v>
      </c>
      <c r="FC205" s="300">
        <v>45720</v>
      </c>
      <c r="FD205" s="300" t="s">
        <v>260</v>
      </c>
      <c r="FE205" s="300">
        <v>45736</v>
      </c>
      <c r="FF205" s="300">
        <v>45764</v>
      </c>
      <c r="FG205" s="300" t="s">
        <v>260</v>
      </c>
      <c r="FH205" s="300" t="s">
        <v>260</v>
      </c>
      <c r="FI205" s="300">
        <v>45805</v>
      </c>
      <c r="FJ205" s="300" t="s">
        <v>260</v>
      </c>
      <c r="FK205" s="300">
        <v>45866</v>
      </c>
      <c r="FL205" s="306" t="s">
        <v>259</v>
      </c>
      <c r="FM205" s="322">
        <v>45720</v>
      </c>
      <c r="FN205" s="308">
        <f>IF(Table1[[#This Row],[Tanggal Pengajuan Dokumen]]="","",Table1[[#This Row],[PLAN PERMIT
start]]-Table1[[#This Row],[Tanggal Pengajuan Dokumen]])</f>
        <v>-8</v>
      </c>
      <c r="FO205" s="407">
        <v>45866</v>
      </c>
      <c r="FP205" s="286"/>
      <c r="FQ205" s="308"/>
      <c r="FR205" s="308"/>
      <c r="FS205" s="308" t="str">
        <f t="shared" si="11"/>
        <v>Sudah Terbit</v>
      </c>
      <c r="FT2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5" s="314">
        <f ca="1">IF(Table1[[#This Row],[Status Izin]]="Selesai",Table1[[#This Row],[PLAN PERMIT
finish]]-Table1[[#This Row],[Tanggal Terbit/ Target Izin Terbit]],ROUNDUP(Table1[[#This Row],[PLAN PERMIT
finish]]-NOW(),0))</f>
        <v>-29</v>
      </c>
      <c r="FV2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5" s="314"/>
      <c r="FX205" s="42"/>
      <c r="FY205" s="310"/>
      <c r="FZ205" s="311"/>
      <c r="GA2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5" s="300">
        <v>45760</v>
      </c>
      <c r="GC205" s="322">
        <v>45817</v>
      </c>
      <c r="GD2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5" s="300">
        <v>45739</v>
      </c>
      <c r="GF205" s="322">
        <v>45821</v>
      </c>
      <c r="GG2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5" s="300">
        <v>45733</v>
      </c>
      <c r="GI205" s="300">
        <v>45739</v>
      </c>
      <c r="GJ205" s="322">
        <v>45831</v>
      </c>
      <c r="GK2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5" s="300">
        <v>45803</v>
      </c>
      <c r="GM205" s="300" t="e">
        <v>#N/A</v>
      </c>
      <c r="GN205" s="300">
        <v>45907</v>
      </c>
      <c r="GO205" s="300" t="e">
        <v>#N/A</v>
      </c>
      <c r="GP205" s="286"/>
      <c r="GQ2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5" s="300" t="s">
        <v>261</v>
      </c>
      <c r="GS205" s="391" t="s">
        <v>261</v>
      </c>
      <c r="GT205" s="324">
        <v>45985</v>
      </c>
      <c r="GU205" s="393" t="str">
        <f>IF(Table1[[#This Row],[Hydro Tes Actual
(tanggal)]]&lt;&gt;"","Sudah","Belum")</f>
        <v>Sudah</v>
      </c>
      <c r="GV205" s="300" t="s">
        <v>261</v>
      </c>
      <c r="GW205" s="300" t="s">
        <v>261</v>
      </c>
      <c r="GX205" s="301"/>
      <c r="GY205" s="314" t="str">
        <f>IF(Table1[[#This Row],[Interkoneksi Actual
(tanggal)]]&lt;&gt;"","Sudah","Belum")</f>
        <v>Belum</v>
      </c>
      <c r="GZ205" s="300" t="s">
        <v>261</v>
      </c>
      <c r="HA205" s="300" t="s">
        <v>261</v>
      </c>
      <c r="HB205" s="301">
        <v>46007</v>
      </c>
      <c r="HC205" s="314" t="str">
        <f>IF(Table1[[#This Row],[Flushing Actual
(tanggal)]]&lt;&gt;"","Sudah","Belum")</f>
        <v>Sudah</v>
      </c>
      <c r="HD205" s="300">
        <v>45880</v>
      </c>
      <c r="HE205" s="300" t="e">
        <v>#N/A</v>
      </c>
      <c r="HF205" s="300">
        <v>45900</v>
      </c>
      <c r="HG205" s="322">
        <v>46013</v>
      </c>
      <c r="HH2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5" s="300" t="s">
        <v>261</v>
      </c>
      <c r="HJ205" s="300" t="s">
        <v>261</v>
      </c>
      <c r="HK205" s="301"/>
      <c r="HL205" s="286"/>
      <c r="HM205" s="300">
        <v>45919</v>
      </c>
      <c r="HN205" s="300">
        <v>45919</v>
      </c>
      <c r="HO205" s="300" t="e">
        <v>#N/A</v>
      </c>
      <c r="HP205" s="300"/>
      <c r="HQ205" s="301">
        <v>46015</v>
      </c>
      <c r="HR2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5" s="300">
        <v>45926</v>
      </c>
      <c r="HT205" s="300"/>
      <c r="HU205" s="300">
        <v>45926</v>
      </c>
      <c r="HV205" s="497"/>
      <c r="HW205" s="301">
        <v>46022</v>
      </c>
      <c r="HX2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5" s="42"/>
      <c r="HZ205" s="322"/>
      <c r="IA205" s="306"/>
      <c r="IC205" s="585">
        <f>IFERROR(ROUND((Table1[[#This Row],[PLAN TC
finish]]-Table1[[#This Row],[PLAN MC-0
start]])/30,2),"")</f>
        <v>5.57</v>
      </c>
      <c r="ID205">
        <f>DATEDIF(Table1[[#This Row],[PLAN MC-0
start]],Table1[[#This Row],[PLAN TC
finish]],"m")</f>
        <v>5</v>
      </c>
    </row>
    <row r="206" spans="1:238" s="4" customFormat="1" ht="15" customHeight="1" x14ac:dyDescent="0.25">
      <c r="B206" s="281">
        <f>SUBTOTAL(3,$D$5:D206)</f>
        <v>202</v>
      </c>
      <c r="C206" s="318">
        <v>202</v>
      </c>
      <c r="D206" s="285" t="s">
        <v>673</v>
      </c>
      <c r="E206" s="308" t="s">
        <v>1545</v>
      </c>
      <c r="F206" s="308" t="s">
        <v>1546</v>
      </c>
      <c r="G206" s="319">
        <v>45935</v>
      </c>
      <c r="H206" s="284" t="s">
        <v>247</v>
      </c>
      <c r="I206" s="308" t="s">
        <v>248</v>
      </c>
      <c r="J206" s="285" t="s">
        <v>943</v>
      </c>
      <c r="K206" s="308" t="s">
        <v>1517</v>
      </c>
      <c r="L206" s="286" t="s">
        <v>250</v>
      </c>
      <c r="M206" s="286" t="s">
        <v>251</v>
      </c>
      <c r="N206" s="94">
        <v>4922</v>
      </c>
      <c r="O206" s="113" t="s">
        <v>252</v>
      </c>
      <c r="P20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6" s="35" t="e">
        <v>#N/A</v>
      </c>
      <c r="S206" s="35">
        <v>1</v>
      </c>
      <c r="T206" s="35">
        <f>Table1[[#This Row],[Progres Total Aktual
(%)]]</f>
        <v>0.71090639360271468</v>
      </c>
      <c r="U206" s="106">
        <f>Table1[[#This Row],[Progres Aktual
(%)]]-Table1[[#This Row],[Target Progres
(%)]]</f>
        <v>-0.28909360639728532</v>
      </c>
      <c r="V206" s="320">
        <f>Table1[[#This Row],["Volume
BA MC-0"]]</f>
        <v>4922</v>
      </c>
      <c r="W206" s="321">
        <f>Table1[[#This Row],[Total Panjang Pipa Aktual
(Sum-&gt;)3]]</f>
        <v>3874.1</v>
      </c>
      <c r="X206" s="42"/>
      <c r="Y206" s="62" t="s">
        <v>1547</v>
      </c>
      <c r="Z206" s="62">
        <v>256222695433</v>
      </c>
      <c r="AA206" s="62">
        <f>Table1[[#This Row],[Nilai RAB Jaringan
(file pa aji)]]</f>
        <v>256222695433</v>
      </c>
      <c r="AB206" s="290">
        <f>SUM(Table1[[#This Row],[RAB Kegiatan Umum]:[RAB Perizinan]])</f>
        <v>0</v>
      </c>
      <c r="AC206" s="290"/>
      <c r="AD206" s="290"/>
      <c r="AE206" s="290"/>
      <c r="AF206" s="290"/>
      <c r="AG206" s="406">
        <v>0</v>
      </c>
      <c r="AH206" s="35" t="e">
        <f>SUM(Table1[[#This Row],[Bobot Keg Umum]:[Bobot Perizinan]])</f>
        <v>#DIV/0!</v>
      </c>
      <c r="AI206" s="35" t="e">
        <f>Table1[[#This Row],[RAB Kegiatan Umum]]/Table1[[#This Row],[Nilai RAB Jaringan
(Exclude Ppn)]]</f>
        <v>#DIV/0!</v>
      </c>
      <c r="AJ206" s="35" t="e">
        <f>Table1[[#This Row],[RAB Pemasangan]]/Table1[[#This Row],[Nilai RAB Jaringan
(Exclude Ppn)]]</f>
        <v>#DIV/0!</v>
      </c>
      <c r="AK206" s="35" t="e">
        <f>Table1[[#This Row],[RAB Pengadaan]]/Table1[[#This Row],[Nilai RAB Jaringan
(Exclude Ppn)]]</f>
        <v>#DIV/0!</v>
      </c>
      <c r="AL206" s="35" t="e">
        <f>Table1[[#This Row],[RAB Perizinan]]/Table1[[#This Row],[Nilai RAB Jaringan
(Exclude Ppn)]]</f>
        <v>#DIV/0!</v>
      </c>
      <c r="AM206" s="42"/>
      <c r="AN206" s="256">
        <v>4922</v>
      </c>
      <c r="AO206" s="256">
        <f>SUM(Table1[[#This Row],[Pipa 63 mm]:[Pipa 1,800 mm]])</f>
        <v>0</v>
      </c>
      <c r="AP206" s="256"/>
      <c r="AQ206" s="256"/>
      <c r="AR206" s="256"/>
      <c r="AS206" s="256"/>
      <c r="AT206" s="256"/>
      <c r="AU206" s="256"/>
      <c r="AV206" s="256"/>
      <c r="AW206" s="256"/>
      <c r="AX206" s="256"/>
      <c r="AY206" s="256"/>
      <c r="AZ206" s="256"/>
      <c r="BA206" s="256"/>
      <c r="BB206" s="256"/>
      <c r="BC206" s="256"/>
      <c r="BD206" s="256"/>
      <c r="BE206" s="256"/>
      <c r="BF206" s="256"/>
      <c r="BG206" s="256"/>
      <c r="BH206" s="256"/>
      <c r="BI206" s="256"/>
      <c r="BJ206" s="416">
        <f>SUM(Table1[[#This Row],[Pipa 63 mm2]:[Pipa 1,800 mm21]])</f>
        <v>3874.1</v>
      </c>
      <c r="BK206" s="32"/>
      <c r="BL206" s="32"/>
      <c r="BM206" s="32"/>
      <c r="BN206" s="32"/>
      <c r="BO206" s="32"/>
      <c r="BP206" s="32"/>
      <c r="BQ206" s="32"/>
      <c r="BR206" s="32"/>
      <c r="BS206" s="32"/>
      <c r="BT206" s="32"/>
      <c r="BU206" s="32"/>
      <c r="BV206" s="32"/>
      <c r="BW206" s="32">
        <v>3874.1</v>
      </c>
      <c r="BX206" s="32"/>
      <c r="BY206" s="32"/>
      <c r="BZ206" s="32"/>
      <c r="CA206" s="32"/>
      <c r="CB206" s="32"/>
      <c r="CC206" s="32"/>
      <c r="CD206" s="32"/>
      <c r="CE206" s="32">
        <v>0</v>
      </c>
      <c r="CF206" s="32">
        <v>0</v>
      </c>
      <c r="CG206" s="32">
        <v>0</v>
      </c>
      <c r="CH206" s="32">
        <v>0</v>
      </c>
      <c r="CI206" s="32">
        <f t="shared" si="12"/>
        <v>0</v>
      </c>
      <c r="CJ206" s="60">
        <f>IF((Table1[[#This Row],["Volume
BA MC-0"]]-Table1[[#This Row],[Total Panjang Pipa Aktual
(Sum-&gt;)3]]-Table1[[#This Row],[Total Volume
tidak dapat dipasang]])&gt;=0,Table1[[#This Row],["Volume
BA MC-0"]]-Table1[[#This Row],[Total Panjang Pipa Aktual
(Sum-&gt;)3]]-Table1[[#This Row],[Total Volume
tidak dapat dipasang]],0)</f>
        <v>1047.9000000000001</v>
      </c>
      <c r="CK206" s="42"/>
      <c r="CL206" s="113"/>
      <c r="CM206" s="35"/>
      <c r="CN206" s="113"/>
      <c r="CO206" s="113"/>
      <c r="CP2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0.71090639360271468</v>
      </c>
      <c r="CQ206" s="61">
        <f>IFERROR(Table1[[#This Row],[Progres Keg. Umum
(%)]]*Table1[[#This Row],[Nilai RAB Jaringan
(file pa aji)]],0)</f>
        <v>0</v>
      </c>
      <c r="CR206" s="61">
        <f>IFERROR(Table1[[#This Row],[Progres MOS
(%)]]*Table1[[#This Row],[Nilai RAB Jaringan
(file pa aji)]],0)</f>
        <v>0</v>
      </c>
      <c r="CS206" s="61">
        <f>IFERROR(Table1[[#This Row],[Progres Pemasangan
(%)]]*Table1[[#This Row],[Nilai RAB Jaringan
(file pa aji)]],0)</f>
        <v>0</v>
      </c>
      <c r="CT206" s="61">
        <f>IFERROR(Table1[[#This Row],[Progres Perizinan
(%)]]*Table1[[#This Row],[Nilai RAB Jaringan
(file pa aji)]],0)</f>
        <v>0</v>
      </c>
      <c r="CU206" s="789">
        <v>182150352369.4408</v>
      </c>
      <c r="CV206" s="299">
        <v>182150352369.4408</v>
      </c>
      <c r="CW206" s="552">
        <v>0</v>
      </c>
      <c r="CX206" s="789">
        <f>_xlfn.XLOOKUP(Table1[[#This Row],[Kode Program]],'[1]Breakdown VOWD Greenfield'!$E:$E,'[1]Breakdown VOWD Greenfield'!$AT:$AT)</f>
        <v>0</v>
      </c>
      <c r="CY206" s="42"/>
      <c r="CZ206" s="300">
        <v>45656</v>
      </c>
      <c r="DA206" s="300">
        <v>45683</v>
      </c>
      <c r="DB206" s="301">
        <v>45573</v>
      </c>
      <c r="DC206" s="286" t="s">
        <v>1548</v>
      </c>
      <c r="DD206" s="62">
        <v>256222695434</v>
      </c>
      <c r="DE2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6" s="301">
        <v>45798</v>
      </c>
      <c r="DG206" s="286" t="s">
        <v>1549</v>
      </c>
      <c r="DH206" s="62">
        <v>256222695434</v>
      </c>
      <c r="DI2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6" s="300">
        <v>45684</v>
      </c>
      <c r="DK206" s="300">
        <v>45725</v>
      </c>
      <c r="DL206" s="301">
        <v>45800</v>
      </c>
      <c r="DM206" s="286" t="s">
        <v>1550</v>
      </c>
      <c r="DN2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6" s="301">
        <v>45832</v>
      </c>
      <c r="DP206" s="286" t="s">
        <v>1551</v>
      </c>
      <c r="DQ206" s="308" t="s">
        <v>910</v>
      </c>
      <c r="DR2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6" s="300">
        <v>45684</v>
      </c>
      <c r="DT206" s="300" t="e">
        <v>#N/A</v>
      </c>
      <c r="DU206" s="300">
        <v>45725</v>
      </c>
      <c r="DV206" s="300" t="e">
        <v>#N/A</v>
      </c>
      <c r="DW206" s="301">
        <v>46022</v>
      </c>
      <c r="DX206" s="286" t="s">
        <v>1552</v>
      </c>
      <c r="DY206" s="304"/>
      <c r="DZ206" s="304"/>
      <c r="EA2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6" s="301"/>
      <c r="EC206" s="302"/>
      <c r="ED206" s="302"/>
      <c r="EE206" s="300"/>
      <c r="EF206" s="35">
        <v>0.98484848484848486</v>
      </c>
      <c r="EG206" s="307">
        <v>0.98484848484848486</v>
      </c>
      <c r="EH206" s="286" t="str">
        <f>IF(Table1[[#This Row],[PO Material Aktual 
(%)]]&gt;=100%,"Selesai PO = 100%",IF(Table1[[#This Row],[PO Material Aktual 
(%)]]&gt;=50%,"Proses PO &gt; 100%",IF(Table1[[#This Row],[PO Material Aktual 
(%)]]&gt;0%,"Proses PO &gt; 50%",IF(Table1[[#This Row],[PO Material Aktual 
(%)]]=0,"Belum PO = 0%"))))</f>
        <v>Proses PO &gt; 100%</v>
      </c>
      <c r="EI2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6" s="300">
        <v>45726</v>
      </c>
      <c r="EK206" s="300" t="e">
        <v>#N/A</v>
      </c>
      <c r="EL206" s="300">
        <v>45816</v>
      </c>
      <c r="EM206" s="300" t="e">
        <v>#N/A</v>
      </c>
      <c r="EN206" s="301"/>
      <c r="EO206" s="302"/>
      <c r="EP206" s="302"/>
      <c r="EQ206" s="82">
        <v>0.74603174603174605</v>
      </c>
      <c r="ER206" s="82">
        <v>0.74603174603174605</v>
      </c>
      <c r="ES206" s="286" t="str">
        <f>IF(Table1[[#This Row],[Progres MOS]]&gt;=100%,"Selesai MOS = 100%",IF(Table1[[#This Row],[Progres MOS]]&gt;=50%,"Proses MOS &gt; 100%",IF(Table1[[#This Row],[Progres MOS]]&gt;0%,"Proses MOS &gt; 50%",IF(Table1[[#This Row],[Progres MOS]]=0,"Belum MOS = 0%"))))</f>
        <v>Proses MOS &gt; 100%</v>
      </c>
      <c r="ET2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6" s="42"/>
      <c r="EV206" s="300">
        <v>45698</v>
      </c>
      <c r="EW206" s="300" t="e">
        <v>#N/A</v>
      </c>
      <c r="EX206" s="300">
        <v>45774</v>
      </c>
      <c r="EY206" s="300" t="e">
        <v>#N/A</v>
      </c>
      <c r="EZ206" s="322" t="s">
        <v>259</v>
      </c>
      <c r="FA206" s="306" t="s">
        <v>259</v>
      </c>
      <c r="FB206" s="300" t="s">
        <v>260</v>
      </c>
      <c r="FC206" s="300">
        <v>45699</v>
      </c>
      <c r="FD206" s="300" t="s">
        <v>260</v>
      </c>
      <c r="FE206" s="300">
        <v>45736</v>
      </c>
      <c r="FF206" s="300">
        <v>45764</v>
      </c>
      <c r="FG206" s="300" t="s">
        <v>260</v>
      </c>
      <c r="FH206" s="300" t="s">
        <v>260</v>
      </c>
      <c r="FI206" s="300">
        <v>45805</v>
      </c>
      <c r="FJ206" s="300" t="s">
        <v>260</v>
      </c>
      <c r="FK206" s="300">
        <v>45874</v>
      </c>
      <c r="FL206" s="306" t="s">
        <v>259</v>
      </c>
      <c r="FM206" s="322">
        <v>45699</v>
      </c>
      <c r="FN206" s="308">
        <f>IF(Table1[[#This Row],[Tanggal Pengajuan Dokumen]]="","",Table1[[#This Row],[PLAN PERMIT
start]]-Table1[[#This Row],[Tanggal Pengajuan Dokumen]])</f>
        <v>-1</v>
      </c>
      <c r="FO206" s="407">
        <v>45874</v>
      </c>
      <c r="FP206" s="286"/>
      <c r="FQ206" s="308" t="s">
        <v>923</v>
      </c>
      <c r="FR206" s="308"/>
      <c r="FS206" s="308" t="str">
        <f t="shared" si="11"/>
        <v>On Going</v>
      </c>
      <c r="FT2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06" s="314">
        <f ca="1">IF(Table1[[#This Row],[Status Izin]]="Selesai",Table1[[#This Row],[PLAN PERMIT
finish]]-Table1[[#This Row],[Tanggal Terbit/ Target Izin Terbit]],ROUNDUP(Table1[[#This Row],[PLAN PERMIT
finish]]-NOW(),0))</f>
        <v>-430</v>
      </c>
      <c r="FV2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6" s="314"/>
      <c r="FX206" s="42"/>
      <c r="FY206" s="310"/>
      <c r="FZ206" s="311"/>
      <c r="GA2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6" s="300">
        <v>45739</v>
      </c>
      <c r="GC206" s="322">
        <v>45840</v>
      </c>
      <c r="GD2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6" s="300">
        <v>45732</v>
      </c>
      <c r="GF206" s="322">
        <v>45842</v>
      </c>
      <c r="GG2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6" s="300">
        <v>45726</v>
      </c>
      <c r="GI206" s="300">
        <v>45732</v>
      </c>
      <c r="GJ206" s="322">
        <v>45846</v>
      </c>
      <c r="GK2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6" s="300">
        <v>45775</v>
      </c>
      <c r="GM206" s="300" t="e">
        <v>#N/A</v>
      </c>
      <c r="GN206" s="300">
        <v>45907</v>
      </c>
      <c r="GO206" s="300" t="e">
        <v>#N/A</v>
      </c>
      <c r="GP206" s="286"/>
      <c r="GQ2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6" s="300" t="s">
        <v>261</v>
      </c>
      <c r="GS206" s="391" t="s">
        <v>261</v>
      </c>
      <c r="GT206" s="324">
        <v>46161</v>
      </c>
      <c r="GU206" s="393" t="str">
        <f>IF(Table1[[#This Row],[Hydro Tes Actual
(tanggal)]]&lt;&gt;"","Sudah","Belum")</f>
        <v>Sudah</v>
      </c>
      <c r="GV206" s="300" t="s">
        <v>261</v>
      </c>
      <c r="GW206" s="300" t="s">
        <v>261</v>
      </c>
      <c r="GX206" s="301"/>
      <c r="GY206" s="314" t="str">
        <f>IF(Table1[[#This Row],[Interkoneksi Actual
(tanggal)]]&lt;&gt;"","Sudah","Belum")</f>
        <v>Belum</v>
      </c>
      <c r="GZ206" s="300" t="s">
        <v>261</v>
      </c>
      <c r="HA206" s="300" t="s">
        <v>261</v>
      </c>
      <c r="HB206" s="301"/>
      <c r="HC206" s="314" t="str">
        <f>IF(Table1[[#This Row],[Flushing Actual
(tanggal)]]&lt;&gt;"","Sudah","Belum")</f>
        <v>Belum</v>
      </c>
      <c r="HD206" s="300">
        <v>45880</v>
      </c>
      <c r="HE206" s="300" t="e">
        <v>#N/A</v>
      </c>
      <c r="HF206" s="300">
        <v>45900</v>
      </c>
      <c r="HG206" s="322"/>
      <c r="HH2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6" s="300" t="s">
        <v>261</v>
      </c>
      <c r="HJ206" s="300" t="s">
        <v>261</v>
      </c>
      <c r="HK206" s="301"/>
      <c r="HL206" s="286"/>
      <c r="HM206" s="300">
        <v>45919</v>
      </c>
      <c r="HN206" s="300">
        <v>45919</v>
      </c>
      <c r="HO206" s="391">
        <v>46290</v>
      </c>
      <c r="HP206" s="391"/>
      <c r="HQ206" s="301"/>
      <c r="HR2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6" s="300">
        <v>45926</v>
      </c>
      <c r="HT206" s="300"/>
      <c r="HU206" s="300">
        <v>45926</v>
      </c>
      <c r="HV206" s="300">
        <v>46295</v>
      </c>
      <c r="HW206" s="301"/>
      <c r="HX2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6" s="42"/>
      <c r="HZ206" s="322"/>
      <c r="IA206" s="306"/>
      <c r="IC206" s="585">
        <f>IFERROR(ROUND((Table1[[#This Row],[PLAN TC
finish]]-Table1[[#This Row],[PLAN MC-0
start]])/30,2),"")</f>
        <v>5.8</v>
      </c>
      <c r="ID206">
        <f>DATEDIF(Table1[[#This Row],[PLAN MC-0
start]],Table1[[#This Row],[PLAN TC
finish]],"m")</f>
        <v>5</v>
      </c>
    </row>
    <row r="207" spans="1:238" s="4" customFormat="1" ht="15" customHeight="1" x14ac:dyDescent="0.25">
      <c r="B207" s="281">
        <f>SUBTOTAL(3,$D$5:D207)</f>
        <v>203</v>
      </c>
      <c r="C207" s="318">
        <v>203</v>
      </c>
      <c r="D207" s="285" t="s">
        <v>673</v>
      </c>
      <c r="E207" s="308" t="s">
        <v>1553</v>
      </c>
      <c r="F207" s="308" t="s">
        <v>1554</v>
      </c>
      <c r="G207" s="319">
        <v>45935</v>
      </c>
      <c r="H207" s="284" t="s">
        <v>247</v>
      </c>
      <c r="I207" s="308" t="s">
        <v>248</v>
      </c>
      <c r="J207" s="285" t="s">
        <v>943</v>
      </c>
      <c r="K207" s="308" t="s">
        <v>1517</v>
      </c>
      <c r="L207" s="286" t="s">
        <v>250</v>
      </c>
      <c r="M207" s="286" t="s">
        <v>251</v>
      </c>
      <c r="N207" s="94">
        <v>2150</v>
      </c>
      <c r="O207" s="113" t="s">
        <v>252</v>
      </c>
      <c r="P20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07" s="35" t="e">
        <v>#N/A</v>
      </c>
      <c r="S207" s="35">
        <v>1</v>
      </c>
      <c r="T207" s="35">
        <f>Table1[[#This Row],[Progres Total Aktual
(%)]]</f>
        <v>1</v>
      </c>
      <c r="U207" s="106">
        <f>Table1[[#This Row],[Progres Aktual
(%)]]-Table1[[#This Row],[Target Progres
(%)]]</f>
        <v>0</v>
      </c>
      <c r="V207" s="320">
        <f>Table1[[#This Row],["Volume
BA MC-0"]]</f>
        <v>2150</v>
      </c>
      <c r="W207" s="321">
        <f>Table1[[#This Row],[Total Panjang Pipa Aktual
(Sum-&gt;)3]]</f>
        <v>2162.6999999999998</v>
      </c>
      <c r="X207" s="42"/>
      <c r="Y207" s="62" t="s">
        <v>1555</v>
      </c>
      <c r="Z207" s="62">
        <v>24912861367</v>
      </c>
      <c r="AA207" s="62">
        <f>Table1[[#This Row],[Nilai RAB Jaringan
(file pa aji)]]</f>
        <v>24912861367</v>
      </c>
      <c r="AB207" s="290">
        <f>SUM(Table1[[#This Row],[RAB Kegiatan Umum]:[RAB Perizinan]])</f>
        <v>0</v>
      </c>
      <c r="AC207" s="290"/>
      <c r="AD207" s="290"/>
      <c r="AE207" s="290"/>
      <c r="AF207" s="290"/>
      <c r="AG207" s="406">
        <v>0</v>
      </c>
      <c r="AH207" s="35" t="e">
        <f>SUM(Table1[[#This Row],[Bobot Keg Umum]:[Bobot Perizinan]])</f>
        <v>#DIV/0!</v>
      </c>
      <c r="AI207" s="35" t="e">
        <f>Table1[[#This Row],[RAB Kegiatan Umum]]/Table1[[#This Row],[Nilai RAB Jaringan
(Exclude Ppn)]]</f>
        <v>#DIV/0!</v>
      </c>
      <c r="AJ207" s="35" t="e">
        <f>Table1[[#This Row],[RAB Pemasangan]]/Table1[[#This Row],[Nilai RAB Jaringan
(Exclude Ppn)]]</f>
        <v>#DIV/0!</v>
      </c>
      <c r="AK207" s="35" t="e">
        <f>Table1[[#This Row],[RAB Pengadaan]]/Table1[[#This Row],[Nilai RAB Jaringan
(Exclude Ppn)]]</f>
        <v>#DIV/0!</v>
      </c>
      <c r="AL207" s="35" t="e">
        <f>Table1[[#This Row],[RAB Perizinan]]/Table1[[#This Row],[Nilai RAB Jaringan
(Exclude Ppn)]]</f>
        <v>#DIV/0!</v>
      </c>
      <c r="AM207" s="42"/>
      <c r="AN207" s="256">
        <v>2150</v>
      </c>
      <c r="AO207" s="256">
        <f>SUM(Table1[[#This Row],[Pipa 63 mm]:[Pipa 1,800 mm]])</f>
        <v>0</v>
      </c>
      <c r="AP207" s="256"/>
      <c r="AQ207" s="256"/>
      <c r="AR207" s="256"/>
      <c r="AS207" s="256"/>
      <c r="AT207" s="256"/>
      <c r="AU207" s="256"/>
      <c r="AV207" s="256"/>
      <c r="AW207" s="256"/>
      <c r="AX207" s="256"/>
      <c r="AY207" s="256"/>
      <c r="AZ207" s="256"/>
      <c r="BA207" s="256"/>
      <c r="BB207" s="256"/>
      <c r="BC207" s="256"/>
      <c r="BD207" s="256"/>
      <c r="BE207" s="256"/>
      <c r="BF207" s="256"/>
      <c r="BG207" s="256"/>
      <c r="BH207" s="256"/>
      <c r="BI207" s="256"/>
      <c r="BJ207" s="416">
        <f>SUM(Table1[[#This Row],[Pipa 63 mm2]:[Pipa 1,800 mm21]])</f>
        <v>2162.6999999999998</v>
      </c>
      <c r="BK207" s="32"/>
      <c r="BL207" s="32"/>
      <c r="BM207" s="32"/>
      <c r="BN207" s="32"/>
      <c r="BO207" s="32"/>
      <c r="BP207" s="32"/>
      <c r="BQ207" s="32"/>
      <c r="BR207" s="32"/>
      <c r="BS207" s="32">
        <v>2046.7</v>
      </c>
      <c r="BT207" s="32"/>
      <c r="BU207" s="32"/>
      <c r="BV207" s="32"/>
      <c r="BW207" s="588"/>
      <c r="BX207" s="32"/>
      <c r="BY207" s="32">
        <v>116</v>
      </c>
      <c r="BZ207" s="32"/>
      <c r="CA207" s="32"/>
      <c r="CB207" s="32"/>
      <c r="CC207" s="32"/>
      <c r="CD207" s="32"/>
      <c r="CE207" s="32">
        <v>0</v>
      </c>
      <c r="CF207" s="32">
        <v>0</v>
      </c>
      <c r="CG207" s="32">
        <v>0</v>
      </c>
      <c r="CH207" s="32">
        <v>0</v>
      </c>
      <c r="CI207" s="32">
        <f t="shared" si="12"/>
        <v>0</v>
      </c>
      <c r="CJ207" s="60">
        <f>IF((Table1[[#This Row],["Volume
BA MC-0"]]-Table1[[#This Row],[Total Panjang Pipa Aktual
(Sum-&gt;)3]]-Table1[[#This Row],[Total Volume
tidak dapat dipasang]])&gt;=0,Table1[[#This Row],["Volume
BA MC-0"]]-Table1[[#This Row],[Total Panjang Pipa Aktual
(Sum-&gt;)3]]-Table1[[#This Row],[Total Volume
tidak dapat dipasang]],0)</f>
        <v>0</v>
      </c>
      <c r="CK207" s="42"/>
      <c r="CL207" s="113"/>
      <c r="CM207" s="35"/>
      <c r="CN207" s="113"/>
      <c r="CO207" s="113"/>
      <c r="CP2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07" s="61">
        <f>IFERROR(Table1[[#This Row],[Progres Keg. Umum
(%)]]*Table1[[#This Row],[Nilai RAB Jaringan
(file pa aji)]],0)</f>
        <v>0</v>
      </c>
      <c r="CR207" s="61">
        <f>IFERROR(Table1[[#This Row],[Progres MOS
(%)]]*Table1[[#This Row],[Nilai RAB Jaringan
(file pa aji)]],0)</f>
        <v>0</v>
      </c>
      <c r="CS207" s="61">
        <f>IFERROR(Table1[[#This Row],[Progres Pemasangan
(%)]]*Table1[[#This Row],[Nilai RAB Jaringan
(file pa aji)]],0)</f>
        <v>0</v>
      </c>
      <c r="CT207" s="61">
        <f>IFERROR(Table1[[#This Row],[Progres Perizinan
(%)]]*Table1[[#This Row],[Nilai RAB Jaringan
(file pa aji)]],0)</f>
        <v>0</v>
      </c>
      <c r="CU207" s="789">
        <v>23676334624</v>
      </c>
      <c r="CV207" s="299">
        <v>23676334624</v>
      </c>
      <c r="CW207" s="552">
        <v>23676334624</v>
      </c>
      <c r="CX207" s="789">
        <f>_xlfn.XLOOKUP(Table1[[#This Row],[Kode Program]],'[1]Breakdown VOWD Greenfield'!$E:$E,'[1]Breakdown VOWD Greenfield'!$AT:$AT)</f>
        <v>23676334624</v>
      </c>
      <c r="CY207" s="42"/>
      <c r="CZ207" s="300">
        <v>45656</v>
      </c>
      <c r="DA207" s="300">
        <v>45683</v>
      </c>
      <c r="DB207" s="301">
        <v>45573</v>
      </c>
      <c r="DC207" s="286" t="s">
        <v>1556</v>
      </c>
      <c r="DD207" s="62">
        <v>24912861366</v>
      </c>
      <c r="DE2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7" s="301">
        <v>45798</v>
      </c>
      <c r="DG207" s="286" t="s">
        <v>1557</v>
      </c>
      <c r="DH207" s="62">
        <v>24912861366</v>
      </c>
      <c r="DI20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07" s="300">
        <v>45684</v>
      </c>
      <c r="DK207" s="300">
        <v>45725</v>
      </c>
      <c r="DL207" s="301">
        <v>46029</v>
      </c>
      <c r="DM207" s="286" t="s">
        <v>1558</v>
      </c>
      <c r="DN2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7" s="301">
        <v>46071</v>
      </c>
      <c r="DP207" s="286" t="s">
        <v>1559</v>
      </c>
      <c r="DQ207" s="308" t="s">
        <v>910</v>
      </c>
      <c r="DR2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7" s="300">
        <v>45684</v>
      </c>
      <c r="DT207" s="300" t="e">
        <v>#N/A</v>
      </c>
      <c r="DU207" s="300">
        <v>45725</v>
      </c>
      <c r="DV207" s="300" t="e">
        <v>#N/A</v>
      </c>
      <c r="DW207" s="301">
        <v>46042</v>
      </c>
      <c r="DX207" s="286" t="s">
        <v>1560</v>
      </c>
      <c r="DY207" s="304"/>
      <c r="DZ207" s="304"/>
      <c r="EA2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7" s="301">
        <v>46037</v>
      </c>
      <c r="EC207" s="302"/>
      <c r="ED207" s="302"/>
      <c r="EE207" s="395" t="s">
        <v>1561</v>
      </c>
      <c r="EF207" s="35">
        <v>1</v>
      </c>
      <c r="EG207" s="307">
        <v>1</v>
      </c>
      <c r="EH207" s="286" t="str">
        <f>IF(Table1[[#This Row],[PO Material Aktual 
(%)]]&gt;=100%,"Selesai PO = 100%",IF(Table1[[#This Row],[PO Material Aktual 
(%)]]&gt;=50%,"Proses PO &gt; 100%",IF(Table1[[#This Row],[PO Material Aktual 
(%)]]&gt;0%,"Proses PO &gt; 50%",IF(Table1[[#This Row],[PO Material Aktual 
(%)]]=0,"Belum PO = 0%"))))</f>
        <v>Selesai PO = 100%</v>
      </c>
      <c r="EI20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7" s="300">
        <v>45726</v>
      </c>
      <c r="EK207" s="300" t="e">
        <v>#N/A</v>
      </c>
      <c r="EL207" s="300">
        <v>45816</v>
      </c>
      <c r="EM207" s="300" t="e">
        <v>#N/A</v>
      </c>
      <c r="EN207" s="301">
        <v>46151</v>
      </c>
      <c r="EO207" s="302"/>
      <c r="EP207" s="302"/>
      <c r="EQ207" s="82">
        <v>1</v>
      </c>
      <c r="ER207" s="82">
        <v>1</v>
      </c>
      <c r="ES207" s="286" t="str">
        <f>IF(Table1[[#This Row],[Progres MOS]]&gt;=100%,"Selesai MOS = 100%",IF(Table1[[#This Row],[Progres MOS]]&gt;=50%,"Proses MOS &gt; 100%",IF(Table1[[#This Row],[Progres MOS]]&gt;0%,"Proses MOS &gt; 50%",IF(Table1[[#This Row],[Progres MOS]]=0,"Belum MOS = 0%"))))</f>
        <v>Selesai MOS = 100%</v>
      </c>
      <c r="ET2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07" s="42"/>
      <c r="EV207" s="300">
        <v>45698</v>
      </c>
      <c r="EW207" s="300" t="e">
        <v>#N/A</v>
      </c>
      <c r="EX207" s="300">
        <v>45774</v>
      </c>
      <c r="EY207" s="300" t="e">
        <v>#N/A</v>
      </c>
      <c r="EZ207" s="322" t="s">
        <v>259</v>
      </c>
      <c r="FA207" s="306" t="s">
        <v>259</v>
      </c>
      <c r="FB207" s="300" t="s">
        <v>260</v>
      </c>
      <c r="FC207" s="300">
        <v>45721</v>
      </c>
      <c r="FD207" s="300" t="s">
        <v>260</v>
      </c>
      <c r="FE207" s="300">
        <v>45736</v>
      </c>
      <c r="FF207" s="300">
        <v>45764</v>
      </c>
      <c r="FG207" s="300" t="s">
        <v>260</v>
      </c>
      <c r="FH207" s="300" t="s">
        <v>260</v>
      </c>
      <c r="FI207" s="300">
        <v>45805</v>
      </c>
      <c r="FJ207" s="300" t="s">
        <v>260</v>
      </c>
      <c r="FK207" s="300">
        <v>45866</v>
      </c>
      <c r="FL207" s="306" t="s">
        <v>259</v>
      </c>
      <c r="FM207" s="322">
        <v>45721</v>
      </c>
      <c r="FN207" s="308">
        <f>IF(Table1[[#This Row],[Tanggal Pengajuan Dokumen]]="","",Table1[[#This Row],[PLAN PERMIT
start]]-Table1[[#This Row],[Tanggal Pengajuan Dokumen]])</f>
        <v>-23</v>
      </c>
      <c r="FO207" s="407">
        <v>45866</v>
      </c>
      <c r="FP207" s="286"/>
      <c r="FQ207" s="308"/>
      <c r="FR207" s="308"/>
      <c r="FS207" s="308" t="str">
        <f t="shared" si="11"/>
        <v>Sudah Terbit</v>
      </c>
      <c r="FT20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7" s="314">
        <f ca="1">IF(Table1[[#This Row],[Status Izin]]="Selesai",Table1[[#This Row],[PLAN PERMIT
finish]]-Table1[[#This Row],[Tanggal Terbit/ Target Izin Terbit]],ROUNDUP(Table1[[#This Row],[PLAN PERMIT
finish]]-NOW(),0))</f>
        <v>-92</v>
      </c>
      <c r="FV20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7" s="314"/>
      <c r="FX207" s="42"/>
      <c r="FY207" s="310"/>
      <c r="FZ207" s="311"/>
      <c r="GA2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7" s="300">
        <v>45739</v>
      </c>
      <c r="GC207" s="322">
        <v>45840</v>
      </c>
      <c r="GD20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07" s="300">
        <v>45732</v>
      </c>
      <c r="GF207" s="322">
        <v>45842</v>
      </c>
      <c r="GG20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07" s="300">
        <v>45726</v>
      </c>
      <c r="GI207" s="300">
        <v>45732</v>
      </c>
      <c r="GJ207" s="322">
        <v>45845</v>
      </c>
      <c r="GK20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07" s="300">
        <v>45775</v>
      </c>
      <c r="GM207" s="300" t="e">
        <v>#N/A</v>
      </c>
      <c r="GN207" s="300">
        <v>45907</v>
      </c>
      <c r="GO207" s="300" t="e">
        <v>#N/A</v>
      </c>
      <c r="GP207" s="286"/>
      <c r="GQ20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7" s="300" t="s">
        <v>261</v>
      </c>
      <c r="GS207" s="391" t="s">
        <v>261</v>
      </c>
      <c r="GT207" s="324">
        <v>46087</v>
      </c>
      <c r="GU207" s="393" t="str">
        <f>IF(Table1[[#This Row],[Hydro Tes Actual
(tanggal)]]&lt;&gt;"","Sudah","Belum")</f>
        <v>Sudah</v>
      </c>
      <c r="GV207" s="300" t="s">
        <v>261</v>
      </c>
      <c r="GW207" s="300" t="s">
        <v>261</v>
      </c>
      <c r="GX207" s="301"/>
      <c r="GY207" s="314" t="str">
        <f>IF(Table1[[#This Row],[Interkoneksi Actual
(tanggal)]]&lt;&gt;"","Sudah","Belum")</f>
        <v>Belum</v>
      </c>
      <c r="GZ207" s="300" t="s">
        <v>261</v>
      </c>
      <c r="HA207" s="300" t="s">
        <v>261</v>
      </c>
      <c r="HB207" s="301">
        <v>46127</v>
      </c>
      <c r="HC207" s="314" t="str">
        <f>IF(Table1[[#This Row],[Flushing Actual
(tanggal)]]&lt;&gt;"","Sudah","Belum")</f>
        <v>Sudah</v>
      </c>
      <c r="HD207" s="300">
        <v>45880</v>
      </c>
      <c r="HE207" s="300" t="e">
        <v>#N/A</v>
      </c>
      <c r="HF207" s="300">
        <v>45900</v>
      </c>
      <c r="HG207" s="322">
        <v>46129</v>
      </c>
      <c r="HH20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07" s="300" t="s">
        <v>261</v>
      </c>
      <c r="HJ207" s="300" t="s">
        <v>261</v>
      </c>
      <c r="HK207" s="301"/>
      <c r="HL207" s="286"/>
      <c r="HM207" s="300">
        <v>45919</v>
      </c>
      <c r="HN207" s="300">
        <v>45919</v>
      </c>
      <c r="HO207" s="391"/>
      <c r="HP207" s="391"/>
      <c r="HQ207" s="301">
        <v>46134</v>
      </c>
      <c r="HR20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07" s="300">
        <v>45926</v>
      </c>
      <c r="HT207" s="300"/>
      <c r="HU207" s="300">
        <v>45926</v>
      </c>
      <c r="HV207" s="300"/>
      <c r="HW207" s="301">
        <v>46141</v>
      </c>
      <c r="HX20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07" s="42"/>
      <c r="HZ207" s="322"/>
      <c r="IA207" s="306"/>
      <c r="IC207" s="585">
        <f>IFERROR(ROUND((Table1[[#This Row],[PLAN TC
finish]]-Table1[[#This Row],[PLAN MC-0
start]])/30,2),"")</f>
        <v>5.8</v>
      </c>
      <c r="ID207">
        <f>DATEDIF(Table1[[#This Row],[PLAN MC-0
start]],Table1[[#This Row],[PLAN TC
finish]],"m")</f>
        <v>5</v>
      </c>
    </row>
    <row r="208" spans="1:238" s="4" customFormat="1" ht="15" customHeight="1" x14ac:dyDescent="0.25">
      <c r="B208" s="281">
        <f>SUBTOTAL(3,$D$5:D208)</f>
        <v>204</v>
      </c>
      <c r="C208" s="318">
        <v>204</v>
      </c>
      <c r="D208" s="285" t="s">
        <v>673</v>
      </c>
      <c r="E208" s="308" t="s">
        <v>1562</v>
      </c>
      <c r="F208" s="308" t="s">
        <v>1563</v>
      </c>
      <c r="G208" s="319">
        <v>45935</v>
      </c>
      <c r="H208" s="284" t="s">
        <v>247</v>
      </c>
      <c r="I208" s="308" t="s">
        <v>278</v>
      </c>
      <c r="J208" s="285" t="s">
        <v>943</v>
      </c>
      <c r="K208" s="308" t="s">
        <v>676</v>
      </c>
      <c r="L208" s="286" t="s">
        <v>250</v>
      </c>
      <c r="M208" s="286" t="s">
        <v>269</v>
      </c>
      <c r="N208" s="94">
        <v>14805</v>
      </c>
      <c r="O208" s="113" t="s">
        <v>252</v>
      </c>
      <c r="P20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8" s="35" t="e">
        <v>#N/A</v>
      </c>
      <c r="S208" s="35">
        <v>1</v>
      </c>
      <c r="T208" s="35">
        <f>Table1[[#This Row],[Progres Total Aktual
(%)]]</f>
        <v>0.65119875276563988</v>
      </c>
      <c r="U208" s="106">
        <f>Table1[[#This Row],[Progres Aktual
(%)]]-Table1[[#This Row],[Target Progres
(%)]]</f>
        <v>-0.34880124723436012</v>
      </c>
      <c r="V208" s="320">
        <f>Table1[[#This Row],["Volume
BA MC-0"]]</f>
        <v>12190</v>
      </c>
      <c r="W208" s="321">
        <f>Table1[[#This Row],[Total Panjang Pipa Aktual
(Sum-&gt;)3]]</f>
        <v>7422</v>
      </c>
      <c r="X208" s="42"/>
      <c r="Y208" s="62" t="s">
        <v>682</v>
      </c>
      <c r="Z208" s="62">
        <v>13743779767</v>
      </c>
      <c r="AA208" s="62">
        <f>Table1[[#This Row],[Nilai RAB Jaringan
(file pa aji)]]</f>
        <v>13743779767</v>
      </c>
      <c r="AB208" s="290">
        <f>SUM(Table1[[#This Row],[RAB Kegiatan Umum]:[RAB Perizinan]])</f>
        <v>0</v>
      </c>
      <c r="AC208" s="290"/>
      <c r="AD208" s="290"/>
      <c r="AE208" s="290"/>
      <c r="AF208" s="290"/>
      <c r="AG208" s="406">
        <v>1380618000</v>
      </c>
      <c r="AH208" s="35" t="e">
        <f>SUM(Table1[[#This Row],[Bobot Keg Umum]:[Bobot Perizinan]])</f>
        <v>#DIV/0!</v>
      </c>
      <c r="AI208" s="35" t="e">
        <f>Table1[[#This Row],[RAB Kegiatan Umum]]/Table1[[#This Row],[Nilai RAB Jaringan
(Exclude Ppn)]]</f>
        <v>#DIV/0!</v>
      </c>
      <c r="AJ208" s="35" t="e">
        <f>Table1[[#This Row],[RAB Pemasangan]]/Table1[[#This Row],[Nilai RAB Jaringan
(Exclude Ppn)]]</f>
        <v>#DIV/0!</v>
      </c>
      <c r="AK208" s="35" t="e">
        <f>Table1[[#This Row],[RAB Pengadaan]]/Table1[[#This Row],[Nilai RAB Jaringan
(Exclude Ppn)]]</f>
        <v>#DIV/0!</v>
      </c>
      <c r="AL208" s="35" t="e">
        <f>Table1[[#This Row],[RAB Perizinan]]/Table1[[#This Row],[Nilai RAB Jaringan
(Exclude Ppn)]]</f>
        <v>#DIV/0!</v>
      </c>
      <c r="AM208" s="42"/>
      <c r="AN208" s="256">
        <v>12190</v>
      </c>
      <c r="AO208" s="256">
        <f>SUM(Table1[[#This Row],[Pipa 63 mm]:[Pipa 1,800 mm]])</f>
        <v>0</v>
      </c>
      <c r="AP208" s="256"/>
      <c r="AQ208" s="256"/>
      <c r="AR208" s="256"/>
      <c r="AS208" s="256"/>
      <c r="AT208" s="256"/>
      <c r="AU208" s="256"/>
      <c r="AV208" s="256"/>
      <c r="AW208" s="256"/>
      <c r="AX208" s="256"/>
      <c r="AY208" s="256"/>
      <c r="AZ208" s="256"/>
      <c r="BA208" s="256"/>
      <c r="BB208" s="256"/>
      <c r="BC208" s="256"/>
      <c r="BD208" s="256"/>
      <c r="BE208" s="256"/>
      <c r="BF208" s="256"/>
      <c r="BG208" s="256"/>
      <c r="BH208" s="256"/>
      <c r="BI208" s="256"/>
      <c r="BJ208" s="416">
        <f>SUM(Table1[[#This Row],[Pipa 63 mm2]:[Pipa 1,800 mm21]])</f>
        <v>7422</v>
      </c>
      <c r="BK208" s="32">
        <v>6</v>
      </c>
      <c r="BL208" s="32">
        <v>4812</v>
      </c>
      <c r="BM208" s="32">
        <v>4</v>
      </c>
      <c r="BN208" s="32">
        <v>372</v>
      </c>
      <c r="BO208" s="32">
        <v>678</v>
      </c>
      <c r="BP208" s="32"/>
      <c r="BQ208" s="32">
        <v>1550</v>
      </c>
      <c r="BR208" s="32"/>
      <c r="BS208" s="32"/>
      <c r="BT208" s="32"/>
      <c r="BU208" s="32"/>
      <c r="BV208" s="32"/>
      <c r="BW208" s="32"/>
      <c r="BX208" s="32"/>
      <c r="BY208" s="32"/>
      <c r="BZ208" s="32"/>
      <c r="CA208" s="32"/>
      <c r="CB208" s="32"/>
      <c r="CC208" s="32"/>
      <c r="CD208" s="32"/>
      <c r="CE208" s="32">
        <v>0</v>
      </c>
      <c r="CF208" s="32">
        <v>0</v>
      </c>
      <c r="CG208" s="32">
        <v>0</v>
      </c>
      <c r="CH208" s="32">
        <v>0</v>
      </c>
      <c r="CI208" s="32">
        <f t="shared" si="12"/>
        <v>0</v>
      </c>
      <c r="CJ208" s="60">
        <f>IF((Table1[[#This Row],["Volume
BA MC-0"]]-Table1[[#This Row],[Total Panjang Pipa Aktual
(Sum-&gt;)3]]-Table1[[#This Row],[Total Volume
tidak dapat dipasang]])&gt;=0,Table1[[#This Row],["Volume
BA MC-0"]]-Table1[[#This Row],[Total Panjang Pipa Aktual
(Sum-&gt;)3]]-Table1[[#This Row],[Total Volume
tidak dapat dipasang]],0)</f>
        <v>4768</v>
      </c>
      <c r="CK208" s="42"/>
      <c r="CL208" s="113"/>
      <c r="CM208" s="35"/>
      <c r="CN208" s="113"/>
      <c r="CO208" s="113"/>
      <c r="CP2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0.65119875276563988</v>
      </c>
      <c r="CQ208" s="61">
        <f>IFERROR(Table1[[#This Row],[Progres Keg. Umum
(%)]]*Table1[[#This Row],[Nilai RAB Jaringan
(file pa aji)]],0)</f>
        <v>0</v>
      </c>
      <c r="CR208" s="61">
        <f>IFERROR(Table1[[#This Row],[Progres MOS
(%)]]*Table1[[#This Row],[Nilai RAB Jaringan
(file pa aji)]],0)</f>
        <v>0</v>
      </c>
      <c r="CS208" s="61">
        <f>IFERROR(Table1[[#This Row],[Progres Pemasangan
(%)]]*Table1[[#This Row],[Nilai RAB Jaringan
(file pa aji)]],0)</f>
        <v>0</v>
      </c>
      <c r="CT208" s="61">
        <f>IFERROR(Table1[[#This Row],[Progres Perizinan
(%)]]*Table1[[#This Row],[Nilai RAB Jaringan
(file pa aji)]],0)</f>
        <v>0</v>
      </c>
      <c r="CU208" s="789">
        <v>8949932242.556036</v>
      </c>
      <c r="CV208" s="299">
        <v>8949932242.556036</v>
      </c>
      <c r="CW208" s="552">
        <v>0</v>
      </c>
      <c r="CX208" s="789">
        <f>_xlfn.XLOOKUP(Table1[[#This Row],[Kode Program]],'[1]Breakdown VOWD Greenfield'!$E:$E,'[1]Breakdown VOWD Greenfield'!$AT:$AT)</f>
        <v>0</v>
      </c>
      <c r="CY208" s="42"/>
      <c r="CZ208" s="300">
        <v>45292</v>
      </c>
      <c r="DA208" s="300">
        <v>45319</v>
      </c>
      <c r="DB208" s="301">
        <v>45175</v>
      </c>
      <c r="DC208" s="286" t="s">
        <v>1564</v>
      </c>
      <c r="DD208" s="62">
        <v>13743779790.370001</v>
      </c>
      <c r="DE2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8" s="301">
        <v>45288</v>
      </c>
      <c r="DG208" s="286" t="s">
        <v>1565</v>
      </c>
      <c r="DH208" s="62">
        <v>13743779792</v>
      </c>
      <c r="DI2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8" s="300">
        <v>45320</v>
      </c>
      <c r="DK208" s="300">
        <v>45410</v>
      </c>
      <c r="DL208" s="301">
        <v>45470</v>
      </c>
      <c r="DM208" s="286" t="s">
        <v>1566</v>
      </c>
      <c r="DN2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08" s="301">
        <v>45476</v>
      </c>
      <c r="DP208" s="286" t="s">
        <v>1567</v>
      </c>
      <c r="DQ208" s="308" t="s">
        <v>371</v>
      </c>
      <c r="DR2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8" s="300">
        <v>45320</v>
      </c>
      <c r="DT208" s="300" t="e">
        <v>#N/A</v>
      </c>
      <c r="DU208" s="300">
        <v>45361</v>
      </c>
      <c r="DV208" s="300" t="e">
        <v>#N/A</v>
      </c>
      <c r="DW208" s="301">
        <v>45871</v>
      </c>
      <c r="DX208" s="286" t="s">
        <v>1568</v>
      </c>
      <c r="DY208" s="304"/>
      <c r="DZ208" s="304"/>
      <c r="EA2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8" s="301">
        <v>45867</v>
      </c>
      <c r="EC208" s="302"/>
      <c r="ED208" s="302"/>
      <c r="EE208" s="300" t="s">
        <v>1569</v>
      </c>
      <c r="EF208" s="35">
        <v>1</v>
      </c>
      <c r="EG208" s="307">
        <v>1</v>
      </c>
      <c r="EH208" s="286" t="str">
        <f>IF(Table1[[#This Row],[PO Material Aktual 
(%)]]&gt;=100%,"Selesai PO = 100%",IF(Table1[[#This Row],[PO Material Aktual 
(%)]]&gt;=50%,"Proses PO &gt; 100%",IF(Table1[[#This Row],[PO Material Aktual 
(%)]]&gt;0%,"Proses PO &gt; 50%",IF(Table1[[#This Row],[PO Material Aktual 
(%)]]=0,"Belum PO = 0%"))))</f>
        <v>Selesai PO = 100%</v>
      </c>
      <c r="EI2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08" s="300">
        <v>45362</v>
      </c>
      <c r="EK208" s="300" t="e">
        <v>#N/A</v>
      </c>
      <c r="EL208" s="300">
        <v>45529</v>
      </c>
      <c r="EM208" s="300" t="e">
        <v>#N/A</v>
      </c>
      <c r="EN208" s="301"/>
      <c r="EO208" s="302"/>
      <c r="EP208" s="302"/>
      <c r="EQ208" s="82">
        <v>0.91333333333333333</v>
      </c>
      <c r="ER208" s="82">
        <v>0.91333333333333333</v>
      </c>
      <c r="ES208" s="286" t="str">
        <f>IF(Table1[[#This Row],[Progres MOS]]&gt;=100%,"Selesai MOS = 100%",IF(Table1[[#This Row],[Progres MOS]]&gt;=50%,"Proses MOS &gt; 100%",IF(Table1[[#This Row],[Progres MOS]]&gt;0%,"Proses MOS &gt; 50%",IF(Table1[[#This Row],[Progres MOS]]=0,"Belum MOS = 0%"))))</f>
        <v>Proses MOS &gt; 100%</v>
      </c>
      <c r="ET2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8" s="42"/>
      <c r="EV208" s="300">
        <v>45320</v>
      </c>
      <c r="EW208" s="300" t="e">
        <v>#N/A</v>
      </c>
      <c r="EX208" s="300">
        <v>45438</v>
      </c>
      <c r="EY208" s="300" t="e">
        <v>#N/A</v>
      </c>
      <c r="EZ208" s="322" t="s">
        <v>259</v>
      </c>
      <c r="FA208" s="306" t="s">
        <v>259</v>
      </c>
      <c r="FB208" s="300" t="s">
        <v>260</v>
      </c>
      <c r="FC208" s="300">
        <v>45237</v>
      </c>
      <c r="FD208" s="300" t="s">
        <v>260</v>
      </c>
      <c r="FE208" s="300"/>
      <c r="FF208" s="300">
        <v>45348</v>
      </c>
      <c r="FG208" s="300" t="s">
        <v>260</v>
      </c>
      <c r="FH208" s="300" t="s">
        <v>260</v>
      </c>
      <c r="FI208" s="300">
        <v>45473</v>
      </c>
      <c r="FJ208" s="300" t="s">
        <v>260</v>
      </c>
      <c r="FK208" s="300">
        <v>45537</v>
      </c>
      <c r="FL208" s="306" t="s">
        <v>259</v>
      </c>
      <c r="FM208" s="322">
        <v>45237</v>
      </c>
      <c r="FN208" s="308">
        <f>IF(Table1[[#This Row],[Tanggal Pengajuan Dokumen]]="","",Table1[[#This Row],[PLAN PERMIT
start]]-Table1[[#This Row],[Tanggal Pengajuan Dokumen]])</f>
        <v>83</v>
      </c>
      <c r="FO208" s="407">
        <v>45896</v>
      </c>
      <c r="FP208" s="286"/>
      <c r="FQ208" s="308"/>
      <c r="FR208" s="308"/>
      <c r="FS208" s="308" t="str">
        <f t="shared" si="11"/>
        <v>Sudah Terbit</v>
      </c>
      <c r="FT2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8" s="314">
        <f ca="1">IF(Table1[[#This Row],[Status Izin]]="Selesai",Table1[[#This Row],[PLAN PERMIT
finish]]-Table1[[#This Row],[Tanggal Terbit/ Target Izin Terbit]],ROUNDUP(Table1[[#This Row],[PLAN PERMIT
finish]]-NOW(),0))</f>
        <v>-458</v>
      </c>
      <c r="FV2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8" s="314"/>
      <c r="FX208" s="42"/>
      <c r="FY208" s="310"/>
      <c r="FZ208" s="311"/>
      <c r="GA2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8" s="300">
        <v>45412</v>
      </c>
      <c r="GC208" s="322">
        <v>45181</v>
      </c>
      <c r="GD2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8" s="300">
        <v>45419</v>
      </c>
      <c r="GF208" s="322">
        <v>45181</v>
      </c>
      <c r="GG2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8" s="300">
        <v>45425</v>
      </c>
      <c r="GI208" s="300">
        <v>45431</v>
      </c>
      <c r="GJ208" s="322">
        <v>45338</v>
      </c>
      <c r="GK2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8" s="300">
        <v>45439</v>
      </c>
      <c r="GM208" s="300" t="e">
        <v>#N/A</v>
      </c>
      <c r="GN208" s="300">
        <v>45725</v>
      </c>
      <c r="GO208" s="300" t="e">
        <v>#N/A</v>
      </c>
      <c r="GP208" s="286"/>
      <c r="GQ2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8" s="300" t="s">
        <v>261</v>
      </c>
      <c r="GS208" s="391" t="s">
        <v>261</v>
      </c>
      <c r="GT208" s="324"/>
      <c r="GU208" s="393" t="str">
        <f>IF(Table1[[#This Row],[Hydro Tes Actual
(tanggal)]]&lt;&gt;"","Sudah","Belum")</f>
        <v>Belum</v>
      </c>
      <c r="GV208" s="300" t="s">
        <v>261</v>
      </c>
      <c r="GW208" s="300" t="s">
        <v>261</v>
      </c>
      <c r="GX208" s="301"/>
      <c r="GY208" s="314" t="str">
        <f>IF(Table1[[#This Row],[Interkoneksi Actual
(tanggal)]]&lt;&gt;"","Sudah","Belum")</f>
        <v>Belum</v>
      </c>
      <c r="GZ208" s="300" t="s">
        <v>261</v>
      </c>
      <c r="HA208" s="300" t="s">
        <v>261</v>
      </c>
      <c r="HB208" s="301"/>
      <c r="HC208" s="314" t="str">
        <f>IF(Table1[[#This Row],[Flushing Actual
(tanggal)]]&lt;&gt;"","Sudah","Belum")</f>
        <v>Belum</v>
      </c>
      <c r="HD208" s="300">
        <v>45698</v>
      </c>
      <c r="HE208" s="300" t="e">
        <v>#N/A</v>
      </c>
      <c r="HF208" s="300">
        <v>45718</v>
      </c>
      <c r="HG208" s="322"/>
      <c r="HH2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8" s="300" t="s">
        <v>261</v>
      </c>
      <c r="HJ208" s="300" t="s">
        <v>261</v>
      </c>
      <c r="HK208" s="301"/>
      <c r="HL208" s="286"/>
      <c r="HM208" s="300">
        <v>45737</v>
      </c>
      <c r="HN208" s="300">
        <v>45737</v>
      </c>
      <c r="HO208" s="391">
        <v>46246</v>
      </c>
      <c r="HP208" s="391"/>
      <c r="HQ208" s="301"/>
      <c r="HR2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8" s="300">
        <v>45744</v>
      </c>
      <c r="HT208" s="300"/>
      <c r="HU208" s="300">
        <v>45744</v>
      </c>
      <c r="HV208" s="300">
        <v>46251</v>
      </c>
      <c r="HW208" s="301"/>
      <c r="HX2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8" s="42"/>
      <c r="HZ208" s="322"/>
      <c r="IA208" s="306"/>
      <c r="IC208" s="585">
        <f>IFERROR(ROUND((Table1[[#This Row],[PLAN TC
finish]]-Table1[[#This Row],[PLAN MC-0
start]])/30,2),"")</f>
        <v>9.77</v>
      </c>
      <c r="ID208">
        <f>DATEDIF(Table1[[#This Row],[PLAN MC-0
start]],Table1[[#This Row],[PLAN TC
finish]],"m")</f>
        <v>9</v>
      </c>
    </row>
    <row r="209" spans="1:238" s="4" customFormat="1" ht="15" customHeight="1" x14ac:dyDescent="0.25">
      <c r="B209" s="281">
        <f>SUBTOTAL(3,$D$5:D209)</f>
        <v>205</v>
      </c>
      <c r="C209" s="318">
        <v>205</v>
      </c>
      <c r="D209" s="285" t="s">
        <v>673</v>
      </c>
      <c r="E209" s="308" t="s">
        <v>1570</v>
      </c>
      <c r="F209" s="308" t="s">
        <v>1571</v>
      </c>
      <c r="G209" s="319">
        <v>45935</v>
      </c>
      <c r="H209" s="284" t="s">
        <v>247</v>
      </c>
      <c r="I209" s="308" t="s">
        <v>278</v>
      </c>
      <c r="J209" s="285" t="s">
        <v>943</v>
      </c>
      <c r="K209" s="308" t="s">
        <v>676</v>
      </c>
      <c r="L209" s="286" t="s">
        <v>250</v>
      </c>
      <c r="M209" s="286" t="s">
        <v>269</v>
      </c>
      <c r="N209" s="94">
        <v>18447</v>
      </c>
      <c r="O209" s="113" t="s">
        <v>252</v>
      </c>
      <c r="P20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09" s="35" t="e">
        <v>#N/A</v>
      </c>
      <c r="S209" s="35">
        <v>1</v>
      </c>
      <c r="T209" s="35">
        <f>Table1[[#This Row],[Progres Total Aktual
(%)]]</f>
        <v>0.85562308552364053</v>
      </c>
      <c r="U209" s="106">
        <f>Table1[[#This Row],[Progres Aktual
(%)]]-Table1[[#This Row],[Target Progres
(%)]]</f>
        <v>-0.14437691447635947</v>
      </c>
      <c r="V209" s="320">
        <f>Table1[[#This Row],["Volume
BA MC-0"]]</f>
        <v>18591</v>
      </c>
      <c r="W209" s="321">
        <f>Table1[[#This Row],[Total Panjang Pipa Aktual
(Sum-&gt;)3]]</f>
        <v>18446</v>
      </c>
      <c r="X209" s="42"/>
      <c r="Y209" s="62" t="s">
        <v>1572</v>
      </c>
      <c r="Z209" s="62">
        <v>15754484146</v>
      </c>
      <c r="AA209" s="62">
        <f>Table1[[#This Row],[Nilai RAB Jaringan
(file pa aji)]]</f>
        <v>15754484146</v>
      </c>
      <c r="AB209" s="290">
        <f>SUM(Table1[[#This Row],[RAB Kegiatan Umum]:[RAB Perizinan]])</f>
        <v>0</v>
      </c>
      <c r="AC209" s="290"/>
      <c r="AD209" s="290"/>
      <c r="AE209" s="290"/>
      <c r="AF209" s="290"/>
      <c r="AG209" s="406">
        <v>3052944000</v>
      </c>
      <c r="AH209" s="35" t="e">
        <f>SUM(Table1[[#This Row],[Bobot Keg Umum]:[Bobot Perizinan]])</f>
        <v>#DIV/0!</v>
      </c>
      <c r="AI209" s="35" t="e">
        <f>Table1[[#This Row],[RAB Kegiatan Umum]]/Table1[[#This Row],[Nilai RAB Jaringan
(Exclude Ppn)]]</f>
        <v>#DIV/0!</v>
      </c>
      <c r="AJ209" s="35" t="e">
        <f>Table1[[#This Row],[RAB Pemasangan]]/Table1[[#This Row],[Nilai RAB Jaringan
(Exclude Ppn)]]</f>
        <v>#DIV/0!</v>
      </c>
      <c r="AK209" s="35" t="e">
        <f>Table1[[#This Row],[RAB Pengadaan]]/Table1[[#This Row],[Nilai RAB Jaringan
(Exclude Ppn)]]</f>
        <v>#DIV/0!</v>
      </c>
      <c r="AL209" s="35" t="e">
        <f>Table1[[#This Row],[RAB Perizinan]]/Table1[[#This Row],[Nilai RAB Jaringan
(Exclude Ppn)]]</f>
        <v>#DIV/0!</v>
      </c>
      <c r="AM209" s="42"/>
      <c r="AN209" s="256">
        <v>18591</v>
      </c>
      <c r="AO209" s="256">
        <f>SUM(Table1[[#This Row],[Pipa 63 mm]:[Pipa 1,800 mm]])</f>
        <v>0</v>
      </c>
      <c r="AP209" s="256"/>
      <c r="AQ209" s="256"/>
      <c r="AR209" s="256"/>
      <c r="AS209" s="256"/>
      <c r="AT209" s="256"/>
      <c r="AU209" s="256"/>
      <c r="AV209" s="256"/>
      <c r="AW209" s="256"/>
      <c r="AX209" s="256"/>
      <c r="AY209" s="256"/>
      <c r="AZ209" s="256"/>
      <c r="BA209" s="256"/>
      <c r="BB209" s="256"/>
      <c r="BC209" s="256"/>
      <c r="BD209" s="256"/>
      <c r="BE209" s="256"/>
      <c r="BF209" s="256"/>
      <c r="BG209" s="256"/>
      <c r="BH209" s="256"/>
      <c r="BI209" s="256"/>
      <c r="BJ209" s="416">
        <f>SUM(Table1[[#This Row],[Pipa 63 mm2]:[Pipa 1,800 mm21]])</f>
        <v>18446</v>
      </c>
      <c r="BK209" s="32">
        <v>58</v>
      </c>
      <c r="BL209" s="32">
        <f>15463</f>
        <v>15463</v>
      </c>
      <c r="BM209" s="32">
        <v>879</v>
      </c>
      <c r="BN209" s="32">
        <v>1381</v>
      </c>
      <c r="BO209" s="32">
        <v>557</v>
      </c>
      <c r="BP209" s="32"/>
      <c r="BQ209" s="32">
        <v>108</v>
      </c>
      <c r="BR209" s="32"/>
      <c r="BS209" s="32"/>
      <c r="BT209" s="32"/>
      <c r="BU209" s="32"/>
      <c r="BV209" s="32"/>
      <c r="BW209" s="32"/>
      <c r="BX209" s="32"/>
      <c r="BY209" s="32"/>
      <c r="BZ209" s="32"/>
      <c r="CA209" s="32"/>
      <c r="CB209" s="32"/>
      <c r="CC209" s="32"/>
      <c r="CD209" s="32"/>
      <c r="CE209" s="32">
        <v>0</v>
      </c>
      <c r="CF209" s="32">
        <v>0</v>
      </c>
      <c r="CG209" s="32">
        <v>0</v>
      </c>
      <c r="CH209" s="32">
        <v>0</v>
      </c>
      <c r="CI209" s="32">
        <f t="shared" si="12"/>
        <v>0</v>
      </c>
      <c r="CJ209" s="60">
        <f>IF((Table1[[#This Row],["Volume
BA MC-0"]]-Table1[[#This Row],[Total Panjang Pipa Aktual
(Sum-&gt;)3]]-Table1[[#This Row],[Total Volume
tidak dapat dipasang]])&gt;=0,Table1[[#This Row],["Volume
BA MC-0"]]-Table1[[#This Row],[Total Panjang Pipa Aktual
(Sum-&gt;)3]]-Table1[[#This Row],[Total Volume
tidak dapat dipasang]],0)</f>
        <v>145</v>
      </c>
      <c r="CK209" s="42"/>
      <c r="CL209" s="113"/>
      <c r="CM209" s="35"/>
      <c r="CN209" s="113"/>
      <c r="CO209" s="113"/>
      <c r="CP2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0.85562308552364053</v>
      </c>
      <c r="CQ209" s="61">
        <f>IFERROR(Table1[[#This Row],[Progres Keg. Umum
(%)]]*Table1[[#This Row],[Nilai RAB Jaringan
(file pa aji)]],0)</f>
        <v>0</v>
      </c>
      <c r="CR209" s="61">
        <f>IFERROR(Table1[[#This Row],[Progres MOS
(%)]]*Table1[[#This Row],[Nilai RAB Jaringan
(file pa aji)]],0)</f>
        <v>0</v>
      </c>
      <c r="CS209" s="61">
        <f>IFERROR(Table1[[#This Row],[Progres Pemasangan
(%)]]*Table1[[#This Row],[Nilai RAB Jaringan
(file pa aji)]],0)</f>
        <v>0</v>
      </c>
      <c r="CT209" s="61">
        <f>IFERROR(Table1[[#This Row],[Progres Perizinan
(%)]]*Table1[[#This Row],[Nilai RAB Jaringan
(file pa aji)]],0)</f>
        <v>0</v>
      </c>
      <c r="CU209" s="789">
        <v>13479900335.833797</v>
      </c>
      <c r="CV209" s="299">
        <v>13479900335.833797</v>
      </c>
      <c r="CW209" s="552">
        <v>0</v>
      </c>
      <c r="CX209" s="789">
        <f>_xlfn.XLOOKUP(Table1[[#This Row],[Kode Program]],'[1]Breakdown VOWD Greenfield'!$E:$E,'[1]Breakdown VOWD Greenfield'!$AT:$AT)</f>
        <v>0</v>
      </c>
      <c r="CY209" s="42"/>
      <c r="CZ209" s="300">
        <v>45565</v>
      </c>
      <c r="DA209" s="300">
        <v>45585</v>
      </c>
      <c r="DB209" s="301">
        <v>45181</v>
      </c>
      <c r="DC209" s="286" t="s">
        <v>1573</v>
      </c>
      <c r="DD209" s="62">
        <v>15754484184.459999</v>
      </c>
      <c r="DE2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09" s="301">
        <v>45188</v>
      </c>
      <c r="DG209" s="286" t="s">
        <v>1574</v>
      </c>
      <c r="DH209" s="62">
        <v>15754484187</v>
      </c>
      <c r="DI2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09" s="300">
        <v>45586</v>
      </c>
      <c r="DK209" s="300">
        <v>45627</v>
      </c>
      <c r="DL209" s="301">
        <v>45549</v>
      </c>
      <c r="DM209" s="286" t="s">
        <v>1575</v>
      </c>
      <c r="DN2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09" s="301">
        <v>45677</v>
      </c>
      <c r="DP209" s="286" t="s">
        <v>1576</v>
      </c>
      <c r="DQ209" s="308" t="s">
        <v>762</v>
      </c>
      <c r="DR2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09" s="300">
        <v>45586</v>
      </c>
      <c r="DT209" s="300" t="e">
        <v>#N/A</v>
      </c>
      <c r="DU209" s="300">
        <v>45620</v>
      </c>
      <c r="DV209" s="300" t="e">
        <v>#N/A</v>
      </c>
      <c r="DW209" s="301">
        <v>46037</v>
      </c>
      <c r="DX209" s="286" t="s">
        <v>1577</v>
      </c>
      <c r="DY209" s="304"/>
      <c r="DZ209" s="304"/>
      <c r="EA2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09" s="301"/>
      <c r="EC209" s="302"/>
      <c r="ED209" s="302"/>
      <c r="EE209" s="300"/>
      <c r="EF209" s="35">
        <v>0.96850393700787396</v>
      </c>
      <c r="EG209" s="307">
        <v>0.96850393700787396</v>
      </c>
      <c r="EH209" s="286" t="str">
        <f>IF(Table1[[#This Row],[PO Material Aktual 
(%)]]&gt;=100%,"Selesai PO = 100%",IF(Table1[[#This Row],[PO Material Aktual 
(%)]]&gt;=50%,"Proses PO &gt; 100%",IF(Table1[[#This Row],[PO Material Aktual 
(%)]]&gt;0%,"Proses PO &gt; 50%",IF(Table1[[#This Row],[PO Material Aktual 
(%)]]=0,"Belum PO = 0%"))))</f>
        <v>Proses PO &gt; 100%</v>
      </c>
      <c r="EI2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09" s="300">
        <v>45621</v>
      </c>
      <c r="EK209" s="300" t="e">
        <v>#N/A</v>
      </c>
      <c r="EL209" s="300">
        <v>45746</v>
      </c>
      <c r="EM209" s="300" t="e">
        <v>#N/A</v>
      </c>
      <c r="EN209" s="301"/>
      <c r="EO209" s="302"/>
      <c r="EP209" s="302"/>
      <c r="EQ209" s="82">
        <v>0.81889763779527558</v>
      </c>
      <c r="ER209" s="82">
        <v>0.81889763779527558</v>
      </c>
      <c r="ES209" s="286" t="str">
        <f>IF(Table1[[#This Row],[Progres MOS]]&gt;=100%,"Selesai MOS = 100%",IF(Table1[[#This Row],[Progres MOS]]&gt;=50%,"Proses MOS &gt; 100%",IF(Table1[[#This Row],[Progres MOS]]&gt;0%,"Proses MOS &gt; 50%",IF(Table1[[#This Row],[Progres MOS]]=0,"Belum MOS = 0%"))))</f>
        <v>Proses MOS &gt; 100%</v>
      </c>
      <c r="ET2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09" s="42"/>
      <c r="EV209" s="300">
        <v>45586</v>
      </c>
      <c r="EW209" s="300" t="e">
        <v>#N/A</v>
      </c>
      <c r="EX209" s="300">
        <v>45655</v>
      </c>
      <c r="EY209" s="300" t="e">
        <v>#N/A</v>
      </c>
      <c r="EZ209" s="322" t="s">
        <v>259</v>
      </c>
      <c r="FA209" s="306" t="s">
        <v>259</v>
      </c>
      <c r="FB209" s="300" t="s">
        <v>260</v>
      </c>
      <c r="FC209" s="300">
        <v>45238</v>
      </c>
      <c r="FD209" s="300" t="s">
        <v>260</v>
      </c>
      <c r="FE209" s="300"/>
      <c r="FF209" s="300">
        <v>45579</v>
      </c>
      <c r="FG209" s="300" t="s">
        <v>260</v>
      </c>
      <c r="FH209" s="300" t="s">
        <v>260</v>
      </c>
      <c r="FI209" s="300">
        <v>45511</v>
      </c>
      <c r="FJ209" s="300" t="s">
        <v>260</v>
      </c>
      <c r="FK209" s="300">
        <v>45936</v>
      </c>
      <c r="FL209" s="306" t="s">
        <v>259</v>
      </c>
      <c r="FM209" s="322">
        <v>45238</v>
      </c>
      <c r="FN209" s="308">
        <f>IF(Table1[[#This Row],[Tanggal Pengajuan Dokumen]]="","",Table1[[#This Row],[PLAN PERMIT
start]]-Table1[[#This Row],[Tanggal Pengajuan Dokumen]])</f>
        <v>348</v>
      </c>
      <c r="FO209" s="407">
        <v>46064</v>
      </c>
      <c r="FP209" s="286"/>
      <c r="FQ209" s="308"/>
      <c r="FR209" s="308"/>
      <c r="FS209" s="308" t="str">
        <f t="shared" si="11"/>
        <v>Sudah Terbit</v>
      </c>
      <c r="FT2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09" s="314">
        <f ca="1">IF(Table1[[#This Row],[Status Izin]]="Selesai",Table1[[#This Row],[PLAN PERMIT
finish]]-Table1[[#This Row],[Tanggal Terbit/ Target Izin Terbit]],ROUNDUP(Table1[[#This Row],[PLAN PERMIT
finish]]-NOW(),0))</f>
        <v>-409</v>
      </c>
      <c r="FV2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09" s="314"/>
      <c r="FX209" s="42"/>
      <c r="FY209" s="310"/>
      <c r="FZ209" s="311"/>
      <c r="GA2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09" s="300">
        <v>45629</v>
      </c>
      <c r="GC209" s="322">
        <v>45610</v>
      </c>
      <c r="GD2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09" s="300">
        <v>45636</v>
      </c>
      <c r="GF209" s="322">
        <v>45610</v>
      </c>
      <c r="GG2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09" s="300">
        <v>45642</v>
      </c>
      <c r="GI209" s="300">
        <v>45648</v>
      </c>
      <c r="GJ209" s="322">
        <v>45624</v>
      </c>
      <c r="GK2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09" s="300">
        <v>45656</v>
      </c>
      <c r="GM209" s="300" t="e">
        <v>#N/A</v>
      </c>
      <c r="GN209" s="300">
        <v>45907</v>
      </c>
      <c r="GO209" s="300" t="e">
        <v>#N/A</v>
      </c>
      <c r="GP209" s="286"/>
      <c r="GQ2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09" s="300" t="s">
        <v>261</v>
      </c>
      <c r="GS209" s="391" t="s">
        <v>261</v>
      </c>
      <c r="GT209" s="324">
        <v>46155</v>
      </c>
      <c r="GU209" s="393" t="str">
        <f>IF(Table1[[#This Row],[Hydro Tes Actual
(tanggal)]]&lt;&gt;"","Sudah","Belum")</f>
        <v>Sudah</v>
      </c>
      <c r="GV209" s="300" t="s">
        <v>261</v>
      </c>
      <c r="GW209" s="300" t="s">
        <v>261</v>
      </c>
      <c r="GX209" s="301"/>
      <c r="GY209" s="314" t="str">
        <f>IF(Table1[[#This Row],[Interkoneksi Actual
(tanggal)]]&lt;&gt;"","Sudah","Belum")</f>
        <v>Belum</v>
      </c>
      <c r="GZ209" s="300" t="s">
        <v>261</v>
      </c>
      <c r="HA209" s="300" t="s">
        <v>261</v>
      </c>
      <c r="HB209" s="301"/>
      <c r="HC209" s="314" t="str">
        <f>IF(Table1[[#This Row],[Flushing Actual
(tanggal)]]&lt;&gt;"","Sudah","Belum")</f>
        <v>Belum</v>
      </c>
      <c r="HD209" s="300">
        <v>45880</v>
      </c>
      <c r="HE209" s="300" t="e">
        <v>#N/A</v>
      </c>
      <c r="HF209" s="300">
        <v>45900</v>
      </c>
      <c r="HG209" s="322"/>
      <c r="HH2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09" s="300" t="s">
        <v>261</v>
      </c>
      <c r="HJ209" s="300" t="s">
        <v>261</v>
      </c>
      <c r="HK209" s="301"/>
      <c r="HL209" s="286"/>
      <c r="HM209" s="300">
        <v>45919</v>
      </c>
      <c r="HN209" s="300">
        <v>45919</v>
      </c>
      <c r="HO209" s="391">
        <v>46213</v>
      </c>
      <c r="HP209" s="391"/>
      <c r="HQ209" s="301"/>
      <c r="HR2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09" s="300">
        <v>45926</v>
      </c>
      <c r="HT209" s="300"/>
      <c r="HU209" s="300">
        <v>45926</v>
      </c>
      <c r="HV209" s="300">
        <v>46218</v>
      </c>
      <c r="HW209" s="301"/>
      <c r="HX2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09" s="42"/>
      <c r="HZ209" s="322"/>
      <c r="IA209" s="306"/>
      <c r="IC209" s="585">
        <f>IFERROR(ROUND((Table1[[#This Row],[PLAN TC
finish]]-Table1[[#This Row],[PLAN MC-0
start]])/30,2),"")</f>
        <v>8.6</v>
      </c>
      <c r="ID209">
        <f>DATEDIF(Table1[[#This Row],[PLAN MC-0
start]],Table1[[#This Row],[PLAN TC
finish]],"m")</f>
        <v>8</v>
      </c>
    </row>
    <row r="210" spans="1:238" s="4" customFormat="1" ht="15" customHeight="1" x14ac:dyDescent="0.25">
      <c r="B210" s="281">
        <f>SUBTOTAL(3,$D$5:D210)</f>
        <v>206</v>
      </c>
      <c r="C210" s="318">
        <v>206</v>
      </c>
      <c r="D210" s="285" t="s">
        <v>673</v>
      </c>
      <c r="E210" s="308" t="s">
        <v>1578</v>
      </c>
      <c r="F210" s="308" t="s">
        <v>1579</v>
      </c>
      <c r="G210" s="319">
        <v>45935</v>
      </c>
      <c r="H210" s="284" t="s">
        <v>247</v>
      </c>
      <c r="I210" s="308" t="s">
        <v>278</v>
      </c>
      <c r="J210" s="285" t="s">
        <v>943</v>
      </c>
      <c r="K210" s="308" t="s">
        <v>676</v>
      </c>
      <c r="L210" s="286" t="s">
        <v>250</v>
      </c>
      <c r="M210" s="286" t="s">
        <v>269</v>
      </c>
      <c r="N210" s="94">
        <v>27576</v>
      </c>
      <c r="O210" s="113" t="s">
        <v>252</v>
      </c>
      <c r="P21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0" s="35" t="e">
        <v>#N/A</v>
      </c>
      <c r="S210" s="35">
        <v>1</v>
      </c>
      <c r="T210" s="35">
        <f>Table1[[#This Row],[Progres Total Aktual
(%)]]</f>
        <v>0.90327936950739918</v>
      </c>
      <c r="U210" s="106">
        <f>Table1[[#This Row],[Progres Aktual
(%)]]-Table1[[#This Row],[Target Progres
(%)]]</f>
        <v>-9.6720630492600823E-2</v>
      </c>
      <c r="V210" s="320">
        <f>Table1[[#This Row],["Volume
BA MC-0"]]</f>
        <v>28242</v>
      </c>
      <c r="W210" s="321">
        <f>Table1[[#This Row],[Total Panjang Pipa Aktual
(Sum-&gt;)3]]</f>
        <v>28540</v>
      </c>
      <c r="X210" s="42"/>
      <c r="Y210" s="62" t="s">
        <v>1580</v>
      </c>
      <c r="Z210" s="62">
        <v>24006962850</v>
      </c>
      <c r="AA210" s="62">
        <f>Table1[[#This Row],[Nilai RAB Jaringan
(file pa aji)]]</f>
        <v>24006962850</v>
      </c>
      <c r="AB210" s="290">
        <f>SUM(Table1[[#This Row],[RAB Kegiatan Umum]:[RAB Perizinan]])</f>
        <v>0</v>
      </c>
      <c r="AC210" s="290"/>
      <c r="AD210" s="290"/>
      <c r="AE210" s="290"/>
      <c r="AF210" s="290"/>
      <c r="AG210" s="406">
        <v>4139856000</v>
      </c>
      <c r="AH210" s="35" t="e">
        <f>SUM(Table1[[#This Row],[Bobot Keg Umum]:[Bobot Perizinan]])</f>
        <v>#DIV/0!</v>
      </c>
      <c r="AI210" s="35" t="e">
        <f>Table1[[#This Row],[RAB Kegiatan Umum]]/Table1[[#This Row],[Nilai RAB Jaringan
(Exclude Ppn)]]</f>
        <v>#DIV/0!</v>
      </c>
      <c r="AJ210" s="35" t="e">
        <f>Table1[[#This Row],[RAB Pemasangan]]/Table1[[#This Row],[Nilai RAB Jaringan
(Exclude Ppn)]]</f>
        <v>#DIV/0!</v>
      </c>
      <c r="AK210" s="35" t="e">
        <f>Table1[[#This Row],[RAB Pengadaan]]/Table1[[#This Row],[Nilai RAB Jaringan
(Exclude Ppn)]]</f>
        <v>#DIV/0!</v>
      </c>
      <c r="AL210" s="35" t="e">
        <f>Table1[[#This Row],[RAB Perizinan]]/Table1[[#This Row],[Nilai RAB Jaringan
(Exclude Ppn)]]</f>
        <v>#DIV/0!</v>
      </c>
      <c r="AM210" s="42"/>
      <c r="AN210" s="256">
        <v>28242</v>
      </c>
      <c r="AO210" s="256">
        <f>SUM(Table1[[#This Row],[Pipa 63 mm]:[Pipa 1,800 mm]])</f>
        <v>0</v>
      </c>
      <c r="AP210" s="256"/>
      <c r="AQ210" s="256"/>
      <c r="AR210" s="256"/>
      <c r="AS210" s="256"/>
      <c r="AT210" s="256"/>
      <c r="AU210" s="256"/>
      <c r="AV210" s="256"/>
      <c r="AW210" s="256"/>
      <c r="AX210" s="256"/>
      <c r="AY210" s="256"/>
      <c r="AZ210" s="256"/>
      <c r="BA210" s="256"/>
      <c r="BB210" s="256"/>
      <c r="BC210" s="256"/>
      <c r="BD210" s="256"/>
      <c r="BE210" s="256"/>
      <c r="BF210" s="256"/>
      <c r="BG210" s="256"/>
      <c r="BH210" s="256"/>
      <c r="BI210" s="256"/>
      <c r="BJ210" s="416">
        <f>SUM(Table1[[#This Row],[Pipa 63 mm2]:[Pipa 1,800 mm21]])</f>
        <v>28540</v>
      </c>
      <c r="BK210" s="32">
        <v>18</v>
      </c>
      <c r="BL210" s="32">
        <f>23435</f>
        <v>23435</v>
      </c>
      <c r="BM210" s="32">
        <v>665</v>
      </c>
      <c r="BN210" s="32">
        <v>1271</v>
      </c>
      <c r="BO210" s="32">
        <v>1389</v>
      </c>
      <c r="BP210" s="32"/>
      <c r="BQ210" s="32">
        <v>1762</v>
      </c>
      <c r="BR210" s="32"/>
      <c r="BS210" s="32"/>
      <c r="BT210" s="32"/>
      <c r="BU210" s="32"/>
      <c r="BV210" s="32"/>
      <c r="BW210" s="32"/>
      <c r="BX210" s="32"/>
      <c r="BY210" s="32"/>
      <c r="BZ210" s="32"/>
      <c r="CA210" s="32"/>
      <c r="CB210" s="32"/>
      <c r="CC210" s="32"/>
      <c r="CD210" s="32"/>
      <c r="CE210" s="32">
        <v>0</v>
      </c>
      <c r="CF210" s="32">
        <v>0</v>
      </c>
      <c r="CG210" s="32">
        <v>0</v>
      </c>
      <c r="CH210" s="32">
        <v>0</v>
      </c>
      <c r="CI210" s="32">
        <f t="shared" si="12"/>
        <v>0</v>
      </c>
      <c r="CJ210" s="60">
        <f>IF((Table1[[#This Row],["Volume
BA MC-0"]]-Table1[[#This Row],[Total Panjang Pipa Aktual
(Sum-&gt;)3]]-Table1[[#This Row],[Total Volume
tidak dapat dipasang]])&gt;=0,Table1[[#This Row],["Volume
BA MC-0"]]-Table1[[#This Row],[Total Panjang Pipa Aktual
(Sum-&gt;)3]]-Table1[[#This Row],[Total Volume
tidak dapat dipasang]],0)</f>
        <v>0</v>
      </c>
      <c r="CK210" s="42"/>
      <c r="CL210" s="113"/>
      <c r="CM210" s="35"/>
      <c r="CN210" s="113"/>
      <c r="CO210" s="113"/>
      <c r="CP2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0.90327936950739918</v>
      </c>
      <c r="CQ210" s="61">
        <f>IFERROR(Table1[[#This Row],[Progres Keg. Umum
(%)]]*Table1[[#This Row],[Nilai RAB Jaringan
(file pa aji)]],0)</f>
        <v>0</v>
      </c>
      <c r="CR210" s="61">
        <f>IFERROR(Table1[[#This Row],[Progres MOS
(%)]]*Table1[[#This Row],[Nilai RAB Jaringan
(file pa aji)]],0)</f>
        <v>0</v>
      </c>
      <c r="CS210" s="61">
        <f>IFERROR(Table1[[#This Row],[Progres Pemasangan
(%)]]*Table1[[#This Row],[Nilai RAB Jaringan
(file pa aji)]],0)</f>
        <v>0</v>
      </c>
      <c r="CT210" s="61">
        <f>IFERROR(Table1[[#This Row],[Progres Perizinan
(%)]]*Table1[[#This Row],[Nilai RAB Jaringan
(file pa aji)]],0)</f>
        <v>0</v>
      </c>
      <c r="CU210" s="789">
        <v>21684994266.935555</v>
      </c>
      <c r="CV210" s="299">
        <v>21684994266.935555</v>
      </c>
      <c r="CW210" s="552">
        <v>0</v>
      </c>
      <c r="CX210" s="789">
        <f>_xlfn.XLOOKUP(Table1[[#This Row],[Kode Program]],'[1]Breakdown VOWD Greenfield'!$E:$E,'[1]Breakdown VOWD Greenfield'!$AT:$AT)</f>
        <v>0</v>
      </c>
      <c r="CY210" s="42"/>
      <c r="CZ210" s="300">
        <v>45565</v>
      </c>
      <c r="DA210" s="300">
        <v>45585</v>
      </c>
      <c r="DB210" s="301">
        <v>45181</v>
      </c>
      <c r="DC210" s="286" t="s">
        <v>1581</v>
      </c>
      <c r="DD210" s="62">
        <v>24006962899.650002</v>
      </c>
      <c r="DE2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0" s="301">
        <v>45190</v>
      </c>
      <c r="DG210" s="286" t="s">
        <v>1582</v>
      </c>
      <c r="DH210" s="62">
        <v>24006962897</v>
      </c>
      <c r="DI2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0" s="300">
        <v>45586</v>
      </c>
      <c r="DK210" s="300">
        <v>45627</v>
      </c>
      <c r="DL210" s="301">
        <v>45549</v>
      </c>
      <c r="DM210" s="286" t="s">
        <v>1583</v>
      </c>
      <c r="DN2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0" s="301">
        <v>45630</v>
      </c>
      <c r="DP210" s="286" t="s">
        <v>1584</v>
      </c>
      <c r="DQ210" s="308" t="s">
        <v>560</v>
      </c>
      <c r="DR2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0" s="300">
        <v>45586</v>
      </c>
      <c r="DT210" s="300" t="e">
        <v>#N/A</v>
      </c>
      <c r="DU210" s="300">
        <v>45620</v>
      </c>
      <c r="DV210" s="300" t="e">
        <v>#N/A</v>
      </c>
      <c r="DW210" s="301">
        <v>46048</v>
      </c>
      <c r="DX210" s="286" t="s">
        <v>1585</v>
      </c>
      <c r="DY210" s="304"/>
      <c r="DZ210" s="304"/>
      <c r="EA2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0" s="301"/>
      <c r="EC210" s="302"/>
      <c r="ED210" s="302"/>
      <c r="EE210" s="300"/>
      <c r="EF210" s="35">
        <v>0.98412698412698407</v>
      </c>
      <c r="EG210" s="307">
        <v>0.98412698412698407</v>
      </c>
      <c r="EH210" s="286" t="str">
        <f>IF(Table1[[#This Row],[PO Material Aktual 
(%)]]&gt;=100%,"Selesai PO = 100%",IF(Table1[[#This Row],[PO Material Aktual 
(%)]]&gt;=50%,"Proses PO &gt; 100%",IF(Table1[[#This Row],[PO Material Aktual 
(%)]]&gt;0%,"Proses PO &gt; 50%",IF(Table1[[#This Row],[PO Material Aktual 
(%)]]=0,"Belum PO = 0%"))))</f>
        <v>Proses PO &gt; 100%</v>
      </c>
      <c r="EI2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0" s="300">
        <v>45621</v>
      </c>
      <c r="EK210" s="300" t="e">
        <v>#N/A</v>
      </c>
      <c r="EL210" s="300">
        <v>45746</v>
      </c>
      <c r="EM210" s="300" t="e">
        <v>#N/A</v>
      </c>
      <c r="EN210" s="301"/>
      <c r="EO210" s="302"/>
      <c r="EP210" s="302"/>
      <c r="EQ210" s="82">
        <v>0.94399999999999995</v>
      </c>
      <c r="ER210" s="82">
        <v>0.94399999999999995</v>
      </c>
      <c r="ES210" s="286" t="str">
        <f>IF(Table1[[#This Row],[Progres MOS]]&gt;=100%,"Selesai MOS = 100%",IF(Table1[[#This Row],[Progres MOS]]&gt;=50%,"Proses MOS &gt; 100%",IF(Table1[[#This Row],[Progres MOS]]&gt;0%,"Proses MOS &gt; 50%",IF(Table1[[#This Row],[Progres MOS]]=0,"Belum MOS = 0%"))))</f>
        <v>Proses MOS &gt; 100%</v>
      </c>
      <c r="ET2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0" s="42"/>
      <c r="EV210" s="300">
        <v>45586</v>
      </c>
      <c r="EW210" s="300" t="e">
        <v>#N/A</v>
      </c>
      <c r="EX210" s="300">
        <v>45655</v>
      </c>
      <c r="EY210" s="300" t="e">
        <v>#N/A</v>
      </c>
      <c r="EZ210" s="322" t="s">
        <v>259</v>
      </c>
      <c r="FA210" s="306" t="s">
        <v>259</v>
      </c>
      <c r="FB210" s="300" t="s">
        <v>260</v>
      </c>
      <c r="FC210" s="300">
        <v>45238</v>
      </c>
      <c r="FD210" s="300" t="s">
        <v>260</v>
      </c>
      <c r="FE210" s="300"/>
      <c r="FF210" s="300">
        <v>45572</v>
      </c>
      <c r="FG210" s="300" t="s">
        <v>260</v>
      </c>
      <c r="FH210" s="300" t="s">
        <v>260</v>
      </c>
      <c r="FI210" s="300">
        <v>45838</v>
      </c>
      <c r="FJ210" s="300" t="s">
        <v>260</v>
      </c>
      <c r="FK210" s="300">
        <v>45936</v>
      </c>
      <c r="FL210" s="306" t="s">
        <v>259</v>
      </c>
      <c r="FM210" s="322">
        <v>45238</v>
      </c>
      <c r="FN210" s="308">
        <f>IF(Table1[[#This Row],[Tanggal Pengajuan Dokumen]]="","",Table1[[#This Row],[PLAN PERMIT
start]]-Table1[[#This Row],[Tanggal Pengajuan Dokumen]])</f>
        <v>348</v>
      </c>
      <c r="FO210" s="407">
        <v>46064</v>
      </c>
      <c r="FP210" s="286"/>
      <c r="FQ210" s="308"/>
      <c r="FR210" s="308"/>
      <c r="FS210" s="308" t="str">
        <f t="shared" si="11"/>
        <v>Sudah Terbit</v>
      </c>
      <c r="FT2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0" s="314">
        <f ca="1">IF(Table1[[#This Row],[Status Izin]]="Selesai",Table1[[#This Row],[PLAN PERMIT
finish]]-Table1[[#This Row],[Tanggal Terbit/ Target Izin Terbit]],ROUNDUP(Table1[[#This Row],[PLAN PERMIT
finish]]-NOW(),0))</f>
        <v>-409</v>
      </c>
      <c r="FV2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0" s="314"/>
      <c r="FX210" s="42"/>
      <c r="FY210" s="310"/>
      <c r="FZ210" s="311"/>
      <c r="GA2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0" s="300">
        <v>45629</v>
      </c>
      <c r="GC210" s="322">
        <v>45610</v>
      </c>
      <c r="GD2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0" s="300">
        <v>45636</v>
      </c>
      <c r="GF210" s="322">
        <v>45610</v>
      </c>
      <c r="GG2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0" s="300">
        <v>45642</v>
      </c>
      <c r="GI210" s="300">
        <v>45648</v>
      </c>
      <c r="GJ210" s="322">
        <v>45621</v>
      </c>
      <c r="GK2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0" s="300">
        <v>45656</v>
      </c>
      <c r="GM210" s="300" t="e">
        <v>#N/A</v>
      </c>
      <c r="GN210" s="300">
        <v>45907</v>
      </c>
      <c r="GO210" s="300" t="e">
        <v>#N/A</v>
      </c>
      <c r="GP210" s="286"/>
      <c r="GQ2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0" s="300" t="s">
        <v>261</v>
      </c>
      <c r="GS210" s="391" t="s">
        <v>261</v>
      </c>
      <c r="GT210" s="420" t="s">
        <v>1586</v>
      </c>
      <c r="GU210" s="393" t="str">
        <f>IF(Table1[[#This Row],[Hydro Tes Actual
(tanggal)]]&lt;&gt;"","Sudah","Belum")</f>
        <v>Sudah</v>
      </c>
      <c r="GV210" s="300" t="s">
        <v>261</v>
      </c>
      <c r="GW210" s="300" t="s">
        <v>261</v>
      </c>
      <c r="GX210" s="301"/>
      <c r="GY210" s="314" t="str">
        <f>IF(Table1[[#This Row],[Interkoneksi Actual
(tanggal)]]&lt;&gt;"","Sudah","Belum")</f>
        <v>Belum</v>
      </c>
      <c r="GZ210" s="300" t="s">
        <v>261</v>
      </c>
      <c r="HA210" s="300" t="s">
        <v>261</v>
      </c>
      <c r="HB210" s="301"/>
      <c r="HC210" s="314" t="str">
        <f>IF(Table1[[#This Row],[Flushing Actual
(tanggal)]]&lt;&gt;"","Sudah","Belum")</f>
        <v>Belum</v>
      </c>
      <c r="HD210" s="300">
        <v>45880</v>
      </c>
      <c r="HE210" s="300" t="e">
        <v>#N/A</v>
      </c>
      <c r="HF210" s="300">
        <v>45900</v>
      </c>
      <c r="HG210" s="322"/>
      <c r="HH2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0" s="300" t="s">
        <v>261</v>
      </c>
      <c r="HJ210" s="300" t="s">
        <v>261</v>
      </c>
      <c r="HK210" s="301"/>
      <c r="HL210" s="286"/>
      <c r="HM210" s="300">
        <v>45919</v>
      </c>
      <c r="HN210" s="300">
        <v>45919</v>
      </c>
      <c r="HO210" s="391">
        <v>46209</v>
      </c>
      <c r="HP210" s="391"/>
      <c r="HQ210" s="301"/>
      <c r="HR2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0" s="300">
        <v>45926</v>
      </c>
      <c r="HT210" s="300"/>
      <c r="HU210" s="300">
        <v>45926</v>
      </c>
      <c r="HV210" s="300">
        <v>46214</v>
      </c>
      <c r="HW210" s="301"/>
      <c r="HX2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0" s="42"/>
      <c r="HZ210" s="322"/>
      <c r="IA210" s="306"/>
      <c r="IC210" s="585">
        <f>IFERROR(ROUND((Table1[[#This Row],[PLAN TC
finish]]-Table1[[#This Row],[PLAN MC-0
start]])/30,2),"")</f>
        <v>8.6</v>
      </c>
      <c r="ID210">
        <f>DATEDIF(Table1[[#This Row],[PLAN MC-0
start]],Table1[[#This Row],[PLAN TC
finish]],"m")</f>
        <v>8</v>
      </c>
    </row>
    <row r="211" spans="1:238" s="30" customFormat="1" ht="15" customHeight="1" x14ac:dyDescent="0.25">
      <c r="A211" s="72"/>
      <c r="B211" s="281">
        <f>SUBTOTAL(3,$D$5:D211)</f>
        <v>207</v>
      </c>
      <c r="C211" s="332">
        <v>207</v>
      </c>
      <c r="D211" s="333" t="s">
        <v>673</v>
      </c>
      <c r="E211" s="336" t="s">
        <v>1587</v>
      </c>
      <c r="F211" s="336" t="s">
        <v>1588</v>
      </c>
      <c r="G211" s="334">
        <v>45935</v>
      </c>
      <c r="H211" s="335" t="s">
        <v>247</v>
      </c>
      <c r="I211" s="336" t="s">
        <v>278</v>
      </c>
      <c r="J211" s="355" t="s">
        <v>389</v>
      </c>
      <c r="K211" s="336" t="s">
        <v>676</v>
      </c>
      <c r="L211" s="337" t="s">
        <v>250</v>
      </c>
      <c r="M211" s="337" t="s">
        <v>269</v>
      </c>
      <c r="N211" s="338">
        <v>4982</v>
      </c>
      <c r="O211" s="349" t="s">
        <v>252</v>
      </c>
      <c r="P21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1" s="340" t="s">
        <v>389</v>
      </c>
      <c r="R211" s="341" t="e">
        <v>#N/A</v>
      </c>
      <c r="S211" s="341">
        <v>1</v>
      </c>
      <c r="T211" s="341">
        <f>Table1[[#This Row],[Progres Total Aktual
(%)]]</f>
        <v>0</v>
      </c>
      <c r="U211" s="342">
        <f>Table1[[#This Row],[Progres Aktual
(%)]]-Table1[[#This Row],[Target Progres
(%)]]</f>
        <v>-1</v>
      </c>
      <c r="V211" s="343">
        <f>Table1[[#This Row],["Volume
BA MC-0"]]</f>
        <v>0</v>
      </c>
      <c r="W211" s="344">
        <f>Table1[[#This Row],[Total Panjang Pipa Aktual
(Sum-&gt;)3]]</f>
        <v>0</v>
      </c>
      <c r="X211" s="42"/>
      <c r="Y211" s="345" t="s">
        <v>1589</v>
      </c>
      <c r="Z211" s="345">
        <v>9866059312</v>
      </c>
      <c r="AA211" s="62">
        <f>Table1[[#This Row],[Nilai RAB Jaringan
(file pa aji)]]</f>
        <v>9866059312</v>
      </c>
      <c r="AB211" s="340">
        <f>SUM(Table1[[#This Row],[RAB Kegiatan Umum]:[RAB Perizinan]])</f>
        <v>0</v>
      </c>
      <c r="AC211" s="340"/>
      <c r="AD211" s="340"/>
      <c r="AE211" s="340"/>
      <c r="AF211" s="340"/>
      <c r="AG211" s="409">
        <v>2527216354</v>
      </c>
      <c r="AH211" s="341" t="e">
        <f>SUM(Table1[[#This Row],[Bobot Keg Umum]:[Bobot Perizinan]])</f>
        <v>#DIV/0!</v>
      </c>
      <c r="AI211" s="341" t="e">
        <f>Table1[[#This Row],[RAB Kegiatan Umum]]/Table1[[#This Row],[Nilai RAB Jaringan
(Exclude Ppn)]]</f>
        <v>#DIV/0!</v>
      </c>
      <c r="AJ211" s="341" t="e">
        <f>Table1[[#This Row],[RAB Pemasangan]]/Table1[[#This Row],[Nilai RAB Jaringan
(Exclude Ppn)]]</f>
        <v>#DIV/0!</v>
      </c>
      <c r="AK211" s="341" t="e">
        <f>Table1[[#This Row],[RAB Pengadaan]]/Table1[[#This Row],[Nilai RAB Jaringan
(Exclude Ppn)]]</f>
        <v>#DIV/0!</v>
      </c>
      <c r="AL211" s="341" t="e">
        <f>Table1[[#This Row],[RAB Perizinan]]/Table1[[#This Row],[Nilai RAB Jaringan
(Exclude Ppn)]]</f>
        <v>#DIV/0!</v>
      </c>
      <c r="AM211" s="42"/>
      <c r="AN211" s="346">
        <v>0</v>
      </c>
      <c r="AO211" s="346">
        <f>SUM(Table1[[#This Row],[Pipa 63 mm]:[Pipa 1,800 mm]])</f>
        <v>0</v>
      </c>
      <c r="AP211" s="346"/>
      <c r="AQ211" s="346"/>
      <c r="AR211" s="346"/>
      <c r="AS211" s="346"/>
      <c r="AT211" s="346"/>
      <c r="AU211" s="346"/>
      <c r="AV211" s="346"/>
      <c r="AW211" s="346"/>
      <c r="AX211" s="346"/>
      <c r="AY211" s="346"/>
      <c r="AZ211" s="346"/>
      <c r="BA211" s="346"/>
      <c r="BB211" s="346"/>
      <c r="BC211" s="346"/>
      <c r="BD211" s="346"/>
      <c r="BE211" s="346"/>
      <c r="BF211" s="346"/>
      <c r="BG211" s="346"/>
      <c r="BH211" s="346"/>
      <c r="BI211" s="346"/>
      <c r="BJ211" s="421">
        <f>SUM(Table1[[#This Row],[Pipa 63 mm2]:[Pipa 1,800 mm21]])</f>
        <v>0</v>
      </c>
      <c r="BK211" s="348"/>
      <c r="BL211" s="348"/>
      <c r="BM211" s="348"/>
      <c r="BN211" s="348"/>
      <c r="BO211" s="348"/>
      <c r="BP211" s="348"/>
      <c r="BQ211" s="348"/>
      <c r="BR211" s="348"/>
      <c r="BS211" s="348"/>
      <c r="BT211" s="348"/>
      <c r="BU211" s="348"/>
      <c r="BV211" s="348"/>
      <c r="BW211" s="348"/>
      <c r="BX211" s="348"/>
      <c r="BY211" s="348"/>
      <c r="BZ211" s="348"/>
      <c r="CA211" s="348"/>
      <c r="CB211" s="348"/>
      <c r="CC211" s="348"/>
      <c r="CD211" s="348"/>
      <c r="CE211" s="348">
        <v>0</v>
      </c>
      <c r="CF211" s="348">
        <v>0</v>
      </c>
      <c r="CG211" s="348">
        <v>0</v>
      </c>
      <c r="CH211" s="348">
        <v>0</v>
      </c>
      <c r="CI211" s="348">
        <f t="shared" si="12"/>
        <v>0</v>
      </c>
      <c r="CJ211" s="348">
        <f>IF((Table1[[#This Row],["Volume
BA MC-0"]]-Table1[[#This Row],[Total Panjang Pipa Aktual
(Sum-&gt;)3]]-Table1[[#This Row],[Total Volume
tidak dapat dipasang]])&gt;=0,Table1[[#This Row],["Volume
BA MC-0"]]-Table1[[#This Row],[Total Panjang Pipa Aktual
(Sum-&gt;)3]]-Table1[[#This Row],[Total Volume
tidak dapat dipasang]],0)</f>
        <v>0</v>
      </c>
      <c r="CK211" s="42"/>
      <c r="CL211" s="349"/>
      <c r="CM211" s="341"/>
      <c r="CN211" s="349"/>
      <c r="CO211" s="349"/>
      <c r="CP2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1" s="350">
        <f>IFERROR(Table1[[#This Row],[Progres Keg. Umum
(%)]]*Table1[[#This Row],[Nilai RAB Jaringan
(file pa aji)]],0)</f>
        <v>0</v>
      </c>
      <c r="CR211" s="350">
        <f>IFERROR(Table1[[#This Row],[Progres MOS
(%)]]*Table1[[#This Row],[Nilai RAB Jaringan
(file pa aji)]],0)</f>
        <v>0</v>
      </c>
      <c r="CS211" s="350">
        <f>IFERROR(Table1[[#This Row],[Progres Pemasangan
(%)]]*Table1[[#This Row],[Nilai RAB Jaringan
(file pa aji)]],0)</f>
        <v>0</v>
      </c>
      <c r="CT211" s="350">
        <f>IFERROR(Table1[[#This Row],[Progres Perizinan
(%)]]*Table1[[#This Row],[Nilai RAB Jaringan
(file pa aji)]],0)</f>
        <v>0</v>
      </c>
      <c r="CU211" s="789">
        <v>0</v>
      </c>
      <c r="CV211" s="299">
        <v>0</v>
      </c>
      <c r="CW211" s="551">
        <v>0</v>
      </c>
      <c r="CX211" s="789">
        <f>_xlfn.XLOOKUP(Table1[[#This Row],[Kode Program]],'[1]Breakdown VOWD Greenfield'!$E:$E,'[1]Breakdown VOWD Greenfield'!$AT:$AT)</f>
        <v>0</v>
      </c>
      <c r="CY211" s="42"/>
      <c r="CZ211" s="356">
        <v>45530</v>
      </c>
      <c r="DA211" s="356">
        <v>45564</v>
      </c>
      <c r="DB211" s="301">
        <v>45530</v>
      </c>
      <c r="DC211" s="337" t="s">
        <v>1590</v>
      </c>
      <c r="DD211" s="345">
        <v>9866059312</v>
      </c>
      <c r="DE2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1" s="301">
        <v>45538</v>
      </c>
      <c r="DG211" s="337" t="s">
        <v>1591</v>
      </c>
      <c r="DH211" s="345">
        <v>9866059312</v>
      </c>
      <c r="DI211"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1" s="356">
        <v>45565</v>
      </c>
      <c r="DK211" s="356">
        <v>45718</v>
      </c>
      <c r="DL211" s="301"/>
      <c r="DM211" s="337">
        <v>0</v>
      </c>
      <c r="DN2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1" s="301"/>
      <c r="DP211" s="337">
        <v>0</v>
      </c>
      <c r="DQ211" s="336">
        <v>0</v>
      </c>
      <c r="DR2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1" s="356">
        <v>45565</v>
      </c>
      <c r="DT211" s="356" t="e">
        <v>#N/A</v>
      </c>
      <c r="DU211" s="356">
        <v>45613</v>
      </c>
      <c r="DV211" s="356" t="e">
        <v>#N/A</v>
      </c>
      <c r="DW211" s="301"/>
      <c r="DX211" s="337">
        <v>0</v>
      </c>
      <c r="DY211" s="352"/>
      <c r="DZ211" s="352"/>
      <c r="EA2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1" s="301"/>
      <c r="EC211" s="302"/>
      <c r="ED211" s="302"/>
      <c r="EE211" s="300"/>
      <c r="EF211" s="341" t="b">
        <v>0</v>
      </c>
      <c r="EG211" s="353" t="b">
        <v>0</v>
      </c>
      <c r="EH211" s="286" t="str">
        <f>IF(Table1[[#This Row],[PO Material Aktual 
(%)]]&gt;=100%,"Selesai PO = 100%",IF(Table1[[#This Row],[PO Material Aktual 
(%)]]&gt;=50%,"Proses PO &gt; 100%",IF(Table1[[#This Row],[PO Material Aktual 
(%)]]&gt;0%,"Proses PO &gt; 50%",IF(Table1[[#This Row],[PO Material Aktual 
(%)]]=0,"Belum PO = 0%"))))</f>
        <v>Selesai PO = 100%</v>
      </c>
      <c r="EI2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1" s="356">
        <v>45614</v>
      </c>
      <c r="EK211" s="356" t="e">
        <v>#N/A</v>
      </c>
      <c r="EL211" s="356">
        <v>45774</v>
      </c>
      <c r="EM211" s="356" t="e">
        <v>#N/A</v>
      </c>
      <c r="EN211" s="301"/>
      <c r="EO211" s="302"/>
      <c r="EP211" s="302"/>
      <c r="EQ211" s="83" t="b">
        <v>0</v>
      </c>
      <c r="ER211" s="83" t="b">
        <v>0</v>
      </c>
      <c r="ES211" s="286" t="str">
        <f>IF(Table1[[#This Row],[Progres MOS]]&gt;=100%,"Selesai MOS = 100%",IF(Table1[[#This Row],[Progres MOS]]&gt;=50%,"Proses MOS &gt; 100%",IF(Table1[[#This Row],[Progres MOS]]&gt;0%,"Proses MOS &gt; 50%",IF(Table1[[#This Row],[Progres MOS]]=0,"Belum MOS = 0%"))))</f>
        <v>Selesai MOS = 100%</v>
      </c>
      <c r="ET2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1" s="42"/>
      <c r="EV211" s="356">
        <v>45565</v>
      </c>
      <c r="EW211" s="356" t="e">
        <v>#N/A</v>
      </c>
      <c r="EX211" s="356">
        <v>45746</v>
      </c>
      <c r="EY211" s="356" t="e">
        <v>#N/A</v>
      </c>
      <c r="EZ211" s="354" t="s">
        <v>1592</v>
      </c>
      <c r="FA211" s="355" t="s">
        <v>389</v>
      </c>
      <c r="FB211" s="356"/>
      <c r="FC211" s="300"/>
      <c r="FD211" s="356"/>
      <c r="FE211" s="356"/>
      <c r="FF211" s="356"/>
      <c r="FG211" s="356"/>
      <c r="FH211" s="356"/>
      <c r="FI211" s="356"/>
      <c r="FJ211" s="356"/>
      <c r="FK211" s="356"/>
      <c r="FL211" s="306" t="str">
        <f>Table1[[#This Row],[IPPJU]]</f>
        <v>8.Rekomtek Terbit</v>
      </c>
      <c r="FM211" s="306"/>
      <c r="FN211" s="284" t="str">
        <f>IF(Table1[[#This Row],[Tanggal Pengajuan Dokumen]]="","",Table1[[#This Row],[PLAN PERMIT
start]]-Table1[[#This Row],[Tanggal Pengajuan Dokumen]])</f>
        <v/>
      </c>
      <c r="FO211" s="414">
        <v>0</v>
      </c>
      <c r="FP211" s="286"/>
      <c r="FQ211" s="308"/>
      <c r="FR211" s="308"/>
      <c r="FS211" s="308" t="str">
        <f t="shared" si="11"/>
        <v>Sudah Terbit</v>
      </c>
      <c r="FT21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1" s="357">
        <f ca="1">IF(Table1[[#This Row],[Status Izin]]="Selesai",Table1[[#This Row],[PLAN PERMIT
finish]]-Table1[[#This Row],[Tanggal Terbit/ Target Izin Terbit]],ROUNDUP(Table1[[#This Row],[PLAN PERMIT
finish]]-NOW(),0))</f>
        <v>45746</v>
      </c>
      <c r="FV21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1" s="357"/>
      <c r="FX211" s="42"/>
      <c r="FY211" s="310"/>
      <c r="FZ211" s="311"/>
      <c r="GA2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1" s="356">
        <v>45720</v>
      </c>
      <c r="GC211" s="354">
        <v>45183</v>
      </c>
      <c r="GD21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1" s="356">
        <v>45727</v>
      </c>
      <c r="GF211" s="354">
        <v>0</v>
      </c>
      <c r="GG21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1" s="356">
        <v>45733</v>
      </c>
      <c r="GI211" s="356">
        <v>45739</v>
      </c>
      <c r="GJ211" s="354">
        <v>45552</v>
      </c>
      <c r="GK21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1" s="356">
        <v>45747</v>
      </c>
      <c r="GM211" s="356" t="e">
        <v>#N/A</v>
      </c>
      <c r="GN211" s="356">
        <v>45816</v>
      </c>
      <c r="GO211" s="356" t="e">
        <v>#N/A</v>
      </c>
      <c r="GP211" s="337"/>
      <c r="GQ21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1" s="356" t="s">
        <v>261</v>
      </c>
      <c r="GS211" s="404" t="s">
        <v>261</v>
      </c>
      <c r="GT211" s="360"/>
      <c r="GU211" s="405" t="str">
        <f>IF(Table1[[#This Row],[Hydro Tes Actual
(tanggal)]]&lt;&gt;"","Sudah","Belum")</f>
        <v>Belum</v>
      </c>
      <c r="GV211" s="356" t="s">
        <v>261</v>
      </c>
      <c r="GW211" s="356" t="s">
        <v>261</v>
      </c>
      <c r="GX211" s="358"/>
      <c r="GY211" s="314" t="str">
        <f>IF(Table1[[#This Row],[Interkoneksi Actual
(tanggal)]]&lt;&gt;"","Sudah","Belum")</f>
        <v>Belum</v>
      </c>
      <c r="GZ211" s="356" t="s">
        <v>261</v>
      </c>
      <c r="HA211" s="356" t="s">
        <v>261</v>
      </c>
      <c r="HB211" s="358"/>
      <c r="HC211" s="314" t="str">
        <f>IF(Table1[[#This Row],[Flushing Actual
(tanggal)]]&lt;&gt;"","Sudah","Belum")</f>
        <v>Belum</v>
      </c>
      <c r="HD211" s="356">
        <v>45789</v>
      </c>
      <c r="HE211" s="356" t="e">
        <v>#N/A</v>
      </c>
      <c r="HF211" s="356">
        <v>45809</v>
      </c>
      <c r="HG211" s="354"/>
      <c r="HH21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1" s="356" t="s">
        <v>261</v>
      </c>
      <c r="HJ211" s="356" t="s">
        <v>261</v>
      </c>
      <c r="HK211" s="358"/>
      <c r="HL211" s="337"/>
      <c r="HM211" s="356">
        <v>45828</v>
      </c>
      <c r="HN211" s="356">
        <v>45828</v>
      </c>
      <c r="HO211" s="356" t="e">
        <v>#N/A</v>
      </c>
      <c r="HP211" s="356"/>
      <c r="HQ211" s="358"/>
      <c r="HR211"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1" s="356">
        <v>45835</v>
      </c>
      <c r="HT211" s="356"/>
      <c r="HU211" s="356">
        <v>45835</v>
      </c>
      <c r="HV211" s="580"/>
      <c r="HW211" s="358"/>
      <c r="HX21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1" s="42"/>
      <c r="HZ211" s="354"/>
      <c r="IA211" s="306"/>
      <c r="IC211" s="585">
        <f>IFERROR(ROUND((Table1[[#This Row],[PLAN TC
finish]]-Table1[[#This Row],[PLAN MC-0
start]])/30,2),"")</f>
        <v>2.5299999999999998</v>
      </c>
      <c r="ID211">
        <f>DATEDIF(Table1[[#This Row],[PLAN MC-0
start]],Table1[[#This Row],[PLAN TC
finish]],"m")</f>
        <v>2</v>
      </c>
    </row>
    <row r="212" spans="1:238" s="4" customFormat="1" ht="15" customHeight="1" x14ac:dyDescent="0.25">
      <c r="B212" s="281">
        <f>SUBTOTAL(3,$D$5:D212)</f>
        <v>208</v>
      </c>
      <c r="C212" s="318">
        <v>208</v>
      </c>
      <c r="D212" s="285" t="s">
        <v>673</v>
      </c>
      <c r="E212" s="308" t="s">
        <v>1593</v>
      </c>
      <c r="F212" s="308" t="s">
        <v>1594</v>
      </c>
      <c r="G212" s="319">
        <v>45935</v>
      </c>
      <c r="H212" s="284" t="s">
        <v>247</v>
      </c>
      <c r="I212" s="308" t="s">
        <v>278</v>
      </c>
      <c r="J212" s="285" t="s">
        <v>882</v>
      </c>
      <c r="K212" s="308" t="s">
        <v>676</v>
      </c>
      <c r="L212" s="286" t="s">
        <v>250</v>
      </c>
      <c r="M212" s="286" t="s">
        <v>269</v>
      </c>
      <c r="N212" s="94">
        <v>2812</v>
      </c>
      <c r="O212" s="113" t="s">
        <v>252</v>
      </c>
      <c r="P21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2" s="35" t="e">
        <v>#N/A</v>
      </c>
      <c r="S212" s="35">
        <v>1</v>
      </c>
      <c r="T212" s="35">
        <f>Table1[[#This Row],[Progres Total Aktual
(%)]]</f>
        <v>1</v>
      </c>
      <c r="U212" s="106">
        <f>Table1[[#This Row],[Progres Aktual
(%)]]-Table1[[#This Row],[Target Progres
(%)]]</f>
        <v>0</v>
      </c>
      <c r="V212" s="320">
        <f>Table1[[#This Row],["Volume
BA MC-0"]]</f>
        <v>2867</v>
      </c>
      <c r="W212" s="321">
        <f>Table1[[#This Row],[Total Panjang Pipa Aktual
(Sum-&gt;)3]]</f>
        <v>2259</v>
      </c>
      <c r="X212" s="42"/>
      <c r="Y212" s="62" t="s">
        <v>1595</v>
      </c>
      <c r="Z212" s="62">
        <v>5998011405</v>
      </c>
      <c r="AA212" s="62">
        <f>Table1[[#This Row],[Nilai RAB Jaringan
(file pa aji)]]</f>
        <v>5998011405</v>
      </c>
      <c r="AB212" s="290">
        <f>SUM(Table1[[#This Row],[RAB Kegiatan Umum]:[RAB Perizinan]])</f>
        <v>0</v>
      </c>
      <c r="AC212" s="290"/>
      <c r="AD212" s="290"/>
      <c r="AE212" s="290"/>
      <c r="AF212" s="290"/>
      <c r="AG212" s="406">
        <v>297199004</v>
      </c>
      <c r="AH212" s="35" t="e">
        <f>SUM(Table1[[#This Row],[Bobot Keg Umum]:[Bobot Perizinan]])</f>
        <v>#DIV/0!</v>
      </c>
      <c r="AI212" s="35" t="e">
        <f>Table1[[#This Row],[RAB Kegiatan Umum]]/Table1[[#This Row],[Nilai RAB Jaringan
(Exclude Ppn)]]</f>
        <v>#DIV/0!</v>
      </c>
      <c r="AJ212" s="35" t="e">
        <f>Table1[[#This Row],[RAB Pemasangan]]/Table1[[#This Row],[Nilai RAB Jaringan
(Exclude Ppn)]]</f>
        <v>#DIV/0!</v>
      </c>
      <c r="AK212" s="35" t="e">
        <f>Table1[[#This Row],[RAB Pengadaan]]/Table1[[#This Row],[Nilai RAB Jaringan
(Exclude Ppn)]]</f>
        <v>#DIV/0!</v>
      </c>
      <c r="AL212" s="35" t="e">
        <f>Table1[[#This Row],[RAB Perizinan]]/Table1[[#This Row],[Nilai RAB Jaringan
(Exclude Ppn)]]</f>
        <v>#DIV/0!</v>
      </c>
      <c r="AM212" s="42"/>
      <c r="AN212" s="256">
        <v>2867</v>
      </c>
      <c r="AO212" s="256">
        <f>SUM(Table1[[#This Row],[Pipa 63 mm]:[Pipa 1,800 mm]])</f>
        <v>0</v>
      </c>
      <c r="AP212" s="256"/>
      <c r="AQ212" s="256"/>
      <c r="AR212" s="256"/>
      <c r="AS212" s="256"/>
      <c r="AT212" s="256"/>
      <c r="AU212" s="256"/>
      <c r="AV212" s="256"/>
      <c r="AW212" s="256"/>
      <c r="AX212" s="256"/>
      <c r="AY212" s="256"/>
      <c r="AZ212" s="256"/>
      <c r="BA212" s="256"/>
      <c r="BB212" s="256"/>
      <c r="BC212" s="256"/>
      <c r="BD212" s="256"/>
      <c r="BE212" s="256"/>
      <c r="BF212" s="256"/>
      <c r="BG212" s="256"/>
      <c r="BH212" s="256"/>
      <c r="BI212" s="256"/>
      <c r="BJ212" s="416">
        <f>SUM(Table1[[#This Row],[Pipa 63 mm2]:[Pipa 1,800 mm21]])</f>
        <v>2259</v>
      </c>
      <c r="BK212" s="32">
        <v>1315</v>
      </c>
      <c r="BL212" s="32">
        <v>445</v>
      </c>
      <c r="BM212" s="32">
        <v>54</v>
      </c>
      <c r="BN212" s="32">
        <v>445</v>
      </c>
      <c r="BO212" s="32"/>
      <c r="BP212" s="32"/>
      <c r="BQ212" s="32"/>
      <c r="BR212" s="32"/>
      <c r="BS212" s="32"/>
      <c r="BT212" s="32"/>
      <c r="BU212" s="32"/>
      <c r="BV212" s="32"/>
      <c r="BW212" s="32"/>
      <c r="BX212" s="32"/>
      <c r="BY212" s="32"/>
      <c r="BZ212" s="32"/>
      <c r="CA212" s="32"/>
      <c r="CB212" s="32"/>
      <c r="CC212" s="32"/>
      <c r="CD212" s="32"/>
      <c r="CE212" s="32">
        <v>0</v>
      </c>
      <c r="CF212" s="32">
        <v>0</v>
      </c>
      <c r="CG212" s="32">
        <v>0</v>
      </c>
      <c r="CH212" s="32">
        <v>0</v>
      </c>
      <c r="CI212" s="32">
        <f t="shared" si="12"/>
        <v>0</v>
      </c>
      <c r="CJ212" s="60">
        <f>IF((Table1[[#This Row],["Volume
BA MC-0"]]-Table1[[#This Row],[Total Panjang Pipa Aktual
(Sum-&gt;)3]]-Table1[[#This Row],[Total Volume
tidak dapat dipasang]])&gt;=0,Table1[[#This Row],["Volume
BA MC-0"]]-Table1[[#This Row],[Total Panjang Pipa Aktual
(Sum-&gt;)3]]-Table1[[#This Row],[Total Volume
tidak dapat dipasang]],0)</f>
        <v>608</v>
      </c>
      <c r="CK212" s="42"/>
      <c r="CL212" s="113"/>
      <c r="CM212" s="35"/>
      <c r="CN212" s="113"/>
      <c r="CO212" s="113"/>
      <c r="CP2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2" s="61">
        <f>IFERROR(Table1[[#This Row],[Progres Keg. Umum
(%)]]*Table1[[#This Row],[Nilai RAB Jaringan
(file pa aji)]],0)</f>
        <v>0</v>
      </c>
      <c r="CR212" s="61">
        <f>IFERROR(Table1[[#This Row],[Progres MOS
(%)]]*Table1[[#This Row],[Nilai RAB Jaringan
(file pa aji)]],0)</f>
        <v>0</v>
      </c>
      <c r="CS212" s="61">
        <f>IFERROR(Table1[[#This Row],[Progres Pemasangan
(%)]]*Table1[[#This Row],[Nilai RAB Jaringan
(file pa aji)]],0)</f>
        <v>0</v>
      </c>
      <c r="CT212" s="61">
        <f>IFERROR(Table1[[#This Row],[Progres Perizinan
(%)]]*Table1[[#This Row],[Nilai RAB Jaringan
(file pa aji)]],0)</f>
        <v>0</v>
      </c>
      <c r="CU212" s="789">
        <v>3296659365</v>
      </c>
      <c r="CV212" s="299">
        <v>3296659365</v>
      </c>
      <c r="CW212" s="299">
        <v>3296659365</v>
      </c>
      <c r="CX212" s="789">
        <f>_xlfn.XLOOKUP(Table1[[#This Row],[Kode Program]],'[1]Breakdown VOWD Greenfield'!$E:$E,'[1]Breakdown VOWD Greenfield'!$AT:$AT)</f>
        <v>3296659365</v>
      </c>
      <c r="CY212" s="42"/>
      <c r="CZ212" s="300">
        <v>45593</v>
      </c>
      <c r="DA212" s="300">
        <v>45620</v>
      </c>
      <c r="DB212" s="301">
        <v>45614</v>
      </c>
      <c r="DC212" s="286" t="s">
        <v>1596</v>
      </c>
      <c r="DD212" s="62">
        <v>5998011405</v>
      </c>
      <c r="DE2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2" s="301">
        <v>45627</v>
      </c>
      <c r="DG212" s="286" t="s">
        <v>1597</v>
      </c>
      <c r="DH212" s="62">
        <v>5998011405</v>
      </c>
      <c r="DI2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2" s="300">
        <v>45621</v>
      </c>
      <c r="DK212" s="300">
        <v>45683</v>
      </c>
      <c r="DL212" s="301">
        <v>45701</v>
      </c>
      <c r="DM212" s="286" t="s">
        <v>1598</v>
      </c>
      <c r="DN2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2" s="301">
        <v>45714</v>
      </c>
      <c r="DP212" s="286" t="s">
        <v>1599</v>
      </c>
      <c r="DQ212" s="308" t="s">
        <v>365</v>
      </c>
      <c r="DR2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2" s="300">
        <v>45621</v>
      </c>
      <c r="DT212" s="300" t="e">
        <v>#N/A</v>
      </c>
      <c r="DU212" s="300">
        <v>45662</v>
      </c>
      <c r="DV212" s="300" t="e">
        <v>#N/A</v>
      </c>
      <c r="DW212" s="301">
        <v>45701</v>
      </c>
      <c r="DX212" s="286" t="s">
        <v>1600</v>
      </c>
      <c r="DY212" s="304"/>
      <c r="DZ212" s="304"/>
      <c r="EA2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2" s="301">
        <v>45839</v>
      </c>
      <c r="EC212" s="302"/>
      <c r="ED212" s="302"/>
      <c r="EE212" s="300" t="s">
        <v>1601</v>
      </c>
      <c r="EF212" s="35">
        <v>1</v>
      </c>
      <c r="EG212" s="307">
        <v>1</v>
      </c>
      <c r="EH212" s="286" t="str">
        <f>IF(Table1[[#This Row],[PO Material Aktual 
(%)]]&gt;=100%,"Selesai PO = 100%",IF(Table1[[#This Row],[PO Material Aktual 
(%)]]&gt;=50%,"Proses PO &gt; 100%",IF(Table1[[#This Row],[PO Material Aktual 
(%)]]&gt;0%,"Proses PO &gt; 50%",IF(Table1[[#This Row],[PO Material Aktual 
(%)]]=0,"Belum PO = 0%"))))</f>
        <v>Selesai PO = 100%</v>
      </c>
      <c r="EI2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2" s="300">
        <v>45663</v>
      </c>
      <c r="EK212" s="300" t="e">
        <v>#N/A</v>
      </c>
      <c r="EL212" s="300">
        <v>45746</v>
      </c>
      <c r="EM212" s="300" t="e">
        <v>#N/A</v>
      </c>
      <c r="EN212" s="301">
        <v>46151</v>
      </c>
      <c r="EO212" s="302"/>
      <c r="EP212" s="302"/>
      <c r="EQ212" s="82">
        <v>1</v>
      </c>
      <c r="ER212" s="82">
        <v>1</v>
      </c>
      <c r="ES212" s="286" t="str">
        <f>IF(Table1[[#This Row],[Progres MOS]]&gt;=100%,"Selesai MOS = 100%",IF(Table1[[#This Row],[Progres MOS]]&gt;=50%,"Proses MOS &gt; 100%",IF(Table1[[#This Row],[Progres MOS]]&gt;0%,"Proses MOS &gt; 50%",IF(Table1[[#This Row],[Progres MOS]]=0,"Belum MOS = 0%"))))</f>
        <v>Selesai MOS = 100%</v>
      </c>
      <c r="ET2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2" s="42"/>
      <c r="EV212" s="300">
        <v>45621</v>
      </c>
      <c r="EW212" s="300" t="e">
        <v>#N/A</v>
      </c>
      <c r="EX212" s="300">
        <v>45711</v>
      </c>
      <c r="EY212" s="300" t="e">
        <v>#N/A</v>
      </c>
      <c r="EZ212" s="322" t="s">
        <v>298</v>
      </c>
      <c r="FA212" s="306" t="s">
        <v>259</v>
      </c>
      <c r="FB212" s="300" t="s">
        <v>260</v>
      </c>
      <c r="FC212" s="300">
        <v>45805</v>
      </c>
      <c r="FD212" s="300" t="s">
        <v>260</v>
      </c>
      <c r="FE212" s="300">
        <v>45863</v>
      </c>
      <c r="FF212" s="300">
        <v>45958</v>
      </c>
      <c r="FG212" s="300" t="s">
        <v>260</v>
      </c>
      <c r="FH212" s="300" t="s">
        <v>260</v>
      </c>
      <c r="FI212" s="300">
        <v>46003</v>
      </c>
      <c r="FJ212" s="300" t="s">
        <v>260</v>
      </c>
      <c r="FK212" s="300">
        <v>46111</v>
      </c>
      <c r="FL212" s="306" t="s">
        <v>298</v>
      </c>
      <c r="FM212" s="322">
        <v>45805</v>
      </c>
      <c r="FN212" s="308">
        <f>IF(Table1[[#This Row],[Tanggal Pengajuan Dokumen]]="","",Table1[[#This Row],[PLAN PERMIT
start]]-Table1[[#This Row],[Tanggal Pengajuan Dokumen]])</f>
        <v>-184</v>
      </c>
      <c r="FO212" s="407">
        <v>46086</v>
      </c>
      <c r="FP212" s="286"/>
      <c r="FQ212" s="308"/>
      <c r="FR212" s="308"/>
      <c r="FS212" s="308" t="str">
        <f t="shared" si="11"/>
        <v>Sudah Terbit</v>
      </c>
      <c r="FT2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2" s="314">
        <f ca="1">IF(Table1[[#This Row],[Status Izin]]="Selesai",Table1[[#This Row],[PLAN PERMIT
finish]]-Table1[[#This Row],[Tanggal Terbit/ Target Izin Terbit]],ROUNDUP(Table1[[#This Row],[PLAN PERMIT
finish]]-NOW(),0))</f>
        <v>-375</v>
      </c>
      <c r="FV2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2" s="314"/>
      <c r="FX212" s="42"/>
      <c r="FY212" s="310"/>
      <c r="FZ212" s="311"/>
      <c r="GA2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2" s="300">
        <v>45685</v>
      </c>
      <c r="GC212" s="322">
        <v>45547</v>
      </c>
      <c r="GD2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2" s="300">
        <v>45692</v>
      </c>
      <c r="GF212" s="322">
        <v>45547</v>
      </c>
      <c r="GG2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2" s="300">
        <v>45698</v>
      </c>
      <c r="GI212" s="300">
        <v>45704</v>
      </c>
      <c r="GJ212" s="322">
        <v>45705</v>
      </c>
      <c r="GK2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2" s="300">
        <v>45712</v>
      </c>
      <c r="GM212" s="300" t="e">
        <v>#N/A</v>
      </c>
      <c r="GN212" s="300">
        <v>45816</v>
      </c>
      <c r="GO212" s="300" t="e">
        <v>#N/A</v>
      </c>
      <c r="GP212" s="286"/>
      <c r="GQ2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2" s="300" t="s">
        <v>261</v>
      </c>
      <c r="GS212" s="391" t="s">
        <v>261</v>
      </c>
      <c r="GT212" s="422" t="s">
        <v>1602</v>
      </c>
      <c r="GU212" s="393" t="str">
        <f>IF(Table1[[#This Row],[Hydro Tes Actual
(tanggal)]]&lt;&gt;"","Sudah","Belum")</f>
        <v>Sudah</v>
      </c>
      <c r="GV212" s="300" t="s">
        <v>261</v>
      </c>
      <c r="GW212" s="300" t="s">
        <v>261</v>
      </c>
      <c r="GX212" s="301">
        <v>45898</v>
      </c>
      <c r="GY212" s="314" t="str">
        <f>IF(Table1[[#This Row],[Interkoneksi Actual
(tanggal)]]&lt;&gt;"","Sudah","Belum")</f>
        <v>Sudah</v>
      </c>
      <c r="GZ212" s="300" t="s">
        <v>261</v>
      </c>
      <c r="HA212" s="300" t="s">
        <v>261</v>
      </c>
      <c r="HB212" s="301">
        <v>45901</v>
      </c>
      <c r="HC212" s="314" t="str">
        <f>IF(Table1[[#This Row],[Flushing Actual
(tanggal)]]&lt;&gt;"","Sudah","Belum")</f>
        <v>Sudah</v>
      </c>
      <c r="HD212" s="300">
        <v>45789</v>
      </c>
      <c r="HE212" s="300" t="e">
        <v>#N/A</v>
      </c>
      <c r="HF212" s="300">
        <v>45809</v>
      </c>
      <c r="HG212" s="322">
        <v>45957</v>
      </c>
      <c r="HH2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2" s="300" t="s">
        <v>261</v>
      </c>
      <c r="HJ212" s="300" t="s">
        <v>261</v>
      </c>
      <c r="HK212" s="301"/>
      <c r="HL212" s="286"/>
      <c r="HM212" s="300">
        <v>45828</v>
      </c>
      <c r="HN212" s="300">
        <v>45828</v>
      </c>
      <c r="HO212" s="300" t="e">
        <v>#N/A</v>
      </c>
      <c r="HP212" s="300"/>
      <c r="HQ212" s="301">
        <v>45992</v>
      </c>
      <c r="HR2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2" s="300">
        <v>45835</v>
      </c>
      <c r="HT212" s="300"/>
      <c r="HU212" s="300">
        <v>45835</v>
      </c>
      <c r="HV212" s="497"/>
      <c r="HW212" s="301">
        <v>46009</v>
      </c>
      <c r="HX2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2" s="42"/>
      <c r="HZ212" s="322"/>
      <c r="IA212" s="306"/>
      <c r="IC212" s="585">
        <f>IFERROR(ROUND((Table1[[#This Row],[PLAN TC
finish]]-Table1[[#This Row],[PLAN MC-0
start]])/30,2),"")</f>
        <v>3.7</v>
      </c>
      <c r="ID212">
        <f>DATEDIF(Table1[[#This Row],[PLAN MC-0
start]],Table1[[#This Row],[PLAN TC
finish]],"m")</f>
        <v>3</v>
      </c>
    </row>
    <row r="213" spans="1:238" s="30" customFormat="1" ht="15" customHeight="1" x14ac:dyDescent="0.25">
      <c r="A213" s="72"/>
      <c r="B213" s="281">
        <f>SUBTOTAL(3,$D$5:D213)</f>
        <v>209</v>
      </c>
      <c r="C213" s="332">
        <v>209</v>
      </c>
      <c r="D213" s="333" t="s">
        <v>673</v>
      </c>
      <c r="E213" s="336" t="s">
        <v>1603</v>
      </c>
      <c r="F213" s="336" t="s">
        <v>1604</v>
      </c>
      <c r="G213" s="334">
        <v>45935</v>
      </c>
      <c r="H213" s="335" t="s">
        <v>247</v>
      </c>
      <c r="I213" s="336" t="s">
        <v>278</v>
      </c>
      <c r="J213" s="355" t="s">
        <v>389</v>
      </c>
      <c r="K213" s="336" t="s">
        <v>676</v>
      </c>
      <c r="L213" s="337" t="s">
        <v>250</v>
      </c>
      <c r="M213" s="337" t="s">
        <v>269</v>
      </c>
      <c r="N213" s="338">
        <v>75</v>
      </c>
      <c r="O213" s="349" t="s">
        <v>252</v>
      </c>
      <c r="P213"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3" s="340" t="s">
        <v>389</v>
      </c>
      <c r="R213" s="341" t="e">
        <v>#N/A</v>
      </c>
      <c r="S213" s="341">
        <v>1</v>
      </c>
      <c r="T213" s="341">
        <f>Table1[[#This Row],[Progres Total Aktual
(%)]]</f>
        <v>0</v>
      </c>
      <c r="U213" s="342">
        <f>Table1[[#This Row],[Progres Aktual
(%)]]-Table1[[#This Row],[Target Progres
(%)]]</f>
        <v>-1</v>
      </c>
      <c r="V213" s="343">
        <f>Table1[[#This Row],["Volume
BA MC-0"]]</f>
        <v>0</v>
      </c>
      <c r="W213" s="344">
        <f>Table1[[#This Row],[Total Panjang Pipa Aktual
(Sum-&gt;)3]]</f>
        <v>0</v>
      </c>
      <c r="X213" s="42"/>
      <c r="Y213" s="345" t="s">
        <v>1605</v>
      </c>
      <c r="Z213" s="345">
        <v>270129954</v>
      </c>
      <c r="AA213" s="62">
        <f>Table1[[#This Row],[Nilai RAB Jaringan
(file pa aji)]]</f>
        <v>270129954</v>
      </c>
      <c r="AB213" s="340">
        <f>SUM(Table1[[#This Row],[RAB Kegiatan Umum]:[RAB Perizinan]])</f>
        <v>0</v>
      </c>
      <c r="AC213" s="340"/>
      <c r="AD213" s="340"/>
      <c r="AE213" s="340"/>
      <c r="AF213" s="340"/>
      <c r="AG213" s="409">
        <v>26645428</v>
      </c>
      <c r="AH213" s="341" t="e">
        <f>SUM(Table1[[#This Row],[Bobot Keg Umum]:[Bobot Perizinan]])</f>
        <v>#DIV/0!</v>
      </c>
      <c r="AI213" s="341" t="e">
        <f>Table1[[#This Row],[RAB Kegiatan Umum]]/Table1[[#This Row],[Nilai RAB Jaringan
(Exclude Ppn)]]</f>
        <v>#DIV/0!</v>
      </c>
      <c r="AJ213" s="341" t="e">
        <f>Table1[[#This Row],[RAB Pemasangan]]/Table1[[#This Row],[Nilai RAB Jaringan
(Exclude Ppn)]]</f>
        <v>#DIV/0!</v>
      </c>
      <c r="AK213" s="341" t="e">
        <f>Table1[[#This Row],[RAB Pengadaan]]/Table1[[#This Row],[Nilai RAB Jaringan
(Exclude Ppn)]]</f>
        <v>#DIV/0!</v>
      </c>
      <c r="AL213" s="341" t="e">
        <f>Table1[[#This Row],[RAB Perizinan]]/Table1[[#This Row],[Nilai RAB Jaringan
(Exclude Ppn)]]</f>
        <v>#DIV/0!</v>
      </c>
      <c r="AM213" s="42"/>
      <c r="AN213" s="346">
        <v>0</v>
      </c>
      <c r="AO213" s="346">
        <f>SUM(Table1[[#This Row],[Pipa 63 mm]:[Pipa 1,800 mm]])</f>
        <v>0</v>
      </c>
      <c r="AP213" s="346"/>
      <c r="AQ213" s="346"/>
      <c r="AR213" s="346"/>
      <c r="AS213" s="346"/>
      <c r="AT213" s="346"/>
      <c r="AU213" s="346"/>
      <c r="AV213" s="346"/>
      <c r="AW213" s="346"/>
      <c r="AX213" s="346"/>
      <c r="AY213" s="346"/>
      <c r="AZ213" s="346"/>
      <c r="BA213" s="346"/>
      <c r="BB213" s="346"/>
      <c r="BC213" s="346"/>
      <c r="BD213" s="346"/>
      <c r="BE213" s="346"/>
      <c r="BF213" s="346"/>
      <c r="BG213" s="346"/>
      <c r="BH213" s="346"/>
      <c r="BI213" s="346"/>
      <c r="BJ213" s="421">
        <f>SUM(Table1[[#This Row],[Pipa 63 mm2]:[Pipa 1,800 mm21]])</f>
        <v>0</v>
      </c>
      <c r="BK213" s="348"/>
      <c r="BL213" s="348"/>
      <c r="BM213" s="348"/>
      <c r="BN213" s="348"/>
      <c r="BO213" s="348"/>
      <c r="BP213" s="348"/>
      <c r="BQ213" s="348"/>
      <c r="BR213" s="348"/>
      <c r="BS213" s="348"/>
      <c r="BT213" s="348"/>
      <c r="BU213" s="348"/>
      <c r="BV213" s="348"/>
      <c r="BW213" s="348"/>
      <c r="BX213" s="348"/>
      <c r="BY213" s="348"/>
      <c r="BZ213" s="348"/>
      <c r="CA213" s="348"/>
      <c r="CB213" s="348"/>
      <c r="CC213" s="348"/>
      <c r="CD213" s="348"/>
      <c r="CE213" s="348">
        <v>0</v>
      </c>
      <c r="CF213" s="348">
        <v>0</v>
      </c>
      <c r="CG213" s="348">
        <v>0</v>
      </c>
      <c r="CH213" s="348">
        <v>0</v>
      </c>
      <c r="CI213" s="348">
        <f t="shared" si="12"/>
        <v>0</v>
      </c>
      <c r="CJ213" s="348">
        <f>IF((Table1[[#This Row],["Volume
BA MC-0"]]-Table1[[#This Row],[Total Panjang Pipa Aktual
(Sum-&gt;)3]]-Table1[[#This Row],[Total Volume
tidak dapat dipasang]])&gt;=0,Table1[[#This Row],["Volume
BA MC-0"]]-Table1[[#This Row],[Total Panjang Pipa Aktual
(Sum-&gt;)3]]-Table1[[#This Row],[Total Volume
tidak dapat dipasang]],0)</f>
        <v>0</v>
      </c>
      <c r="CK213" s="42"/>
      <c r="CL213" s="349"/>
      <c r="CM213" s="341"/>
      <c r="CN213" s="349"/>
      <c r="CO213" s="349"/>
      <c r="CP2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13" s="350">
        <f>IFERROR(Table1[[#This Row],[Progres Keg. Umum
(%)]]*Table1[[#This Row],[Nilai RAB Jaringan
(file pa aji)]],0)</f>
        <v>0</v>
      </c>
      <c r="CR213" s="350">
        <f>IFERROR(Table1[[#This Row],[Progres MOS
(%)]]*Table1[[#This Row],[Nilai RAB Jaringan
(file pa aji)]],0)</f>
        <v>0</v>
      </c>
      <c r="CS213" s="350">
        <f>IFERROR(Table1[[#This Row],[Progres Pemasangan
(%)]]*Table1[[#This Row],[Nilai RAB Jaringan
(file pa aji)]],0)</f>
        <v>0</v>
      </c>
      <c r="CT213" s="350">
        <f>IFERROR(Table1[[#This Row],[Progres Perizinan
(%)]]*Table1[[#This Row],[Nilai RAB Jaringan
(file pa aji)]],0)</f>
        <v>0</v>
      </c>
      <c r="CU213" s="789">
        <v>0</v>
      </c>
      <c r="CV213" s="299">
        <v>0</v>
      </c>
      <c r="CW213" s="551">
        <v>0</v>
      </c>
      <c r="CX213" s="789">
        <f>_xlfn.XLOOKUP(Table1[[#This Row],[Kode Program]],'[1]Breakdown VOWD Greenfield'!$E:$E,'[1]Breakdown VOWD Greenfield'!$AT:$AT)</f>
        <v>0</v>
      </c>
      <c r="CY213" s="42"/>
      <c r="CZ213" s="356">
        <v>45593</v>
      </c>
      <c r="DA213" s="356">
        <v>45620</v>
      </c>
      <c r="DB213" s="301">
        <v>45614</v>
      </c>
      <c r="DC213" s="337" t="s">
        <v>1606</v>
      </c>
      <c r="DD213" s="345">
        <v>270129954</v>
      </c>
      <c r="DE2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3" s="301">
        <v>45627</v>
      </c>
      <c r="DG213" s="337" t="s">
        <v>1607</v>
      </c>
      <c r="DH213" s="345">
        <v>270129954</v>
      </c>
      <c r="DI21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3" s="356">
        <v>45621</v>
      </c>
      <c r="DK213" s="356">
        <v>45683</v>
      </c>
      <c r="DL213" s="301"/>
      <c r="DM213" s="337">
        <v>0</v>
      </c>
      <c r="DN2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13" s="301"/>
      <c r="DP213" s="337">
        <v>0</v>
      </c>
      <c r="DQ213" s="336">
        <v>0</v>
      </c>
      <c r="DR2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13" s="356">
        <v>45621</v>
      </c>
      <c r="DT213" s="356" t="e">
        <v>#N/A</v>
      </c>
      <c r="DU213" s="356">
        <v>45662</v>
      </c>
      <c r="DV213" s="356" t="e">
        <v>#N/A</v>
      </c>
      <c r="DW213" s="301"/>
      <c r="DX213" s="337">
        <v>0</v>
      </c>
      <c r="DY213" s="352"/>
      <c r="DZ213" s="352"/>
      <c r="EA2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13" s="301"/>
      <c r="EC213" s="302"/>
      <c r="ED213" s="302"/>
      <c r="EE213" s="300"/>
      <c r="EF213" s="341" t="b">
        <v>0</v>
      </c>
      <c r="EG213" s="353" t="b">
        <v>0</v>
      </c>
      <c r="EH213" s="286" t="str">
        <f>IF(Table1[[#This Row],[PO Material Aktual 
(%)]]&gt;=100%,"Selesai PO = 100%",IF(Table1[[#This Row],[PO Material Aktual 
(%)]]&gt;=50%,"Proses PO &gt; 100%",IF(Table1[[#This Row],[PO Material Aktual 
(%)]]&gt;0%,"Proses PO &gt; 50%",IF(Table1[[#This Row],[PO Material Aktual 
(%)]]=0,"Belum PO = 0%"))))</f>
        <v>Selesai PO = 100%</v>
      </c>
      <c r="EI2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13" s="356">
        <v>45663</v>
      </c>
      <c r="EK213" s="356" t="e">
        <v>#N/A</v>
      </c>
      <c r="EL213" s="356">
        <v>45746</v>
      </c>
      <c r="EM213" s="356" t="e">
        <v>#N/A</v>
      </c>
      <c r="EN213" s="301"/>
      <c r="EO213" s="302"/>
      <c r="EP213" s="302"/>
      <c r="EQ213" s="83" t="b">
        <v>0</v>
      </c>
      <c r="ER213" s="83" t="b">
        <v>0</v>
      </c>
      <c r="ES213" s="286" t="str">
        <f>IF(Table1[[#This Row],[Progres MOS]]&gt;=100%,"Selesai MOS = 100%",IF(Table1[[#This Row],[Progres MOS]]&gt;=50%,"Proses MOS &gt; 100%",IF(Table1[[#This Row],[Progres MOS]]&gt;0%,"Proses MOS &gt; 50%",IF(Table1[[#This Row],[Progres MOS]]=0,"Belum MOS = 0%"))))</f>
        <v>Selesai MOS = 100%</v>
      </c>
      <c r="ET2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3" s="42"/>
      <c r="EV213" s="356">
        <v>45621</v>
      </c>
      <c r="EW213" s="356" t="e">
        <v>#N/A</v>
      </c>
      <c r="EX213" s="356">
        <v>45711</v>
      </c>
      <c r="EY213" s="356" t="e">
        <v>#N/A</v>
      </c>
      <c r="EZ213" s="354" t="s">
        <v>1592</v>
      </c>
      <c r="FA213" s="355" t="s">
        <v>389</v>
      </c>
      <c r="FB213" s="356"/>
      <c r="FC213" s="300"/>
      <c r="FD213" s="356"/>
      <c r="FE213" s="356"/>
      <c r="FF213" s="356"/>
      <c r="FG213" s="356"/>
      <c r="FH213" s="356"/>
      <c r="FI213" s="356"/>
      <c r="FJ213" s="356"/>
      <c r="FK213" s="356"/>
      <c r="FL213" s="306" t="str">
        <f>Table1[[#This Row],[IPPJU]]</f>
        <v>8.Rekomtek Terbit</v>
      </c>
      <c r="FM213" s="306"/>
      <c r="FN213" s="284" t="str">
        <f>IF(Table1[[#This Row],[Tanggal Pengajuan Dokumen]]="","",Table1[[#This Row],[PLAN PERMIT
start]]-Table1[[#This Row],[Tanggal Pengajuan Dokumen]])</f>
        <v/>
      </c>
      <c r="FO213" s="414">
        <v>0</v>
      </c>
      <c r="FP213" s="286"/>
      <c r="FQ213" s="308"/>
      <c r="FR213" s="308"/>
      <c r="FS213" s="308" t="str">
        <f t="shared" si="11"/>
        <v>Sudah Terbit</v>
      </c>
      <c r="FT213"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3" s="357">
        <f ca="1">IF(Table1[[#This Row],[Status Izin]]="Selesai",Table1[[#This Row],[PLAN PERMIT
finish]]-Table1[[#This Row],[Tanggal Terbit/ Target Izin Terbit]],ROUNDUP(Table1[[#This Row],[PLAN PERMIT
finish]]-NOW(),0))</f>
        <v>45711</v>
      </c>
      <c r="FV213"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13" s="357"/>
      <c r="FX213" s="42"/>
      <c r="FY213" s="310"/>
      <c r="FZ213" s="311"/>
      <c r="GA2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3" s="356">
        <v>45685</v>
      </c>
      <c r="GC213" s="354">
        <v>45425</v>
      </c>
      <c r="GD213"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3" s="356">
        <v>45692</v>
      </c>
      <c r="GF213" s="354">
        <v>0</v>
      </c>
      <c r="GG213"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3" s="356">
        <v>45698</v>
      </c>
      <c r="GI213" s="356">
        <v>45704</v>
      </c>
      <c r="GJ213" s="354">
        <v>0</v>
      </c>
      <c r="GK213"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3" s="356">
        <v>45712</v>
      </c>
      <c r="GM213" s="356" t="e">
        <v>#N/A</v>
      </c>
      <c r="GN213" s="356">
        <v>45746</v>
      </c>
      <c r="GO213" s="356" t="e">
        <v>#N/A</v>
      </c>
      <c r="GP213" s="337"/>
      <c r="GQ213"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3" s="356" t="s">
        <v>261</v>
      </c>
      <c r="GS213" s="404" t="s">
        <v>261</v>
      </c>
      <c r="GT213" s="360"/>
      <c r="GU213" s="405" t="str">
        <f>IF(Table1[[#This Row],[Hydro Tes Actual
(tanggal)]]&lt;&gt;"","Sudah","Belum")</f>
        <v>Belum</v>
      </c>
      <c r="GV213" s="356" t="s">
        <v>261</v>
      </c>
      <c r="GW213" s="356" t="s">
        <v>261</v>
      </c>
      <c r="GX213" s="358"/>
      <c r="GY213" s="314" t="str">
        <f>IF(Table1[[#This Row],[Interkoneksi Actual
(tanggal)]]&lt;&gt;"","Sudah","Belum")</f>
        <v>Belum</v>
      </c>
      <c r="GZ213" s="356" t="s">
        <v>261</v>
      </c>
      <c r="HA213" s="356" t="s">
        <v>261</v>
      </c>
      <c r="HB213" s="423"/>
      <c r="HC213" s="314" t="str">
        <f>IF(Table1[[#This Row],[Flushing Actual
(tanggal)]]&lt;&gt;"","Sudah","Belum")</f>
        <v>Belum</v>
      </c>
      <c r="HD213" s="356">
        <v>45719</v>
      </c>
      <c r="HE213" s="356" t="e">
        <v>#N/A</v>
      </c>
      <c r="HF213" s="356">
        <v>45739</v>
      </c>
      <c r="HG213" s="354"/>
      <c r="HH213"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3" s="356" t="s">
        <v>261</v>
      </c>
      <c r="HJ213" s="356" t="s">
        <v>261</v>
      </c>
      <c r="HK213" s="358"/>
      <c r="HL213" s="337"/>
      <c r="HM213" s="356">
        <v>45751</v>
      </c>
      <c r="HN213" s="356">
        <v>45751</v>
      </c>
      <c r="HO213" s="356" t="e">
        <v>#N/A</v>
      </c>
      <c r="HP213" s="356"/>
      <c r="HQ213" s="358"/>
      <c r="HR213"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3" s="356">
        <v>45758</v>
      </c>
      <c r="HT213" s="356"/>
      <c r="HU213" s="356">
        <v>45758</v>
      </c>
      <c r="HV213" s="580"/>
      <c r="HW213" s="358"/>
      <c r="HX213"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3" s="42"/>
      <c r="HZ213" s="354"/>
      <c r="IA213" s="306"/>
      <c r="IC213" s="585">
        <f>IFERROR(ROUND((Table1[[#This Row],[PLAN TC
finish]]-Table1[[#This Row],[PLAN MC-0
start]])/30,2),"")</f>
        <v>1.37</v>
      </c>
      <c r="ID213">
        <f>DATEDIF(Table1[[#This Row],[PLAN MC-0
start]],Table1[[#This Row],[PLAN TC
finish]],"m")</f>
        <v>1</v>
      </c>
    </row>
    <row r="214" spans="1:238" s="4" customFormat="1" ht="15" customHeight="1" x14ac:dyDescent="0.25">
      <c r="B214" s="281">
        <f>SUBTOTAL(3,$D$5:D214)</f>
        <v>210</v>
      </c>
      <c r="C214" s="318">
        <v>210</v>
      </c>
      <c r="D214" s="285" t="s">
        <v>673</v>
      </c>
      <c r="E214" s="308" t="s">
        <v>1608</v>
      </c>
      <c r="F214" s="308" t="s">
        <v>1609</v>
      </c>
      <c r="G214" s="319">
        <v>45935</v>
      </c>
      <c r="H214" s="284" t="s">
        <v>247</v>
      </c>
      <c r="I214" s="308" t="s">
        <v>278</v>
      </c>
      <c r="J214" s="285"/>
      <c r="K214" s="308" t="s">
        <v>676</v>
      </c>
      <c r="L214" s="286" t="s">
        <v>250</v>
      </c>
      <c r="M214" s="286" t="s">
        <v>269</v>
      </c>
      <c r="N214" s="94">
        <v>1621</v>
      </c>
      <c r="O214" s="113" t="s">
        <v>252</v>
      </c>
      <c r="P21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4" s="35" t="e">
        <v>#N/A</v>
      </c>
      <c r="S214" s="35">
        <v>1</v>
      </c>
      <c r="T214" s="35">
        <f>Table1[[#This Row],[Progres Total Aktual
(%)]]</f>
        <v>1</v>
      </c>
      <c r="U214" s="106">
        <f>Table1[[#This Row],[Progres Aktual
(%)]]-Table1[[#This Row],[Target Progres
(%)]]</f>
        <v>0</v>
      </c>
      <c r="V214" s="320">
        <f>Table1[[#This Row],["Volume
BA MC-0"]]</f>
        <v>1608</v>
      </c>
      <c r="W214" s="321">
        <f>Table1[[#This Row],[Total Panjang Pipa Aktual
(Sum-&gt;)3]]</f>
        <v>1608</v>
      </c>
      <c r="X214" s="42"/>
      <c r="Y214" s="62" t="s">
        <v>1610</v>
      </c>
      <c r="Z214" s="62">
        <v>1986204832</v>
      </c>
      <c r="AA214" s="62">
        <f>Table1[[#This Row],[Nilai RAB Jaringan
(file pa aji)]]</f>
        <v>1986204832</v>
      </c>
      <c r="AB214" s="290">
        <f>SUM(Table1[[#This Row],[RAB Kegiatan Umum]:[RAB Perizinan]])</f>
        <v>0</v>
      </c>
      <c r="AC214" s="290"/>
      <c r="AD214" s="290"/>
      <c r="AE214" s="290"/>
      <c r="AF214" s="290"/>
      <c r="AG214" s="406">
        <v>297199004</v>
      </c>
      <c r="AH214" s="35" t="e">
        <f>SUM(Table1[[#This Row],[Bobot Keg Umum]:[Bobot Perizinan]])</f>
        <v>#DIV/0!</v>
      </c>
      <c r="AI214" s="35" t="e">
        <f>Table1[[#This Row],[RAB Kegiatan Umum]]/Table1[[#This Row],[Nilai RAB Jaringan
(Exclude Ppn)]]</f>
        <v>#DIV/0!</v>
      </c>
      <c r="AJ214" s="35" t="e">
        <f>Table1[[#This Row],[RAB Pemasangan]]/Table1[[#This Row],[Nilai RAB Jaringan
(Exclude Ppn)]]</f>
        <v>#DIV/0!</v>
      </c>
      <c r="AK214" s="35" t="e">
        <f>Table1[[#This Row],[RAB Pengadaan]]/Table1[[#This Row],[Nilai RAB Jaringan
(Exclude Ppn)]]</f>
        <v>#DIV/0!</v>
      </c>
      <c r="AL214" s="35" t="e">
        <f>Table1[[#This Row],[RAB Perizinan]]/Table1[[#This Row],[Nilai RAB Jaringan
(Exclude Ppn)]]</f>
        <v>#DIV/0!</v>
      </c>
      <c r="AM214" s="42"/>
      <c r="AN214" s="256">
        <v>1608</v>
      </c>
      <c r="AO214" s="256">
        <f>SUM(Table1[[#This Row],[Pipa 63 mm]:[Pipa 1,800 mm]])</f>
        <v>0</v>
      </c>
      <c r="AP214" s="256"/>
      <c r="AQ214" s="256"/>
      <c r="AR214" s="256"/>
      <c r="AS214" s="256"/>
      <c r="AT214" s="256"/>
      <c r="AU214" s="256"/>
      <c r="AV214" s="256"/>
      <c r="AW214" s="256"/>
      <c r="AX214" s="256"/>
      <c r="AY214" s="256"/>
      <c r="AZ214" s="256"/>
      <c r="BA214" s="256"/>
      <c r="BB214" s="256"/>
      <c r="BC214" s="256"/>
      <c r="BD214" s="256"/>
      <c r="BE214" s="256"/>
      <c r="BF214" s="256"/>
      <c r="BG214" s="256"/>
      <c r="BH214" s="256"/>
      <c r="BI214" s="256"/>
      <c r="BJ214" s="416">
        <f>SUM(Table1[[#This Row],[Pipa 63 mm2]:[Pipa 1,800 mm21]])</f>
        <v>1608</v>
      </c>
      <c r="BK214" s="32">
        <v>1556</v>
      </c>
      <c r="BL214" s="32">
        <v>44</v>
      </c>
      <c r="BM214" s="32">
        <v>8</v>
      </c>
      <c r="BN214" s="32"/>
      <c r="BO214" s="32"/>
      <c r="BP214" s="32"/>
      <c r="BQ214" s="32"/>
      <c r="BR214" s="32"/>
      <c r="BS214" s="32"/>
      <c r="BT214" s="32"/>
      <c r="BU214" s="32"/>
      <c r="BV214" s="32"/>
      <c r="BW214" s="32"/>
      <c r="BX214" s="32"/>
      <c r="BY214" s="32"/>
      <c r="BZ214" s="32"/>
      <c r="CA214" s="32"/>
      <c r="CB214" s="32"/>
      <c r="CC214" s="32"/>
      <c r="CD214" s="32"/>
      <c r="CE214" s="32">
        <v>0</v>
      </c>
      <c r="CF214" s="32">
        <v>0</v>
      </c>
      <c r="CG214" s="32">
        <v>0</v>
      </c>
      <c r="CH214" s="32">
        <v>0</v>
      </c>
      <c r="CI214" s="32">
        <f t="shared" si="12"/>
        <v>0</v>
      </c>
      <c r="CJ214" s="60">
        <f>IF((Table1[[#This Row],["Volume
BA MC-0"]]-Table1[[#This Row],[Total Panjang Pipa Aktual
(Sum-&gt;)3]]-Table1[[#This Row],[Total Volume
tidak dapat dipasang]])&gt;=0,Table1[[#This Row],["Volume
BA MC-0"]]-Table1[[#This Row],[Total Panjang Pipa Aktual
(Sum-&gt;)3]]-Table1[[#This Row],[Total Volume
tidak dapat dipasang]],0)</f>
        <v>0</v>
      </c>
      <c r="CK214" s="42"/>
      <c r="CL214" s="113"/>
      <c r="CM214" s="35"/>
      <c r="CN214" s="113"/>
      <c r="CO214" s="113"/>
      <c r="CP2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4" s="61">
        <f>IFERROR(Table1[[#This Row],[Progres Keg. Umum
(%)]]*Table1[[#This Row],[Nilai RAB Jaringan
(file pa aji)]],0)</f>
        <v>0</v>
      </c>
      <c r="CR214" s="61">
        <f>IFERROR(Table1[[#This Row],[Progres MOS
(%)]]*Table1[[#This Row],[Nilai RAB Jaringan
(file pa aji)]],0)</f>
        <v>0</v>
      </c>
      <c r="CS214" s="61">
        <f>IFERROR(Table1[[#This Row],[Progres Pemasangan
(%)]]*Table1[[#This Row],[Nilai RAB Jaringan
(file pa aji)]],0)</f>
        <v>0</v>
      </c>
      <c r="CT214" s="61">
        <f>IFERROR(Table1[[#This Row],[Progres Perizinan
(%)]]*Table1[[#This Row],[Nilai RAB Jaringan
(file pa aji)]],0)</f>
        <v>0</v>
      </c>
      <c r="CU214" s="789">
        <v>1754964205</v>
      </c>
      <c r="CV214" s="299">
        <v>1754964205</v>
      </c>
      <c r="CW214" s="552">
        <v>1754964205</v>
      </c>
      <c r="CX214" s="789">
        <f>_xlfn.XLOOKUP(Table1[[#This Row],[Kode Program]],'[1]Breakdown VOWD Greenfield'!$E:$E,'[1]Breakdown VOWD Greenfield'!$AT:$AT)</f>
        <v>1754964205</v>
      </c>
      <c r="CY214" s="42"/>
      <c r="CZ214" s="300">
        <v>45565</v>
      </c>
      <c r="DA214" s="300">
        <v>45585</v>
      </c>
      <c r="DB214" s="301">
        <v>45568</v>
      </c>
      <c r="DC214" s="286" t="s">
        <v>1611</v>
      </c>
      <c r="DD214" s="62">
        <v>1986204831</v>
      </c>
      <c r="DE2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4" s="301">
        <v>45576</v>
      </c>
      <c r="DG214" s="286" t="s">
        <v>1612</v>
      </c>
      <c r="DH214" s="62">
        <v>1986204831</v>
      </c>
      <c r="DI2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4" s="300">
        <v>45586</v>
      </c>
      <c r="DK214" s="300">
        <v>45627</v>
      </c>
      <c r="DL214" s="301">
        <v>45604</v>
      </c>
      <c r="DM214" s="286" t="s">
        <v>1613</v>
      </c>
      <c r="DN2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4" s="301">
        <v>45643</v>
      </c>
      <c r="DP214" s="286" t="s">
        <v>1614</v>
      </c>
      <c r="DQ214" s="308" t="s">
        <v>762</v>
      </c>
      <c r="DR2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4" s="300">
        <v>45586</v>
      </c>
      <c r="DT214" s="300" t="e">
        <v>#N/A</v>
      </c>
      <c r="DU214" s="300">
        <v>45620</v>
      </c>
      <c r="DV214" s="300" t="e">
        <v>#N/A</v>
      </c>
      <c r="DW214" s="301">
        <v>45608</v>
      </c>
      <c r="DX214" s="286" t="s">
        <v>1615</v>
      </c>
      <c r="DY214" s="304"/>
      <c r="DZ214" s="304"/>
      <c r="EA2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4" s="301">
        <v>45798</v>
      </c>
      <c r="EC214" s="302"/>
      <c r="ED214" s="302"/>
      <c r="EE214" s="300" t="s">
        <v>1616</v>
      </c>
      <c r="EF214" s="35">
        <v>1</v>
      </c>
      <c r="EG214" s="307">
        <v>1</v>
      </c>
      <c r="EH214" s="286" t="str">
        <f>IF(Table1[[#This Row],[PO Material Aktual 
(%)]]&gt;=100%,"Selesai PO = 100%",IF(Table1[[#This Row],[PO Material Aktual 
(%)]]&gt;=50%,"Proses PO &gt; 100%",IF(Table1[[#This Row],[PO Material Aktual 
(%)]]&gt;0%,"Proses PO &gt; 50%",IF(Table1[[#This Row],[PO Material Aktual 
(%)]]=0,"Belum PO = 0%"))))</f>
        <v>Selesai PO = 100%</v>
      </c>
      <c r="EI21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4" s="300">
        <v>45621</v>
      </c>
      <c r="EK214" s="300" t="e">
        <v>#N/A</v>
      </c>
      <c r="EL214" s="300">
        <v>45683</v>
      </c>
      <c r="EM214" s="300" t="e">
        <v>#N/A</v>
      </c>
      <c r="EN214" s="301">
        <v>45896</v>
      </c>
      <c r="EO214" s="302"/>
      <c r="EP214" s="302"/>
      <c r="EQ214" s="82">
        <v>1</v>
      </c>
      <c r="ER214" s="82">
        <v>1</v>
      </c>
      <c r="ES214" s="286" t="str">
        <f>IF(Table1[[#This Row],[Progres MOS]]&gt;=100%,"Selesai MOS = 100%",IF(Table1[[#This Row],[Progres MOS]]&gt;=50%,"Proses MOS &gt; 100%",IF(Table1[[#This Row],[Progres MOS]]&gt;0%,"Proses MOS &gt; 50%",IF(Table1[[#This Row],[Progres MOS]]=0,"Belum MOS = 0%"))))</f>
        <v>Selesai MOS = 100%</v>
      </c>
      <c r="ET2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4" s="42"/>
      <c r="EV214" s="300">
        <v>45586</v>
      </c>
      <c r="EW214" s="300" t="e">
        <v>#N/A</v>
      </c>
      <c r="EX214" s="300">
        <v>45655</v>
      </c>
      <c r="EY214" s="300" t="e">
        <v>#N/A</v>
      </c>
      <c r="EZ214" s="322" t="s">
        <v>298</v>
      </c>
      <c r="FA214" s="306" t="s">
        <v>259</v>
      </c>
      <c r="FB214" s="300" t="s">
        <v>260</v>
      </c>
      <c r="FC214" s="300">
        <v>45838</v>
      </c>
      <c r="FD214" s="300" t="s">
        <v>260</v>
      </c>
      <c r="FE214" s="300">
        <v>45910</v>
      </c>
      <c r="FF214" s="300">
        <v>45929</v>
      </c>
      <c r="FG214" s="300" t="s">
        <v>260</v>
      </c>
      <c r="FH214" s="300" t="s">
        <v>260</v>
      </c>
      <c r="FI214" s="300">
        <v>46010</v>
      </c>
      <c r="FJ214" s="300" t="s">
        <v>260</v>
      </c>
      <c r="FK214" s="300">
        <v>46093</v>
      </c>
      <c r="FL214" s="306" t="s">
        <v>298</v>
      </c>
      <c r="FM214" s="322">
        <v>45838</v>
      </c>
      <c r="FN214" s="308">
        <f>IF(Table1[[#This Row],[Tanggal Pengajuan Dokumen]]="","",Table1[[#This Row],[PLAN PERMIT
start]]-Table1[[#This Row],[Tanggal Pengajuan Dokumen]])</f>
        <v>-252</v>
      </c>
      <c r="FO214" s="407">
        <v>46086</v>
      </c>
      <c r="FP214" s="286"/>
      <c r="FQ214" s="308"/>
      <c r="FR214" s="308"/>
      <c r="FS214" s="308" t="str">
        <f t="shared" si="11"/>
        <v>Sudah Terbit</v>
      </c>
      <c r="FT2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4" s="314">
        <f ca="1">IF(Table1[[#This Row],[Status Izin]]="Selesai",Table1[[#This Row],[PLAN PERMIT
finish]]-Table1[[#This Row],[Tanggal Terbit/ Target Izin Terbit]],ROUNDUP(Table1[[#This Row],[PLAN PERMIT
finish]]-NOW(),0))</f>
        <v>-431</v>
      </c>
      <c r="FV2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4" s="314"/>
      <c r="FX214" s="42"/>
      <c r="FY214" s="310"/>
      <c r="FZ214" s="311"/>
      <c r="GA2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4" s="300">
        <v>45629</v>
      </c>
      <c r="GC214" s="322">
        <v>45629</v>
      </c>
      <c r="GD2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4" s="300">
        <v>45636</v>
      </c>
      <c r="GF214" s="322">
        <v>45629</v>
      </c>
      <c r="GG2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4" s="300">
        <v>45642</v>
      </c>
      <c r="GI214" s="300">
        <v>45648</v>
      </c>
      <c r="GJ214" s="322">
        <v>45636</v>
      </c>
      <c r="GK2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4" s="300">
        <v>45656</v>
      </c>
      <c r="GM214" s="300" t="e">
        <v>#N/A</v>
      </c>
      <c r="GN214" s="300">
        <v>45753</v>
      </c>
      <c r="GO214" s="300" t="e">
        <v>#N/A</v>
      </c>
      <c r="GP214" s="286"/>
      <c r="GQ2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4" s="300" t="s">
        <v>261</v>
      </c>
      <c r="GS214" s="391" t="s">
        <v>261</v>
      </c>
      <c r="GT214" s="401" t="s">
        <v>1617</v>
      </c>
      <c r="GU214" s="393" t="str">
        <f>IF(Table1[[#This Row],[Hydro Tes Actual
(tanggal)]]&lt;&gt;"","Sudah","Belum")</f>
        <v>Sudah</v>
      </c>
      <c r="GV214" s="300" t="s">
        <v>261</v>
      </c>
      <c r="GW214" s="300" t="s">
        <v>261</v>
      </c>
      <c r="GX214" s="301">
        <v>45691</v>
      </c>
      <c r="GY214" s="314" t="str">
        <f>IF(Table1[[#This Row],[Interkoneksi Actual
(tanggal)]]&lt;&gt;"","Sudah","Belum")</f>
        <v>Sudah</v>
      </c>
      <c r="GZ214" s="300" t="s">
        <v>261</v>
      </c>
      <c r="HA214" s="391" t="s">
        <v>261</v>
      </c>
      <c r="HB214" s="402">
        <v>45794</v>
      </c>
      <c r="HC214" s="314" t="str">
        <f>IF(Table1[[#This Row],[Flushing Actual
(tanggal)]]&lt;&gt;"","Sudah","Belum")</f>
        <v>Sudah</v>
      </c>
      <c r="HD214" s="300">
        <v>45726</v>
      </c>
      <c r="HE214" s="300" t="e">
        <v>#N/A</v>
      </c>
      <c r="HF214" s="300">
        <v>45746</v>
      </c>
      <c r="HG214" s="322">
        <v>45824</v>
      </c>
      <c r="HH2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4" s="300" t="s">
        <v>261</v>
      </c>
      <c r="HJ214" s="300" t="s">
        <v>261</v>
      </c>
      <c r="HK214" s="301"/>
      <c r="HL214" s="286"/>
      <c r="HM214" s="300">
        <v>45765</v>
      </c>
      <c r="HN214" s="300">
        <v>45765</v>
      </c>
      <c r="HO214" s="300" t="e">
        <v>#N/A</v>
      </c>
      <c r="HP214" s="300"/>
      <c r="HQ214" s="301">
        <v>45926</v>
      </c>
      <c r="HR2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4" s="300">
        <v>45772</v>
      </c>
      <c r="HT214" s="300"/>
      <c r="HU214" s="300">
        <v>45772</v>
      </c>
      <c r="HV214" s="497"/>
      <c r="HW214" s="301">
        <v>45934</v>
      </c>
      <c r="HX21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4" s="42"/>
      <c r="HZ214" s="322"/>
      <c r="IA214" s="306"/>
      <c r="IC214" s="585">
        <f>IFERROR(ROUND((Table1[[#This Row],[PLAN TC
finish]]-Table1[[#This Row],[PLAN MC-0
start]])/30,2),"")</f>
        <v>3.47</v>
      </c>
      <c r="ID214">
        <f>DATEDIF(Table1[[#This Row],[PLAN MC-0
start]],Table1[[#This Row],[PLAN TC
finish]],"m")</f>
        <v>3</v>
      </c>
    </row>
    <row r="215" spans="1:238" s="4" customFormat="1" ht="15" customHeight="1" x14ac:dyDescent="0.25">
      <c r="B215" s="281">
        <f>SUBTOTAL(3,$D$5:D215)</f>
        <v>211</v>
      </c>
      <c r="C215" s="318">
        <v>211</v>
      </c>
      <c r="D215" s="285" t="s">
        <v>673</v>
      </c>
      <c r="E215" s="308" t="s">
        <v>1618</v>
      </c>
      <c r="F215" s="308" t="s">
        <v>1619</v>
      </c>
      <c r="G215" s="319">
        <v>45935</v>
      </c>
      <c r="H215" s="284" t="s">
        <v>247</v>
      </c>
      <c r="I215" s="308" t="s">
        <v>278</v>
      </c>
      <c r="J215" s="285" t="s">
        <v>882</v>
      </c>
      <c r="K215" s="308" t="s">
        <v>676</v>
      </c>
      <c r="L215" s="286" t="s">
        <v>250</v>
      </c>
      <c r="M215" s="286" t="s">
        <v>269</v>
      </c>
      <c r="N215" s="94">
        <v>2484</v>
      </c>
      <c r="O215" s="113" t="s">
        <v>252</v>
      </c>
      <c r="P21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5" s="35" t="e">
        <v>#N/A</v>
      </c>
      <c r="S215" s="35">
        <v>1</v>
      </c>
      <c r="T215" s="35">
        <f>Table1[[#This Row],[Progres Total Aktual
(%)]]</f>
        <v>1</v>
      </c>
      <c r="U215" s="106">
        <f>Table1[[#This Row],[Progres Aktual
(%)]]-Table1[[#This Row],[Target Progres
(%)]]</f>
        <v>0</v>
      </c>
      <c r="V215" s="320">
        <f>Table1[[#This Row],["Volume
BA MC-0"]]</f>
        <v>2409</v>
      </c>
      <c r="W215" s="321">
        <f>Table1[[#This Row],[Total Panjang Pipa Aktual
(Sum-&gt;)3]]</f>
        <v>2499</v>
      </c>
      <c r="X215" s="42"/>
      <c r="Y215" s="62" t="s">
        <v>1620</v>
      </c>
      <c r="Z215" s="62">
        <v>4540806890</v>
      </c>
      <c r="AA215" s="62">
        <f>Table1[[#This Row],[Nilai RAB Jaringan
(file pa aji)]]</f>
        <v>4540806890</v>
      </c>
      <c r="AB215" s="290">
        <f>SUM(Table1[[#This Row],[RAB Kegiatan Umum]:[RAB Perizinan]])</f>
        <v>0</v>
      </c>
      <c r="AC215" s="290"/>
      <c r="AD215" s="290"/>
      <c r="AE215" s="290"/>
      <c r="AF215" s="290"/>
      <c r="AG215" s="406">
        <v>422227550</v>
      </c>
      <c r="AH215" s="35" t="e">
        <f>SUM(Table1[[#This Row],[Bobot Keg Umum]:[Bobot Perizinan]])</f>
        <v>#DIV/0!</v>
      </c>
      <c r="AI215" s="35" t="e">
        <f>Table1[[#This Row],[RAB Kegiatan Umum]]/Table1[[#This Row],[Nilai RAB Jaringan
(Exclude Ppn)]]</f>
        <v>#DIV/0!</v>
      </c>
      <c r="AJ215" s="35" t="e">
        <f>Table1[[#This Row],[RAB Pemasangan]]/Table1[[#This Row],[Nilai RAB Jaringan
(Exclude Ppn)]]</f>
        <v>#DIV/0!</v>
      </c>
      <c r="AK215" s="35" t="e">
        <f>Table1[[#This Row],[RAB Pengadaan]]/Table1[[#This Row],[Nilai RAB Jaringan
(Exclude Ppn)]]</f>
        <v>#DIV/0!</v>
      </c>
      <c r="AL215" s="35" t="e">
        <f>Table1[[#This Row],[RAB Perizinan]]/Table1[[#This Row],[Nilai RAB Jaringan
(Exclude Ppn)]]</f>
        <v>#DIV/0!</v>
      </c>
      <c r="AM215" s="42"/>
      <c r="AN215" s="256">
        <v>2409</v>
      </c>
      <c r="AO215" s="256">
        <f>SUM(Table1[[#This Row],[Pipa 63 mm]:[Pipa 1,800 mm]])</f>
        <v>0</v>
      </c>
      <c r="AP215" s="256"/>
      <c r="AQ215" s="256"/>
      <c r="AR215" s="256"/>
      <c r="AS215" s="256"/>
      <c r="AT215" s="256"/>
      <c r="AU215" s="256"/>
      <c r="AV215" s="256"/>
      <c r="AW215" s="256"/>
      <c r="AX215" s="256"/>
      <c r="AY215" s="256"/>
      <c r="AZ215" s="256"/>
      <c r="BA215" s="256"/>
      <c r="BB215" s="256"/>
      <c r="BC215" s="256"/>
      <c r="BD215" s="256"/>
      <c r="BE215" s="256"/>
      <c r="BF215" s="256"/>
      <c r="BG215" s="256"/>
      <c r="BH215" s="256"/>
      <c r="BI215" s="256"/>
      <c r="BJ215" s="416">
        <f>SUM(Table1[[#This Row],[Pipa 63 mm2]:[Pipa 1,800 mm21]])</f>
        <v>2499</v>
      </c>
      <c r="BK215" s="32">
        <v>2314</v>
      </c>
      <c r="BL215" s="32">
        <v>73</v>
      </c>
      <c r="BM215" s="32">
        <v>82</v>
      </c>
      <c r="BN215" s="32">
        <v>18</v>
      </c>
      <c r="BO215" s="32">
        <v>12</v>
      </c>
      <c r="BP215" s="32"/>
      <c r="BQ215" s="32"/>
      <c r="BR215" s="32"/>
      <c r="BS215" s="32"/>
      <c r="BT215" s="32"/>
      <c r="BU215" s="32"/>
      <c r="BV215" s="32"/>
      <c r="BW215" s="32"/>
      <c r="BX215" s="32"/>
      <c r="BY215" s="32"/>
      <c r="BZ215" s="32"/>
      <c r="CA215" s="32"/>
      <c r="CB215" s="32"/>
      <c r="CC215" s="32"/>
      <c r="CD215" s="32"/>
      <c r="CE215" s="32">
        <v>0</v>
      </c>
      <c r="CF215" s="32">
        <v>0</v>
      </c>
      <c r="CG215" s="32">
        <v>0</v>
      </c>
      <c r="CH215" s="32">
        <v>0</v>
      </c>
      <c r="CI215" s="32">
        <f t="shared" si="12"/>
        <v>0</v>
      </c>
      <c r="CJ215" s="60">
        <f>IF((Table1[[#This Row],["Volume
BA MC-0"]]-Table1[[#This Row],[Total Panjang Pipa Aktual
(Sum-&gt;)3]]-Table1[[#This Row],[Total Volume
tidak dapat dipasang]])&gt;=0,Table1[[#This Row],["Volume
BA MC-0"]]-Table1[[#This Row],[Total Panjang Pipa Aktual
(Sum-&gt;)3]]-Table1[[#This Row],[Total Volume
tidak dapat dipasang]],0)</f>
        <v>0</v>
      </c>
      <c r="CK215" s="42"/>
      <c r="CL215" s="113"/>
      <c r="CM215" s="35"/>
      <c r="CN215" s="113"/>
      <c r="CO215" s="113"/>
      <c r="CP2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5" s="61">
        <f>IFERROR(Table1[[#This Row],[Progres Keg. Umum
(%)]]*Table1[[#This Row],[Nilai RAB Jaringan
(file pa aji)]],0)</f>
        <v>0</v>
      </c>
      <c r="CR215" s="61">
        <f>IFERROR(Table1[[#This Row],[Progres MOS
(%)]]*Table1[[#This Row],[Nilai RAB Jaringan
(file pa aji)]],0)</f>
        <v>0</v>
      </c>
      <c r="CS215" s="61">
        <f>IFERROR(Table1[[#This Row],[Progres Pemasangan
(%)]]*Table1[[#This Row],[Nilai RAB Jaringan
(file pa aji)]],0)</f>
        <v>0</v>
      </c>
      <c r="CT215" s="61">
        <f>IFERROR(Table1[[#This Row],[Progres Perizinan
(%)]]*Table1[[#This Row],[Nilai RAB Jaringan
(file pa aji)]],0)</f>
        <v>0</v>
      </c>
      <c r="CU215" s="789">
        <v>4093349095</v>
      </c>
      <c r="CV215" s="299">
        <v>4093349095</v>
      </c>
      <c r="CW215" s="424">
        <v>4093349095</v>
      </c>
      <c r="CX215" s="789">
        <f>_xlfn.XLOOKUP(Table1[[#This Row],[Kode Program]],'[1]Breakdown VOWD Greenfield'!$E:$E,'[1]Breakdown VOWD Greenfield'!$AT:$AT)</f>
        <v>4093349095</v>
      </c>
      <c r="CY215" s="42"/>
      <c r="CZ215" s="300">
        <v>45565</v>
      </c>
      <c r="DA215" s="300">
        <v>45592</v>
      </c>
      <c r="DB215" s="301">
        <v>45587</v>
      </c>
      <c r="DC215" s="286" t="s">
        <v>1621</v>
      </c>
      <c r="DD215" s="62">
        <v>4540806889.3800001</v>
      </c>
      <c r="DE2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5" s="301">
        <v>45596</v>
      </c>
      <c r="DG215" s="286" t="s">
        <v>1622</v>
      </c>
      <c r="DH215" s="62">
        <v>4540806889.3800001</v>
      </c>
      <c r="DI2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5" s="300">
        <v>45593</v>
      </c>
      <c r="DK215" s="300">
        <v>45655</v>
      </c>
      <c r="DL215" s="301">
        <v>45701</v>
      </c>
      <c r="DM215" s="286" t="s">
        <v>1623</v>
      </c>
      <c r="DN2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5" s="301">
        <v>45719</v>
      </c>
      <c r="DP215" s="286" t="s">
        <v>1624</v>
      </c>
      <c r="DQ215" s="308" t="s">
        <v>560</v>
      </c>
      <c r="DR2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5" s="300">
        <v>45593</v>
      </c>
      <c r="DT215" s="300" t="e">
        <v>#N/A</v>
      </c>
      <c r="DU215" s="300">
        <v>45634</v>
      </c>
      <c r="DV215" s="300" t="e">
        <v>#N/A</v>
      </c>
      <c r="DW215" s="301">
        <v>45701</v>
      </c>
      <c r="DX215" s="286" t="s">
        <v>1625</v>
      </c>
      <c r="DY215" s="304"/>
      <c r="DZ215" s="304"/>
      <c r="EA2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5" s="301">
        <v>46160</v>
      </c>
      <c r="EC215" s="302"/>
      <c r="ED215" s="302"/>
      <c r="EE215" s="300" t="s">
        <v>1626</v>
      </c>
      <c r="EF215" s="35">
        <v>1</v>
      </c>
      <c r="EG215" s="307">
        <v>1</v>
      </c>
      <c r="EH215" s="286" t="str">
        <f>IF(Table1[[#This Row],[PO Material Aktual 
(%)]]&gt;=100%,"Selesai PO = 100%",IF(Table1[[#This Row],[PO Material Aktual 
(%)]]&gt;=50%,"Proses PO &gt; 100%",IF(Table1[[#This Row],[PO Material Aktual 
(%)]]&gt;0%,"Proses PO &gt; 50%",IF(Table1[[#This Row],[PO Material Aktual 
(%)]]=0,"Belum PO = 0%"))))</f>
        <v>Selesai PO = 100%</v>
      </c>
      <c r="EI21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5" s="300">
        <v>45635</v>
      </c>
      <c r="EK215" s="300" t="e">
        <v>#N/A</v>
      </c>
      <c r="EL215" s="300">
        <v>45711</v>
      </c>
      <c r="EM215" s="300" t="e">
        <v>#N/A</v>
      </c>
      <c r="EN215" s="301">
        <v>46151</v>
      </c>
      <c r="EO215" s="302"/>
      <c r="EP215" s="302"/>
      <c r="EQ215" s="82">
        <v>1</v>
      </c>
      <c r="ER215" s="82">
        <v>1</v>
      </c>
      <c r="ES215" s="286" t="str">
        <f>IF(Table1[[#This Row],[Progres MOS]]&gt;=100%,"Selesai MOS = 100%",IF(Table1[[#This Row],[Progres MOS]]&gt;=50%,"Proses MOS &gt; 100%",IF(Table1[[#This Row],[Progres MOS]]&gt;0%,"Proses MOS &gt; 50%",IF(Table1[[#This Row],[Progres MOS]]=0,"Belum MOS = 0%"))))</f>
        <v>Selesai MOS = 100%</v>
      </c>
      <c r="ET2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5" s="42"/>
      <c r="EV215" s="300">
        <v>45593</v>
      </c>
      <c r="EW215" s="300" t="e">
        <v>#N/A</v>
      </c>
      <c r="EX215" s="300">
        <v>45683</v>
      </c>
      <c r="EY215" s="300" t="e">
        <v>#N/A</v>
      </c>
      <c r="EZ215" s="322" t="s">
        <v>298</v>
      </c>
      <c r="FA215" s="306" t="s">
        <v>259</v>
      </c>
      <c r="FB215" s="300" t="s">
        <v>260</v>
      </c>
      <c r="FC215" s="300">
        <v>45838</v>
      </c>
      <c r="FD215" s="300" t="s">
        <v>260</v>
      </c>
      <c r="FE215" s="300">
        <v>45910</v>
      </c>
      <c r="FF215" s="300">
        <v>45929</v>
      </c>
      <c r="FG215" s="300" t="s">
        <v>260</v>
      </c>
      <c r="FH215" s="300" t="s">
        <v>260</v>
      </c>
      <c r="FI215" s="300">
        <v>46010</v>
      </c>
      <c r="FJ215" s="300" t="s">
        <v>260</v>
      </c>
      <c r="FK215" s="300">
        <v>46093</v>
      </c>
      <c r="FL215" s="306" t="s">
        <v>298</v>
      </c>
      <c r="FM215" s="322">
        <v>45838</v>
      </c>
      <c r="FN215" s="308">
        <f>IF(Table1[[#This Row],[Tanggal Pengajuan Dokumen]]="","",Table1[[#This Row],[PLAN PERMIT
start]]-Table1[[#This Row],[Tanggal Pengajuan Dokumen]])</f>
        <v>-245</v>
      </c>
      <c r="FO215" s="407">
        <v>46086</v>
      </c>
      <c r="FP215" s="286"/>
      <c r="FQ215" s="308"/>
      <c r="FR215" s="308"/>
      <c r="FS215" s="308" t="str">
        <f t="shared" si="11"/>
        <v>Sudah Terbit</v>
      </c>
      <c r="FT2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15" s="314">
        <f ca="1">IF(Table1[[#This Row],[Status Izin]]="Selesai",Table1[[#This Row],[PLAN PERMIT
finish]]-Table1[[#This Row],[Tanggal Terbit/ Target Izin Terbit]],ROUNDUP(Table1[[#This Row],[PLAN PERMIT
finish]]-NOW(),0))</f>
        <v>-403</v>
      </c>
      <c r="FV2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5" s="314"/>
      <c r="FX215" s="42"/>
      <c r="FY215" s="310"/>
      <c r="FZ215" s="311"/>
      <c r="GA2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5" s="300">
        <v>45657</v>
      </c>
      <c r="GC215" s="322">
        <v>45547</v>
      </c>
      <c r="GD2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5" s="300">
        <v>45664</v>
      </c>
      <c r="GF215" s="322">
        <v>45547</v>
      </c>
      <c r="GG2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5" s="300">
        <v>45670</v>
      </c>
      <c r="GI215" s="300">
        <v>45676</v>
      </c>
      <c r="GJ215" s="322">
        <v>45707</v>
      </c>
      <c r="GK2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5" s="300">
        <v>45684</v>
      </c>
      <c r="GM215" s="300" t="e">
        <v>#N/A</v>
      </c>
      <c r="GN215" s="300">
        <v>45781</v>
      </c>
      <c r="GO215" s="300" t="e">
        <v>#N/A</v>
      </c>
      <c r="GP215" s="286"/>
      <c r="GQ2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5" s="300" t="s">
        <v>261</v>
      </c>
      <c r="GS215" s="391" t="s">
        <v>261</v>
      </c>
      <c r="GT215" s="422" t="s">
        <v>1627</v>
      </c>
      <c r="GU215" s="393" t="str">
        <f>IF(Table1[[#This Row],[Hydro Tes Actual
(tanggal)]]&lt;&gt;"","Sudah","Belum")</f>
        <v>Sudah</v>
      </c>
      <c r="GV215" s="300" t="s">
        <v>261</v>
      </c>
      <c r="GW215" s="300" t="s">
        <v>261</v>
      </c>
      <c r="GX215" s="425" t="s">
        <v>1628</v>
      </c>
      <c r="GY215" s="314" t="str">
        <f>IF(Table1[[#This Row],[Interkoneksi Actual
(tanggal)]]&lt;&gt;"","Sudah","Belum")</f>
        <v>Sudah</v>
      </c>
      <c r="GZ215" s="300" t="s">
        <v>261</v>
      </c>
      <c r="HA215" s="391" t="s">
        <v>261</v>
      </c>
      <c r="HB215" s="402">
        <v>45922</v>
      </c>
      <c r="HC215" s="314" t="str">
        <f>IF(Table1[[#This Row],[Flushing Actual
(tanggal)]]&lt;&gt;"","Sudah","Belum")</f>
        <v>Sudah</v>
      </c>
      <c r="HD215" s="300">
        <v>45754</v>
      </c>
      <c r="HE215" s="300" t="e">
        <v>#N/A</v>
      </c>
      <c r="HF215" s="300">
        <v>45774</v>
      </c>
      <c r="HG215" s="322">
        <v>45954</v>
      </c>
      <c r="HH2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5" s="300" t="s">
        <v>261</v>
      </c>
      <c r="HJ215" s="300" t="s">
        <v>261</v>
      </c>
      <c r="HK215" s="301"/>
      <c r="HL215" s="286"/>
      <c r="HM215" s="300">
        <v>45793</v>
      </c>
      <c r="HN215" s="300">
        <v>45793</v>
      </c>
      <c r="HO215" s="300" t="e">
        <v>#N/A</v>
      </c>
      <c r="HP215" s="300"/>
      <c r="HQ215" s="301">
        <v>45966</v>
      </c>
      <c r="HR2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5" s="300">
        <v>45800</v>
      </c>
      <c r="HT215" s="300"/>
      <c r="HU215" s="300">
        <v>45800</v>
      </c>
      <c r="HV215" s="497"/>
      <c r="HW215" s="301">
        <v>46008</v>
      </c>
      <c r="HX21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5" s="42"/>
      <c r="HZ215" s="322"/>
      <c r="IA215" s="306"/>
      <c r="IC215" s="585">
        <f>IFERROR(ROUND((Table1[[#This Row],[PLAN TC
finish]]-Table1[[#This Row],[PLAN MC-0
start]])/30,2),"")</f>
        <v>3.47</v>
      </c>
      <c r="ID215">
        <f>DATEDIF(Table1[[#This Row],[PLAN MC-0
start]],Table1[[#This Row],[PLAN TC
finish]],"m")</f>
        <v>3</v>
      </c>
    </row>
    <row r="216" spans="1:238" s="4" customFormat="1" ht="15" customHeight="1" x14ac:dyDescent="0.25">
      <c r="B216" s="281">
        <f>SUBTOTAL(3,$D$5:D216)</f>
        <v>212</v>
      </c>
      <c r="C216" s="318">
        <v>212</v>
      </c>
      <c r="D216" s="285" t="s">
        <v>673</v>
      </c>
      <c r="E216" s="308" t="s">
        <v>1629</v>
      </c>
      <c r="F216" s="308" t="s">
        <v>1630</v>
      </c>
      <c r="G216" s="319">
        <v>45935</v>
      </c>
      <c r="H216" s="284" t="s">
        <v>247</v>
      </c>
      <c r="I216" s="308" t="s">
        <v>278</v>
      </c>
      <c r="J216" s="285"/>
      <c r="K216" s="308" t="s">
        <v>676</v>
      </c>
      <c r="L216" s="286" t="s">
        <v>250</v>
      </c>
      <c r="M216" s="286" t="s">
        <v>269</v>
      </c>
      <c r="N216" s="94">
        <v>3458</v>
      </c>
      <c r="O216" s="113" t="s">
        <v>252</v>
      </c>
      <c r="P21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6" s="35" t="e">
        <v>#N/A</v>
      </c>
      <c r="S216" s="35">
        <v>1</v>
      </c>
      <c r="T216" s="35">
        <f>Table1[[#This Row],[Progres Total Aktual
(%)]]</f>
        <v>1</v>
      </c>
      <c r="U216" s="106">
        <f>Table1[[#This Row],[Progres Aktual
(%)]]-Table1[[#This Row],[Target Progres
(%)]]</f>
        <v>0</v>
      </c>
      <c r="V216" s="320">
        <f>Table1[[#This Row],["Volume
BA MC-0"]]</f>
        <v>3458</v>
      </c>
      <c r="W216" s="321">
        <f>Table1[[#This Row],[Total Panjang Pipa Aktual
(Sum-&gt;)3]]</f>
        <v>3364</v>
      </c>
      <c r="X216" s="42"/>
      <c r="Y216" s="62" t="s">
        <v>1631</v>
      </c>
      <c r="Z216" s="62">
        <v>5153755154</v>
      </c>
      <c r="AA216" s="62">
        <f>Table1[[#This Row],[Nilai RAB Jaringan
(file pa aji)]]</f>
        <v>5153755154</v>
      </c>
      <c r="AB216" s="290">
        <f>SUM(Table1[[#This Row],[RAB Kegiatan Umum]:[RAB Perizinan]])</f>
        <v>0</v>
      </c>
      <c r="AC216" s="290"/>
      <c r="AD216" s="290"/>
      <c r="AE216" s="290"/>
      <c r="AF216" s="290"/>
      <c r="AG216" s="406">
        <v>1024824150</v>
      </c>
      <c r="AH216" s="35" t="e">
        <f>SUM(Table1[[#This Row],[Bobot Keg Umum]:[Bobot Perizinan]])</f>
        <v>#DIV/0!</v>
      </c>
      <c r="AI216" s="35" t="e">
        <f>Table1[[#This Row],[RAB Kegiatan Umum]]/Table1[[#This Row],[Nilai RAB Jaringan
(Exclude Ppn)]]</f>
        <v>#DIV/0!</v>
      </c>
      <c r="AJ216" s="35" t="e">
        <f>Table1[[#This Row],[RAB Pemasangan]]/Table1[[#This Row],[Nilai RAB Jaringan
(Exclude Ppn)]]</f>
        <v>#DIV/0!</v>
      </c>
      <c r="AK216" s="35" t="e">
        <f>Table1[[#This Row],[RAB Pengadaan]]/Table1[[#This Row],[Nilai RAB Jaringan
(Exclude Ppn)]]</f>
        <v>#DIV/0!</v>
      </c>
      <c r="AL216" s="35" t="e">
        <f>Table1[[#This Row],[RAB Perizinan]]/Table1[[#This Row],[Nilai RAB Jaringan
(Exclude Ppn)]]</f>
        <v>#DIV/0!</v>
      </c>
      <c r="AM216" s="42"/>
      <c r="AN216" s="256">
        <v>3458</v>
      </c>
      <c r="AO216" s="256">
        <f>SUM(Table1[[#This Row],[Pipa 63 mm]:[Pipa 1,800 mm]])</f>
        <v>0</v>
      </c>
      <c r="AP216" s="256"/>
      <c r="AQ216" s="256"/>
      <c r="AR216" s="256"/>
      <c r="AS216" s="256"/>
      <c r="AT216" s="256"/>
      <c r="AU216" s="256"/>
      <c r="AV216" s="256"/>
      <c r="AW216" s="256"/>
      <c r="AX216" s="256"/>
      <c r="AY216" s="256"/>
      <c r="AZ216" s="256"/>
      <c r="BA216" s="256"/>
      <c r="BB216" s="256"/>
      <c r="BC216" s="256"/>
      <c r="BD216" s="256"/>
      <c r="BE216" s="256"/>
      <c r="BF216" s="256"/>
      <c r="BG216" s="256"/>
      <c r="BH216" s="256"/>
      <c r="BI216" s="256"/>
      <c r="BJ216" s="416">
        <f>SUM(Table1[[#This Row],[Pipa 63 mm2]:[Pipa 1,800 mm21]])</f>
        <v>3364</v>
      </c>
      <c r="BK216" s="32">
        <v>2007</v>
      </c>
      <c r="BL216" s="32">
        <v>1350</v>
      </c>
      <c r="BM216" s="32">
        <v>7</v>
      </c>
      <c r="BN216" s="32"/>
      <c r="BO216" s="32"/>
      <c r="BP216" s="32"/>
      <c r="BQ216" s="32"/>
      <c r="BR216" s="32"/>
      <c r="BS216" s="32"/>
      <c r="BT216" s="32"/>
      <c r="BU216" s="32"/>
      <c r="BV216" s="32"/>
      <c r="BW216" s="32"/>
      <c r="BX216" s="32"/>
      <c r="BY216" s="32"/>
      <c r="BZ216" s="32"/>
      <c r="CA216" s="32"/>
      <c r="CB216" s="32"/>
      <c r="CC216" s="32"/>
      <c r="CD216" s="32"/>
      <c r="CE216" s="32">
        <v>0</v>
      </c>
      <c r="CF216" s="32">
        <v>0</v>
      </c>
      <c r="CG216" s="32">
        <v>0</v>
      </c>
      <c r="CH216" s="32">
        <v>0</v>
      </c>
      <c r="CI216" s="32">
        <f t="shared" si="12"/>
        <v>0</v>
      </c>
      <c r="CJ216" s="60">
        <f>IF((Table1[[#This Row],["Volume
BA MC-0"]]-Table1[[#This Row],[Total Panjang Pipa Aktual
(Sum-&gt;)3]]-Table1[[#This Row],[Total Volume
tidak dapat dipasang]])&gt;=0,Table1[[#This Row],["Volume
BA MC-0"]]-Table1[[#This Row],[Total Panjang Pipa Aktual
(Sum-&gt;)3]]-Table1[[#This Row],[Total Volume
tidak dapat dipasang]],0)</f>
        <v>94</v>
      </c>
      <c r="CK216" s="42"/>
      <c r="CL216" s="113"/>
      <c r="CM216" s="35"/>
      <c r="CN216" s="113"/>
      <c r="CO216" s="113"/>
      <c r="CP2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6" s="61">
        <f>IFERROR(Table1[[#This Row],[Progres Keg. Umum
(%)]]*Table1[[#This Row],[Nilai RAB Jaringan
(file pa aji)]],0)</f>
        <v>0</v>
      </c>
      <c r="CR216" s="61">
        <f>IFERROR(Table1[[#This Row],[Progres MOS
(%)]]*Table1[[#This Row],[Nilai RAB Jaringan
(file pa aji)]],0)</f>
        <v>0</v>
      </c>
      <c r="CS216" s="61">
        <f>IFERROR(Table1[[#This Row],[Progres Pemasangan
(%)]]*Table1[[#This Row],[Nilai RAB Jaringan
(file pa aji)]],0)</f>
        <v>0</v>
      </c>
      <c r="CT216" s="61">
        <f>IFERROR(Table1[[#This Row],[Progres Perizinan
(%)]]*Table1[[#This Row],[Nilai RAB Jaringan
(file pa aji)]],0)</f>
        <v>0</v>
      </c>
      <c r="CU216" s="789">
        <v>4208173342</v>
      </c>
      <c r="CV216" s="299">
        <v>4208173342</v>
      </c>
      <c r="CW216" s="552">
        <v>4208173342</v>
      </c>
      <c r="CX216" s="789">
        <f>_xlfn.XLOOKUP(Table1[[#This Row],[Kode Program]],'[1]Breakdown VOWD Greenfield'!$E:$E,'[1]Breakdown VOWD Greenfield'!$AT:$AT)</f>
        <v>4208173342</v>
      </c>
      <c r="CY216" s="42"/>
      <c r="CZ216" s="300">
        <v>45593</v>
      </c>
      <c r="DA216" s="300">
        <v>45620</v>
      </c>
      <c r="DB216" s="301">
        <v>45620</v>
      </c>
      <c r="DC216" s="286" t="s">
        <v>1632</v>
      </c>
      <c r="DD216" s="62">
        <v>5153755154</v>
      </c>
      <c r="DE2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6" s="301">
        <v>45628</v>
      </c>
      <c r="DG216" s="286" t="s">
        <v>1633</v>
      </c>
      <c r="DH216" s="62">
        <v>5153755154</v>
      </c>
      <c r="DI2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6" s="300">
        <v>45621</v>
      </c>
      <c r="DK216" s="300">
        <v>45683</v>
      </c>
      <c r="DL216" s="301">
        <v>45701</v>
      </c>
      <c r="DM216" s="286" t="s">
        <v>1634</v>
      </c>
      <c r="DN2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6" s="301">
        <v>45712</v>
      </c>
      <c r="DP216" s="286" t="s">
        <v>1635</v>
      </c>
      <c r="DQ216" s="308" t="s">
        <v>783</v>
      </c>
      <c r="DR2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6" s="300">
        <v>45621</v>
      </c>
      <c r="DT216" s="300" t="e">
        <v>#N/A</v>
      </c>
      <c r="DU216" s="300">
        <v>45662</v>
      </c>
      <c r="DV216" s="300" t="e">
        <v>#N/A</v>
      </c>
      <c r="DW216" s="301">
        <v>45701</v>
      </c>
      <c r="DX216" s="286" t="s">
        <v>1636</v>
      </c>
      <c r="DY216" s="304"/>
      <c r="DZ216" s="304"/>
      <c r="EA2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6" s="301">
        <v>45783</v>
      </c>
      <c r="EC216" s="302"/>
      <c r="ED216" s="302"/>
      <c r="EE216" s="300" t="s">
        <v>1637</v>
      </c>
      <c r="EF216" s="35">
        <v>1</v>
      </c>
      <c r="EG216" s="307">
        <v>1</v>
      </c>
      <c r="EH216" s="286" t="str">
        <f>IF(Table1[[#This Row],[PO Material Aktual 
(%)]]&gt;=100%,"Selesai PO = 100%",IF(Table1[[#This Row],[PO Material Aktual 
(%)]]&gt;=50%,"Proses PO &gt; 100%",IF(Table1[[#This Row],[PO Material Aktual 
(%)]]&gt;0%,"Proses PO &gt; 50%",IF(Table1[[#This Row],[PO Material Aktual 
(%)]]=0,"Belum PO = 0%"))))</f>
        <v>Selesai PO = 100%</v>
      </c>
      <c r="EI21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6" s="300">
        <v>45663</v>
      </c>
      <c r="EK216" s="300" t="e">
        <v>#N/A</v>
      </c>
      <c r="EL216" s="300">
        <v>45746</v>
      </c>
      <c r="EM216" s="300" t="e">
        <v>#N/A</v>
      </c>
      <c r="EN216" s="301">
        <v>46088</v>
      </c>
      <c r="EO216" s="302"/>
      <c r="EP216" s="302"/>
      <c r="EQ216" s="82">
        <v>1</v>
      </c>
      <c r="ER216" s="82">
        <v>1</v>
      </c>
      <c r="ES216" s="286" t="str">
        <f>IF(Table1[[#This Row],[Progres MOS]]&gt;=100%,"Selesai MOS = 100%",IF(Table1[[#This Row],[Progres MOS]]&gt;=50%,"Proses MOS &gt; 100%",IF(Table1[[#This Row],[Progres MOS]]&gt;0%,"Proses MOS &gt; 50%",IF(Table1[[#This Row],[Progres MOS]]=0,"Belum MOS = 0%"))))</f>
        <v>Selesai MOS = 100%</v>
      </c>
      <c r="ET2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6" s="42"/>
      <c r="EV216" s="300">
        <v>45621</v>
      </c>
      <c r="EW216" s="300" t="e">
        <v>#N/A</v>
      </c>
      <c r="EX216" s="300">
        <v>45711</v>
      </c>
      <c r="EY216" s="300" t="e">
        <v>#N/A</v>
      </c>
      <c r="EZ216" s="322" t="s">
        <v>298</v>
      </c>
      <c r="FA216" s="306" t="s">
        <v>298</v>
      </c>
      <c r="FB216" s="300" t="s">
        <v>260</v>
      </c>
      <c r="FC216" s="300">
        <v>45838</v>
      </c>
      <c r="FD216" s="300" t="s">
        <v>260</v>
      </c>
      <c r="FE216" s="300">
        <v>45884</v>
      </c>
      <c r="FF216" s="300">
        <v>45929</v>
      </c>
      <c r="FG216" s="300" t="s">
        <v>260</v>
      </c>
      <c r="FH216" s="300" t="s">
        <v>260</v>
      </c>
      <c r="FI216" s="300">
        <v>46010</v>
      </c>
      <c r="FJ216" s="300" t="s">
        <v>260</v>
      </c>
      <c r="FK216" s="300"/>
      <c r="FL216" s="306" t="s">
        <v>298</v>
      </c>
      <c r="FM216" s="322">
        <v>45838</v>
      </c>
      <c r="FN216" s="308">
        <f>IF(Table1[[#This Row],[Tanggal Pengajuan Dokumen]]="","",Table1[[#This Row],[PLAN PERMIT
start]]-Table1[[#This Row],[Tanggal Pengajuan Dokumen]])</f>
        <v>-217</v>
      </c>
      <c r="FO216" s="407">
        <v>46086</v>
      </c>
      <c r="FP216" s="286"/>
      <c r="FQ216" s="308"/>
      <c r="FR216" s="308"/>
      <c r="FS216" s="308" t="str">
        <f t="shared" si="11"/>
        <v>On Going</v>
      </c>
      <c r="FT2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6" s="314">
        <f ca="1">IF(Table1[[#This Row],[Status Izin]]="Selesai",Table1[[#This Row],[PLAN PERMIT
finish]]-Table1[[#This Row],[Tanggal Terbit/ Target Izin Terbit]],ROUNDUP(Table1[[#This Row],[PLAN PERMIT
finish]]-NOW(),0))</f>
        <v>-493</v>
      </c>
      <c r="FV2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6" s="314"/>
      <c r="FX216" s="42"/>
      <c r="FY216" s="310"/>
      <c r="FZ216" s="311"/>
      <c r="GA2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6" s="300">
        <v>45685</v>
      </c>
      <c r="GC216" s="322">
        <v>45547</v>
      </c>
      <c r="GD2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6" s="300">
        <v>45692</v>
      </c>
      <c r="GF216" s="322">
        <v>45547</v>
      </c>
      <c r="GG2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6" s="300">
        <v>45698</v>
      </c>
      <c r="GI216" s="300">
        <v>45704</v>
      </c>
      <c r="GJ216" s="322">
        <v>45706</v>
      </c>
      <c r="GK2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6" s="300">
        <v>45712</v>
      </c>
      <c r="GM216" s="300" t="e">
        <v>#N/A</v>
      </c>
      <c r="GN216" s="300">
        <v>45844</v>
      </c>
      <c r="GO216" s="300" t="e">
        <v>#N/A</v>
      </c>
      <c r="GP216" s="286"/>
      <c r="GQ2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6" s="300" t="s">
        <v>261</v>
      </c>
      <c r="GS216" s="391" t="s">
        <v>261</v>
      </c>
      <c r="GT216" s="422" t="s">
        <v>1638</v>
      </c>
      <c r="GU216" s="393" t="str">
        <f>IF(Table1[[#This Row],[Hydro Tes Actual
(tanggal)]]&lt;&gt;"","Sudah","Belum")</f>
        <v>Sudah</v>
      </c>
      <c r="GV216" s="300" t="s">
        <v>261</v>
      </c>
      <c r="GW216" s="300" t="s">
        <v>261</v>
      </c>
      <c r="GX216" s="425" t="s">
        <v>1639</v>
      </c>
      <c r="GY216" s="314" t="str">
        <f>IF(Table1[[#This Row],[Interkoneksi Actual
(tanggal)]]&lt;&gt;"","Sudah","Belum")</f>
        <v>Sudah</v>
      </c>
      <c r="GZ216" s="300" t="s">
        <v>261</v>
      </c>
      <c r="HA216" s="391" t="s">
        <v>261</v>
      </c>
      <c r="HB216" s="402">
        <v>45896</v>
      </c>
      <c r="HC216" s="314" t="str">
        <f>IF(Table1[[#This Row],[Flushing Actual
(tanggal)]]&lt;&gt;"","Sudah","Belum")</f>
        <v>Sudah</v>
      </c>
      <c r="HD216" s="300">
        <v>45817</v>
      </c>
      <c r="HE216" s="300" t="e">
        <v>#N/A</v>
      </c>
      <c r="HF216" s="300">
        <v>45837</v>
      </c>
      <c r="HG216" s="322">
        <v>45917</v>
      </c>
      <c r="HH2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6" s="300" t="s">
        <v>261</v>
      </c>
      <c r="HJ216" s="300" t="s">
        <v>261</v>
      </c>
      <c r="HK216" s="301"/>
      <c r="HL216" s="286"/>
      <c r="HM216" s="300">
        <v>45856</v>
      </c>
      <c r="HN216" s="300">
        <v>45856</v>
      </c>
      <c r="HO216" s="300" t="e">
        <v>#N/A</v>
      </c>
      <c r="HP216" s="300"/>
      <c r="HQ216" s="301">
        <v>45929</v>
      </c>
      <c r="HR2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6" s="300">
        <v>45863</v>
      </c>
      <c r="HT216" s="300"/>
      <c r="HU216" s="300">
        <v>45863</v>
      </c>
      <c r="HV216" s="497"/>
      <c r="HW216" s="301">
        <v>45934</v>
      </c>
      <c r="HX21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6" s="42"/>
      <c r="HZ216" s="322"/>
      <c r="IA216" s="306"/>
      <c r="IC216" s="585">
        <f>IFERROR(ROUND((Table1[[#This Row],[PLAN TC
finish]]-Table1[[#This Row],[PLAN MC-0
start]])/30,2),"")</f>
        <v>4.63</v>
      </c>
      <c r="ID216">
        <f>DATEDIF(Table1[[#This Row],[PLAN MC-0
start]],Table1[[#This Row],[PLAN TC
finish]],"m")</f>
        <v>4</v>
      </c>
    </row>
    <row r="217" spans="1:238" s="4" customFormat="1" ht="15" customHeight="1" x14ac:dyDescent="0.25">
      <c r="B217" s="281">
        <f>SUBTOTAL(3,$D$5:D217)</f>
        <v>213</v>
      </c>
      <c r="C217" s="318">
        <v>213</v>
      </c>
      <c r="D217" s="285" t="s">
        <v>673</v>
      </c>
      <c r="E217" s="308" t="s">
        <v>1640</v>
      </c>
      <c r="F217" s="308" t="s">
        <v>1641</v>
      </c>
      <c r="G217" s="319">
        <v>45935</v>
      </c>
      <c r="H217" s="284" t="s">
        <v>247</v>
      </c>
      <c r="I217" s="308" t="s">
        <v>278</v>
      </c>
      <c r="J217" s="285"/>
      <c r="K217" s="308" t="s">
        <v>676</v>
      </c>
      <c r="L217" s="286" t="s">
        <v>250</v>
      </c>
      <c r="M217" s="286" t="s">
        <v>269</v>
      </c>
      <c r="N217" s="94">
        <v>375</v>
      </c>
      <c r="O217" s="113" t="s">
        <v>252</v>
      </c>
      <c r="P21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7" s="35" t="e">
        <v>#N/A</v>
      </c>
      <c r="S217" s="35">
        <v>1</v>
      </c>
      <c r="T217" s="35">
        <f>Table1[[#This Row],[Progres Total Aktual
(%)]]</f>
        <v>1</v>
      </c>
      <c r="U217" s="106">
        <f>Table1[[#This Row],[Progres Aktual
(%)]]-Table1[[#This Row],[Target Progres
(%)]]</f>
        <v>0</v>
      </c>
      <c r="V217" s="320">
        <f>Table1[[#This Row],["Volume
BA MC-0"]]</f>
        <v>375</v>
      </c>
      <c r="W217" s="321">
        <f>Table1[[#This Row],[Total Panjang Pipa Aktual
(Sum-&gt;)3]]</f>
        <v>387</v>
      </c>
      <c r="X217" s="42"/>
      <c r="Y217" s="62" t="s">
        <v>1642</v>
      </c>
      <c r="Z217" s="62">
        <v>852832507</v>
      </c>
      <c r="AA217" s="62">
        <f>Table1[[#This Row],[Nilai RAB Jaringan
(file pa aji)]]</f>
        <v>852832507</v>
      </c>
      <c r="AB217" s="290">
        <f>SUM(Table1[[#This Row],[RAB Kegiatan Umum]:[RAB Perizinan]])</f>
        <v>0</v>
      </c>
      <c r="AC217" s="290"/>
      <c r="AD217" s="290"/>
      <c r="AE217" s="290"/>
      <c r="AF217" s="290"/>
      <c r="AG217" s="406">
        <v>10248242</v>
      </c>
      <c r="AH217" s="35" t="e">
        <f>SUM(Table1[[#This Row],[Bobot Keg Umum]:[Bobot Perizinan]])</f>
        <v>#DIV/0!</v>
      </c>
      <c r="AI217" s="35" t="e">
        <f>Table1[[#This Row],[RAB Kegiatan Umum]]/Table1[[#This Row],[Nilai RAB Jaringan
(Exclude Ppn)]]</f>
        <v>#DIV/0!</v>
      </c>
      <c r="AJ217" s="35" t="e">
        <f>Table1[[#This Row],[RAB Pemasangan]]/Table1[[#This Row],[Nilai RAB Jaringan
(Exclude Ppn)]]</f>
        <v>#DIV/0!</v>
      </c>
      <c r="AK217" s="35" t="e">
        <f>Table1[[#This Row],[RAB Pengadaan]]/Table1[[#This Row],[Nilai RAB Jaringan
(Exclude Ppn)]]</f>
        <v>#DIV/0!</v>
      </c>
      <c r="AL217" s="35" t="e">
        <f>Table1[[#This Row],[RAB Perizinan]]/Table1[[#This Row],[Nilai RAB Jaringan
(Exclude Ppn)]]</f>
        <v>#DIV/0!</v>
      </c>
      <c r="AM217" s="42"/>
      <c r="AN217" s="256">
        <v>375</v>
      </c>
      <c r="AO217" s="256">
        <f>SUM(Table1[[#This Row],[Pipa 63 mm]:[Pipa 1,800 mm]])</f>
        <v>0</v>
      </c>
      <c r="AP217" s="256"/>
      <c r="AQ217" s="256"/>
      <c r="AR217" s="256"/>
      <c r="AS217" s="256"/>
      <c r="AT217" s="256"/>
      <c r="AU217" s="256"/>
      <c r="AV217" s="256"/>
      <c r="AW217" s="256"/>
      <c r="AX217" s="256"/>
      <c r="AY217" s="256"/>
      <c r="AZ217" s="256"/>
      <c r="BA217" s="256"/>
      <c r="BB217" s="256"/>
      <c r="BC217" s="256"/>
      <c r="BD217" s="256"/>
      <c r="BE217" s="256"/>
      <c r="BF217" s="256"/>
      <c r="BG217" s="256"/>
      <c r="BH217" s="256"/>
      <c r="BI217" s="256"/>
      <c r="BJ217" s="416">
        <f>SUM(Table1[[#This Row],[Pipa 63 mm2]:[Pipa 1,800 mm21]])</f>
        <v>387</v>
      </c>
      <c r="BK217" s="32"/>
      <c r="BL217" s="32">
        <v>387</v>
      </c>
      <c r="BM217" s="32"/>
      <c r="BN217" s="32"/>
      <c r="BO217" s="32"/>
      <c r="BP217" s="32"/>
      <c r="BQ217" s="32"/>
      <c r="BR217" s="32"/>
      <c r="BS217" s="32"/>
      <c r="BT217" s="32"/>
      <c r="BU217" s="32"/>
      <c r="BV217" s="32"/>
      <c r="BW217" s="32"/>
      <c r="BX217" s="32"/>
      <c r="BY217" s="32"/>
      <c r="BZ217" s="32"/>
      <c r="CA217" s="32"/>
      <c r="CB217" s="32"/>
      <c r="CC217" s="32"/>
      <c r="CD217" s="32"/>
      <c r="CE217" s="32">
        <v>0</v>
      </c>
      <c r="CF217" s="32">
        <v>0</v>
      </c>
      <c r="CG217" s="32">
        <v>0</v>
      </c>
      <c r="CH217" s="32">
        <v>0</v>
      </c>
      <c r="CI217" s="32">
        <f t="shared" si="12"/>
        <v>0</v>
      </c>
      <c r="CJ217" s="60">
        <f>IF((Table1[[#This Row],["Volume
BA MC-0"]]-Table1[[#This Row],[Total Panjang Pipa Aktual
(Sum-&gt;)3]]-Table1[[#This Row],[Total Volume
tidak dapat dipasang]])&gt;=0,Table1[[#This Row],["Volume
BA MC-0"]]-Table1[[#This Row],[Total Panjang Pipa Aktual
(Sum-&gt;)3]]-Table1[[#This Row],[Total Volume
tidak dapat dipasang]],0)</f>
        <v>0</v>
      </c>
      <c r="CK217" s="42"/>
      <c r="CL217" s="113"/>
      <c r="CM217" s="35"/>
      <c r="CN217" s="113"/>
      <c r="CO217" s="113"/>
      <c r="CP2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7" s="61">
        <f>IFERROR(Table1[[#This Row],[Progres Keg. Umum
(%)]]*Table1[[#This Row],[Nilai RAB Jaringan
(file pa aji)]],0)</f>
        <v>0</v>
      </c>
      <c r="CR217" s="61">
        <f>IFERROR(Table1[[#This Row],[Progres MOS
(%)]]*Table1[[#This Row],[Nilai RAB Jaringan
(file pa aji)]],0)</f>
        <v>0</v>
      </c>
      <c r="CS217" s="61">
        <f>IFERROR(Table1[[#This Row],[Progres Pemasangan
(%)]]*Table1[[#This Row],[Nilai RAB Jaringan
(file pa aji)]],0)</f>
        <v>0</v>
      </c>
      <c r="CT217" s="61">
        <f>IFERROR(Table1[[#This Row],[Progres Perizinan
(%)]]*Table1[[#This Row],[Nilai RAB Jaringan
(file pa aji)]],0)</f>
        <v>0</v>
      </c>
      <c r="CU217" s="789">
        <v>629413795</v>
      </c>
      <c r="CV217" s="299">
        <v>629413795</v>
      </c>
      <c r="CW217" s="552">
        <v>629413795</v>
      </c>
      <c r="CX217" s="789">
        <f>_xlfn.XLOOKUP(Table1[[#This Row],[Kode Program]],'[1]Breakdown VOWD Greenfield'!$E:$E,'[1]Breakdown VOWD Greenfield'!$AT:$AT)</f>
        <v>629413795</v>
      </c>
      <c r="CY217" s="42"/>
      <c r="CZ217" s="300">
        <v>45593</v>
      </c>
      <c r="DA217" s="300">
        <v>45620</v>
      </c>
      <c r="DB217" s="301">
        <v>45614</v>
      </c>
      <c r="DC217" s="286" t="s">
        <v>1643</v>
      </c>
      <c r="DD217" s="62">
        <v>852832506.6400001</v>
      </c>
      <c r="DE2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7" s="301">
        <v>45625</v>
      </c>
      <c r="DG217" s="286" t="s">
        <v>1644</v>
      </c>
      <c r="DH217" s="62">
        <v>852832506.6400001</v>
      </c>
      <c r="DI2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7" s="300">
        <v>45621</v>
      </c>
      <c r="DK217" s="300">
        <v>45683</v>
      </c>
      <c r="DL217" s="301">
        <v>45688</v>
      </c>
      <c r="DM217" s="286" t="s">
        <v>1645</v>
      </c>
      <c r="DN2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7" s="301">
        <v>45719</v>
      </c>
      <c r="DP217" s="286" t="s">
        <v>1646</v>
      </c>
      <c r="DQ217" s="308" t="s">
        <v>560</v>
      </c>
      <c r="DR2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7" s="300">
        <v>45621</v>
      </c>
      <c r="DT217" s="300" t="e">
        <v>#N/A</v>
      </c>
      <c r="DU217" s="300">
        <v>45662</v>
      </c>
      <c r="DV217" s="300" t="e">
        <v>#N/A</v>
      </c>
      <c r="DW217" s="301">
        <v>45688</v>
      </c>
      <c r="DX217" s="286" t="s">
        <v>1645</v>
      </c>
      <c r="DY217" s="304"/>
      <c r="DZ217" s="304"/>
      <c r="EA2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7" s="301">
        <v>45852</v>
      </c>
      <c r="EC217" s="302"/>
      <c r="ED217" s="302"/>
      <c r="EE217" s="395" t="s">
        <v>1647</v>
      </c>
      <c r="EF217" s="35">
        <v>1</v>
      </c>
      <c r="EG217" s="307">
        <v>1</v>
      </c>
      <c r="EH217" s="286" t="str">
        <f>IF(Table1[[#This Row],[PO Material Aktual 
(%)]]&gt;=100%,"Selesai PO = 100%",IF(Table1[[#This Row],[PO Material Aktual 
(%)]]&gt;=50%,"Proses PO &gt; 100%",IF(Table1[[#This Row],[PO Material Aktual 
(%)]]&gt;0%,"Proses PO &gt; 50%",IF(Table1[[#This Row],[PO Material Aktual 
(%)]]=0,"Belum PO = 0%"))))</f>
        <v>Selesai PO = 100%</v>
      </c>
      <c r="EI2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7" s="300">
        <v>45663</v>
      </c>
      <c r="EK217" s="300" t="e">
        <v>#N/A</v>
      </c>
      <c r="EL217" s="300">
        <v>45746</v>
      </c>
      <c r="EM217" s="300" t="e">
        <v>#N/A</v>
      </c>
      <c r="EN217" s="301">
        <v>46151</v>
      </c>
      <c r="EO217" s="302"/>
      <c r="EP217" s="302"/>
      <c r="EQ217" s="82">
        <v>1</v>
      </c>
      <c r="ER217" s="82">
        <v>1</v>
      </c>
      <c r="ES217" s="286" t="str">
        <f>IF(Table1[[#This Row],[Progres MOS]]&gt;=100%,"Selesai MOS = 100%",IF(Table1[[#This Row],[Progres MOS]]&gt;=50%,"Proses MOS &gt; 100%",IF(Table1[[#This Row],[Progres MOS]]&gt;0%,"Proses MOS &gt; 50%",IF(Table1[[#This Row],[Progres MOS]]=0,"Belum MOS = 0%"))))</f>
        <v>Selesai MOS = 100%</v>
      </c>
      <c r="ET2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7" s="42"/>
      <c r="EV217" s="300">
        <v>45621</v>
      </c>
      <c r="EW217" s="300" t="e">
        <v>#N/A</v>
      </c>
      <c r="EX217" s="300">
        <v>45711</v>
      </c>
      <c r="EY217" s="300" t="e">
        <v>#N/A</v>
      </c>
      <c r="EZ217" s="322" t="s">
        <v>298</v>
      </c>
      <c r="FA217" s="306" t="s">
        <v>298</v>
      </c>
      <c r="FB217" s="300" t="s">
        <v>260</v>
      </c>
      <c r="FC217" s="300">
        <v>45838</v>
      </c>
      <c r="FD217" s="300" t="s">
        <v>260</v>
      </c>
      <c r="FE217" s="300">
        <v>45895</v>
      </c>
      <c r="FF217" s="300">
        <v>45929</v>
      </c>
      <c r="FG217" s="300" t="s">
        <v>260</v>
      </c>
      <c r="FH217" s="300" t="s">
        <v>260</v>
      </c>
      <c r="FI217" s="300">
        <v>46010</v>
      </c>
      <c r="FJ217" s="300" t="s">
        <v>260</v>
      </c>
      <c r="FK217" s="300"/>
      <c r="FL217" s="306" t="s">
        <v>298</v>
      </c>
      <c r="FM217" s="322">
        <v>45838</v>
      </c>
      <c r="FN217" s="308">
        <f>IF(Table1[[#This Row],[Tanggal Pengajuan Dokumen]]="","",Table1[[#This Row],[PLAN PERMIT
start]]-Table1[[#This Row],[Tanggal Pengajuan Dokumen]])</f>
        <v>-217</v>
      </c>
      <c r="FO217" s="407">
        <v>46086</v>
      </c>
      <c r="FP217" s="286"/>
      <c r="FQ217" s="308"/>
      <c r="FR217" s="308"/>
      <c r="FS217" s="308" t="str">
        <f t="shared" si="11"/>
        <v>On Going</v>
      </c>
      <c r="FT2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7" s="314">
        <f ca="1">IF(Table1[[#This Row],[Status Izin]]="Selesai",Table1[[#This Row],[PLAN PERMIT
finish]]-Table1[[#This Row],[Tanggal Terbit/ Target Izin Terbit]],ROUNDUP(Table1[[#This Row],[PLAN PERMIT
finish]]-NOW(),0))</f>
        <v>-493</v>
      </c>
      <c r="FV2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7" s="314"/>
      <c r="FX217" s="42"/>
      <c r="FY217" s="310"/>
      <c r="FZ217" s="311"/>
      <c r="GA2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7" s="300">
        <v>45685</v>
      </c>
      <c r="GC217" s="322">
        <v>45547</v>
      </c>
      <c r="GD2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7" s="300">
        <v>45692</v>
      </c>
      <c r="GF217" s="322">
        <v>45547</v>
      </c>
      <c r="GG2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7" s="300">
        <v>45698</v>
      </c>
      <c r="GI217" s="300">
        <v>45704</v>
      </c>
      <c r="GJ217" s="322">
        <v>45706</v>
      </c>
      <c r="GK2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7" s="300">
        <v>45712</v>
      </c>
      <c r="GM217" s="300" t="e">
        <v>#N/A</v>
      </c>
      <c r="GN217" s="300">
        <v>45781</v>
      </c>
      <c r="GO217" s="300" t="e">
        <v>#N/A</v>
      </c>
      <c r="GP217" s="286"/>
      <c r="GQ2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7" s="300" t="s">
        <v>261</v>
      </c>
      <c r="GS217" s="391" t="s">
        <v>261</v>
      </c>
      <c r="GT217" s="401">
        <v>45910</v>
      </c>
      <c r="GU217" s="393" t="str">
        <f>IF(Table1[[#This Row],[Hydro Tes Actual
(tanggal)]]&lt;&gt;"","Sudah","Belum")</f>
        <v>Sudah</v>
      </c>
      <c r="GV217" s="300" t="s">
        <v>261</v>
      </c>
      <c r="GW217" s="300" t="s">
        <v>261</v>
      </c>
      <c r="GX217" s="301">
        <v>45919</v>
      </c>
      <c r="GY217" s="314" t="str">
        <f>IF(Table1[[#This Row],[Interkoneksi Actual
(tanggal)]]&lt;&gt;"","Sudah","Belum")</f>
        <v>Sudah</v>
      </c>
      <c r="GZ217" s="300" t="s">
        <v>261</v>
      </c>
      <c r="HA217" s="391" t="s">
        <v>261</v>
      </c>
      <c r="HB217" s="402">
        <v>45922</v>
      </c>
      <c r="HC217" s="314" t="str">
        <f>IF(Table1[[#This Row],[Flushing Actual
(tanggal)]]&lt;&gt;"","Sudah","Belum")</f>
        <v>Sudah</v>
      </c>
      <c r="HD217" s="300">
        <v>45754</v>
      </c>
      <c r="HE217" s="300" t="e">
        <v>#N/A</v>
      </c>
      <c r="HF217" s="300">
        <v>45774</v>
      </c>
      <c r="HG217" s="322">
        <v>45924</v>
      </c>
      <c r="HH2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7" s="300" t="s">
        <v>261</v>
      </c>
      <c r="HJ217" s="300" t="s">
        <v>261</v>
      </c>
      <c r="HK217" s="301"/>
      <c r="HL217" s="286"/>
      <c r="HM217" s="300">
        <v>45793</v>
      </c>
      <c r="HN217" s="300">
        <v>45793</v>
      </c>
      <c r="HO217" s="300" t="e">
        <v>#N/A</v>
      </c>
      <c r="HP217" s="300"/>
      <c r="HQ217" s="301">
        <v>45929</v>
      </c>
      <c r="HR21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7" s="300">
        <v>45800</v>
      </c>
      <c r="HT217" s="300"/>
      <c r="HU217" s="300">
        <v>45800</v>
      </c>
      <c r="HV217" s="497"/>
      <c r="HW217" s="301">
        <v>45934</v>
      </c>
      <c r="HX2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7" s="42"/>
      <c r="HZ217" s="322"/>
      <c r="IA217" s="306"/>
      <c r="IC217" s="585">
        <f>IFERROR(ROUND((Table1[[#This Row],[PLAN TC
finish]]-Table1[[#This Row],[PLAN MC-0
start]])/30,2),"")</f>
        <v>2.5299999999999998</v>
      </c>
      <c r="ID217">
        <f>DATEDIF(Table1[[#This Row],[PLAN MC-0
start]],Table1[[#This Row],[PLAN TC
finish]],"m")</f>
        <v>2</v>
      </c>
    </row>
    <row r="218" spans="1:238" s="4" customFormat="1" ht="15" customHeight="1" x14ac:dyDescent="0.25">
      <c r="B218" s="281">
        <f>SUBTOTAL(3,$D$5:D218)</f>
        <v>214</v>
      </c>
      <c r="C218" s="318">
        <v>214</v>
      </c>
      <c r="D218" s="285" t="s">
        <v>673</v>
      </c>
      <c r="E218" s="308" t="s">
        <v>1648</v>
      </c>
      <c r="F218" s="308" t="s">
        <v>1649</v>
      </c>
      <c r="G218" s="319">
        <v>45935</v>
      </c>
      <c r="H218" s="284" t="s">
        <v>247</v>
      </c>
      <c r="I218" s="308" t="s">
        <v>278</v>
      </c>
      <c r="J218" s="285"/>
      <c r="K218" s="308" t="s">
        <v>676</v>
      </c>
      <c r="L218" s="286" t="s">
        <v>250</v>
      </c>
      <c r="M218" s="286" t="s">
        <v>269</v>
      </c>
      <c r="N218" s="94">
        <v>1581</v>
      </c>
      <c r="O218" s="113" t="s">
        <v>252</v>
      </c>
      <c r="P21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18" s="35" t="e">
        <v>#N/A</v>
      </c>
      <c r="S218" s="35">
        <v>1</v>
      </c>
      <c r="T218" s="35">
        <f>Table1[[#This Row],[Progres Total Aktual
(%)]]</f>
        <v>1</v>
      </c>
      <c r="U218" s="106">
        <f>Table1[[#This Row],[Progres Aktual
(%)]]-Table1[[#This Row],[Target Progres
(%)]]</f>
        <v>0</v>
      </c>
      <c r="V218" s="320">
        <f>Table1[[#This Row],["Volume
BA MC-0"]]</f>
        <v>1595</v>
      </c>
      <c r="W218" s="321">
        <f>Table1[[#This Row],[Total Panjang Pipa Aktual
(Sum-&gt;)3]]</f>
        <v>1647</v>
      </c>
      <c r="X218" s="42"/>
      <c r="Y218" s="62" t="s">
        <v>1650</v>
      </c>
      <c r="Z218" s="62">
        <v>2484455519</v>
      </c>
      <c r="AA218" s="62">
        <f>Table1[[#This Row],[Nilai RAB Jaringan
(file pa aji)]]</f>
        <v>2484455519</v>
      </c>
      <c r="AB218" s="290">
        <f>SUM(Table1[[#This Row],[RAB Kegiatan Umum]:[RAB Perizinan]])</f>
        <v>0</v>
      </c>
      <c r="AC218" s="290"/>
      <c r="AD218" s="290"/>
      <c r="AE218" s="290"/>
      <c r="AF218" s="290"/>
      <c r="AG218" s="406">
        <v>211113775</v>
      </c>
      <c r="AH218" s="35" t="e">
        <f>SUM(Table1[[#This Row],[Bobot Keg Umum]:[Bobot Perizinan]])</f>
        <v>#DIV/0!</v>
      </c>
      <c r="AI218" s="35" t="e">
        <f>Table1[[#This Row],[RAB Kegiatan Umum]]/Table1[[#This Row],[Nilai RAB Jaringan
(Exclude Ppn)]]</f>
        <v>#DIV/0!</v>
      </c>
      <c r="AJ218" s="35" t="e">
        <f>Table1[[#This Row],[RAB Pemasangan]]/Table1[[#This Row],[Nilai RAB Jaringan
(Exclude Ppn)]]</f>
        <v>#DIV/0!</v>
      </c>
      <c r="AK218" s="35" t="e">
        <f>Table1[[#This Row],[RAB Pengadaan]]/Table1[[#This Row],[Nilai RAB Jaringan
(Exclude Ppn)]]</f>
        <v>#DIV/0!</v>
      </c>
      <c r="AL218" s="35" t="e">
        <f>Table1[[#This Row],[RAB Perizinan]]/Table1[[#This Row],[Nilai RAB Jaringan
(Exclude Ppn)]]</f>
        <v>#DIV/0!</v>
      </c>
      <c r="AM218" s="42"/>
      <c r="AN218" s="256">
        <v>1595</v>
      </c>
      <c r="AO218" s="256">
        <f>SUM(Table1[[#This Row],[Pipa 63 mm]:[Pipa 1,800 mm]])</f>
        <v>0</v>
      </c>
      <c r="AP218" s="256"/>
      <c r="AQ218" s="256"/>
      <c r="AR218" s="256"/>
      <c r="AS218" s="256"/>
      <c r="AT218" s="256"/>
      <c r="AU218" s="256"/>
      <c r="AV218" s="256"/>
      <c r="AW218" s="256"/>
      <c r="AX218" s="256"/>
      <c r="AY218" s="256"/>
      <c r="AZ218" s="256"/>
      <c r="BA218" s="256"/>
      <c r="BB218" s="256"/>
      <c r="BC218" s="256"/>
      <c r="BD218" s="256"/>
      <c r="BE218" s="256"/>
      <c r="BF218" s="256"/>
      <c r="BG218" s="256"/>
      <c r="BH218" s="256"/>
      <c r="BI218" s="256"/>
      <c r="BJ218" s="416">
        <f>SUM(Table1[[#This Row],[Pipa 63 mm2]:[Pipa 1,800 mm21]])</f>
        <v>1647</v>
      </c>
      <c r="BK218" s="32">
        <v>1333</v>
      </c>
      <c r="BL218" s="32">
        <v>50</v>
      </c>
      <c r="BM218" s="32">
        <v>100</v>
      </c>
      <c r="BN218" s="32">
        <v>164</v>
      </c>
      <c r="BO218" s="32"/>
      <c r="BP218" s="32"/>
      <c r="BQ218" s="32"/>
      <c r="BR218" s="32"/>
      <c r="BS218" s="32"/>
      <c r="BT218" s="32"/>
      <c r="BU218" s="32"/>
      <c r="BV218" s="32"/>
      <c r="BW218" s="32"/>
      <c r="BX218" s="32"/>
      <c r="BY218" s="32"/>
      <c r="BZ218" s="32"/>
      <c r="CA218" s="32"/>
      <c r="CB218" s="32"/>
      <c r="CC218" s="32"/>
      <c r="CD218" s="32"/>
      <c r="CE218" s="32">
        <v>0</v>
      </c>
      <c r="CF218" s="32">
        <v>0</v>
      </c>
      <c r="CG218" s="32">
        <v>0</v>
      </c>
      <c r="CH218" s="32">
        <v>0</v>
      </c>
      <c r="CI218" s="32">
        <f t="shared" si="12"/>
        <v>0</v>
      </c>
      <c r="CJ218" s="60">
        <f>IF((Table1[[#This Row],["Volume
BA MC-0"]]-Table1[[#This Row],[Total Panjang Pipa Aktual
(Sum-&gt;)3]]-Table1[[#This Row],[Total Volume
tidak dapat dipasang]])&gt;=0,Table1[[#This Row],["Volume
BA MC-0"]]-Table1[[#This Row],[Total Panjang Pipa Aktual
(Sum-&gt;)3]]-Table1[[#This Row],[Total Volume
tidak dapat dipasang]],0)</f>
        <v>0</v>
      </c>
      <c r="CK218" s="42"/>
      <c r="CL218" s="113"/>
      <c r="CM218" s="35"/>
      <c r="CN218" s="113"/>
      <c r="CO218" s="113"/>
      <c r="CP2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18" s="61">
        <f>IFERROR(Table1[[#This Row],[Progres Keg. Umum
(%)]]*Table1[[#This Row],[Nilai RAB Jaringan
(file pa aji)]],0)</f>
        <v>0</v>
      </c>
      <c r="CR218" s="61">
        <f>IFERROR(Table1[[#This Row],[Progres MOS
(%)]]*Table1[[#This Row],[Nilai RAB Jaringan
(file pa aji)]],0)</f>
        <v>0</v>
      </c>
      <c r="CS218" s="61">
        <f>IFERROR(Table1[[#This Row],[Progres Pemasangan
(%)]]*Table1[[#This Row],[Nilai RAB Jaringan
(file pa aji)]],0)</f>
        <v>0</v>
      </c>
      <c r="CT218" s="61">
        <f>IFERROR(Table1[[#This Row],[Progres Perizinan
(%)]]*Table1[[#This Row],[Nilai RAB Jaringan
(file pa aji)]],0)</f>
        <v>0</v>
      </c>
      <c r="CU218" s="789">
        <v>1881890872</v>
      </c>
      <c r="CV218" s="299">
        <v>1881890872</v>
      </c>
      <c r="CW218" s="552">
        <v>1881890872</v>
      </c>
      <c r="CX218" s="789">
        <f>_xlfn.XLOOKUP(Table1[[#This Row],[Kode Program]],'[1]Breakdown VOWD Greenfield'!$E:$E,'[1]Breakdown VOWD Greenfield'!$AT:$AT)</f>
        <v>1881890872</v>
      </c>
      <c r="CY218" s="42"/>
      <c r="CZ218" s="300">
        <v>45565</v>
      </c>
      <c r="DA218" s="300">
        <v>45585</v>
      </c>
      <c r="DB218" s="301">
        <v>45568</v>
      </c>
      <c r="DC218" s="286" t="s">
        <v>1651</v>
      </c>
      <c r="DD218" s="62">
        <v>2484455519</v>
      </c>
      <c r="DE2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18" s="301">
        <v>45576</v>
      </c>
      <c r="DG218" s="286" t="s">
        <v>1652</v>
      </c>
      <c r="DH218" s="62">
        <v>2484455519</v>
      </c>
      <c r="DI2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18" s="300">
        <v>45586</v>
      </c>
      <c r="DK218" s="300">
        <v>45627</v>
      </c>
      <c r="DL218" s="301">
        <v>45602</v>
      </c>
      <c r="DM218" s="286" t="s">
        <v>1653</v>
      </c>
      <c r="DN2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18" s="301">
        <v>45656</v>
      </c>
      <c r="DP218" s="286" t="s">
        <v>1654</v>
      </c>
      <c r="DQ218" s="308" t="s">
        <v>762</v>
      </c>
      <c r="DR2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8" s="300">
        <v>45586</v>
      </c>
      <c r="DT218" s="300" t="e">
        <v>#N/A</v>
      </c>
      <c r="DU218" s="300">
        <v>45620</v>
      </c>
      <c r="DV218" s="300" t="e">
        <v>#N/A</v>
      </c>
      <c r="DW218" s="301">
        <v>45602</v>
      </c>
      <c r="DX218" s="286" t="s">
        <v>1653</v>
      </c>
      <c r="DY218" s="304"/>
      <c r="DZ218" s="304"/>
      <c r="EA2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18" s="301">
        <v>45889</v>
      </c>
      <c r="EC218" s="302"/>
      <c r="ED218" s="302"/>
      <c r="EE218" s="300" t="s">
        <v>1309</v>
      </c>
      <c r="EF218" s="35">
        <v>1</v>
      </c>
      <c r="EG218" s="307">
        <v>1</v>
      </c>
      <c r="EH218" s="286" t="str">
        <f>IF(Table1[[#This Row],[PO Material Aktual 
(%)]]&gt;=100%,"Selesai PO = 100%",IF(Table1[[#This Row],[PO Material Aktual 
(%)]]&gt;=50%,"Proses PO &gt; 100%",IF(Table1[[#This Row],[PO Material Aktual 
(%)]]&gt;0%,"Proses PO &gt; 50%",IF(Table1[[#This Row],[PO Material Aktual 
(%)]]=0,"Belum PO = 0%"))))</f>
        <v>Selesai PO = 100%</v>
      </c>
      <c r="EI2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8" s="300">
        <v>45621</v>
      </c>
      <c r="EK218" s="300" t="e">
        <v>#N/A</v>
      </c>
      <c r="EL218" s="300">
        <v>45683</v>
      </c>
      <c r="EM218" s="300" t="e">
        <v>#N/A</v>
      </c>
      <c r="EN218" s="301">
        <v>45960</v>
      </c>
      <c r="EO218" s="302"/>
      <c r="EP218" s="302"/>
      <c r="EQ218" s="82">
        <v>1</v>
      </c>
      <c r="ER218" s="82">
        <v>1</v>
      </c>
      <c r="ES218" s="286" t="str">
        <f>IF(Table1[[#This Row],[Progres MOS]]&gt;=100%,"Selesai MOS = 100%",IF(Table1[[#This Row],[Progres MOS]]&gt;=50%,"Proses MOS &gt; 100%",IF(Table1[[#This Row],[Progres MOS]]&gt;0%,"Proses MOS &gt; 50%",IF(Table1[[#This Row],[Progres MOS]]=0,"Belum MOS = 0%"))))</f>
        <v>Selesai MOS = 100%</v>
      </c>
      <c r="ET2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18" s="42"/>
      <c r="EV218" s="300">
        <v>45586</v>
      </c>
      <c r="EW218" s="300" t="e">
        <v>#N/A</v>
      </c>
      <c r="EX218" s="300">
        <v>45655</v>
      </c>
      <c r="EY218" s="300" t="e">
        <v>#N/A</v>
      </c>
      <c r="EZ218" s="322" t="s">
        <v>298</v>
      </c>
      <c r="FA218" s="306" t="s">
        <v>298</v>
      </c>
      <c r="FB218" s="300" t="s">
        <v>260</v>
      </c>
      <c r="FC218" s="300">
        <v>45838</v>
      </c>
      <c r="FD218" s="300" t="s">
        <v>260</v>
      </c>
      <c r="FE218" s="300">
        <v>45895</v>
      </c>
      <c r="FF218" s="300">
        <v>45929</v>
      </c>
      <c r="FG218" s="300" t="s">
        <v>260</v>
      </c>
      <c r="FH218" s="300" t="s">
        <v>260</v>
      </c>
      <c r="FI218" s="300">
        <v>46010</v>
      </c>
      <c r="FJ218" s="300" t="s">
        <v>260</v>
      </c>
      <c r="FK218" s="300"/>
      <c r="FL218" s="306" t="s">
        <v>298</v>
      </c>
      <c r="FM218" s="322">
        <v>45838</v>
      </c>
      <c r="FN218" s="308">
        <f>IF(Table1[[#This Row],[Tanggal Pengajuan Dokumen]]="","",Table1[[#This Row],[PLAN PERMIT
start]]-Table1[[#This Row],[Tanggal Pengajuan Dokumen]])</f>
        <v>-252</v>
      </c>
      <c r="FO218" s="407">
        <v>46086</v>
      </c>
      <c r="FP218" s="286"/>
      <c r="FQ218" s="308"/>
      <c r="FR218" s="308"/>
      <c r="FS218" s="308" t="str">
        <f t="shared" si="11"/>
        <v>On Going</v>
      </c>
      <c r="FT2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8" s="314">
        <f ca="1">IF(Table1[[#This Row],[Status Izin]]="Selesai",Table1[[#This Row],[PLAN PERMIT
finish]]-Table1[[#This Row],[Tanggal Terbit/ Target Izin Terbit]],ROUNDUP(Table1[[#This Row],[PLAN PERMIT
finish]]-NOW(),0))</f>
        <v>-549</v>
      </c>
      <c r="FV2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8" s="314"/>
      <c r="FX218" s="42"/>
      <c r="FY218" s="310"/>
      <c r="FZ218" s="311"/>
      <c r="GA2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8" s="300">
        <v>45629</v>
      </c>
      <c r="GC218" s="322">
        <v>45629</v>
      </c>
      <c r="GD2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8" s="300">
        <v>45636</v>
      </c>
      <c r="GF218" s="322">
        <v>45629</v>
      </c>
      <c r="GG2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8" s="300">
        <v>45642</v>
      </c>
      <c r="GI218" s="300">
        <v>45648</v>
      </c>
      <c r="GJ218" s="322">
        <v>45636</v>
      </c>
      <c r="GK2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18" s="300">
        <v>45656</v>
      </c>
      <c r="GM218" s="300" t="e">
        <v>#N/A</v>
      </c>
      <c r="GN218" s="300">
        <v>45753</v>
      </c>
      <c r="GO218" s="300" t="e">
        <v>#N/A</v>
      </c>
      <c r="GP218" s="286"/>
      <c r="GQ2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8" s="300" t="s">
        <v>261</v>
      </c>
      <c r="GS218" s="391" t="s">
        <v>261</v>
      </c>
      <c r="GT218" s="401">
        <v>45738</v>
      </c>
      <c r="GU218" s="393" t="str">
        <f>IF(Table1[[#This Row],[Hydro Tes Actual
(tanggal)]]&lt;&gt;"","Sudah","Belum")</f>
        <v>Sudah</v>
      </c>
      <c r="GV218" s="300" t="s">
        <v>261</v>
      </c>
      <c r="GW218" s="300" t="s">
        <v>261</v>
      </c>
      <c r="GX218" s="301">
        <v>45779</v>
      </c>
      <c r="GY218" s="314" t="str">
        <f>IF(Table1[[#This Row],[Interkoneksi Actual
(tanggal)]]&lt;&gt;"","Sudah","Belum")</f>
        <v>Sudah</v>
      </c>
      <c r="GZ218" s="300" t="s">
        <v>261</v>
      </c>
      <c r="HA218" s="391" t="s">
        <v>261</v>
      </c>
      <c r="HB218" s="402">
        <v>45796</v>
      </c>
      <c r="HC218" s="314" t="str">
        <f>IF(Table1[[#This Row],[Flushing Actual
(tanggal)]]&lt;&gt;"","Sudah","Belum")</f>
        <v>Sudah</v>
      </c>
      <c r="HD218" s="300">
        <v>45726</v>
      </c>
      <c r="HE218" s="300" t="e">
        <v>#N/A</v>
      </c>
      <c r="HF218" s="300">
        <v>45746</v>
      </c>
      <c r="HG218" s="322">
        <v>45825</v>
      </c>
      <c r="HH2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18" s="300" t="s">
        <v>261</v>
      </c>
      <c r="HJ218" s="300" t="s">
        <v>261</v>
      </c>
      <c r="HK218" s="301"/>
      <c r="HL218" s="286"/>
      <c r="HM218" s="300">
        <v>45765</v>
      </c>
      <c r="HN218" s="300">
        <v>45765</v>
      </c>
      <c r="HO218" s="300" t="e">
        <v>#N/A</v>
      </c>
      <c r="HP218" s="300"/>
      <c r="HQ218" s="301">
        <v>45926</v>
      </c>
      <c r="HR2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18" s="300">
        <v>45772</v>
      </c>
      <c r="HT218" s="300"/>
      <c r="HU218" s="300">
        <v>45772</v>
      </c>
      <c r="HV218" s="497"/>
      <c r="HW218" s="301">
        <v>45934</v>
      </c>
      <c r="HX2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18" s="42"/>
      <c r="HZ218" s="322"/>
      <c r="IA218" s="306"/>
      <c r="IC218" s="585">
        <f>IFERROR(ROUND((Table1[[#This Row],[PLAN TC
finish]]-Table1[[#This Row],[PLAN MC-0
start]])/30,2),"")</f>
        <v>3.47</v>
      </c>
      <c r="ID218">
        <f>DATEDIF(Table1[[#This Row],[PLAN MC-0
start]],Table1[[#This Row],[PLAN TC
finish]],"m")</f>
        <v>3</v>
      </c>
    </row>
    <row r="219" spans="1:238" s="4" customFormat="1" ht="15" customHeight="1" x14ac:dyDescent="0.25">
      <c r="B219" s="281">
        <f>SUBTOTAL(3,$D$5:D219)</f>
        <v>215</v>
      </c>
      <c r="C219" s="318">
        <v>215</v>
      </c>
      <c r="D219" s="285" t="s">
        <v>673</v>
      </c>
      <c r="E219" s="308" t="s">
        <v>1655</v>
      </c>
      <c r="F219" s="308" t="s">
        <v>1656</v>
      </c>
      <c r="G219" s="319">
        <v>45935</v>
      </c>
      <c r="H219" s="284" t="s">
        <v>247</v>
      </c>
      <c r="I219" s="308" t="s">
        <v>278</v>
      </c>
      <c r="J219" s="285" t="s">
        <v>943</v>
      </c>
      <c r="K219" s="308" t="s">
        <v>676</v>
      </c>
      <c r="L219" s="286" t="s">
        <v>250</v>
      </c>
      <c r="M219" s="286" t="s">
        <v>269</v>
      </c>
      <c r="N219" s="94">
        <v>220</v>
      </c>
      <c r="O219" s="113" t="s">
        <v>252</v>
      </c>
      <c r="P21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19" s="35" t="e">
        <v>#N/A</v>
      </c>
      <c r="S219" s="35">
        <v>1</v>
      </c>
      <c r="T219" s="35">
        <f>Table1[[#This Row],[Progres Total Aktual
(%)]]</f>
        <v>0.90117315102742679</v>
      </c>
      <c r="U219" s="106">
        <f>Table1[[#This Row],[Progres Aktual
(%)]]-Table1[[#This Row],[Target Progres
(%)]]</f>
        <v>-9.8826848972573211E-2</v>
      </c>
      <c r="V219" s="320">
        <f>Table1[[#This Row],["Volume
BA MC-0"]]</f>
        <v>220</v>
      </c>
      <c r="W219" s="321">
        <f>Table1[[#This Row],[Total Panjang Pipa Aktual
(Sum-&gt;)3]]</f>
        <v>220</v>
      </c>
      <c r="X219" s="42"/>
      <c r="Y219" s="62" t="s">
        <v>1657</v>
      </c>
      <c r="Z219" s="62">
        <v>482167758</v>
      </c>
      <c r="AA219" s="62">
        <f>Table1[[#This Row],[Nilai RAB Jaringan
(file pa aji)]]</f>
        <v>482167758</v>
      </c>
      <c r="AB219" s="290">
        <f>SUM(Table1[[#This Row],[RAB Kegiatan Umum]:[RAB Perizinan]])</f>
        <v>0</v>
      </c>
      <c r="AC219" s="290"/>
      <c r="AD219" s="290"/>
      <c r="AE219" s="290"/>
      <c r="AF219" s="290"/>
      <c r="AG219" s="406">
        <v>2049649</v>
      </c>
      <c r="AH219" s="35" t="e">
        <f>SUM(Table1[[#This Row],[Bobot Keg Umum]:[Bobot Perizinan]])</f>
        <v>#DIV/0!</v>
      </c>
      <c r="AI219" s="35" t="e">
        <f>Table1[[#This Row],[RAB Kegiatan Umum]]/Table1[[#This Row],[Nilai RAB Jaringan
(Exclude Ppn)]]</f>
        <v>#DIV/0!</v>
      </c>
      <c r="AJ219" s="35" t="e">
        <f>Table1[[#This Row],[RAB Pemasangan]]/Table1[[#This Row],[Nilai RAB Jaringan
(Exclude Ppn)]]</f>
        <v>#DIV/0!</v>
      </c>
      <c r="AK219" s="35" t="e">
        <f>Table1[[#This Row],[RAB Pengadaan]]/Table1[[#This Row],[Nilai RAB Jaringan
(Exclude Ppn)]]</f>
        <v>#DIV/0!</v>
      </c>
      <c r="AL219" s="35" t="e">
        <f>Table1[[#This Row],[RAB Perizinan]]/Table1[[#This Row],[Nilai RAB Jaringan
(Exclude Ppn)]]</f>
        <v>#DIV/0!</v>
      </c>
      <c r="AM219" s="42"/>
      <c r="AN219" s="256">
        <v>220</v>
      </c>
      <c r="AO219" s="256">
        <f>SUM(Table1[[#This Row],[Pipa 63 mm]:[Pipa 1,800 mm]])</f>
        <v>0</v>
      </c>
      <c r="AP219" s="256"/>
      <c r="AQ219" s="256"/>
      <c r="AR219" s="256"/>
      <c r="AS219" s="256"/>
      <c r="AT219" s="256"/>
      <c r="AU219" s="256"/>
      <c r="AV219" s="256"/>
      <c r="AW219" s="256"/>
      <c r="AX219" s="256"/>
      <c r="AY219" s="256"/>
      <c r="AZ219" s="256"/>
      <c r="BA219" s="256"/>
      <c r="BB219" s="256"/>
      <c r="BC219" s="256"/>
      <c r="BD219" s="256"/>
      <c r="BE219" s="256"/>
      <c r="BF219" s="256"/>
      <c r="BG219" s="256"/>
      <c r="BH219" s="256"/>
      <c r="BI219" s="256"/>
      <c r="BJ219" s="416">
        <f>SUM(Table1[[#This Row],[Pipa 63 mm2]:[Pipa 1,800 mm21]])</f>
        <v>220</v>
      </c>
      <c r="BK219" s="32"/>
      <c r="BL219" s="32"/>
      <c r="BM219" s="32">
        <v>220</v>
      </c>
      <c r="BN219" s="32"/>
      <c r="BO219" s="32"/>
      <c r="BP219" s="32"/>
      <c r="BQ219" s="32"/>
      <c r="BR219" s="32"/>
      <c r="BS219" s="32"/>
      <c r="BT219" s="32"/>
      <c r="BU219" s="32"/>
      <c r="BV219" s="32"/>
      <c r="BW219" s="32"/>
      <c r="BX219" s="32"/>
      <c r="BY219" s="32"/>
      <c r="BZ219" s="32"/>
      <c r="CA219" s="32"/>
      <c r="CB219" s="32"/>
      <c r="CC219" s="32"/>
      <c r="CD219" s="32"/>
      <c r="CE219" s="32">
        <v>0</v>
      </c>
      <c r="CF219" s="32">
        <v>0</v>
      </c>
      <c r="CG219" s="32">
        <v>0</v>
      </c>
      <c r="CH219" s="32">
        <v>0</v>
      </c>
      <c r="CI219" s="32">
        <f t="shared" si="12"/>
        <v>0</v>
      </c>
      <c r="CJ219" s="60">
        <f>IF((Table1[[#This Row],["Volume
BA MC-0"]]-Table1[[#This Row],[Total Panjang Pipa Aktual
(Sum-&gt;)3]]-Table1[[#This Row],[Total Volume
tidak dapat dipasang]])&gt;=0,Table1[[#This Row],["Volume
BA MC-0"]]-Table1[[#This Row],[Total Panjang Pipa Aktual
(Sum-&gt;)3]]-Table1[[#This Row],[Total Volume
tidak dapat dipasang]],0)</f>
        <v>0</v>
      </c>
      <c r="CK219" s="42"/>
      <c r="CL219" s="113"/>
      <c r="CM219" s="35"/>
      <c r="CN219" s="113"/>
      <c r="CO219" s="113"/>
      <c r="CP21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0.90117315102742679</v>
      </c>
      <c r="CQ219" s="61">
        <f>IFERROR(Table1[[#This Row],[Progres Keg. Umum
(%)]]*Table1[[#This Row],[Nilai RAB Jaringan
(file pa aji)]],0)</f>
        <v>0</v>
      </c>
      <c r="CR219" s="61">
        <f>IFERROR(Table1[[#This Row],[Progres MOS
(%)]]*Table1[[#This Row],[Nilai RAB Jaringan
(file pa aji)]],0)</f>
        <v>0</v>
      </c>
      <c r="CS219" s="61">
        <f>IFERROR(Table1[[#This Row],[Progres Pemasangan
(%)]]*Table1[[#This Row],[Nilai RAB Jaringan
(file pa aji)]],0)</f>
        <v>0</v>
      </c>
      <c r="CT219" s="61">
        <f>IFERROR(Table1[[#This Row],[Progres Perizinan
(%)]]*Table1[[#This Row],[Nilai RAB Jaringan
(file pa aji)]],0)</f>
        <v>0</v>
      </c>
      <c r="CU219" s="789">
        <v>434516637.80068976</v>
      </c>
      <c r="CV219" s="299">
        <v>434516637.80068976</v>
      </c>
      <c r="CW219" s="552">
        <v>0</v>
      </c>
      <c r="CX219" s="789">
        <f>_xlfn.XLOOKUP(Table1[[#This Row],[Kode Program]],'[1]Breakdown VOWD Greenfield'!$E:$E,'[1]Breakdown VOWD Greenfield'!$AT:$AT)</f>
        <v>0</v>
      </c>
      <c r="CY219" s="42"/>
      <c r="CZ219" s="300">
        <v>45565</v>
      </c>
      <c r="DA219" s="300">
        <v>45592</v>
      </c>
      <c r="DB219" s="301">
        <v>45638</v>
      </c>
      <c r="DC219" s="286" t="s">
        <v>1658</v>
      </c>
      <c r="DD219" s="62">
        <v>482167757</v>
      </c>
      <c r="DE2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19" s="301">
        <v>45649</v>
      </c>
      <c r="DG219" s="286" t="s">
        <v>1659</v>
      </c>
      <c r="DH219" s="62">
        <v>482167757</v>
      </c>
      <c r="DI2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19" s="300">
        <v>45593</v>
      </c>
      <c r="DK219" s="300">
        <v>45655</v>
      </c>
      <c r="DL219" s="301">
        <v>45701</v>
      </c>
      <c r="DM219" s="286" t="s">
        <v>1660</v>
      </c>
      <c r="DN2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19" s="301">
        <v>45734</v>
      </c>
      <c r="DP219" s="286" t="s">
        <v>1661</v>
      </c>
      <c r="DQ219" s="308" t="s">
        <v>685</v>
      </c>
      <c r="DR2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19" s="300">
        <v>45593</v>
      </c>
      <c r="DT219" s="300" t="e">
        <v>#N/A</v>
      </c>
      <c r="DU219" s="300">
        <v>45634</v>
      </c>
      <c r="DV219" s="300" t="e">
        <v>#N/A</v>
      </c>
      <c r="DW219" s="301">
        <v>45701</v>
      </c>
      <c r="DX219" s="286" t="s">
        <v>1662</v>
      </c>
      <c r="DY219" s="304"/>
      <c r="DZ219" s="304"/>
      <c r="EA2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19" s="301">
        <v>45740</v>
      </c>
      <c r="EC219" s="302"/>
      <c r="ED219" s="302"/>
      <c r="EE219" s="300" t="s">
        <v>1663</v>
      </c>
      <c r="EF219" s="35">
        <v>1</v>
      </c>
      <c r="EG219" s="307">
        <v>1</v>
      </c>
      <c r="EH219" s="286" t="str">
        <f>IF(Table1[[#This Row],[PO Material Aktual 
(%)]]&gt;=100%,"Selesai PO = 100%",IF(Table1[[#This Row],[PO Material Aktual 
(%)]]&gt;=50%,"Proses PO &gt; 100%",IF(Table1[[#This Row],[PO Material Aktual 
(%)]]&gt;0%,"Proses PO &gt; 50%",IF(Table1[[#This Row],[PO Material Aktual 
(%)]]=0,"Belum PO = 0%"))))</f>
        <v>Selesai PO = 100%</v>
      </c>
      <c r="EI21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19" s="300">
        <v>45635</v>
      </c>
      <c r="EK219" s="300" t="e">
        <v>#N/A</v>
      </c>
      <c r="EL219" s="300">
        <v>45711</v>
      </c>
      <c r="EM219" s="300" t="e">
        <v>#N/A</v>
      </c>
      <c r="EN219" s="301"/>
      <c r="EO219" s="302"/>
      <c r="EP219" s="302"/>
      <c r="EQ219" s="82">
        <v>0.73076923076923073</v>
      </c>
      <c r="ER219" s="82">
        <v>0.73076923076923073</v>
      </c>
      <c r="ES219" s="286" t="str">
        <f>IF(Table1[[#This Row],[Progres MOS]]&gt;=100%,"Selesai MOS = 100%",IF(Table1[[#This Row],[Progres MOS]]&gt;=50%,"Proses MOS &gt; 100%",IF(Table1[[#This Row],[Progres MOS]]&gt;0%,"Proses MOS &gt; 50%",IF(Table1[[#This Row],[Progres MOS]]=0,"Belum MOS = 0%"))))</f>
        <v>Proses MOS &gt; 100%</v>
      </c>
      <c r="ET2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19" s="42"/>
      <c r="EV219" s="300">
        <v>45593</v>
      </c>
      <c r="EW219" s="300" t="e">
        <v>#N/A</v>
      </c>
      <c r="EX219" s="300">
        <v>45683</v>
      </c>
      <c r="EY219" s="300" t="e">
        <v>#N/A</v>
      </c>
      <c r="EZ219" s="322" t="s">
        <v>298</v>
      </c>
      <c r="FA219" s="306" t="s">
        <v>298</v>
      </c>
      <c r="FB219" s="300" t="s">
        <v>260</v>
      </c>
      <c r="FC219" s="300">
        <v>45838</v>
      </c>
      <c r="FD219" s="300" t="s">
        <v>260</v>
      </c>
      <c r="FE219" s="300">
        <v>45895</v>
      </c>
      <c r="FF219" s="300">
        <v>45929</v>
      </c>
      <c r="FG219" s="300" t="s">
        <v>260</v>
      </c>
      <c r="FH219" s="300" t="s">
        <v>260</v>
      </c>
      <c r="FI219" s="300">
        <v>46010</v>
      </c>
      <c r="FJ219" s="300" t="s">
        <v>260</v>
      </c>
      <c r="FK219" s="300"/>
      <c r="FL219" s="306" t="s">
        <v>298</v>
      </c>
      <c r="FM219" s="322">
        <v>45838</v>
      </c>
      <c r="FN219" s="308">
        <f>IF(Table1[[#This Row],[Tanggal Pengajuan Dokumen]]="","",Table1[[#This Row],[PLAN PERMIT
start]]-Table1[[#This Row],[Tanggal Pengajuan Dokumen]])</f>
        <v>-245</v>
      </c>
      <c r="FO219" s="407">
        <v>46086</v>
      </c>
      <c r="FP219" s="286"/>
      <c r="FQ219" s="308"/>
      <c r="FR219" s="308"/>
      <c r="FS219" s="308" t="str">
        <f t="shared" si="11"/>
        <v>On Going</v>
      </c>
      <c r="FT2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19" s="314">
        <f ca="1">IF(Table1[[#This Row],[Status Izin]]="Selesai",Table1[[#This Row],[PLAN PERMIT
finish]]-Table1[[#This Row],[Tanggal Terbit/ Target Izin Terbit]],ROUNDUP(Table1[[#This Row],[PLAN PERMIT
finish]]-NOW(),0))</f>
        <v>-521</v>
      </c>
      <c r="FV2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19" s="314"/>
      <c r="FX219" s="42"/>
      <c r="FY219" s="310"/>
      <c r="FZ219" s="311"/>
      <c r="GA2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19" s="300">
        <v>45657</v>
      </c>
      <c r="GC219" s="322">
        <v>45547</v>
      </c>
      <c r="GD2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19" s="300">
        <v>45664</v>
      </c>
      <c r="GF219" s="322">
        <v>45547</v>
      </c>
      <c r="GG2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19" s="300">
        <v>45670</v>
      </c>
      <c r="GI219" s="300">
        <v>45676</v>
      </c>
      <c r="GJ219" s="322">
        <v>45705</v>
      </c>
      <c r="GK2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19" s="300">
        <v>45684</v>
      </c>
      <c r="GM219" s="300" t="e">
        <v>#N/A</v>
      </c>
      <c r="GN219" s="300">
        <v>45753</v>
      </c>
      <c r="GO219" s="300" t="e">
        <v>#N/A</v>
      </c>
      <c r="GP219" s="286"/>
      <c r="GQ2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19" s="300" t="s">
        <v>261</v>
      </c>
      <c r="GS219" s="391" t="s">
        <v>261</v>
      </c>
      <c r="GT219" s="324"/>
      <c r="GU219" s="393" t="str">
        <f>IF(Table1[[#This Row],[Hydro Tes Actual
(tanggal)]]&lt;&gt;"","Sudah","Belum")</f>
        <v>Belum</v>
      </c>
      <c r="GV219" s="300" t="s">
        <v>261</v>
      </c>
      <c r="GW219" s="300" t="s">
        <v>261</v>
      </c>
      <c r="GX219" s="301"/>
      <c r="GY219" s="314" t="str">
        <f>IF(Table1[[#This Row],[Interkoneksi Actual
(tanggal)]]&lt;&gt;"","Sudah","Belum")</f>
        <v>Belum</v>
      </c>
      <c r="GZ219" s="300" t="s">
        <v>261</v>
      </c>
      <c r="HA219" s="391" t="s">
        <v>261</v>
      </c>
      <c r="HB219" s="301"/>
      <c r="HC219" s="314" t="str">
        <f>IF(Table1[[#This Row],[Flushing Actual
(tanggal)]]&lt;&gt;"","Sudah","Belum")</f>
        <v>Belum</v>
      </c>
      <c r="HD219" s="300">
        <v>45726</v>
      </c>
      <c r="HE219" s="300" t="e">
        <v>#N/A</v>
      </c>
      <c r="HF219" s="300">
        <v>45746</v>
      </c>
      <c r="HG219" s="322"/>
      <c r="HH2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19" s="300" t="s">
        <v>261</v>
      </c>
      <c r="HJ219" s="300" t="s">
        <v>261</v>
      </c>
      <c r="HK219" s="301"/>
      <c r="HL219" s="286"/>
      <c r="HM219" s="300">
        <v>45765</v>
      </c>
      <c r="HN219" s="300">
        <v>45765</v>
      </c>
      <c r="HO219" s="391">
        <v>46209</v>
      </c>
      <c r="HP219" s="391"/>
      <c r="HQ219" s="301"/>
      <c r="HR2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19" s="300">
        <v>45772</v>
      </c>
      <c r="HT219" s="300"/>
      <c r="HU219" s="300">
        <v>45772</v>
      </c>
      <c r="HV219" s="300">
        <v>46214</v>
      </c>
      <c r="HW219" s="301"/>
      <c r="HX21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19" s="42"/>
      <c r="HZ219" s="322"/>
      <c r="IA219" s="306"/>
      <c r="IC219" s="585">
        <f>IFERROR(ROUND((Table1[[#This Row],[PLAN TC
finish]]-Table1[[#This Row],[PLAN MC-0
start]])/30,2),"")</f>
        <v>2.5299999999999998</v>
      </c>
      <c r="ID219">
        <f>DATEDIF(Table1[[#This Row],[PLAN MC-0
start]],Table1[[#This Row],[PLAN TC
finish]],"m")</f>
        <v>2</v>
      </c>
    </row>
    <row r="220" spans="1:238" s="4" customFormat="1" ht="15" customHeight="1" x14ac:dyDescent="0.25">
      <c r="B220" s="281">
        <f>SUBTOTAL(3,$D$5:D220)</f>
        <v>216</v>
      </c>
      <c r="C220" s="318">
        <v>216</v>
      </c>
      <c r="D220" s="285" t="s">
        <v>673</v>
      </c>
      <c r="E220" s="308" t="s">
        <v>1664</v>
      </c>
      <c r="F220" s="308" t="s">
        <v>1665</v>
      </c>
      <c r="G220" s="319">
        <v>45935</v>
      </c>
      <c r="H220" s="284" t="s">
        <v>247</v>
      </c>
      <c r="I220" s="308" t="s">
        <v>278</v>
      </c>
      <c r="J220" s="285"/>
      <c r="K220" s="308" t="s">
        <v>676</v>
      </c>
      <c r="L220" s="286" t="s">
        <v>250</v>
      </c>
      <c r="M220" s="286" t="s">
        <v>269</v>
      </c>
      <c r="N220" s="94">
        <v>540</v>
      </c>
      <c r="O220" s="113" t="s">
        <v>252</v>
      </c>
      <c r="P22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0" s="35" t="e">
        <v>#N/A</v>
      </c>
      <c r="S220" s="35">
        <v>1</v>
      </c>
      <c r="T220" s="35">
        <f>Table1[[#This Row],[Progres Total Aktual
(%)]]</f>
        <v>1</v>
      </c>
      <c r="U220" s="106">
        <f>Table1[[#This Row],[Progres Aktual
(%)]]-Table1[[#This Row],[Target Progres
(%)]]</f>
        <v>0</v>
      </c>
      <c r="V220" s="320">
        <f>Table1[[#This Row],["Volume
BA MC-0"]]</f>
        <v>541</v>
      </c>
      <c r="W220" s="321">
        <f>Table1[[#This Row],[Total Panjang Pipa Aktual
(Sum-&gt;)3]]</f>
        <v>540</v>
      </c>
      <c r="X220" s="42"/>
      <c r="Y220" s="62" t="s">
        <v>1666</v>
      </c>
      <c r="Z220" s="62">
        <v>790046610</v>
      </c>
      <c r="AA220" s="62">
        <f>Table1[[#This Row],[Nilai RAB Jaringan
(file pa aji)]]</f>
        <v>790046610</v>
      </c>
      <c r="AB220" s="290">
        <f>SUM(Table1[[#This Row],[RAB Kegiatan Umum]:[RAB Perizinan]])</f>
        <v>0</v>
      </c>
      <c r="AC220" s="290"/>
      <c r="AD220" s="290"/>
      <c r="AE220" s="290"/>
      <c r="AF220" s="290"/>
      <c r="AG220" s="406">
        <v>133227140</v>
      </c>
      <c r="AH220" s="35" t="e">
        <f>SUM(Table1[[#This Row],[Bobot Keg Umum]:[Bobot Perizinan]])</f>
        <v>#DIV/0!</v>
      </c>
      <c r="AI220" s="35" t="e">
        <f>Table1[[#This Row],[RAB Kegiatan Umum]]/Table1[[#This Row],[Nilai RAB Jaringan
(Exclude Ppn)]]</f>
        <v>#DIV/0!</v>
      </c>
      <c r="AJ220" s="35" t="e">
        <f>Table1[[#This Row],[RAB Pemasangan]]/Table1[[#This Row],[Nilai RAB Jaringan
(Exclude Ppn)]]</f>
        <v>#DIV/0!</v>
      </c>
      <c r="AK220" s="35" t="e">
        <f>Table1[[#This Row],[RAB Pengadaan]]/Table1[[#This Row],[Nilai RAB Jaringan
(Exclude Ppn)]]</f>
        <v>#DIV/0!</v>
      </c>
      <c r="AL220" s="35" t="e">
        <f>Table1[[#This Row],[RAB Perizinan]]/Table1[[#This Row],[Nilai RAB Jaringan
(Exclude Ppn)]]</f>
        <v>#DIV/0!</v>
      </c>
      <c r="AM220" s="42"/>
      <c r="AN220" s="256">
        <v>541</v>
      </c>
      <c r="AO220" s="256">
        <f>SUM(Table1[[#This Row],[Pipa 63 mm]:[Pipa 1,800 mm]])</f>
        <v>0</v>
      </c>
      <c r="AP220" s="256"/>
      <c r="AQ220" s="256"/>
      <c r="AR220" s="256"/>
      <c r="AS220" s="256"/>
      <c r="AT220" s="256"/>
      <c r="AU220" s="256"/>
      <c r="AV220" s="256"/>
      <c r="AW220" s="256"/>
      <c r="AX220" s="256"/>
      <c r="AY220" s="256"/>
      <c r="AZ220" s="256"/>
      <c r="BA220" s="256"/>
      <c r="BB220" s="256"/>
      <c r="BC220" s="256"/>
      <c r="BD220" s="256"/>
      <c r="BE220" s="256"/>
      <c r="BF220" s="256"/>
      <c r="BG220" s="256"/>
      <c r="BH220" s="256"/>
      <c r="BI220" s="256"/>
      <c r="BJ220" s="416">
        <f>SUM(Table1[[#This Row],[Pipa 63 mm2]:[Pipa 1,800 mm21]])</f>
        <v>540</v>
      </c>
      <c r="BK220" s="32">
        <v>467</v>
      </c>
      <c r="BL220" s="32">
        <v>73</v>
      </c>
      <c r="BM220" s="32"/>
      <c r="BN220" s="32"/>
      <c r="BO220" s="32"/>
      <c r="BP220" s="32"/>
      <c r="BQ220" s="32"/>
      <c r="BR220" s="32"/>
      <c r="BS220" s="32"/>
      <c r="BT220" s="32"/>
      <c r="BU220" s="32"/>
      <c r="BV220" s="32"/>
      <c r="BW220" s="32"/>
      <c r="BX220" s="32"/>
      <c r="BY220" s="32"/>
      <c r="BZ220" s="32"/>
      <c r="CA220" s="32"/>
      <c r="CB220" s="32"/>
      <c r="CC220" s="32"/>
      <c r="CD220" s="32"/>
      <c r="CE220" s="32">
        <v>0</v>
      </c>
      <c r="CF220" s="32">
        <v>0</v>
      </c>
      <c r="CG220" s="32">
        <v>0</v>
      </c>
      <c r="CH220" s="32">
        <v>0</v>
      </c>
      <c r="CI220" s="32">
        <f t="shared" si="12"/>
        <v>0</v>
      </c>
      <c r="CJ220" s="60">
        <f>IF((Table1[[#This Row],["Volume
BA MC-0"]]-Table1[[#This Row],[Total Panjang Pipa Aktual
(Sum-&gt;)3]]-Table1[[#This Row],[Total Volume
tidak dapat dipasang]])&gt;=0,Table1[[#This Row],["Volume
BA MC-0"]]-Table1[[#This Row],[Total Panjang Pipa Aktual
(Sum-&gt;)3]]-Table1[[#This Row],[Total Volume
tidak dapat dipasang]],0)</f>
        <v>1</v>
      </c>
      <c r="CK220" s="42"/>
      <c r="CL220" s="113"/>
      <c r="CM220" s="35"/>
      <c r="CN220" s="113"/>
      <c r="CO220" s="113"/>
      <c r="CP2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0" s="61">
        <f>IFERROR(Table1[[#This Row],[Progres Keg. Umum
(%)]]*Table1[[#This Row],[Nilai RAB Jaringan
(file pa aji)]],0)</f>
        <v>0</v>
      </c>
      <c r="CR220" s="61">
        <f>IFERROR(Table1[[#This Row],[Progres MOS
(%)]]*Table1[[#This Row],[Nilai RAB Jaringan
(file pa aji)]],0)</f>
        <v>0</v>
      </c>
      <c r="CS220" s="61">
        <f>IFERROR(Table1[[#This Row],[Progres Pemasangan
(%)]]*Table1[[#This Row],[Nilai RAB Jaringan
(file pa aji)]],0)</f>
        <v>0</v>
      </c>
      <c r="CT220" s="61">
        <f>IFERROR(Table1[[#This Row],[Progres Perizinan
(%)]]*Table1[[#This Row],[Nilai RAB Jaringan
(file pa aji)]],0)</f>
        <v>0</v>
      </c>
      <c r="CU220" s="789">
        <v>587602756</v>
      </c>
      <c r="CV220" s="299">
        <v>587602756</v>
      </c>
      <c r="CW220" s="552">
        <v>587602756</v>
      </c>
      <c r="CX220" s="789">
        <f>_xlfn.XLOOKUP(Table1[[#This Row],[Kode Program]],'[1]Breakdown VOWD Greenfield'!$E:$E,'[1]Breakdown VOWD Greenfield'!$AT:$AT)</f>
        <v>587602756</v>
      </c>
      <c r="CY220" s="42"/>
      <c r="CZ220" s="300">
        <v>45593</v>
      </c>
      <c r="DA220" s="300">
        <v>45620</v>
      </c>
      <c r="DB220" s="301">
        <v>45614</v>
      </c>
      <c r="DC220" s="286" t="s">
        <v>1667</v>
      </c>
      <c r="DD220" s="62">
        <v>790046609.6400001</v>
      </c>
      <c r="DE2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0" s="301">
        <v>45625</v>
      </c>
      <c r="DG220" s="286" t="s">
        <v>1668</v>
      </c>
      <c r="DH220" s="62">
        <v>790046609.6400001</v>
      </c>
      <c r="DI2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0" s="300">
        <v>45621</v>
      </c>
      <c r="DK220" s="300">
        <v>45683</v>
      </c>
      <c r="DL220" s="301">
        <v>45701</v>
      </c>
      <c r="DM220" s="286" t="s">
        <v>1669</v>
      </c>
      <c r="DN2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20" s="301">
        <v>45721</v>
      </c>
      <c r="DP220" s="286" t="s">
        <v>1670</v>
      </c>
      <c r="DQ220" s="308" t="s">
        <v>1671</v>
      </c>
      <c r="DR2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0" s="300">
        <v>45621</v>
      </c>
      <c r="DT220" s="300" t="e">
        <v>#N/A</v>
      </c>
      <c r="DU220" s="300">
        <v>45662</v>
      </c>
      <c r="DV220" s="300" t="e">
        <v>#N/A</v>
      </c>
      <c r="DW220" s="301">
        <v>45701</v>
      </c>
      <c r="DX220" s="286" t="s">
        <v>1672</v>
      </c>
      <c r="DY220" s="304"/>
      <c r="DZ220" s="304"/>
      <c r="EA2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0" s="301">
        <v>45709</v>
      </c>
      <c r="EC220" s="302"/>
      <c r="ED220" s="302"/>
      <c r="EE220" s="300" t="s">
        <v>1673</v>
      </c>
      <c r="EF220" s="35">
        <v>1</v>
      </c>
      <c r="EG220" s="307">
        <v>1</v>
      </c>
      <c r="EH220" s="286" t="str">
        <f>IF(Table1[[#This Row],[PO Material Aktual 
(%)]]&gt;=100%,"Selesai PO = 100%",IF(Table1[[#This Row],[PO Material Aktual 
(%)]]&gt;=50%,"Proses PO &gt; 100%",IF(Table1[[#This Row],[PO Material Aktual 
(%)]]&gt;0%,"Proses PO &gt; 50%",IF(Table1[[#This Row],[PO Material Aktual 
(%)]]=0,"Belum PO = 0%"))))</f>
        <v>Selesai PO = 100%</v>
      </c>
      <c r="EI22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0" s="300">
        <v>45663</v>
      </c>
      <c r="EK220" s="300" t="e">
        <v>#N/A</v>
      </c>
      <c r="EL220" s="300">
        <v>45746</v>
      </c>
      <c r="EM220" s="300" t="e">
        <v>#N/A</v>
      </c>
      <c r="EN220" s="301">
        <v>46151</v>
      </c>
      <c r="EO220" s="302"/>
      <c r="EP220" s="302"/>
      <c r="EQ220" s="82">
        <v>1</v>
      </c>
      <c r="ER220" s="82">
        <v>1</v>
      </c>
      <c r="ES220" s="286" t="str">
        <f>IF(Table1[[#This Row],[Progres MOS]]&gt;=100%,"Selesai MOS = 100%",IF(Table1[[#This Row],[Progres MOS]]&gt;=50%,"Proses MOS &gt; 100%",IF(Table1[[#This Row],[Progres MOS]]&gt;0%,"Proses MOS &gt; 50%",IF(Table1[[#This Row],[Progres MOS]]=0,"Belum MOS = 0%"))))</f>
        <v>Selesai MOS = 100%</v>
      </c>
      <c r="ET2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0" s="42"/>
      <c r="EV220" s="300">
        <v>45621</v>
      </c>
      <c r="EW220" s="300" t="e">
        <v>#N/A</v>
      </c>
      <c r="EX220" s="300">
        <v>45711</v>
      </c>
      <c r="EY220" s="300" t="e">
        <v>#N/A</v>
      </c>
      <c r="EZ220" s="322" t="s">
        <v>298</v>
      </c>
      <c r="FA220" s="306" t="s">
        <v>298</v>
      </c>
      <c r="FB220" s="300" t="s">
        <v>260</v>
      </c>
      <c r="FC220" s="300">
        <v>45838</v>
      </c>
      <c r="FD220" s="300" t="s">
        <v>260</v>
      </c>
      <c r="FE220" s="300">
        <v>45895</v>
      </c>
      <c r="FF220" s="300">
        <v>45929</v>
      </c>
      <c r="FG220" s="300" t="s">
        <v>260</v>
      </c>
      <c r="FH220" s="300" t="s">
        <v>260</v>
      </c>
      <c r="FI220" s="300">
        <v>46010</v>
      </c>
      <c r="FJ220" s="300" t="s">
        <v>260</v>
      </c>
      <c r="FK220" s="300"/>
      <c r="FL220" s="306" t="s">
        <v>298</v>
      </c>
      <c r="FM220" s="322">
        <v>45838</v>
      </c>
      <c r="FN220" s="308">
        <f>IF(Table1[[#This Row],[Tanggal Pengajuan Dokumen]]="","",Table1[[#This Row],[PLAN PERMIT
start]]-Table1[[#This Row],[Tanggal Pengajuan Dokumen]])</f>
        <v>-217</v>
      </c>
      <c r="FO220" s="407">
        <v>46086</v>
      </c>
      <c r="FP220" s="286"/>
      <c r="FQ220" s="308"/>
      <c r="FR220" s="308"/>
      <c r="FS220" s="308" t="str">
        <f t="shared" si="11"/>
        <v>On Going</v>
      </c>
      <c r="FT2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0" s="314">
        <f ca="1">IF(Table1[[#This Row],[Status Izin]]="Selesai",Table1[[#This Row],[PLAN PERMIT
finish]]-Table1[[#This Row],[Tanggal Terbit/ Target Izin Terbit]],ROUNDUP(Table1[[#This Row],[PLAN PERMIT
finish]]-NOW(),0))</f>
        <v>-493</v>
      </c>
      <c r="FV2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0" s="314"/>
      <c r="FX220" s="42"/>
      <c r="FY220" s="310"/>
      <c r="FZ220" s="311"/>
      <c r="GA2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0" s="300">
        <v>45685</v>
      </c>
      <c r="GC220" s="322">
        <v>45547</v>
      </c>
      <c r="GD2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0" s="300">
        <v>45692</v>
      </c>
      <c r="GF220" s="322">
        <v>45547</v>
      </c>
      <c r="GG2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0" s="300">
        <v>45698</v>
      </c>
      <c r="GI220" s="300">
        <v>45704</v>
      </c>
      <c r="GJ220" s="322">
        <v>45706</v>
      </c>
      <c r="GK2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0" s="300">
        <v>45712</v>
      </c>
      <c r="GM220" s="300" t="e">
        <v>#N/A</v>
      </c>
      <c r="GN220" s="300">
        <v>45781</v>
      </c>
      <c r="GO220" s="300" t="e">
        <v>#N/A</v>
      </c>
      <c r="GP220" s="286"/>
      <c r="GQ2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0" s="300" t="s">
        <v>261</v>
      </c>
      <c r="GS220" s="391" t="s">
        <v>261</v>
      </c>
      <c r="GT220" s="401">
        <v>45736</v>
      </c>
      <c r="GU220" s="393" t="str">
        <f>IF(Table1[[#This Row],[Hydro Tes Actual
(tanggal)]]&lt;&gt;"","Sudah","Belum")</f>
        <v>Sudah</v>
      </c>
      <c r="GV220" s="300" t="s">
        <v>261</v>
      </c>
      <c r="GW220" s="300" t="s">
        <v>261</v>
      </c>
      <c r="GX220" s="301">
        <v>45733</v>
      </c>
      <c r="GY220" s="314" t="str">
        <f>IF(Table1[[#This Row],[Interkoneksi Actual
(tanggal)]]&lt;&gt;"","Sudah","Belum")</f>
        <v>Sudah</v>
      </c>
      <c r="GZ220" s="300" t="s">
        <v>261</v>
      </c>
      <c r="HA220" s="391" t="s">
        <v>261</v>
      </c>
      <c r="HB220" s="402">
        <v>45736</v>
      </c>
      <c r="HC220" s="314" t="str">
        <f>IF(Table1[[#This Row],[Flushing Actual
(tanggal)]]&lt;&gt;"","Sudah","Belum")</f>
        <v>Sudah</v>
      </c>
      <c r="HD220" s="300">
        <v>45754</v>
      </c>
      <c r="HE220" s="300" t="e">
        <v>#N/A</v>
      </c>
      <c r="HF220" s="300">
        <v>45774</v>
      </c>
      <c r="HG220" s="322">
        <v>45824</v>
      </c>
      <c r="HH2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0" s="300" t="s">
        <v>261</v>
      </c>
      <c r="HJ220" s="300" t="s">
        <v>261</v>
      </c>
      <c r="HK220" s="301"/>
      <c r="HL220" s="286"/>
      <c r="HM220" s="300">
        <v>45793</v>
      </c>
      <c r="HN220" s="300">
        <v>45793</v>
      </c>
      <c r="HO220" s="300" t="e">
        <v>#N/A</v>
      </c>
      <c r="HP220" s="300"/>
      <c r="HQ220" s="301">
        <v>45926</v>
      </c>
      <c r="HR2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0" s="300">
        <v>45800</v>
      </c>
      <c r="HT220" s="300"/>
      <c r="HU220" s="300">
        <v>45800</v>
      </c>
      <c r="HV220" s="497"/>
      <c r="HW220" s="301">
        <v>45934</v>
      </c>
      <c r="HX2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0" s="42"/>
      <c r="HZ220" s="322"/>
      <c r="IA220" s="306"/>
      <c r="IC220" s="585">
        <f>IFERROR(ROUND((Table1[[#This Row],[PLAN TC
finish]]-Table1[[#This Row],[PLAN MC-0
start]])/30,2),"")</f>
        <v>2.5299999999999998</v>
      </c>
      <c r="ID220">
        <f>DATEDIF(Table1[[#This Row],[PLAN MC-0
start]],Table1[[#This Row],[PLAN TC
finish]],"m")</f>
        <v>2</v>
      </c>
    </row>
    <row r="221" spans="1:238" s="30" customFormat="1" ht="15" customHeight="1" x14ac:dyDescent="0.25">
      <c r="A221" s="72"/>
      <c r="B221" s="281">
        <f>SUBTOTAL(3,$D$5:D221)</f>
        <v>217</v>
      </c>
      <c r="C221" s="332">
        <v>217</v>
      </c>
      <c r="D221" s="333" t="s">
        <v>673</v>
      </c>
      <c r="E221" s="336" t="s">
        <v>1674</v>
      </c>
      <c r="F221" s="336" t="s">
        <v>1675</v>
      </c>
      <c r="G221" s="334">
        <v>45935</v>
      </c>
      <c r="H221" s="335" t="s">
        <v>247</v>
      </c>
      <c r="I221" s="336" t="s">
        <v>278</v>
      </c>
      <c r="J221" s="355" t="s">
        <v>389</v>
      </c>
      <c r="K221" s="336" t="s">
        <v>676</v>
      </c>
      <c r="L221" s="337" t="s">
        <v>250</v>
      </c>
      <c r="M221" s="337" t="s">
        <v>269</v>
      </c>
      <c r="N221" s="338">
        <v>200</v>
      </c>
      <c r="O221" s="349" t="s">
        <v>252</v>
      </c>
      <c r="P22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1" s="340" t="s">
        <v>389</v>
      </c>
      <c r="R221" s="341" t="e">
        <v>#N/A</v>
      </c>
      <c r="S221" s="341">
        <v>1</v>
      </c>
      <c r="T221" s="341">
        <f>Table1[[#This Row],[Progres Total Aktual
(%)]]</f>
        <v>0</v>
      </c>
      <c r="U221" s="342">
        <f>Table1[[#This Row],[Progres Aktual
(%)]]-Table1[[#This Row],[Target Progres
(%)]]</f>
        <v>-1</v>
      </c>
      <c r="V221" s="343">
        <f>Table1[[#This Row],["Volume
BA MC-0"]]</f>
        <v>200</v>
      </c>
      <c r="W221" s="344">
        <f>Table1[[#This Row],[Total Panjang Pipa Aktual
(Sum-&gt;)3]]</f>
        <v>0</v>
      </c>
      <c r="X221" s="42"/>
      <c r="Y221" s="345" t="s">
        <v>1676</v>
      </c>
      <c r="Z221" s="345">
        <v>750133816</v>
      </c>
      <c r="AA221" s="62">
        <f>Table1[[#This Row],[Nilai RAB Jaringan
(file pa aji)]]</f>
        <v>750133816</v>
      </c>
      <c r="AB221" s="340">
        <f>SUM(Table1[[#This Row],[RAB Kegiatan Umum]:[RAB Perizinan]])</f>
        <v>0</v>
      </c>
      <c r="AC221" s="340"/>
      <c r="AD221" s="340"/>
      <c r="AE221" s="340"/>
      <c r="AF221" s="340"/>
      <c r="AG221" s="409">
        <v>2049649</v>
      </c>
      <c r="AH221" s="341" t="e">
        <f>SUM(Table1[[#This Row],[Bobot Keg Umum]:[Bobot Perizinan]])</f>
        <v>#DIV/0!</v>
      </c>
      <c r="AI221" s="341" t="e">
        <f>Table1[[#This Row],[RAB Kegiatan Umum]]/Table1[[#This Row],[Nilai RAB Jaringan
(Exclude Ppn)]]</f>
        <v>#DIV/0!</v>
      </c>
      <c r="AJ221" s="341" t="e">
        <f>Table1[[#This Row],[RAB Pemasangan]]/Table1[[#This Row],[Nilai RAB Jaringan
(Exclude Ppn)]]</f>
        <v>#DIV/0!</v>
      </c>
      <c r="AK221" s="341" t="e">
        <f>Table1[[#This Row],[RAB Pengadaan]]/Table1[[#This Row],[Nilai RAB Jaringan
(Exclude Ppn)]]</f>
        <v>#DIV/0!</v>
      </c>
      <c r="AL221" s="341" t="e">
        <f>Table1[[#This Row],[RAB Perizinan]]/Table1[[#This Row],[Nilai RAB Jaringan
(Exclude Ppn)]]</f>
        <v>#DIV/0!</v>
      </c>
      <c r="AM221" s="42"/>
      <c r="AN221" s="346">
        <v>200</v>
      </c>
      <c r="AO221" s="346">
        <f>SUM(Table1[[#This Row],[Pipa 63 mm]:[Pipa 1,800 mm]])</f>
        <v>0</v>
      </c>
      <c r="AP221" s="346"/>
      <c r="AQ221" s="346"/>
      <c r="AR221" s="346"/>
      <c r="AS221" s="346"/>
      <c r="AT221" s="346"/>
      <c r="AU221" s="346"/>
      <c r="AV221" s="346"/>
      <c r="AW221" s="346"/>
      <c r="AX221" s="346"/>
      <c r="AY221" s="346"/>
      <c r="AZ221" s="346"/>
      <c r="BA221" s="346"/>
      <c r="BB221" s="346"/>
      <c r="BC221" s="346"/>
      <c r="BD221" s="346"/>
      <c r="BE221" s="346"/>
      <c r="BF221" s="346"/>
      <c r="BG221" s="346"/>
      <c r="BH221" s="346"/>
      <c r="BI221" s="346"/>
      <c r="BJ221" s="421">
        <f>SUM(Table1[[#This Row],[Pipa 63 mm2]:[Pipa 1,800 mm21]])</f>
        <v>0</v>
      </c>
      <c r="BK221" s="348"/>
      <c r="BL221" s="348"/>
      <c r="BM221" s="348"/>
      <c r="BN221" s="348"/>
      <c r="BO221" s="348"/>
      <c r="BP221" s="348"/>
      <c r="BQ221" s="348"/>
      <c r="BR221" s="348"/>
      <c r="BS221" s="348"/>
      <c r="BT221" s="348"/>
      <c r="BU221" s="348"/>
      <c r="BV221" s="348"/>
      <c r="BW221" s="348"/>
      <c r="BX221" s="348"/>
      <c r="BY221" s="348"/>
      <c r="BZ221" s="348"/>
      <c r="CA221" s="348"/>
      <c r="CB221" s="348"/>
      <c r="CC221" s="348"/>
      <c r="CD221" s="348"/>
      <c r="CE221" s="348">
        <v>0</v>
      </c>
      <c r="CF221" s="348">
        <v>0</v>
      </c>
      <c r="CG221" s="348">
        <v>0</v>
      </c>
      <c r="CH221" s="348">
        <v>0</v>
      </c>
      <c r="CI221" s="348">
        <f t="shared" si="12"/>
        <v>0</v>
      </c>
      <c r="CJ221" s="348">
        <f>IF((Table1[[#This Row],["Volume
BA MC-0"]]-Table1[[#This Row],[Total Panjang Pipa Aktual
(Sum-&gt;)3]]-Table1[[#This Row],[Total Volume
tidak dapat dipasang]])&gt;=0,Table1[[#This Row],["Volume
BA MC-0"]]-Table1[[#This Row],[Total Panjang Pipa Aktual
(Sum-&gt;)3]]-Table1[[#This Row],[Total Volume
tidak dapat dipasang]],0)</f>
        <v>200</v>
      </c>
      <c r="CK221" s="42"/>
      <c r="CL221" s="349"/>
      <c r="CM221" s="341"/>
      <c r="CN221" s="349"/>
      <c r="CO221" s="349"/>
      <c r="CP2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21" s="350">
        <f>IFERROR(Table1[[#This Row],[Progres Keg. Umum
(%)]]*Table1[[#This Row],[Nilai RAB Jaringan
(file pa aji)]],0)</f>
        <v>0</v>
      </c>
      <c r="CR221" s="350">
        <f>IFERROR(Table1[[#This Row],[Progres MOS
(%)]]*Table1[[#This Row],[Nilai RAB Jaringan
(file pa aji)]],0)</f>
        <v>0</v>
      </c>
      <c r="CS221" s="350">
        <f>IFERROR(Table1[[#This Row],[Progres Pemasangan
(%)]]*Table1[[#This Row],[Nilai RAB Jaringan
(file pa aji)]],0)</f>
        <v>0</v>
      </c>
      <c r="CT221" s="350">
        <f>IFERROR(Table1[[#This Row],[Progres Perizinan
(%)]]*Table1[[#This Row],[Nilai RAB Jaringan
(file pa aji)]],0)</f>
        <v>0</v>
      </c>
      <c r="CU221" s="789">
        <v>0</v>
      </c>
      <c r="CV221" s="299">
        <v>0</v>
      </c>
      <c r="CW221" s="551">
        <v>0</v>
      </c>
      <c r="CX221" s="789">
        <f>_xlfn.XLOOKUP(Table1[[#This Row],[Kode Program]],'[1]Breakdown VOWD Greenfield'!$E:$E,'[1]Breakdown VOWD Greenfield'!$AT:$AT)</f>
        <v>0</v>
      </c>
      <c r="CY221" s="42"/>
      <c r="CZ221" s="356">
        <v>45565</v>
      </c>
      <c r="DA221" s="356">
        <v>45592</v>
      </c>
      <c r="DB221" s="301">
        <v>45621</v>
      </c>
      <c r="DC221" s="337" t="s">
        <v>1677</v>
      </c>
      <c r="DD221" s="345">
        <v>750133816</v>
      </c>
      <c r="DE2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21" s="301">
        <v>45628</v>
      </c>
      <c r="DG221" s="337" t="s">
        <v>1678</v>
      </c>
      <c r="DH221" s="345">
        <v>750133816</v>
      </c>
      <c r="DI221"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1" s="356">
        <v>45593</v>
      </c>
      <c r="DK221" s="356">
        <v>45683</v>
      </c>
      <c r="DL221" s="301"/>
      <c r="DM221" s="337">
        <v>0</v>
      </c>
      <c r="DN2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221" s="301"/>
      <c r="DP221" s="337">
        <v>0</v>
      </c>
      <c r="DQ221" s="336">
        <v>0</v>
      </c>
      <c r="DR2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221" s="356">
        <v>45593</v>
      </c>
      <c r="DT221" s="356" t="e">
        <v>#N/A</v>
      </c>
      <c r="DU221" s="356">
        <v>45634</v>
      </c>
      <c r="DV221" s="356" t="e">
        <v>#N/A</v>
      </c>
      <c r="DW221" s="301"/>
      <c r="DX221" s="337">
        <v>0</v>
      </c>
      <c r="DY221" s="352"/>
      <c r="DZ221" s="352"/>
      <c r="EA2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221" s="301"/>
      <c r="EC221" s="302"/>
      <c r="ED221" s="302"/>
      <c r="EE221" s="300"/>
      <c r="EF221" s="341" t="b">
        <v>0</v>
      </c>
      <c r="EG221" s="353" t="b">
        <v>0</v>
      </c>
      <c r="EH221" s="286" t="str">
        <f>IF(Table1[[#This Row],[PO Material Aktual 
(%)]]&gt;=100%,"Selesai PO = 100%",IF(Table1[[#This Row],[PO Material Aktual 
(%)]]&gt;=50%,"Proses PO &gt; 100%",IF(Table1[[#This Row],[PO Material Aktual 
(%)]]&gt;0%,"Proses PO &gt; 50%",IF(Table1[[#This Row],[PO Material Aktual 
(%)]]=0,"Belum PO = 0%"))))</f>
        <v>Selesai PO = 100%</v>
      </c>
      <c r="EI2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1" s="356">
        <v>45635</v>
      </c>
      <c r="EK221" s="356" t="e">
        <v>#N/A</v>
      </c>
      <c r="EL221" s="356">
        <v>45732</v>
      </c>
      <c r="EM221" s="356" t="e">
        <v>#N/A</v>
      </c>
      <c r="EN221" s="301"/>
      <c r="EO221" s="302"/>
      <c r="EP221" s="302"/>
      <c r="EQ221" s="83" t="b">
        <v>0</v>
      </c>
      <c r="ER221" s="83" t="b">
        <v>0</v>
      </c>
      <c r="ES221" s="286" t="str">
        <f>IF(Table1[[#This Row],[Progres MOS]]&gt;=100%,"Selesai MOS = 100%",IF(Table1[[#This Row],[Progres MOS]]&gt;=50%,"Proses MOS &gt; 100%",IF(Table1[[#This Row],[Progres MOS]]&gt;0%,"Proses MOS &gt; 50%",IF(Table1[[#This Row],[Progres MOS]]=0,"Belum MOS = 0%"))))</f>
        <v>Selesai MOS = 100%</v>
      </c>
      <c r="ET2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1" s="42"/>
      <c r="EV221" s="356">
        <v>45593</v>
      </c>
      <c r="EW221" s="356" t="e">
        <v>#N/A</v>
      </c>
      <c r="EX221" s="356">
        <v>45711</v>
      </c>
      <c r="EY221" s="356" t="e">
        <v>#N/A</v>
      </c>
      <c r="EZ221" s="354" t="s">
        <v>298</v>
      </c>
      <c r="FA221" s="355" t="s">
        <v>389</v>
      </c>
      <c r="FB221" s="356"/>
      <c r="FC221" s="300"/>
      <c r="FD221" s="356"/>
      <c r="FE221" s="356"/>
      <c r="FF221" s="356"/>
      <c r="FG221" s="356"/>
      <c r="FH221" s="356"/>
      <c r="FI221" s="356"/>
      <c r="FJ221" s="356"/>
      <c r="FK221" s="356"/>
      <c r="FL221" s="306" t="str">
        <f>Table1[[#This Row],[IPPJU]]</f>
        <v>9.Proses Penerbitan Izin</v>
      </c>
      <c r="FM221" s="306"/>
      <c r="FN221" s="284" t="str">
        <f>IF(Table1[[#This Row],[Tanggal Pengajuan Dokumen]]="","",Table1[[#This Row],[PLAN PERMIT
start]]-Table1[[#This Row],[Tanggal Pengajuan Dokumen]])</f>
        <v/>
      </c>
      <c r="FO221" s="414">
        <v>46086</v>
      </c>
      <c r="FP221" s="286"/>
      <c r="FQ221" s="308"/>
      <c r="FR221" s="308"/>
      <c r="FS221" s="308" t="str">
        <f t="shared" si="11"/>
        <v>On Going</v>
      </c>
      <c r="FT22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1" s="357">
        <f ca="1">IF(Table1[[#This Row],[Status Izin]]="Selesai",Table1[[#This Row],[PLAN PERMIT
finish]]-Table1[[#This Row],[Tanggal Terbit/ Target Izin Terbit]],ROUNDUP(Table1[[#This Row],[PLAN PERMIT
finish]]-NOW(),0))</f>
        <v>-493</v>
      </c>
      <c r="FV22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1" s="357"/>
      <c r="FX221" s="42"/>
      <c r="FY221" s="310"/>
      <c r="FZ221" s="311"/>
      <c r="GA2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1" s="356">
        <v>45685</v>
      </c>
      <c r="GC221" s="354">
        <v>45547</v>
      </c>
      <c r="GD22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1" s="356">
        <v>45692</v>
      </c>
      <c r="GF221" s="354">
        <v>45547</v>
      </c>
      <c r="GG22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1" s="356">
        <v>45698</v>
      </c>
      <c r="GI221" s="356">
        <v>45704</v>
      </c>
      <c r="GJ221" s="354">
        <v>0</v>
      </c>
      <c r="GK22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1" s="356">
        <v>45712</v>
      </c>
      <c r="GM221" s="356" t="e">
        <v>#N/A</v>
      </c>
      <c r="GN221" s="356">
        <v>45753</v>
      </c>
      <c r="GO221" s="356" t="e">
        <v>#N/A</v>
      </c>
      <c r="GP221" s="337"/>
      <c r="GQ22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1" s="356" t="s">
        <v>261</v>
      </c>
      <c r="GS221" s="404" t="s">
        <v>261</v>
      </c>
      <c r="GT221" s="360"/>
      <c r="GU221" s="405" t="str">
        <f>IF(Table1[[#This Row],[Hydro Tes Actual
(tanggal)]]&lt;&gt;"","Sudah","Belum")</f>
        <v>Belum</v>
      </c>
      <c r="GV221" s="356" t="s">
        <v>261</v>
      </c>
      <c r="GW221" s="356" t="s">
        <v>261</v>
      </c>
      <c r="GX221" s="358"/>
      <c r="GY221" s="314" t="str">
        <f>IF(Table1[[#This Row],[Interkoneksi Actual
(tanggal)]]&lt;&gt;"","Sudah","Belum")</f>
        <v>Belum</v>
      </c>
      <c r="GZ221" s="356" t="s">
        <v>261</v>
      </c>
      <c r="HA221" s="404" t="s">
        <v>261</v>
      </c>
      <c r="HB221" s="358"/>
      <c r="HC221" s="314" t="str">
        <f>IF(Table1[[#This Row],[Flushing Actual
(tanggal)]]&lt;&gt;"","Sudah","Belum")</f>
        <v>Belum</v>
      </c>
      <c r="HD221" s="356">
        <v>45726</v>
      </c>
      <c r="HE221" s="356" t="e">
        <v>#N/A</v>
      </c>
      <c r="HF221" s="356">
        <v>45746</v>
      </c>
      <c r="HG221" s="354"/>
      <c r="HH22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1" s="356" t="s">
        <v>261</v>
      </c>
      <c r="HJ221" s="356" t="s">
        <v>261</v>
      </c>
      <c r="HK221" s="358"/>
      <c r="HL221" s="337"/>
      <c r="HM221" s="356">
        <v>45758</v>
      </c>
      <c r="HN221" s="356">
        <v>45758</v>
      </c>
      <c r="HO221" s="356" t="e">
        <v>#N/A</v>
      </c>
      <c r="HP221" s="356"/>
      <c r="HQ221" s="358"/>
      <c r="HR221"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1" s="356">
        <v>45765</v>
      </c>
      <c r="HT221" s="356"/>
      <c r="HU221" s="356">
        <v>45765</v>
      </c>
      <c r="HV221" s="580"/>
      <c r="HW221" s="358"/>
      <c r="HX22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1" s="42"/>
      <c r="HZ221" s="354"/>
      <c r="IA221" s="306"/>
      <c r="IC221" s="585">
        <f>IFERROR(ROUND((Table1[[#This Row],[PLAN TC
finish]]-Table1[[#This Row],[PLAN MC-0
start]])/30,2),"")</f>
        <v>1.6</v>
      </c>
      <c r="ID221">
        <f>DATEDIF(Table1[[#This Row],[PLAN MC-0
start]],Table1[[#This Row],[PLAN TC
finish]],"m")</f>
        <v>1</v>
      </c>
    </row>
    <row r="222" spans="1:238" s="4" customFormat="1" ht="15" customHeight="1" x14ac:dyDescent="0.25">
      <c r="B222" s="281">
        <f>SUBTOTAL(3,$D$5:D222)</f>
        <v>218</v>
      </c>
      <c r="C222" s="318">
        <v>218</v>
      </c>
      <c r="D222" s="285" t="s">
        <v>673</v>
      </c>
      <c r="E222" s="308" t="s">
        <v>1679</v>
      </c>
      <c r="F222" s="308" t="s">
        <v>1680</v>
      </c>
      <c r="G222" s="319">
        <v>45935</v>
      </c>
      <c r="H222" s="284" t="s">
        <v>247</v>
      </c>
      <c r="I222" s="308" t="s">
        <v>278</v>
      </c>
      <c r="J222" s="285"/>
      <c r="K222" s="308" t="s">
        <v>676</v>
      </c>
      <c r="L222" s="286" t="s">
        <v>250</v>
      </c>
      <c r="M222" s="286" t="s">
        <v>269</v>
      </c>
      <c r="N222" s="94">
        <v>6791</v>
      </c>
      <c r="O222" s="113" t="s">
        <v>252</v>
      </c>
      <c r="P22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2" s="35" t="e">
        <v>#N/A</v>
      </c>
      <c r="S222" s="35">
        <v>1</v>
      </c>
      <c r="T222" s="35">
        <f>Table1[[#This Row],[Progres Total Aktual
(%)]]</f>
        <v>1</v>
      </c>
      <c r="U222" s="106">
        <f>Table1[[#This Row],[Progres Aktual
(%)]]-Table1[[#This Row],[Target Progres
(%)]]</f>
        <v>0</v>
      </c>
      <c r="V222" s="320">
        <f>Table1[[#This Row],["Volume
BA MC-0"]]</f>
        <v>6849</v>
      </c>
      <c r="W222" s="321">
        <f>Table1[[#This Row],[Total Panjang Pipa Aktual
(Sum-&gt;)3]]</f>
        <v>6830</v>
      </c>
      <c r="X222" s="42"/>
      <c r="Y222" s="62" t="s">
        <v>1681</v>
      </c>
      <c r="Z222" s="62">
        <v>10633438185</v>
      </c>
      <c r="AA222" s="62">
        <f>Table1[[#This Row],[Nilai RAB Jaringan
(file pa aji)]]</f>
        <v>10633438185</v>
      </c>
      <c r="AB222" s="290">
        <f>SUM(Table1[[#This Row],[RAB Kegiatan Umum]:[RAB Perizinan]])</f>
        <v>0</v>
      </c>
      <c r="AC222" s="290"/>
      <c r="AD222" s="290"/>
      <c r="AE222" s="290"/>
      <c r="AF222" s="290"/>
      <c r="AG222" s="406">
        <v>3642838386</v>
      </c>
      <c r="AH222" s="35" t="e">
        <f>SUM(Table1[[#This Row],[Bobot Keg Umum]:[Bobot Perizinan]])</f>
        <v>#DIV/0!</v>
      </c>
      <c r="AI222" s="35" t="e">
        <f>Table1[[#This Row],[RAB Kegiatan Umum]]/Table1[[#This Row],[Nilai RAB Jaringan
(Exclude Ppn)]]</f>
        <v>#DIV/0!</v>
      </c>
      <c r="AJ222" s="35" t="e">
        <f>Table1[[#This Row],[RAB Pemasangan]]/Table1[[#This Row],[Nilai RAB Jaringan
(Exclude Ppn)]]</f>
        <v>#DIV/0!</v>
      </c>
      <c r="AK222" s="35" t="e">
        <f>Table1[[#This Row],[RAB Pengadaan]]/Table1[[#This Row],[Nilai RAB Jaringan
(Exclude Ppn)]]</f>
        <v>#DIV/0!</v>
      </c>
      <c r="AL222" s="35" t="e">
        <f>Table1[[#This Row],[RAB Perizinan]]/Table1[[#This Row],[Nilai RAB Jaringan
(Exclude Ppn)]]</f>
        <v>#DIV/0!</v>
      </c>
      <c r="AM222" s="42"/>
      <c r="AN222" s="256">
        <v>6849</v>
      </c>
      <c r="AO222" s="256">
        <f>SUM(Table1[[#This Row],[Pipa 63 mm]:[Pipa 1,800 mm]])</f>
        <v>0</v>
      </c>
      <c r="AP222" s="256"/>
      <c r="AQ222" s="256"/>
      <c r="AR222" s="256"/>
      <c r="AS222" s="256"/>
      <c r="AT222" s="256"/>
      <c r="AU222" s="256"/>
      <c r="AV222" s="256"/>
      <c r="AW222" s="256"/>
      <c r="AX222" s="256"/>
      <c r="AY222" s="256"/>
      <c r="AZ222" s="256"/>
      <c r="BA222" s="256"/>
      <c r="BB222" s="256"/>
      <c r="BC222" s="256"/>
      <c r="BD222" s="256"/>
      <c r="BE222" s="256"/>
      <c r="BF222" s="256"/>
      <c r="BG222" s="256"/>
      <c r="BH222" s="256"/>
      <c r="BI222" s="256"/>
      <c r="BJ222" s="416">
        <f>SUM(Table1[[#This Row],[Pipa 63 mm2]:[Pipa 1,800 mm21]])</f>
        <v>6830</v>
      </c>
      <c r="BK222" s="32">
        <v>5824</v>
      </c>
      <c r="BL222" s="32">
        <v>66</v>
      </c>
      <c r="BM222" s="32">
        <v>330</v>
      </c>
      <c r="BN222" s="32">
        <v>610</v>
      </c>
      <c r="BO222" s="32"/>
      <c r="BP222" s="32"/>
      <c r="BQ222" s="32"/>
      <c r="BR222" s="32"/>
      <c r="BS222" s="32"/>
      <c r="BT222" s="32"/>
      <c r="BU222" s="32"/>
      <c r="BV222" s="32"/>
      <c r="BW222" s="32"/>
      <c r="BX222" s="32"/>
      <c r="BY222" s="32"/>
      <c r="BZ222" s="32"/>
      <c r="CA222" s="32"/>
      <c r="CB222" s="32"/>
      <c r="CC222" s="32"/>
      <c r="CD222" s="32"/>
      <c r="CE222" s="32">
        <v>0</v>
      </c>
      <c r="CF222" s="32">
        <v>0</v>
      </c>
      <c r="CG222" s="32">
        <v>0</v>
      </c>
      <c r="CH222" s="32">
        <v>0</v>
      </c>
      <c r="CI222" s="32">
        <f t="shared" si="12"/>
        <v>0</v>
      </c>
      <c r="CJ222" s="60">
        <f>IF((Table1[[#This Row],["Volume
BA MC-0"]]-Table1[[#This Row],[Total Panjang Pipa Aktual
(Sum-&gt;)3]]-Table1[[#This Row],[Total Volume
tidak dapat dipasang]])&gt;=0,Table1[[#This Row],["Volume
BA MC-0"]]-Table1[[#This Row],[Total Panjang Pipa Aktual
(Sum-&gt;)3]]-Table1[[#This Row],[Total Volume
tidak dapat dipasang]],0)</f>
        <v>19</v>
      </c>
      <c r="CK222" s="42"/>
      <c r="CL222" s="113"/>
      <c r="CM222" s="35"/>
      <c r="CN222" s="113"/>
      <c r="CO222" s="113"/>
      <c r="CP22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2" s="61">
        <f>IFERROR(Table1[[#This Row],[Progres Keg. Umum
(%)]]*Table1[[#This Row],[Nilai RAB Jaringan
(file pa aji)]],0)</f>
        <v>0</v>
      </c>
      <c r="CR222" s="61">
        <f>IFERROR(Table1[[#This Row],[Progres MOS
(%)]]*Table1[[#This Row],[Nilai RAB Jaringan
(file pa aji)]],0)</f>
        <v>0</v>
      </c>
      <c r="CS222" s="61">
        <f>IFERROR(Table1[[#This Row],[Progres Pemasangan
(%)]]*Table1[[#This Row],[Nilai RAB Jaringan
(file pa aji)]],0)</f>
        <v>0</v>
      </c>
      <c r="CT222" s="61">
        <f>IFERROR(Table1[[#This Row],[Progres Perizinan
(%)]]*Table1[[#This Row],[Nilai RAB Jaringan
(file pa aji)]],0)</f>
        <v>0</v>
      </c>
      <c r="CU222" s="789">
        <v>7986180967</v>
      </c>
      <c r="CV222" s="299">
        <v>7986180967</v>
      </c>
      <c r="CW222" s="552">
        <v>7986180967</v>
      </c>
      <c r="CX222" s="789">
        <f>_xlfn.XLOOKUP(Table1[[#This Row],[Kode Program]],'[1]Breakdown VOWD Greenfield'!$E:$E,'[1]Breakdown VOWD Greenfield'!$AT:$AT)</f>
        <v>7986180967</v>
      </c>
      <c r="CY222" s="42"/>
      <c r="CZ222" s="300">
        <v>45565</v>
      </c>
      <c r="DA222" s="300">
        <v>45585</v>
      </c>
      <c r="DB222" s="301">
        <v>45558</v>
      </c>
      <c r="DC222" s="286" t="s">
        <v>1682</v>
      </c>
      <c r="DD222" s="62">
        <v>10314347500.950001</v>
      </c>
      <c r="DE2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2" s="301">
        <v>45726</v>
      </c>
      <c r="DG222" s="286" t="s">
        <v>1683</v>
      </c>
      <c r="DH222" s="62">
        <v>10314347500.950001</v>
      </c>
      <c r="DI2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22" s="300">
        <v>45586</v>
      </c>
      <c r="DK222" s="300">
        <v>45627</v>
      </c>
      <c r="DL222" s="301">
        <v>45602</v>
      </c>
      <c r="DM222" s="286" t="s">
        <v>1684</v>
      </c>
      <c r="DN2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2" s="301">
        <v>45691</v>
      </c>
      <c r="DP222" s="286" t="s">
        <v>1685</v>
      </c>
      <c r="DQ222" s="308" t="s">
        <v>762</v>
      </c>
      <c r="DR2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2" s="300">
        <v>45586</v>
      </c>
      <c r="DT222" s="300" t="e">
        <v>#N/A</v>
      </c>
      <c r="DU222" s="300">
        <v>45620</v>
      </c>
      <c r="DV222" s="300" t="e">
        <v>#N/A</v>
      </c>
      <c r="DW222" s="301">
        <v>45602</v>
      </c>
      <c r="DX222" s="286" t="s">
        <v>1684</v>
      </c>
      <c r="DY222" s="304"/>
      <c r="DZ222" s="304"/>
      <c r="EA2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2" s="301">
        <v>45889</v>
      </c>
      <c r="EC222" s="302"/>
      <c r="ED222" s="302"/>
      <c r="EE222" s="300" t="s">
        <v>1309</v>
      </c>
      <c r="EF222" s="35">
        <v>1</v>
      </c>
      <c r="EG222" s="307">
        <v>1</v>
      </c>
      <c r="EH222" s="286" t="str">
        <f>IF(Table1[[#This Row],[PO Material Aktual 
(%)]]&gt;=100%,"Selesai PO = 100%",IF(Table1[[#This Row],[PO Material Aktual 
(%)]]&gt;=50%,"Proses PO &gt; 100%",IF(Table1[[#This Row],[PO Material Aktual 
(%)]]&gt;0%,"Proses PO &gt; 50%",IF(Table1[[#This Row],[PO Material Aktual 
(%)]]=0,"Belum PO = 0%"))))</f>
        <v>Selesai PO = 100%</v>
      </c>
      <c r="EI22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2" s="300">
        <v>45621</v>
      </c>
      <c r="EK222" s="300" t="e">
        <v>#N/A</v>
      </c>
      <c r="EL222" s="300">
        <v>45683</v>
      </c>
      <c r="EM222" s="300" t="e">
        <v>#N/A</v>
      </c>
      <c r="EN222" s="301">
        <v>46091</v>
      </c>
      <c r="EO222" s="302"/>
      <c r="EP222" s="302"/>
      <c r="EQ222" s="82">
        <v>1</v>
      </c>
      <c r="ER222" s="82">
        <v>1</v>
      </c>
      <c r="ES222" s="286" t="str">
        <f>IF(Table1[[#This Row],[Progres MOS]]&gt;=100%,"Selesai MOS = 100%",IF(Table1[[#This Row],[Progres MOS]]&gt;=50%,"Proses MOS &gt; 100%",IF(Table1[[#This Row],[Progres MOS]]&gt;0%,"Proses MOS &gt; 50%",IF(Table1[[#This Row],[Progres MOS]]=0,"Belum MOS = 0%"))))</f>
        <v>Selesai MOS = 100%</v>
      </c>
      <c r="ET2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2" s="42"/>
      <c r="EV222" s="300">
        <v>45586</v>
      </c>
      <c r="EW222" s="300" t="e">
        <v>#N/A</v>
      </c>
      <c r="EX222" s="300">
        <v>45655</v>
      </c>
      <c r="EY222" s="300" t="e">
        <v>#N/A</v>
      </c>
      <c r="EZ222" s="322" t="s">
        <v>298</v>
      </c>
      <c r="FA222" s="306" t="s">
        <v>259</v>
      </c>
      <c r="FB222" s="300" t="s">
        <v>260</v>
      </c>
      <c r="FC222" s="300">
        <v>45838</v>
      </c>
      <c r="FD222" s="300" t="s">
        <v>260</v>
      </c>
      <c r="FE222" s="300">
        <v>45895</v>
      </c>
      <c r="FF222" s="300">
        <v>45929</v>
      </c>
      <c r="FG222" s="300" t="s">
        <v>260</v>
      </c>
      <c r="FH222" s="300" t="s">
        <v>260</v>
      </c>
      <c r="FI222" s="300">
        <v>46010</v>
      </c>
      <c r="FJ222" s="300" t="s">
        <v>260</v>
      </c>
      <c r="FK222" s="300">
        <v>46111</v>
      </c>
      <c r="FL222" s="306" t="str">
        <f>Table1[[#This Row],[IPPJU]]</f>
        <v>9.Proses Penerbitan Izin</v>
      </c>
      <c r="FM222" s="322">
        <v>45838</v>
      </c>
      <c r="FN222" s="308">
        <f>IF(Table1[[#This Row],[Tanggal Pengajuan Dokumen]]="","",Table1[[#This Row],[PLAN PERMIT
start]]-Table1[[#This Row],[Tanggal Pengajuan Dokumen]])</f>
        <v>-252</v>
      </c>
      <c r="FO222" s="407">
        <v>46086</v>
      </c>
      <c r="FP222" s="286"/>
      <c r="FQ222" s="308"/>
      <c r="FR222" s="308"/>
      <c r="FS222" s="308" t="str">
        <f t="shared" si="11"/>
        <v>Sudah Terbit</v>
      </c>
      <c r="FT2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2" s="314">
        <f ca="1">IF(Table1[[#This Row],[Status Izin]]="Selesai",Table1[[#This Row],[PLAN PERMIT
finish]]-Table1[[#This Row],[Tanggal Terbit/ Target Izin Terbit]],ROUNDUP(Table1[[#This Row],[PLAN PERMIT
finish]]-NOW(),0))</f>
        <v>-431</v>
      </c>
      <c r="FV2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2" s="314"/>
      <c r="FX222" s="42"/>
      <c r="FY222" s="310"/>
      <c r="FZ222" s="311"/>
      <c r="GA2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2" s="300">
        <v>45629</v>
      </c>
      <c r="GC222" s="322">
        <v>45629</v>
      </c>
      <c r="GD2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2" s="300">
        <v>45636</v>
      </c>
      <c r="GF222" s="322">
        <v>45629</v>
      </c>
      <c r="GG2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2" s="300">
        <v>45642</v>
      </c>
      <c r="GI222" s="300">
        <v>45648</v>
      </c>
      <c r="GJ222" s="322">
        <v>45636</v>
      </c>
      <c r="GK2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2" s="300">
        <v>45656</v>
      </c>
      <c r="GM222" s="300" t="e">
        <v>#N/A</v>
      </c>
      <c r="GN222" s="300">
        <v>45753</v>
      </c>
      <c r="GO222" s="300" t="e">
        <v>#N/A</v>
      </c>
      <c r="GP222" s="286"/>
      <c r="GQ2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2" s="300" t="s">
        <v>261</v>
      </c>
      <c r="GS222" s="391" t="s">
        <v>261</v>
      </c>
      <c r="GT222" s="422" t="s">
        <v>1686</v>
      </c>
      <c r="GU222" s="393" t="str">
        <f>IF(Table1[[#This Row],[Hydro Tes Actual
(tanggal)]]&lt;&gt;"","Sudah","Belum")</f>
        <v>Sudah</v>
      </c>
      <c r="GV222" s="300" t="s">
        <v>261</v>
      </c>
      <c r="GW222" s="300" t="s">
        <v>261</v>
      </c>
      <c r="GX222" s="301">
        <v>45909</v>
      </c>
      <c r="GY222" s="314" t="str">
        <f>IF(Table1[[#This Row],[Interkoneksi Actual
(tanggal)]]&lt;&gt;"","Sudah","Belum")</f>
        <v>Sudah</v>
      </c>
      <c r="GZ222" s="300" t="s">
        <v>261</v>
      </c>
      <c r="HA222" s="391" t="s">
        <v>261</v>
      </c>
      <c r="HB222" s="394">
        <v>45917</v>
      </c>
      <c r="HC222" s="314" t="str">
        <f>IF(Table1[[#This Row],[Flushing Actual
(tanggal)]]&lt;&gt;"","Sudah","Belum")</f>
        <v>Sudah</v>
      </c>
      <c r="HD222" s="300">
        <v>45726</v>
      </c>
      <c r="HE222" s="300" t="e">
        <v>#N/A</v>
      </c>
      <c r="HF222" s="300">
        <v>45746</v>
      </c>
      <c r="HG222" s="322">
        <v>45919</v>
      </c>
      <c r="HH2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2" s="300" t="s">
        <v>261</v>
      </c>
      <c r="HJ222" s="300" t="s">
        <v>261</v>
      </c>
      <c r="HK222" s="301"/>
      <c r="HL222" s="286"/>
      <c r="HM222" s="300">
        <v>45765</v>
      </c>
      <c r="HN222" s="300">
        <v>45765</v>
      </c>
      <c r="HO222" s="300" t="e">
        <v>#N/A</v>
      </c>
      <c r="HP222" s="300"/>
      <c r="HQ222" s="301">
        <v>45926</v>
      </c>
      <c r="HR2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2" s="300">
        <v>45772</v>
      </c>
      <c r="HT222" s="300"/>
      <c r="HU222" s="300">
        <v>45772</v>
      </c>
      <c r="HV222" s="497"/>
      <c r="HW222" s="301">
        <v>45934</v>
      </c>
      <c r="HX22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2" s="42"/>
      <c r="HZ222" s="322"/>
      <c r="IA222" s="306"/>
      <c r="IC222" s="585">
        <f>IFERROR(ROUND((Table1[[#This Row],[PLAN TC
finish]]-Table1[[#This Row],[PLAN MC-0
start]])/30,2),"")</f>
        <v>3.47</v>
      </c>
      <c r="ID222">
        <f>DATEDIF(Table1[[#This Row],[PLAN MC-0
start]],Table1[[#This Row],[PLAN TC
finish]],"m")</f>
        <v>3</v>
      </c>
    </row>
    <row r="223" spans="1:238" s="4" customFormat="1" ht="15" customHeight="1" x14ac:dyDescent="0.25">
      <c r="B223" s="281">
        <f>SUBTOTAL(3,$D$5:D223)</f>
        <v>219</v>
      </c>
      <c r="C223" s="318">
        <v>219</v>
      </c>
      <c r="D223" s="285" t="s">
        <v>673</v>
      </c>
      <c r="E223" s="308" t="s">
        <v>1687</v>
      </c>
      <c r="F223" s="308" t="s">
        <v>1688</v>
      </c>
      <c r="G223" s="319">
        <v>45935</v>
      </c>
      <c r="H223" s="284" t="s">
        <v>247</v>
      </c>
      <c r="I223" s="308" t="s">
        <v>278</v>
      </c>
      <c r="J223" s="285" t="s">
        <v>943</v>
      </c>
      <c r="K223" s="308" t="s">
        <v>676</v>
      </c>
      <c r="L223" s="286" t="s">
        <v>250</v>
      </c>
      <c r="M223" s="286" t="s">
        <v>269</v>
      </c>
      <c r="N223" s="94">
        <v>14179</v>
      </c>
      <c r="O223" s="113" t="s">
        <v>252</v>
      </c>
      <c r="P22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23" s="35" t="e">
        <v>#N/A</v>
      </c>
      <c r="S223" s="35">
        <v>1</v>
      </c>
      <c r="T223" s="35">
        <f>Table1[[#This Row],[Progres Total Aktual
(%)]]</f>
        <v>0.94206072134420127</v>
      </c>
      <c r="U223" s="106">
        <f>Table1[[#This Row],[Progres Aktual
(%)]]-Table1[[#This Row],[Target Progres
(%)]]</f>
        <v>-5.7939278655798732E-2</v>
      </c>
      <c r="V223" s="320">
        <f>Table1[[#This Row],["Volume
BA MC-0"]]</f>
        <v>15593</v>
      </c>
      <c r="W223" s="321">
        <f>Table1[[#This Row],[Total Panjang Pipa Aktual
(Sum-&gt;)3]]</f>
        <v>14577</v>
      </c>
      <c r="X223" s="42"/>
      <c r="Y223" s="290" t="s">
        <v>1689</v>
      </c>
      <c r="Z223" s="62">
        <f>ROUND((Table1[[#This Row],[Nilai RAB Jaringan
(Exclude Ppn)]]-Table1[[#This Row],[RAB Perizinan]])*1.11+Table1[[#This Row],[RAB Perizinan]],0)</f>
        <v>20690040333</v>
      </c>
      <c r="AA223" s="62">
        <f>ROUND((Table1[[#This Row],[Nilai RAB Jaringan
(Exclude Ppn)]]-Table1[[#This Row],[RAB Perizinan]])*1.11+Table1[[#This Row],[RAB Perizinan]],0)</f>
        <v>20690040333</v>
      </c>
      <c r="AB223" s="290">
        <f>SUM(Table1[[#This Row],[RAB Kegiatan Umum]:[RAB Perizinan]])</f>
        <v>18653727237.040001</v>
      </c>
      <c r="AC223" s="426">
        <v>1450648144</v>
      </c>
      <c r="AD223" s="426">
        <v>14506481438.039999</v>
      </c>
      <c r="AE223" s="426">
        <v>2554807655</v>
      </c>
      <c r="AF223" s="426">
        <v>141790000</v>
      </c>
      <c r="AG223" s="406">
        <v>2736280481</v>
      </c>
      <c r="AH223" s="35">
        <f>SUM(Table1[[#This Row],[Bobot Keg Umum]:[Bobot Perizinan]])</f>
        <v>0.99999999999999989</v>
      </c>
      <c r="AI223" s="35">
        <f>Table1[[#This Row],[RAB Kegiatan Umum]]/Table1[[#This Row],[Nilai RAB Jaringan
(Exclude Ppn)]]</f>
        <v>7.7767200386607074E-2</v>
      </c>
      <c r="AJ223" s="35">
        <f>Table1[[#This Row],[RAB Pemasangan]]/Table1[[#This Row],[Nilai RAB Jaringan
(Exclude Ppn)]]</f>
        <v>0.77767200376099777</v>
      </c>
      <c r="AK223" s="35">
        <f>Table1[[#This Row],[RAB Pengadaan]]/Table1[[#This Row],[Nilai RAB Jaringan
(Exclude Ppn)]]</f>
        <v>0.13695963399352248</v>
      </c>
      <c r="AL223" s="35">
        <f>Table1[[#This Row],[RAB Perizinan]]/Table1[[#This Row],[Nilai RAB Jaringan
(Exclude Ppn)]]</f>
        <v>7.6011618588725238E-3</v>
      </c>
      <c r="AM223" s="42"/>
      <c r="AN223" s="256">
        <v>15593</v>
      </c>
      <c r="AO223" s="256">
        <f>SUM(Table1[[#This Row],[Pipa 63 mm]:[Pipa 1,800 mm]])</f>
        <v>0</v>
      </c>
      <c r="AP223" s="256"/>
      <c r="AQ223" s="256"/>
      <c r="AR223" s="256"/>
      <c r="AS223" s="256"/>
      <c r="AT223" s="256"/>
      <c r="AU223" s="256"/>
      <c r="AV223" s="256"/>
      <c r="AW223" s="256"/>
      <c r="AX223" s="256"/>
      <c r="AY223" s="256"/>
      <c r="AZ223" s="256"/>
      <c r="BA223" s="256"/>
      <c r="BB223" s="256"/>
      <c r="BC223" s="256"/>
      <c r="BD223" s="256"/>
      <c r="BE223" s="256"/>
      <c r="BF223" s="256"/>
      <c r="BG223" s="256"/>
      <c r="BH223" s="256"/>
      <c r="BI223" s="256"/>
      <c r="BJ223" s="416">
        <f>SUM(Table1[[#This Row],[Pipa 63 mm2]:[Pipa 1,800 mm21]])</f>
        <v>14577</v>
      </c>
      <c r="BK223" s="32">
        <v>12478</v>
      </c>
      <c r="BL223" s="32">
        <v>1213</v>
      </c>
      <c r="BM223" s="32">
        <v>393</v>
      </c>
      <c r="BN223" s="32">
        <v>493</v>
      </c>
      <c r="BO223" s="32">
        <v>0</v>
      </c>
      <c r="BP223" s="32"/>
      <c r="BQ223" s="32"/>
      <c r="BR223" s="32"/>
      <c r="BS223" s="32"/>
      <c r="BT223" s="32"/>
      <c r="BU223" s="32"/>
      <c r="BV223" s="32"/>
      <c r="BW223" s="32"/>
      <c r="BX223" s="32"/>
      <c r="BY223" s="32"/>
      <c r="BZ223" s="32"/>
      <c r="CA223" s="32"/>
      <c r="CB223" s="32"/>
      <c r="CC223" s="32"/>
      <c r="CD223" s="32"/>
      <c r="CE223" s="32">
        <v>0</v>
      </c>
      <c r="CF223" s="32">
        <v>0</v>
      </c>
      <c r="CG223" s="32">
        <v>0</v>
      </c>
      <c r="CH223" s="32">
        <v>0</v>
      </c>
      <c r="CI223" s="32">
        <f t="shared" si="12"/>
        <v>0</v>
      </c>
      <c r="CJ223" s="60">
        <f>IF((Table1[[#This Row],["Volume
BA MC-0"]]-Table1[[#This Row],[Total Panjang Pipa Aktual
(Sum-&gt;)3]]-Table1[[#This Row],[Total Volume
tidak dapat dipasang]])&gt;=0,Table1[[#This Row],["Volume
BA MC-0"]]-Table1[[#This Row],[Total Panjang Pipa Aktual
(Sum-&gt;)3]]-Table1[[#This Row],[Total Volume
tidak dapat dipasang]],0)</f>
        <v>1016</v>
      </c>
      <c r="CK223" s="42"/>
      <c r="CL223" s="113"/>
      <c r="CM223" s="35"/>
      <c r="CN223" s="113"/>
      <c r="CO223" s="113"/>
      <c r="CP2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0.94206072134420127</v>
      </c>
      <c r="CQ223" s="61">
        <f>IFERROR(Table1[[#This Row],[Progres Keg. Umum
(%)]]*Table1[[#This Row],[Nilai RAB Jaringan
(file pa aji)]],0)</f>
        <v>0</v>
      </c>
      <c r="CR223" s="61">
        <f>IFERROR(Table1[[#This Row],[Progres MOS
(%)]]*Table1[[#This Row],[Nilai RAB Jaringan
(file pa aji)]],0)</f>
        <v>0</v>
      </c>
      <c r="CS223" s="61">
        <f>IFERROR(Table1[[#This Row],[Progres Pemasangan
(%)]]*Table1[[#This Row],[Nilai RAB Jaringan
(file pa aji)]],0)</f>
        <v>0</v>
      </c>
      <c r="CT223" s="61">
        <f>IFERROR(Table1[[#This Row],[Progres Perizinan
(%)]]*Table1[[#This Row],[Nilai RAB Jaringan
(file pa aji)]],0)</f>
        <v>0</v>
      </c>
      <c r="CU223" s="789">
        <v>19491274320.746597</v>
      </c>
      <c r="CV223" s="299">
        <v>19491274320.746597</v>
      </c>
      <c r="CW223" s="552">
        <v>0</v>
      </c>
      <c r="CX223" s="789">
        <f>_xlfn.XLOOKUP(Table1[[#This Row],[Kode Program]],'[1]Breakdown VOWD Greenfield'!$E:$E,'[1]Breakdown VOWD Greenfield'!$AT:$AT)</f>
        <v>0</v>
      </c>
      <c r="CY223" s="42"/>
      <c r="CZ223" s="300">
        <v>45656</v>
      </c>
      <c r="DA223" s="300">
        <v>45683</v>
      </c>
      <c r="DB223" s="301">
        <v>45575</v>
      </c>
      <c r="DC223" s="286" t="s">
        <v>1690</v>
      </c>
      <c r="DD223" s="62">
        <v>20690040333</v>
      </c>
      <c r="DE2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3" s="301">
        <v>45587</v>
      </c>
      <c r="DG223" s="286" t="s">
        <v>1691</v>
      </c>
      <c r="DH223" s="62">
        <v>20690040333</v>
      </c>
      <c r="DI2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3" s="300">
        <v>45684</v>
      </c>
      <c r="DK223" s="300">
        <v>45725</v>
      </c>
      <c r="DL223" s="301">
        <v>45715</v>
      </c>
      <c r="DM223" s="286" t="s">
        <v>1692</v>
      </c>
      <c r="DN2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3" s="301">
        <v>45740</v>
      </c>
      <c r="DP223" s="286" t="s">
        <v>1693</v>
      </c>
      <c r="DQ223" s="308" t="s">
        <v>365</v>
      </c>
      <c r="DR2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3" s="300">
        <v>45684</v>
      </c>
      <c r="DT223" s="300" t="e">
        <v>#N/A</v>
      </c>
      <c r="DU223" s="300">
        <v>45725</v>
      </c>
      <c r="DV223" s="300" t="e">
        <v>#N/A</v>
      </c>
      <c r="DW223" s="301">
        <v>46009</v>
      </c>
      <c r="DX223" s="286" t="s">
        <v>1694</v>
      </c>
      <c r="DY223" s="304"/>
      <c r="DZ223" s="304"/>
      <c r="EA2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3" s="301"/>
      <c r="EC223" s="302"/>
      <c r="ED223" s="302"/>
      <c r="EE223" s="300"/>
      <c r="EF223" s="35">
        <v>0.97894736842105268</v>
      </c>
      <c r="EG223" s="307">
        <v>0.97894736842105268</v>
      </c>
      <c r="EH223" s="286" t="str">
        <f>IF(Table1[[#This Row],[PO Material Aktual 
(%)]]&gt;=100%,"Selesai PO = 100%",IF(Table1[[#This Row],[PO Material Aktual 
(%)]]&gt;=50%,"Proses PO &gt; 100%",IF(Table1[[#This Row],[PO Material Aktual 
(%)]]&gt;0%,"Proses PO &gt; 50%",IF(Table1[[#This Row],[PO Material Aktual 
(%)]]=0,"Belum PO = 0%"))))</f>
        <v>Proses PO &gt; 100%</v>
      </c>
      <c r="EI2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3" s="300">
        <v>45726</v>
      </c>
      <c r="EK223" s="300" t="e">
        <v>#N/A</v>
      </c>
      <c r="EL223" s="300">
        <v>45816</v>
      </c>
      <c r="EM223" s="300" t="e">
        <v>#N/A</v>
      </c>
      <c r="EN223" s="301"/>
      <c r="EO223" s="302"/>
      <c r="EP223" s="302"/>
      <c r="EQ223" s="82">
        <v>0.8</v>
      </c>
      <c r="ER223" s="82">
        <v>0.8</v>
      </c>
      <c r="ES223" s="286" t="str">
        <f>IF(Table1[[#This Row],[Progres MOS]]&gt;=100%,"Selesai MOS = 100%",IF(Table1[[#This Row],[Progres MOS]]&gt;=50%,"Proses MOS &gt; 100%",IF(Table1[[#This Row],[Progres MOS]]&gt;0%,"Proses MOS &gt; 50%",IF(Table1[[#This Row],[Progres MOS]]=0,"Belum MOS = 0%"))))</f>
        <v>Proses MOS &gt; 100%</v>
      </c>
      <c r="ET2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3" s="42"/>
      <c r="EV223" s="300">
        <v>45698</v>
      </c>
      <c r="EW223" s="300" t="e">
        <v>#N/A</v>
      </c>
      <c r="EX223" s="300">
        <v>45774</v>
      </c>
      <c r="EY223" s="300" t="e">
        <v>#N/A</v>
      </c>
      <c r="EZ223" s="322" t="s">
        <v>259</v>
      </c>
      <c r="FA223" s="306" t="s">
        <v>259</v>
      </c>
      <c r="FB223" s="300" t="s">
        <v>260</v>
      </c>
      <c r="FC223" s="300">
        <v>45790</v>
      </c>
      <c r="FD223" s="300" t="s">
        <v>260</v>
      </c>
      <c r="FE223" s="300">
        <v>45874</v>
      </c>
      <c r="FF223" s="300">
        <v>45910</v>
      </c>
      <c r="FG223" s="300" t="s">
        <v>260</v>
      </c>
      <c r="FH223" s="300" t="s">
        <v>260</v>
      </c>
      <c r="FI223" s="300">
        <v>45987</v>
      </c>
      <c r="FJ223" s="300" t="s">
        <v>260</v>
      </c>
      <c r="FK223" s="300">
        <v>46034</v>
      </c>
      <c r="FL223" s="306" t="s">
        <v>259</v>
      </c>
      <c r="FM223" s="322">
        <v>45790</v>
      </c>
      <c r="FN223" s="308">
        <f>IF(Table1[[#This Row],[Tanggal Pengajuan Dokumen]]="","",Table1[[#This Row],[PLAN PERMIT
start]]-Table1[[#This Row],[Tanggal Pengajuan Dokumen]])</f>
        <v>-92</v>
      </c>
      <c r="FO223" s="407">
        <v>46064</v>
      </c>
      <c r="FP223" s="286" t="s">
        <v>172</v>
      </c>
      <c r="FQ223" s="308"/>
      <c r="FR223" s="308"/>
      <c r="FS223" s="308" t="str">
        <f t="shared" si="11"/>
        <v>On Going</v>
      </c>
      <c r="FT2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3" s="314">
        <f ca="1">IF(Table1[[#This Row],[Status Izin]]="Selesai",Table1[[#This Row],[PLAN PERMIT
finish]]-Table1[[#This Row],[Tanggal Terbit/ Target Izin Terbit]],ROUNDUP(Table1[[#This Row],[PLAN PERMIT
finish]]-NOW(),0))</f>
        <v>-430</v>
      </c>
      <c r="FV2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3" s="314"/>
      <c r="FX223" s="42"/>
      <c r="FY223" s="310"/>
      <c r="FZ223" s="311"/>
      <c r="GA2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3" s="300">
        <v>45739</v>
      </c>
      <c r="GC223" s="322">
        <v>45793</v>
      </c>
      <c r="GD2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3" s="300">
        <v>45732</v>
      </c>
      <c r="GF223" s="322">
        <v>45793</v>
      </c>
      <c r="GG2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3" s="300">
        <v>45726</v>
      </c>
      <c r="GI223" s="300">
        <v>45732</v>
      </c>
      <c r="GJ223" s="322">
        <v>45804</v>
      </c>
      <c r="GK2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3" s="300">
        <v>45775</v>
      </c>
      <c r="GM223" s="300" t="e">
        <v>#N/A</v>
      </c>
      <c r="GN223" s="300">
        <v>45900</v>
      </c>
      <c r="GO223" s="300" t="e">
        <v>#N/A</v>
      </c>
      <c r="GP223" s="286"/>
      <c r="GQ2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3" s="300" t="s">
        <v>261</v>
      </c>
      <c r="GS223" s="391" t="s">
        <v>261</v>
      </c>
      <c r="GT223" s="427" t="s">
        <v>1695</v>
      </c>
      <c r="GU223" s="393" t="str">
        <f>IF(Table1[[#This Row],[Hydro Tes Actual
(tanggal)]]&lt;&gt;"","Sudah","Belum")</f>
        <v>Sudah</v>
      </c>
      <c r="GV223" s="300" t="s">
        <v>261</v>
      </c>
      <c r="GW223" s="300" t="s">
        <v>261</v>
      </c>
      <c r="GX223" s="301"/>
      <c r="GY223" s="314" t="str">
        <f>IF(Table1[[#This Row],[Interkoneksi Actual
(tanggal)]]&lt;&gt;"","Sudah","Belum")</f>
        <v>Belum</v>
      </c>
      <c r="GZ223" s="300" t="s">
        <v>261</v>
      </c>
      <c r="HA223" s="391" t="s">
        <v>261</v>
      </c>
      <c r="HB223" s="301">
        <v>45980</v>
      </c>
      <c r="HC223" s="314" t="str">
        <f>IF(Table1[[#This Row],[Flushing Actual
(tanggal)]]&lt;&gt;"","Sudah","Belum")</f>
        <v>Sudah</v>
      </c>
      <c r="HD223" s="300">
        <v>45880</v>
      </c>
      <c r="HE223" s="300" t="e">
        <v>#N/A</v>
      </c>
      <c r="HF223" s="300">
        <v>45900</v>
      </c>
      <c r="HG223" s="322"/>
      <c r="HH2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3" s="300" t="s">
        <v>261</v>
      </c>
      <c r="HJ223" s="300" t="s">
        <v>261</v>
      </c>
      <c r="HK223" s="301"/>
      <c r="HL223" s="286"/>
      <c r="HM223" s="300">
        <v>45919</v>
      </c>
      <c r="HN223" s="300">
        <v>45919</v>
      </c>
      <c r="HO223" s="391">
        <v>46248</v>
      </c>
      <c r="HP223" s="391"/>
      <c r="HQ223" s="301"/>
      <c r="HR2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3" s="300">
        <v>45926</v>
      </c>
      <c r="HT223" s="300"/>
      <c r="HU223" s="300">
        <v>45926</v>
      </c>
      <c r="HV223" s="300">
        <v>46253</v>
      </c>
      <c r="HW223" s="301"/>
      <c r="HX2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3" s="42"/>
      <c r="HZ223" s="322"/>
      <c r="IA223" s="306"/>
      <c r="IC223" s="585">
        <f>IFERROR(ROUND((Table1[[#This Row],[PLAN TC
finish]]-Table1[[#This Row],[PLAN MC-0
start]])/30,2),"")</f>
        <v>5.8</v>
      </c>
      <c r="ID223">
        <f>DATEDIF(Table1[[#This Row],[PLAN MC-0
start]],Table1[[#This Row],[PLAN TC
finish]],"m")</f>
        <v>5</v>
      </c>
    </row>
    <row r="224" spans="1:238" s="4" customFormat="1" ht="15" customHeight="1" x14ac:dyDescent="0.25">
      <c r="B224" s="281">
        <f>SUBTOTAL(3,$D$5:D224)</f>
        <v>220</v>
      </c>
      <c r="C224" s="318">
        <v>220</v>
      </c>
      <c r="D224" s="285" t="s">
        <v>673</v>
      </c>
      <c r="E224" s="308" t="s">
        <v>1696</v>
      </c>
      <c r="F224" s="308" t="s">
        <v>1697</v>
      </c>
      <c r="G224" s="319">
        <v>45935</v>
      </c>
      <c r="H224" s="284" t="s">
        <v>247</v>
      </c>
      <c r="I224" s="308" t="s">
        <v>278</v>
      </c>
      <c r="J224" s="285" t="s">
        <v>943</v>
      </c>
      <c r="K224" s="308" t="s">
        <v>676</v>
      </c>
      <c r="L224" s="286" t="s">
        <v>250</v>
      </c>
      <c r="M224" s="286" t="s">
        <v>269</v>
      </c>
      <c r="N224" s="94">
        <v>20735</v>
      </c>
      <c r="O224" s="113" t="s">
        <v>252</v>
      </c>
      <c r="P22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4" s="35" t="e">
        <v>#N/A</v>
      </c>
      <c r="S224" s="35">
        <v>1</v>
      </c>
      <c r="T224" s="35">
        <f>Table1[[#This Row],[Progres Total Aktual
(%)]]</f>
        <v>0.9304821308518475</v>
      </c>
      <c r="U224" s="106">
        <f>Table1[[#This Row],[Progres Aktual
(%)]]-Table1[[#This Row],[Target Progres
(%)]]</f>
        <v>-6.95178691481525E-2</v>
      </c>
      <c r="V224" s="320">
        <f>Table1[[#This Row],["Volume
BA MC-0"]]</f>
        <v>20298</v>
      </c>
      <c r="W224" s="321">
        <f>Table1[[#This Row],[Total Panjang Pipa Aktual
(Sum-&gt;)3]]</f>
        <v>21356</v>
      </c>
      <c r="X224" s="42"/>
      <c r="Y224" s="290" t="s">
        <v>1698</v>
      </c>
      <c r="Z224" s="62">
        <f>ROUND((Table1[[#This Row],[Nilai RAB Jaringan
(Exclude Ppn)]]-Table1[[#This Row],[RAB Perizinan]])*1.11+Table1[[#This Row],[RAB Perizinan]],0)</f>
        <v>30601272392</v>
      </c>
      <c r="AA224" s="62">
        <f>ROUND((Table1[[#This Row],[Nilai RAB Jaringan
(Exclude Ppn)]]-Table1[[#This Row],[RAB Perizinan]])*1.11+Table1[[#This Row],[RAB Perizinan]],0)</f>
        <v>30601272392</v>
      </c>
      <c r="AB224" s="290">
        <f>SUM(Table1[[#This Row],[RAB Kegiatan Umum]:[RAB Perizinan]])</f>
        <v>27590649452.019081</v>
      </c>
      <c r="AC224" s="426">
        <v>1740779322</v>
      </c>
      <c r="AD224" s="426">
        <v>21759741518.019081</v>
      </c>
      <c r="AE224" s="426">
        <v>3868778612</v>
      </c>
      <c r="AF224" s="426">
        <v>221350000</v>
      </c>
      <c r="AG224" s="406">
        <v>3447508441</v>
      </c>
      <c r="AH224" s="35">
        <f>SUM(Table1[[#This Row],[Bobot Keg Umum]:[Bobot Perizinan]])</f>
        <v>1</v>
      </c>
      <c r="AI224" s="35">
        <f>Table1[[#This Row],[RAB Kegiatan Umum]]/Table1[[#This Row],[Nilai RAB Jaringan
(Exclude Ppn)]]</f>
        <v>6.3093089745033526E-2</v>
      </c>
      <c r="AJ224" s="35">
        <f>Table1[[#This Row],[RAB Pemasangan]]/Table1[[#This Row],[Nilai RAB Jaringan
(Exclude Ppn)]]</f>
        <v>0.78866362155990155</v>
      </c>
      <c r="AK224" s="35">
        <f>Table1[[#This Row],[RAB Pengadaan]]/Table1[[#This Row],[Nilai RAB Jaringan
(Exclude Ppn)]]</f>
        <v>0.14022064318304342</v>
      </c>
      <c r="AL224" s="35">
        <f>Table1[[#This Row],[RAB Perizinan]]/Table1[[#This Row],[Nilai RAB Jaringan
(Exclude Ppn)]]</f>
        <v>8.0226455120215243E-3</v>
      </c>
      <c r="AM224" s="42"/>
      <c r="AN224" s="256">
        <v>20298</v>
      </c>
      <c r="AO224" s="256">
        <f>SUM(Table1[[#This Row],[Pipa 63 mm]:[Pipa 1,800 mm]])</f>
        <v>0</v>
      </c>
      <c r="AP224" s="256"/>
      <c r="AQ224" s="256"/>
      <c r="AR224" s="256"/>
      <c r="AS224" s="256"/>
      <c r="AT224" s="256"/>
      <c r="AU224" s="256"/>
      <c r="AV224" s="256"/>
      <c r="AW224" s="256"/>
      <c r="AX224" s="256"/>
      <c r="AY224" s="256"/>
      <c r="AZ224" s="256"/>
      <c r="BA224" s="256"/>
      <c r="BB224" s="256"/>
      <c r="BC224" s="256"/>
      <c r="BD224" s="256"/>
      <c r="BE224" s="256"/>
      <c r="BF224" s="256"/>
      <c r="BG224" s="256"/>
      <c r="BH224" s="256"/>
      <c r="BI224" s="256"/>
      <c r="BJ224" s="416">
        <f>SUM(Table1[[#This Row],[Pipa 63 mm2]:[Pipa 1,800 mm21]])</f>
        <v>21356</v>
      </c>
      <c r="BK224" s="32">
        <v>17720</v>
      </c>
      <c r="BL224" s="32">
        <v>2308</v>
      </c>
      <c r="BM224" s="32">
        <v>746</v>
      </c>
      <c r="BN224" s="32">
        <v>462</v>
      </c>
      <c r="BO224" s="32">
        <v>108</v>
      </c>
      <c r="BP224" s="32">
        <v>12</v>
      </c>
      <c r="BQ224" s="32"/>
      <c r="BR224" s="32"/>
      <c r="BS224" s="32"/>
      <c r="BT224" s="32"/>
      <c r="BU224" s="32"/>
      <c r="BV224" s="32"/>
      <c r="BW224" s="32"/>
      <c r="BX224" s="32"/>
      <c r="BY224" s="32"/>
      <c r="BZ224" s="32"/>
      <c r="CA224" s="32"/>
      <c r="CB224" s="32"/>
      <c r="CC224" s="32"/>
      <c r="CD224" s="32"/>
      <c r="CE224" s="32">
        <v>0</v>
      </c>
      <c r="CF224" s="32">
        <v>0</v>
      </c>
      <c r="CG224" s="32">
        <v>0</v>
      </c>
      <c r="CH224" s="32">
        <v>0</v>
      </c>
      <c r="CI224" s="32">
        <f t="shared" si="12"/>
        <v>0</v>
      </c>
      <c r="CJ224" s="60">
        <f>IF((Table1[[#This Row],["Volume
BA MC-0"]]-Table1[[#This Row],[Total Panjang Pipa Aktual
(Sum-&gt;)3]]-Table1[[#This Row],[Total Volume
tidak dapat dipasang]])&gt;=0,Table1[[#This Row],["Volume
BA MC-0"]]-Table1[[#This Row],[Total Panjang Pipa Aktual
(Sum-&gt;)3]]-Table1[[#This Row],[Total Volume
tidak dapat dipasang]],0)</f>
        <v>0</v>
      </c>
      <c r="CK224" s="42"/>
      <c r="CL224" s="113"/>
      <c r="CM224" s="35"/>
      <c r="CN224" s="113"/>
      <c r="CO224" s="113"/>
      <c r="CP2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0.9304821308518475</v>
      </c>
      <c r="CQ224" s="61">
        <f>IFERROR(Table1[[#This Row],[Progres Keg. Umum
(%)]]*Table1[[#This Row],[Nilai RAB Jaringan
(file pa aji)]],0)</f>
        <v>0</v>
      </c>
      <c r="CR224" s="61">
        <f>IFERROR(Table1[[#This Row],[Progres MOS
(%)]]*Table1[[#This Row],[Nilai RAB Jaringan
(file pa aji)]],0)</f>
        <v>0</v>
      </c>
      <c r="CS224" s="61">
        <f>IFERROR(Table1[[#This Row],[Progres Pemasangan
(%)]]*Table1[[#This Row],[Nilai RAB Jaringan
(file pa aji)]],0)</f>
        <v>0</v>
      </c>
      <c r="CT224" s="61">
        <f>IFERROR(Table1[[#This Row],[Progres Perizinan
(%)]]*Table1[[#This Row],[Nilai RAB Jaringan
(file pa aji)]],0)</f>
        <v>0</v>
      </c>
      <c r="CU224" s="789">
        <v>28473937142.085972</v>
      </c>
      <c r="CV224" s="299">
        <v>28473937142.085972</v>
      </c>
      <c r="CW224" s="552">
        <v>0</v>
      </c>
      <c r="CX224" s="789">
        <f>_xlfn.XLOOKUP(Table1[[#This Row],[Kode Program]],'[1]Breakdown VOWD Greenfield'!$E:$E,'[1]Breakdown VOWD Greenfield'!$AT:$AT)</f>
        <v>0</v>
      </c>
      <c r="CY224" s="42"/>
      <c r="CZ224" s="300">
        <v>45656</v>
      </c>
      <c r="DA224" s="300">
        <v>45683</v>
      </c>
      <c r="DB224" s="301">
        <v>45575</v>
      </c>
      <c r="DC224" s="286" t="s">
        <v>1699</v>
      </c>
      <c r="DD224" s="62">
        <v>30601272391</v>
      </c>
      <c r="DE2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4" s="301">
        <v>45587</v>
      </c>
      <c r="DG224" s="286" t="s">
        <v>1700</v>
      </c>
      <c r="DH224" s="62">
        <v>30601272391</v>
      </c>
      <c r="DI2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4" s="300">
        <v>45684</v>
      </c>
      <c r="DK224" s="300">
        <v>45725</v>
      </c>
      <c r="DL224" s="301">
        <v>45707</v>
      </c>
      <c r="DM224" s="286" t="s">
        <v>1701</v>
      </c>
      <c r="DN2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4" s="301">
        <v>45769</v>
      </c>
      <c r="DP224" s="286" t="s">
        <v>1702</v>
      </c>
      <c r="DQ224" s="308" t="s">
        <v>762</v>
      </c>
      <c r="DR2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4" s="300">
        <v>45684</v>
      </c>
      <c r="DT224" s="300" t="e">
        <v>#N/A</v>
      </c>
      <c r="DU224" s="300">
        <v>45725</v>
      </c>
      <c r="DV224" s="300" t="e">
        <v>#N/A</v>
      </c>
      <c r="DW224" s="301">
        <v>45705</v>
      </c>
      <c r="DX224" s="286" t="s">
        <v>1703</v>
      </c>
      <c r="DY224" s="304"/>
      <c r="DZ224" s="304"/>
      <c r="EA2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4" s="301">
        <v>45951</v>
      </c>
      <c r="EC224" s="302"/>
      <c r="ED224" s="302"/>
      <c r="EE224" s="300" t="s">
        <v>1704</v>
      </c>
      <c r="EF224" s="35">
        <v>1</v>
      </c>
      <c r="EG224" s="307">
        <v>1</v>
      </c>
      <c r="EH224" s="286" t="str">
        <f>IF(Table1[[#This Row],[PO Material Aktual 
(%)]]&gt;=100%,"Selesai PO = 100%",IF(Table1[[#This Row],[PO Material Aktual 
(%)]]&gt;=50%,"Proses PO &gt; 100%",IF(Table1[[#This Row],[PO Material Aktual 
(%)]]&gt;0%,"Proses PO &gt; 50%",IF(Table1[[#This Row],[PO Material Aktual 
(%)]]=0,"Belum PO = 0%"))))</f>
        <v>Selesai PO = 100%</v>
      </c>
      <c r="EI2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4" s="300">
        <v>45726</v>
      </c>
      <c r="EK224" s="300" t="e">
        <v>#N/A</v>
      </c>
      <c r="EL224" s="300">
        <v>45816</v>
      </c>
      <c r="EM224" s="300" t="e">
        <v>#N/A</v>
      </c>
      <c r="EN224" s="301"/>
      <c r="EO224" s="302"/>
      <c r="EP224" s="302"/>
      <c r="EQ224" s="82">
        <v>0.89075630252100846</v>
      </c>
      <c r="ER224" s="82">
        <v>0.89075630252100846</v>
      </c>
      <c r="ES224" s="286" t="str">
        <f>IF(Table1[[#This Row],[Progres MOS]]&gt;=100%,"Selesai MOS = 100%",IF(Table1[[#This Row],[Progres MOS]]&gt;=50%,"Proses MOS &gt; 100%",IF(Table1[[#This Row],[Progres MOS]]&gt;0%,"Proses MOS &gt; 50%",IF(Table1[[#This Row],[Progres MOS]]=0,"Belum MOS = 0%"))))</f>
        <v>Proses MOS &gt; 100%</v>
      </c>
      <c r="ET2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4" s="42"/>
      <c r="EV224" s="300">
        <v>45698</v>
      </c>
      <c r="EW224" s="300" t="e">
        <v>#N/A</v>
      </c>
      <c r="EX224" s="300">
        <v>45774</v>
      </c>
      <c r="EY224" s="300" t="e">
        <v>#N/A</v>
      </c>
      <c r="EZ224" s="322" t="s">
        <v>259</v>
      </c>
      <c r="FA224" s="306" t="s">
        <v>259</v>
      </c>
      <c r="FB224" s="300" t="s">
        <v>260</v>
      </c>
      <c r="FC224" s="300">
        <v>45790</v>
      </c>
      <c r="FD224" s="300" t="s">
        <v>260</v>
      </c>
      <c r="FE224" s="300">
        <v>45863</v>
      </c>
      <c r="FF224" s="300">
        <v>45910</v>
      </c>
      <c r="FG224" s="300" t="s">
        <v>260</v>
      </c>
      <c r="FH224" s="300" t="s">
        <v>260</v>
      </c>
      <c r="FI224" s="300">
        <v>45985</v>
      </c>
      <c r="FJ224" s="300" t="s">
        <v>260</v>
      </c>
      <c r="FK224" s="300">
        <v>46022</v>
      </c>
      <c r="FL224" s="306" t="s">
        <v>259</v>
      </c>
      <c r="FM224" s="322">
        <v>45790</v>
      </c>
      <c r="FN224" s="308">
        <f>IF(Table1[[#This Row],[Tanggal Pengajuan Dokumen]]="","",Table1[[#This Row],[PLAN PERMIT
start]]-Table1[[#This Row],[Tanggal Pengajuan Dokumen]])</f>
        <v>-92</v>
      </c>
      <c r="FO224" s="407">
        <v>46064</v>
      </c>
      <c r="FP224" s="286" t="s">
        <v>172</v>
      </c>
      <c r="FQ224" s="308"/>
      <c r="FR224" s="308"/>
      <c r="FS224" s="308" t="str">
        <f t="shared" si="11"/>
        <v>On Going</v>
      </c>
      <c r="FT2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4" s="314">
        <f ca="1">IF(Table1[[#This Row],[Status Izin]]="Selesai",Table1[[#This Row],[PLAN PERMIT
finish]]-Table1[[#This Row],[Tanggal Terbit/ Target Izin Terbit]],ROUNDUP(Table1[[#This Row],[PLAN PERMIT
finish]]-NOW(),0))</f>
        <v>-430</v>
      </c>
      <c r="FV2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4" s="314"/>
      <c r="FX224" s="42"/>
      <c r="FY224" s="310"/>
      <c r="FZ224" s="311"/>
      <c r="GA2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4" s="300">
        <v>45739</v>
      </c>
      <c r="GC224" s="322">
        <v>45793</v>
      </c>
      <c r="GD2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4" s="300">
        <v>45732</v>
      </c>
      <c r="GF224" s="322">
        <v>45793</v>
      </c>
      <c r="GG2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4" s="300">
        <v>45726</v>
      </c>
      <c r="GI224" s="300">
        <v>45732</v>
      </c>
      <c r="GJ224" s="322">
        <v>45805</v>
      </c>
      <c r="GK2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4" s="300">
        <v>45775</v>
      </c>
      <c r="GM224" s="300" t="e">
        <v>#N/A</v>
      </c>
      <c r="GN224" s="300">
        <v>45900</v>
      </c>
      <c r="GO224" s="300" t="e">
        <v>#N/A</v>
      </c>
      <c r="GP224" s="286"/>
      <c r="GQ2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4" s="300" t="s">
        <v>261</v>
      </c>
      <c r="GS224" s="391" t="s">
        <v>261</v>
      </c>
      <c r="GT224" s="427" t="s">
        <v>1705</v>
      </c>
      <c r="GU224" s="393" t="str">
        <f>IF(Table1[[#This Row],[Hydro Tes Actual
(tanggal)]]&lt;&gt;"","Sudah","Belum")</f>
        <v>Sudah</v>
      </c>
      <c r="GV224" s="300" t="s">
        <v>261</v>
      </c>
      <c r="GW224" s="300" t="s">
        <v>261</v>
      </c>
      <c r="GX224" s="301"/>
      <c r="GY224" s="314" t="str">
        <f>IF(Table1[[#This Row],[Interkoneksi Actual
(tanggal)]]&lt;&gt;"","Sudah","Belum")</f>
        <v>Belum</v>
      </c>
      <c r="GZ224" s="300" t="s">
        <v>261</v>
      </c>
      <c r="HA224" s="391" t="s">
        <v>261</v>
      </c>
      <c r="HB224" s="301"/>
      <c r="HC224" s="314" t="str">
        <f>IF(Table1[[#This Row],[Flushing Actual
(tanggal)]]&lt;&gt;"","Sudah","Belum")</f>
        <v>Belum</v>
      </c>
      <c r="HD224" s="300">
        <v>45880</v>
      </c>
      <c r="HE224" s="300" t="e">
        <v>#N/A</v>
      </c>
      <c r="HF224" s="300">
        <v>45900</v>
      </c>
      <c r="HG224" s="322"/>
      <c r="HH2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4" s="300" t="s">
        <v>261</v>
      </c>
      <c r="HJ224" s="300" t="s">
        <v>261</v>
      </c>
      <c r="HK224" s="301"/>
      <c r="HL224" s="286"/>
      <c r="HM224" s="300">
        <v>45919</v>
      </c>
      <c r="HN224" s="300">
        <v>45919</v>
      </c>
      <c r="HO224" s="391">
        <v>46252</v>
      </c>
      <c r="HP224" s="391"/>
      <c r="HQ224" s="301"/>
      <c r="HR2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4" s="300">
        <v>45926</v>
      </c>
      <c r="HT224" s="300"/>
      <c r="HU224" s="300">
        <v>45926</v>
      </c>
      <c r="HV224" s="300">
        <v>46257</v>
      </c>
      <c r="HW224" s="301"/>
      <c r="HX2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4" s="42"/>
      <c r="HZ224" s="322"/>
      <c r="IA224" s="306"/>
      <c r="IC224" s="585">
        <f>IFERROR(ROUND((Table1[[#This Row],[PLAN TC
finish]]-Table1[[#This Row],[PLAN MC-0
start]])/30,2),"")</f>
        <v>5.8</v>
      </c>
      <c r="ID224">
        <f>DATEDIF(Table1[[#This Row],[PLAN MC-0
start]],Table1[[#This Row],[PLAN TC
finish]],"m")</f>
        <v>5</v>
      </c>
    </row>
    <row r="225" spans="2:238" s="4" customFormat="1" ht="15" customHeight="1" x14ac:dyDescent="0.25">
      <c r="B225" s="281">
        <f>SUBTOTAL(3,$D$5:D225)</f>
        <v>221</v>
      </c>
      <c r="C225" s="318">
        <v>221</v>
      </c>
      <c r="D225" s="285" t="s">
        <v>673</v>
      </c>
      <c r="E225" s="308" t="s">
        <v>1706</v>
      </c>
      <c r="F225" s="308" t="s">
        <v>1707</v>
      </c>
      <c r="G225" s="319">
        <v>45935</v>
      </c>
      <c r="H225" s="284" t="s">
        <v>247</v>
      </c>
      <c r="I225" s="308" t="s">
        <v>278</v>
      </c>
      <c r="J225" s="285" t="s">
        <v>943</v>
      </c>
      <c r="K225" s="308" t="s">
        <v>676</v>
      </c>
      <c r="L225" s="286" t="s">
        <v>250</v>
      </c>
      <c r="M225" s="286" t="s">
        <v>269</v>
      </c>
      <c r="N225" s="94">
        <v>23924</v>
      </c>
      <c r="O225" s="113" t="s">
        <v>252</v>
      </c>
      <c r="P22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5" s="35" t="e">
        <v>#N/A</v>
      </c>
      <c r="S225" s="35">
        <v>1</v>
      </c>
      <c r="T225" s="35">
        <f>Table1[[#This Row],[Progres Total Aktual
(%)]]</f>
        <v>0.89781398847195915</v>
      </c>
      <c r="U225" s="106">
        <f>Table1[[#This Row],[Progres Aktual
(%)]]-Table1[[#This Row],[Target Progres
(%)]]</f>
        <v>-0.10218601152804085</v>
      </c>
      <c r="V225" s="320">
        <f>Table1[[#This Row],["Volume
BA MC-0"]]</f>
        <v>23500</v>
      </c>
      <c r="W225" s="321">
        <f>Table1[[#This Row],[Total Panjang Pipa Aktual
(Sum-&gt;)3]]</f>
        <v>22072</v>
      </c>
      <c r="X225" s="42"/>
      <c r="Y225" s="290" t="s">
        <v>1708</v>
      </c>
      <c r="Z225" s="62">
        <f>ROUND((Table1[[#This Row],[Nilai RAB Jaringan
(Exclude Ppn)]]-Table1[[#This Row],[RAB Perizinan]])*1.11+Table1[[#This Row],[RAB Perizinan]],0)</f>
        <v>36201016556</v>
      </c>
      <c r="AA225" s="62">
        <f>ROUND((Table1[[#This Row],[Nilai RAB Jaringan
(Exclude Ppn)]]-Table1[[#This Row],[RAB Perizinan]])*1.11+Table1[[#This Row],[RAB Perizinan]],0)</f>
        <v>36201016556</v>
      </c>
      <c r="AB225" s="290">
        <f>SUM(Table1[[#This Row],[RAB Kegiatan Umum]:[RAB Perizinan]])</f>
        <v>32637236897.719997</v>
      </c>
      <c r="AC225" s="426">
        <v>2038224244</v>
      </c>
      <c r="AD225" s="426">
        <v>25477803045.719997</v>
      </c>
      <c r="AE225" s="426">
        <v>4881969608</v>
      </c>
      <c r="AF225" s="426">
        <v>239240000</v>
      </c>
      <c r="AG225" s="406">
        <v>5042134818</v>
      </c>
      <c r="AH225" s="35">
        <f>SUM(Table1[[#This Row],[Bobot Keg Umum]:[Bobot Perizinan]])</f>
        <v>1</v>
      </c>
      <c r="AI225" s="35">
        <f>Table1[[#This Row],[RAB Kegiatan Umum]]/Table1[[#This Row],[Nilai RAB Jaringan
(Exclude Ppn)]]</f>
        <v>6.2450882419595642E-2</v>
      </c>
      <c r="AJ225" s="35">
        <f>Table1[[#This Row],[RAB Pemasangan]]/Table1[[#This Row],[Nilai RAB Jaringan
(Exclude Ppn)]]</f>
        <v>0.78063603011380689</v>
      </c>
      <c r="AK225" s="35">
        <f>Table1[[#This Row],[RAB Pengadaan]]/Table1[[#This Row],[Nilai RAB Jaringan
(Exclude Ppn)]]</f>
        <v>0.14958281006751062</v>
      </c>
      <c r="AL225" s="35">
        <f>Table1[[#This Row],[RAB Perizinan]]/Table1[[#This Row],[Nilai RAB Jaringan
(Exclude Ppn)]]</f>
        <v>7.3302773990868405E-3</v>
      </c>
      <c r="AM225" s="42"/>
      <c r="AN225" s="256">
        <v>23500</v>
      </c>
      <c r="AO225" s="256">
        <f>SUM(Table1[[#This Row],[Pipa 63 mm]:[Pipa 1,800 mm]])</f>
        <v>0</v>
      </c>
      <c r="AP225" s="256"/>
      <c r="AQ225" s="256"/>
      <c r="AR225" s="256"/>
      <c r="AS225" s="256"/>
      <c r="AT225" s="256"/>
      <c r="AU225" s="256"/>
      <c r="AV225" s="256"/>
      <c r="AW225" s="256"/>
      <c r="AX225" s="256"/>
      <c r="AY225" s="256"/>
      <c r="AZ225" s="256"/>
      <c r="BA225" s="256"/>
      <c r="BB225" s="256"/>
      <c r="BC225" s="256"/>
      <c r="BD225" s="256"/>
      <c r="BE225" s="256"/>
      <c r="BF225" s="256"/>
      <c r="BG225" s="256"/>
      <c r="BH225" s="256"/>
      <c r="BI225" s="256"/>
      <c r="BJ225" s="416">
        <f>SUM(Table1[[#This Row],[Pipa 63 mm2]:[Pipa 1,800 mm21]])</f>
        <v>22072</v>
      </c>
      <c r="BK225" s="32">
        <v>13692</v>
      </c>
      <c r="BL225" s="32">
        <v>4156</v>
      </c>
      <c r="BM225" s="32">
        <v>1993</v>
      </c>
      <c r="BN225" s="32">
        <v>1420</v>
      </c>
      <c r="BO225" s="32">
        <v>153</v>
      </c>
      <c r="BP225" s="32">
        <v>502</v>
      </c>
      <c r="BQ225" s="32">
        <v>156</v>
      </c>
      <c r="BR225" s="32"/>
      <c r="BS225" s="32"/>
      <c r="BT225" s="32"/>
      <c r="BU225" s="32"/>
      <c r="BV225" s="32"/>
      <c r="BW225" s="32"/>
      <c r="BX225" s="32"/>
      <c r="BY225" s="32"/>
      <c r="BZ225" s="32"/>
      <c r="CA225" s="32"/>
      <c r="CB225" s="32"/>
      <c r="CC225" s="32"/>
      <c r="CD225" s="32"/>
      <c r="CE225" s="32">
        <v>0</v>
      </c>
      <c r="CF225" s="32">
        <v>0</v>
      </c>
      <c r="CG225" s="32">
        <v>0</v>
      </c>
      <c r="CH225" s="32">
        <v>0</v>
      </c>
      <c r="CI225" s="32">
        <f t="shared" si="12"/>
        <v>0</v>
      </c>
      <c r="CJ225" s="60">
        <f>IF((Table1[[#This Row],["Volume
BA MC-0"]]-Table1[[#This Row],[Total Panjang Pipa Aktual
(Sum-&gt;)3]]-Table1[[#This Row],[Total Volume
tidak dapat dipasang]])&gt;=0,Table1[[#This Row],["Volume
BA MC-0"]]-Table1[[#This Row],[Total Panjang Pipa Aktual
(Sum-&gt;)3]]-Table1[[#This Row],[Total Volume
tidak dapat dipasang]],0)</f>
        <v>1428</v>
      </c>
      <c r="CK225" s="42"/>
      <c r="CL225" s="113"/>
      <c r="CM225" s="35"/>
      <c r="CN225" s="113"/>
      <c r="CO225" s="113"/>
      <c r="CP2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0.89781398847195915</v>
      </c>
      <c r="CQ225" s="61">
        <f>IFERROR(Table1[[#This Row],[Progres Keg. Umum
(%)]]*Table1[[#This Row],[Nilai RAB Jaringan
(file pa aji)]],0)</f>
        <v>0</v>
      </c>
      <c r="CR225" s="61">
        <f>IFERROR(Table1[[#This Row],[Progres MOS
(%)]]*Table1[[#This Row],[Nilai RAB Jaringan
(file pa aji)]],0)</f>
        <v>0</v>
      </c>
      <c r="CS225" s="61">
        <f>IFERROR(Table1[[#This Row],[Progres Pemasangan
(%)]]*Table1[[#This Row],[Nilai RAB Jaringan
(file pa aji)]],0)</f>
        <v>0</v>
      </c>
      <c r="CT225" s="61">
        <f>IFERROR(Table1[[#This Row],[Progres Perizinan
(%)]]*Table1[[#This Row],[Nilai RAB Jaringan
(file pa aji)]],0)</f>
        <v>0</v>
      </c>
      <c r="CU225" s="789">
        <v>32501779060.881786</v>
      </c>
      <c r="CV225" s="299">
        <v>32501779060.881786</v>
      </c>
      <c r="CW225" s="552">
        <v>0</v>
      </c>
      <c r="CX225" s="789">
        <f>_xlfn.XLOOKUP(Table1[[#This Row],[Kode Program]],'[1]Breakdown VOWD Greenfield'!$E:$E,'[1]Breakdown VOWD Greenfield'!$AT:$AT)</f>
        <v>0</v>
      </c>
      <c r="CY225" s="42"/>
      <c r="CZ225" s="300">
        <v>45656</v>
      </c>
      <c r="DA225" s="300">
        <v>45683</v>
      </c>
      <c r="DB225" s="301">
        <v>45575</v>
      </c>
      <c r="DC225" s="286" t="s">
        <v>1709</v>
      </c>
      <c r="DD225" s="62">
        <v>36201016557</v>
      </c>
      <c r="DE2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5" s="301">
        <v>45587</v>
      </c>
      <c r="DG225" s="286" t="s">
        <v>1710</v>
      </c>
      <c r="DH225" s="62">
        <v>36201016557</v>
      </c>
      <c r="DI2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5" s="300">
        <v>45684</v>
      </c>
      <c r="DK225" s="300">
        <v>45725</v>
      </c>
      <c r="DL225" s="301">
        <v>45707</v>
      </c>
      <c r="DM225" s="286" t="s">
        <v>1711</v>
      </c>
      <c r="DN2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5" s="301">
        <v>45740</v>
      </c>
      <c r="DP225" s="286" t="s">
        <v>1712</v>
      </c>
      <c r="DQ225" s="308" t="s">
        <v>275</v>
      </c>
      <c r="DR2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5" s="300">
        <v>45684</v>
      </c>
      <c r="DT225" s="300" t="e">
        <v>#N/A</v>
      </c>
      <c r="DU225" s="300">
        <v>45725</v>
      </c>
      <c r="DV225" s="300" t="e">
        <v>#N/A</v>
      </c>
      <c r="DW225" s="301">
        <v>45829</v>
      </c>
      <c r="DX225" s="286" t="s">
        <v>1713</v>
      </c>
      <c r="DY225" s="304"/>
      <c r="DZ225" s="304"/>
      <c r="EA2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5" s="301">
        <v>45943</v>
      </c>
      <c r="EC225" s="302"/>
      <c r="ED225" s="302"/>
      <c r="EE225" s="300" t="s">
        <v>1714</v>
      </c>
      <c r="EF225" s="35">
        <v>1</v>
      </c>
      <c r="EG225" s="307">
        <v>1</v>
      </c>
      <c r="EH225" s="286" t="str">
        <f>IF(Table1[[#This Row],[PO Material Aktual 
(%)]]&gt;=100%,"Selesai PO = 100%",IF(Table1[[#This Row],[PO Material Aktual 
(%)]]&gt;=50%,"Proses PO &gt; 100%",IF(Table1[[#This Row],[PO Material Aktual 
(%)]]&gt;0%,"Proses PO &gt; 50%",IF(Table1[[#This Row],[PO Material Aktual 
(%)]]=0,"Belum PO = 0%"))))</f>
        <v>Selesai PO = 100%</v>
      </c>
      <c r="EI2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5" s="300">
        <v>45726</v>
      </c>
      <c r="EK225" s="300" t="e">
        <v>#N/A</v>
      </c>
      <c r="EL225" s="300">
        <v>45816</v>
      </c>
      <c r="EM225" s="300" t="e">
        <v>#N/A</v>
      </c>
      <c r="EN225" s="301"/>
      <c r="EO225" s="302"/>
      <c r="EP225" s="302"/>
      <c r="EQ225" s="82">
        <v>0.91139240506329111</v>
      </c>
      <c r="ER225" s="82">
        <v>0.91139240506329111</v>
      </c>
      <c r="ES225" s="286" t="str">
        <f>IF(Table1[[#This Row],[Progres MOS]]&gt;=100%,"Selesai MOS = 100%",IF(Table1[[#This Row],[Progres MOS]]&gt;=50%,"Proses MOS &gt; 100%",IF(Table1[[#This Row],[Progres MOS]]&gt;0%,"Proses MOS &gt; 50%",IF(Table1[[#This Row],[Progres MOS]]=0,"Belum MOS = 0%"))))</f>
        <v>Proses MOS &gt; 100%</v>
      </c>
      <c r="ET2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5" s="42"/>
      <c r="EV225" s="300">
        <v>45698</v>
      </c>
      <c r="EW225" s="300" t="e">
        <v>#N/A</v>
      </c>
      <c r="EX225" s="300">
        <v>45774</v>
      </c>
      <c r="EY225" s="300" t="e">
        <v>#N/A</v>
      </c>
      <c r="EZ225" s="322" t="s">
        <v>298</v>
      </c>
      <c r="FA225" s="306" t="s">
        <v>298</v>
      </c>
      <c r="FB225" s="300" t="s">
        <v>260</v>
      </c>
      <c r="FC225" s="300">
        <v>45790</v>
      </c>
      <c r="FD225" s="300" t="s">
        <v>260</v>
      </c>
      <c r="FE225" s="300">
        <v>45888</v>
      </c>
      <c r="FF225" s="300">
        <v>45910</v>
      </c>
      <c r="FG225" s="300" t="s">
        <v>260</v>
      </c>
      <c r="FH225" s="300" t="s">
        <v>260</v>
      </c>
      <c r="FI225" s="300">
        <v>46010</v>
      </c>
      <c r="FJ225" s="300" t="s">
        <v>260</v>
      </c>
      <c r="FK225" s="300"/>
      <c r="FL225" s="306" t="s">
        <v>298</v>
      </c>
      <c r="FM225" s="322">
        <v>45790</v>
      </c>
      <c r="FN225" s="308">
        <f>IF(Table1[[#This Row],[Tanggal Pengajuan Dokumen]]="","",Table1[[#This Row],[PLAN PERMIT
start]]-Table1[[#This Row],[Tanggal Pengajuan Dokumen]])</f>
        <v>-92</v>
      </c>
      <c r="FO225" s="407">
        <v>46086</v>
      </c>
      <c r="FP225" s="286"/>
      <c r="FQ225" s="308"/>
      <c r="FR225" s="308"/>
      <c r="FS225" s="308" t="str">
        <f t="shared" si="11"/>
        <v>On Going</v>
      </c>
      <c r="FT2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5" s="314">
        <f ca="1">IF(Table1[[#This Row],[Status Izin]]="Selesai",Table1[[#This Row],[PLAN PERMIT
finish]]-Table1[[#This Row],[Tanggal Terbit/ Target Izin Terbit]],ROUNDUP(Table1[[#This Row],[PLAN PERMIT
finish]]-NOW(),0))</f>
        <v>-430</v>
      </c>
      <c r="FV2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5" s="314"/>
      <c r="FX225" s="42"/>
      <c r="FY225" s="310"/>
      <c r="FZ225" s="311"/>
      <c r="GA2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5" s="300">
        <v>45739</v>
      </c>
      <c r="GC225" s="322">
        <v>45793</v>
      </c>
      <c r="GD2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5" s="300">
        <v>45732</v>
      </c>
      <c r="GF225" s="322">
        <v>45793</v>
      </c>
      <c r="GG2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5" s="300">
        <v>45726</v>
      </c>
      <c r="GI225" s="300">
        <v>45732</v>
      </c>
      <c r="GJ225" s="322">
        <v>45799</v>
      </c>
      <c r="GK2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5" s="300">
        <v>45775</v>
      </c>
      <c r="GM225" s="300" t="e">
        <v>#N/A</v>
      </c>
      <c r="GN225" s="300">
        <v>45900</v>
      </c>
      <c r="GO225" s="300" t="e">
        <v>#N/A</v>
      </c>
      <c r="GP225" s="286"/>
      <c r="GQ2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5" s="300" t="s">
        <v>261</v>
      </c>
      <c r="GS225" s="391" t="s">
        <v>261</v>
      </c>
      <c r="GT225" s="427" t="s">
        <v>1705</v>
      </c>
      <c r="GU225" s="393" t="str">
        <f>IF(Table1[[#This Row],[Hydro Tes Actual
(tanggal)]]&lt;&gt;"","Sudah","Belum")</f>
        <v>Sudah</v>
      </c>
      <c r="GV225" s="300" t="s">
        <v>261</v>
      </c>
      <c r="GW225" s="300" t="s">
        <v>261</v>
      </c>
      <c r="GX225" s="301"/>
      <c r="GY225" s="314" t="str">
        <f>IF(Table1[[#This Row],[Interkoneksi Actual
(tanggal)]]&lt;&gt;"","Sudah","Belum")</f>
        <v>Belum</v>
      </c>
      <c r="GZ225" s="300" t="s">
        <v>261</v>
      </c>
      <c r="HA225" s="391" t="s">
        <v>261</v>
      </c>
      <c r="HB225" s="301"/>
      <c r="HC225" s="314" t="str">
        <f>IF(Table1[[#This Row],[Flushing Actual
(tanggal)]]&lt;&gt;"","Sudah","Belum")</f>
        <v>Belum</v>
      </c>
      <c r="HD225" s="300">
        <v>45880</v>
      </c>
      <c r="HE225" s="300" t="e">
        <v>#N/A</v>
      </c>
      <c r="HF225" s="300">
        <v>45900</v>
      </c>
      <c r="HG225" s="322"/>
      <c r="HH2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5" s="300" t="s">
        <v>261</v>
      </c>
      <c r="HJ225" s="300" t="s">
        <v>261</v>
      </c>
      <c r="HK225" s="301"/>
      <c r="HL225" s="286"/>
      <c r="HM225" s="300">
        <v>45919</v>
      </c>
      <c r="HN225" s="300">
        <v>45919</v>
      </c>
      <c r="HO225" s="391">
        <v>46228</v>
      </c>
      <c r="HP225" s="391"/>
      <c r="HQ225" s="301"/>
      <c r="HR2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5" s="300">
        <v>45926</v>
      </c>
      <c r="HT225" s="300"/>
      <c r="HU225" s="300">
        <v>45926</v>
      </c>
      <c r="HV225" s="300">
        <v>46233</v>
      </c>
      <c r="HW225" s="301"/>
      <c r="HX2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5" s="42"/>
      <c r="HZ225" s="322"/>
      <c r="IA225" s="306"/>
      <c r="IC225" s="585">
        <f>IFERROR(ROUND((Table1[[#This Row],[PLAN TC
finish]]-Table1[[#This Row],[PLAN MC-0
start]])/30,2),"")</f>
        <v>5.8</v>
      </c>
      <c r="ID225">
        <f>DATEDIF(Table1[[#This Row],[PLAN MC-0
start]],Table1[[#This Row],[PLAN TC
finish]],"m")</f>
        <v>5</v>
      </c>
    </row>
    <row r="226" spans="2:238" s="4" customFormat="1" ht="15" customHeight="1" x14ac:dyDescent="0.25">
      <c r="B226" s="281">
        <f>SUBTOTAL(3,$D$5:D226)</f>
        <v>222</v>
      </c>
      <c r="C226" s="318">
        <v>222</v>
      </c>
      <c r="D226" s="285" t="s">
        <v>673</v>
      </c>
      <c r="E226" s="308" t="s">
        <v>1715</v>
      </c>
      <c r="F226" s="308" t="s">
        <v>1716</v>
      </c>
      <c r="G226" s="319">
        <v>45935</v>
      </c>
      <c r="H226" s="284" t="s">
        <v>247</v>
      </c>
      <c r="I226" s="308" t="s">
        <v>278</v>
      </c>
      <c r="J226" s="285" t="s">
        <v>943</v>
      </c>
      <c r="K226" s="308" t="s">
        <v>676</v>
      </c>
      <c r="L226" s="286" t="s">
        <v>250</v>
      </c>
      <c r="M226" s="286" t="s">
        <v>269</v>
      </c>
      <c r="N226" s="94">
        <v>11115</v>
      </c>
      <c r="O226" s="113" t="s">
        <v>252</v>
      </c>
      <c r="P22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6" s="35" t="e">
        <v>#N/A</v>
      </c>
      <c r="S226" s="35">
        <v>1</v>
      </c>
      <c r="T226" s="35">
        <f>Table1[[#This Row],[Progres Total Aktual
(%)]]</f>
        <v>0.63846090235737296</v>
      </c>
      <c r="U226" s="106">
        <f>Table1[[#This Row],[Progres Aktual
(%)]]-Table1[[#This Row],[Target Progres
(%)]]</f>
        <v>-0.36153909764262704</v>
      </c>
      <c r="V226" s="320">
        <f>Table1[[#This Row],["Volume
BA MC-0"]]</f>
        <v>11490</v>
      </c>
      <c r="W226" s="321">
        <f>Table1[[#This Row],[Total Panjang Pipa Aktual
(Sum-&gt;)3]]</f>
        <v>7537</v>
      </c>
      <c r="X226" s="42"/>
      <c r="Y226" s="290" t="s">
        <v>1717</v>
      </c>
      <c r="Z226" s="62">
        <f>ROUND((Table1[[#This Row],[Nilai RAB Jaringan
(Exclude Ppn)]]-Table1[[#This Row],[RAB Perizinan]])*1.11+Table1[[#This Row],[RAB Perizinan]],0)</f>
        <v>17451066715</v>
      </c>
      <c r="AA226" s="62">
        <f>ROUND((Table1[[#This Row],[Nilai RAB Jaringan
(Exclude Ppn)]]-Table1[[#This Row],[RAB Perizinan]])*1.11+Table1[[#This Row],[RAB Perizinan]],0)</f>
        <v>17451066715</v>
      </c>
      <c r="AB226" s="290">
        <f>SUM(Table1[[#This Row],[RAB Kegiatan Umum]:[RAB Perizinan]])</f>
        <v>15732696590.24</v>
      </c>
      <c r="AC226" s="426">
        <v>1230950244</v>
      </c>
      <c r="AD226" s="426">
        <v>12309502439.24</v>
      </c>
      <c r="AE226" s="426">
        <v>2081093907</v>
      </c>
      <c r="AF226" s="426">
        <v>111150000</v>
      </c>
      <c r="AG226" s="406">
        <v>1957414127</v>
      </c>
      <c r="AH226" s="35">
        <f>SUM(Table1[[#This Row],[Bobot Keg Umum]:[Bobot Perizinan]])</f>
        <v>1</v>
      </c>
      <c r="AI226" s="35">
        <f>Table1[[#This Row],[RAB Kegiatan Umum]]/Table1[[#This Row],[Nilai RAB Jaringan
(Exclude Ppn)]]</f>
        <v>7.8241529475858412E-2</v>
      </c>
      <c r="AJ226" s="35">
        <f>Table1[[#This Row],[RAB Pemasangan]]/Table1[[#This Row],[Nilai RAB Jaringan
(Exclude Ppn)]]</f>
        <v>0.78241529471027704</v>
      </c>
      <c r="AK226" s="35">
        <f>Table1[[#This Row],[RAB Pengadaan]]/Table1[[#This Row],[Nilai RAB Jaringan
(Exclude Ppn)]]</f>
        <v>0.1322782712463314</v>
      </c>
      <c r="AL226" s="35">
        <f>Table1[[#This Row],[RAB Perizinan]]/Table1[[#This Row],[Nilai RAB Jaringan
(Exclude Ppn)]]</f>
        <v>7.0649045675331631E-3</v>
      </c>
      <c r="AM226" s="42"/>
      <c r="AN226" s="256">
        <v>11490</v>
      </c>
      <c r="AO226" s="256">
        <f>SUM(Table1[[#This Row],[Pipa 63 mm]:[Pipa 1,800 mm]])</f>
        <v>0</v>
      </c>
      <c r="AP226" s="256"/>
      <c r="AQ226" s="256"/>
      <c r="AR226" s="256"/>
      <c r="AS226" s="256"/>
      <c r="AT226" s="256"/>
      <c r="AU226" s="256"/>
      <c r="AV226" s="256"/>
      <c r="AW226" s="256"/>
      <c r="AX226" s="256"/>
      <c r="AY226" s="256"/>
      <c r="AZ226" s="256"/>
      <c r="BA226" s="256"/>
      <c r="BB226" s="256"/>
      <c r="BC226" s="256"/>
      <c r="BD226" s="256"/>
      <c r="BE226" s="256"/>
      <c r="BF226" s="256"/>
      <c r="BG226" s="256"/>
      <c r="BH226" s="256"/>
      <c r="BI226" s="256"/>
      <c r="BJ226" s="416">
        <f>SUM(Table1[[#This Row],[Pipa 63 mm2]:[Pipa 1,800 mm21]])</f>
        <v>7537</v>
      </c>
      <c r="BK226" s="32">
        <v>5855</v>
      </c>
      <c r="BL226" s="32">
        <v>365</v>
      </c>
      <c r="BM226" s="32">
        <v>871</v>
      </c>
      <c r="BN226" s="32">
        <v>446</v>
      </c>
      <c r="BO226" s="32"/>
      <c r="BP226" s="32"/>
      <c r="BQ226" s="32"/>
      <c r="BR226" s="32"/>
      <c r="BS226" s="32"/>
      <c r="BT226" s="32"/>
      <c r="BU226" s="32"/>
      <c r="BV226" s="32"/>
      <c r="BW226" s="32"/>
      <c r="BX226" s="32"/>
      <c r="BY226" s="32"/>
      <c r="BZ226" s="32"/>
      <c r="CA226" s="32"/>
      <c r="CB226" s="32"/>
      <c r="CC226" s="32"/>
      <c r="CD226" s="32"/>
      <c r="CE226" s="32">
        <v>0</v>
      </c>
      <c r="CF226" s="32">
        <v>0</v>
      </c>
      <c r="CG226" s="32">
        <v>0</v>
      </c>
      <c r="CH226" s="32">
        <v>0</v>
      </c>
      <c r="CI226" s="32">
        <f t="shared" si="12"/>
        <v>0</v>
      </c>
      <c r="CJ226" s="60">
        <f>IF((Table1[[#This Row],["Volume
BA MC-0"]]-Table1[[#This Row],[Total Panjang Pipa Aktual
(Sum-&gt;)3]]-Table1[[#This Row],[Total Volume
tidak dapat dipasang]])&gt;=0,Table1[[#This Row],["Volume
BA MC-0"]]-Table1[[#This Row],[Total Panjang Pipa Aktual
(Sum-&gt;)3]]-Table1[[#This Row],[Total Volume
tidak dapat dipasang]],0)</f>
        <v>3953</v>
      </c>
      <c r="CK226" s="42"/>
      <c r="CL226" s="113"/>
      <c r="CM226" s="35"/>
      <c r="CN226" s="113"/>
      <c r="CO226" s="113"/>
      <c r="CP2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0.63846090235737296</v>
      </c>
      <c r="CQ226" s="61">
        <f>IFERROR(Table1[[#This Row],[Progres Keg. Umum
(%)]]*Table1[[#This Row],[Nilai RAB Jaringan
(file pa aji)]],0)</f>
        <v>0</v>
      </c>
      <c r="CR226" s="61">
        <f>IFERROR(Table1[[#This Row],[Progres MOS
(%)]]*Table1[[#This Row],[Nilai RAB Jaringan
(file pa aji)]],0)</f>
        <v>0</v>
      </c>
      <c r="CS226" s="61">
        <f>IFERROR(Table1[[#This Row],[Progres Pemasangan
(%)]]*Table1[[#This Row],[Nilai RAB Jaringan
(file pa aji)]],0)</f>
        <v>0</v>
      </c>
      <c r="CT226" s="61">
        <f>IFERROR(Table1[[#This Row],[Progres Perizinan
(%)]]*Table1[[#This Row],[Nilai RAB Jaringan
(file pa aji)]],0)</f>
        <v>0</v>
      </c>
      <c r="CU226" s="789">
        <v>11141823801.957617</v>
      </c>
      <c r="CV226" s="299">
        <v>11141823801.957617</v>
      </c>
      <c r="CW226" s="552">
        <v>0</v>
      </c>
      <c r="CX226" s="789">
        <f>_xlfn.XLOOKUP(Table1[[#This Row],[Kode Program]],'[1]Breakdown VOWD Greenfield'!$E:$E,'[1]Breakdown VOWD Greenfield'!$AT:$AT)</f>
        <v>0</v>
      </c>
      <c r="CY226" s="42"/>
      <c r="CZ226" s="300">
        <v>45656</v>
      </c>
      <c r="DA226" s="300">
        <v>45683</v>
      </c>
      <c r="DB226" s="301">
        <v>45578</v>
      </c>
      <c r="DC226" s="286" t="s">
        <v>1718</v>
      </c>
      <c r="DD226" s="62">
        <v>17451066715</v>
      </c>
      <c r="DE2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6" s="301">
        <v>45588</v>
      </c>
      <c r="DG226" s="286" t="s">
        <v>1719</v>
      </c>
      <c r="DH226" s="62">
        <v>17451066715</v>
      </c>
      <c r="DI2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6" s="300">
        <v>45684</v>
      </c>
      <c r="DK226" s="300">
        <v>45725</v>
      </c>
      <c r="DL226" s="301">
        <v>45708</v>
      </c>
      <c r="DM226" s="286" t="s">
        <v>1720</v>
      </c>
      <c r="DN2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6" s="301">
        <v>45736</v>
      </c>
      <c r="DP226" s="286" t="s">
        <v>1721</v>
      </c>
      <c r="DQ226" s="308" t="s">
        <v>371</v>
      </c>
      <c r="DR2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6" s="300">
        <v>45684</v>
      </c>
      <c r="DT226" s="300" t="e">
        <v>#N/A</v>
      </c>
      <c r="DU226" s="300">
        <v>45725</v>
      </c>
      <c r="DV226" s="300" t="e">
        <v>#N/A</v>
      </c>
      <c r="DW226" s="301">
        <v>45829</v>
      </c>
      <c r="DX226" s="286" t="s">
        <v>1722</v>
      </c>
      <c r="DY226" s="304"/>
      <c r="DZ226" s="304"/>
      <c r="EA2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6" s="301">
        <v>45852</v>
      </c>
      <c r="EC226" s="302"/>
      <c r="ED226" s="302"/>
      <c r="EE226" s="300" t="s">
        <v>1723</v>
      </c>
      <c r="EF226" s="35">
        <v>1</v>
      </c>
      <c r="EG226" s="307">
        <v>1</v>
      </c>
      <c r="EH226" s="286" t="str">
        <f>IF(Table1[[#This Row],[PO Material Aktual 
(%)]]&gt;=100%,"Selesai PO = 100%",IF(Table1[[#This Row],[PO Material Aktual 
(%)]]&gt;=50%,"Proses PO &gt; 100%",IF(Table1[[#This Row],[PO Material Aktual 
(%)]]&gt;0%,"Proses PO &gt; 50%",IF(Table1[[#This Row],[PO Material Aktual 
(%)]]=0,"Belum PO = 0%"))))</f>
        <v>Selesai PO = 100%</v>
      </c>
      <c r="EI2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6" s="300">
        <v>45726</v>
      </c>
      <c r="EK226" s="300" t="e">
        <v>#N/A</v>
      </c>
      <c r="EL226" s="300">
        <v>45816</v>
      </c>
      <c r="EM226" s="300" t="e">
        <v>#N/A</v>
      </c>
      <c r="EN226" s="301"/>
      <c r="EO226" s="302"/>
      <c r="EP226" s="302"/>
      <c r="EQ226" s="82">
        <v>0.87951807228915657</v>
      </c>
      <c r="ER226" s="82">
        <v>0.87951807228915657</v>
      </c>
      <c r="ES226" s="286" t="str">
        <f>IF(Table1[[#This Row],[Progres MOS]]&gt;=100%,"Selesai MOS = 100%",IF(Table1[[#This Row],[Progres MOS]]&gt;=50%,"Proses MOS &gt; 100%",IF(Table1[[#This Row],[Progres MOS]]&gt;0%,"Proses MOS &gt; 50%",IF(Table1[[#This Row],[Progres MOS]]=0,"Belum MOS = 0%"))))</f>
        <v>Proses MOS &gt; 100%</v>
      </c>
      <c r="ET2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6" s="42"/>
      <c r="EV226" s="300">
        <v>45698</v>
      </c>
      <c r="EW226" s="300" t="e">
        <v>#N/A</v>
      </c>
      <c r="EX226" s="300">
        <v>45774</v>
      </c>
      <c r="EY226" s="300" t="e">
        <v>#N/A</v>
      </c>
      <c r="EZ226" s="322" t="s">
        <v>259</v>
      </c>
      <c r="FA226" s="306" t="s">
        <v>259</v>
      </c>
      <c r="FB226" s="300" t="s">
        <v>260</v>
      </c>
      <c r="FC226" s="300">
        <v>45790</v>
      </c>
      <c r="FD226" s="300" t="s">
        <v>260</v>
      </c>
      <c r="FE226" s="300">
        <v>45874</v>
      </c>
      <c r="FF226" s="300">
        <v>45910</v>
      </c>
      <c r="FG226" s="300" t="s">
        <v>260</v>
      </c>
      <c r="FH226" s="300" t="s">
        <v>260</v>
      </c>
      <c r="FI226" s="300">
        <v>45988</v>
      </c>
      <c r="FJ226" s="300" t="s">
        <v>260</v>
      </c>
      <c r="FK226" s="300">
        <v>46029</v>
      </c>
      <c r="FL226" s="306" t="s">
        <v>259</v>
      </c>
      <c r="FM226" s="322">
        <v>45790</v>
      </c>
      <c r="FN226" s="308">
        <f>IF(Table1[[#This Row],[Tanggal Pengajuan Dokumen]]="","",Table1[[#This Row],[PLAN PERMIT
start]]-Table1[[#This Row],[Tanggal Pengajuan Dokumen]])</f>
        <v>-92</v>
      </c>
      <c r="FO226" s="407">
        <v>46086</v>
      </c>
      <c r="FP226" s="286"/>
      <c r="FQ226" s="308"/>
      <c r="FR226" s="308"/>
      <c r="FS226" s="308" t="str">
        <f t="shared" si="11"/>
        <v>Sudah Terbit</v>
      </c>
      <c r="FT2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6" s="314">
        <f ca="1">IF(Table1[[#This Row],[Status Izin]]="Selesai",Table1[[#This Row],[PLAN PERMIT
finish]]-Table1[[#This Row],[Tanggal Terbit/ Target Izin Terbit]],ROUNDUP(Table1[[#This Row],[PLAN PERMIT
finish]]-NOW(),0))</f>
        <v>-312</v>
      </c>
      <c r="FV2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6" s="314"/>
      <c r="FX226" s="42"/>
      <c r="FY226" s="310"/>
      <c r="FZ226" s="311"/>
      <c r="GA2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6" s="300">
        <v>45739</v>
      </c>
      <c r="GC226" s="322">
        <v>45793</v>
      </c>
      <c r="GD2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6" s="300">
        <v>45732</v>
      </c>
      <c r="GF226" s="322">
        <v>45793</v>
      </c>
      <c r="GG2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6" s="300">
        <v>45726</v>
      </c>
      <c r="GI226" s="300">
        <v>45732</v>
      </c>
      <c r="GJ226" s="322">
        <v>45803</v>
      </c>
      <c r="GK2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6" s="300">
        <v>45775</v>
      </c>
      <c r="GM226" s="300" t="e">
        <v>#N/A</v>
      </c>
      <c r="GN226" s="300">
        <v>45900</v>
      </c>
      <c r="GO226" s="300" t="e">
        <v>#N/A</v>
      </c>
      <c r="GP226" s="286"/>
      <c r="GQ2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6" s="300" t="s">
        <v>261</v>
      </c>
      <c r="GS226" s="391" t="s">
        <v>261</v>
      </c>
      <c r="GT226" s="427" t="s">
        <v>1724</v>
      </c>
      <c r="GU226" s="393" t="str">
        <f>IF(Table1[[#This Row],[Hydro Tes Actual
(tanggal)]]&lt;&gt;"","Sudah","Belum")</f>
        <v>Sudah</v>
      </c>
      <c r="GV226" s="300" t="s">
        <v>261</v>
      </c>
      <c r="GW226" s="300" t="s">
        <v>261</v>
      </c>
      <c r="GX226" s="301"/>
      <c r="GY226" s="314" t="str">
        <f>IF(Table1[[#This Row],[Interkoneksi Actual
(tanggal)]]&lt;&gt;"","Sudah","Belum")</f>
        <v>Belum</v>
      </c>
      <c r="GZ226" s="300" t="s">
        <v>261</v>
      </c>
      <c r="HA226" s="391" t="s">
        <v>261</v>
      </c>
      <c r="HB226" s="301"/>
      <c r="HC226" s="314" t="str">
        <f>IF(Table1[[#This Row],[Flushing Actual
(tanggal)]]&lt;&gt;"","Sudah","Belum")</f>
        <v>Belum</v>
      </c>
      <c r="HD226" s="300">
        <v>45880</v>
      </c>
      <c r="HE226" s="300" t="e">
        <v>#N/A</v>
      </c>
      <c r="HF226" s="300">
        <v>45900</v>
      </c>
      <c r="HG226" s="322"/>
      <c r="HH2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6" s="300" t="s">
        <v>261</v>
      </c>
      <c r="HJ226" s="300" t="s">
        <v>261</v>
      </c>
      <c r="HK226" s="301"/>
      <c r="HL226" s="286"/>
      <c r="HM226" s="300">
        <v>45919</v>
      </c>
      <c r="HN226" s="300">
        <v>45919</v>
      </c>
      <c r="HO226" s="391">
        <v>46267</v>
      </c>
      <c r="HP226" s="391"/>
      <c r="HQ226" s="301"/>
      <c r="HR2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6" s="300">
        <v>45926</v>
      </c>
      <c r="HT226" s="300"/>
      <c r="HU226" s="300">
        <v>45926</v>
      </c>
      <c r="HV226" s="300">
        <v>46272</v>
      </c>
      <c r="HW226" s="301"/>
      <c r="HX2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6" s="42"/>
      <c r="HZ226" s="322"/>
      <c r="IA226" s="306"/>
      <c r="IC226" s="585">
        <f>IFERROR(ROUND((Table1[[#This Row],[PLAN TC
finish]]-Table1[[#This Row],[PLAN MC-0
start]])/30,2),"")</f>
        <v>5.8</v>
      </c>
      <c r="ID226">
        <f>DATEDIF(Table1[[#This Row],[PLAN MC-0
start]],Table1[[#This Row],[PLAN TC
finish]],"m")</f>
        <v>5</v>
      </c>
    </row>
    <row r="227" spans="2:238" s="4" customFormat="1" ht="15" customHeight="1" x14ac:dyDescent="0.25">
      <c r="B227" s="281">
        <f>SUBTOTAL(3,$D$5:D227)</f>
        <v>223</v>
      </c>
      <c r="C227" s="318">
        <v>223</v>
      </c>
      <c r="D227" s="285" t="s">
        <v>673</v>
      </c>
      <c r="E227" s="308" t="s">
        <v>1725</v>
      </c>
      <c r="F227" s="308" t="s">
        <v>1726</v>
      </c>
      <c r="G227" s="319">
        <v>45935</v>
      </c>
      <c r="H227" s="284" t="s">
        <v>247</v>
      </c>
      <c r="I227" s="308" t="s">
        <v>278</v>
      </c>
      <c r="J227" s="285" t="s">
        <v>943</v>
      </c>
      <c r="K227" s="308" t="s">
        <v>676</v>
      </c>
      <c r="L227" s="286" t="s">
        <v>250</v>
      </c>
      <c r="M227" s="286" t="s">
        <v>269</v>
      </c>
      <c r="N227" s="94">
        <v>5175</v>
      </c>
      <c r="O227" s="113" t="s">
        <v>252</v>
      </c>
      <c r="P22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7" s="35" t="e">
        <v>#N/A</v>
      </c>
      <c r="S227" s="35">
        <v>1</v>
      </c>
      <c r="T227" s="35">
        <f>Table1[[#This Row],[Progres Total Aktual
(%)]]</f>
        <v>0.92093927029196132</v>
      </c>
      <c r="U227" s="106">
        <f>Table1[[#This Row],[Progres Aktual
(%)]]-Table1[[#This Row],[Target Progres
(%)]]</f>
        <v>-7.9060729708038679E-2</v>
      </c>
      <c r="V227" s="320">
        <f>Table1[[#This Row],["Volume
BA MC-0"]]</f>
        <v>5343</v>
      </c>
      <c r="W227" s="321">
        <f>Table1[[#This Row],[Total Panjang Pipa Aktual
(Sum-&gt;)3]]</f>
        <v>4866</v>
      </c>
      <c r="X227" s="42"/>
      <c r="Y227" s="290" t="s">
        <v>1727</v>
      </c>
      <c r="Z227" s="62">
        <f>ROUND((Table1[[#This Row],[Nilai RAB Jaringan
(Exclude Ppn)]]-Table1[[#This Row],[RAB Perizinan]])*1.11+Table1[[#This Row],[RAB Perizinan]],0)</f>
        <v>7446330079</v>
      </c>
      <c r="AA227" s="62">
        <f>ROUND((Table1[[#This Row],[Nilai RAB Jaringan
(Exclude Ppn)]]-Table1[[#This Row],[RAB Perizinan]])*1.11+Table1[[#This Row],[RAB Perizinan]],0)</f>
        <v>7446330079</v>
      </c>
      <c r="AB227" s="290">
        <f>SUM(Table1[[#This Row],[RAB Kegiatan Umum]:[RAB Perizinan]])</f>
        <v>6713533854.6399994</v>
      </c>
      <c r="AC227" s="426">
        <v>520204585</v>
      </c>
      <c r="AD227" s="426">
        <v>5202045842.6399994</v>
      </c>
      <c r="AE227" s="426">
        <v>939533427</v>
      </c>
      <c r="AF227" s="426">
        <v>51750000</v>
      </c>
      <c r="AG227" s="406">
        <v>1266682650</v>
      </c>
      <c r="AH227" s="35">
        <f>SUM(Table1[[#This Row],[Bobot Keg Umum]:[Bobot Perizinan]])</f>
        <v>1</v>
      </c>
      <c r="AI227" s="35">
        <f>Table1[[#This Row],[RAB Kegiatan Umum]]/Table1[[#This Row],[Nilai RAB Jaringan
(Exclude Ppn)]]</f>
        <v>7.7485955424275582E-2</v>
      </c>
      <c r="AJ227" s="35">
        <f>Table1[[#This Row],[RAB Pemasangan]]/Table1[[#This Row],[Nilai RAB Jaringan
(Exclude Ppn)]]</f>
        <v>0.77485955314646271</v>
      </c>
      <c r="AK227" s="35">
        <f>Table1[[#This Row],[RAB Pengadaan]]/Table1[[#This Row],[Nilai RAB Jaringan
(Exclude Ppn)]]</f>
        <v>0.13994618145116672</v>
      </c>
      <c r="AL227" s="35">
        <f>Table1[[#This Row],[RAB Perizinan]]/Table1[[#This Row],[Nilai RAB Jaringan
(Exclude Ppn)]]</f>
        <v>7.7083099780949861E-3</v>
      </c>
      <c r="AM227" s="42"/>
      <c r="AN227" s="256">
        <v>5343</v>
      </c>
      <c r="AO227" s="256">
        <f>SUM(Table1[[#This Row],[Pipa 63 mm]:[Pipa 1,800 mm]])</f>
        <v>0</v>
      </c>
      <c r="AP227" s="256"/>
      <c r="AQ227" s="256"/>
      <c r="AR227" s="256"/>
      <c r="AS227" s="256"/>
      <c r="AT227" s="256"/>
      <c r="AU227" s="256"/>
      <c r="AV227" s="256"/>
      <c r="AW227" s="256"/>
      <c r="AX227" s="256"/>
      <c r="AY227" s="256"/>
      <c r="AZ227" s="256"/>
      <c r="BA227" s="256"/>
      <c r="BB227" s="256"/>
      <c r="BC227" s="256"/>
      <c r="BD227" s="256"/>
      <c r="BE227" s="256"/>
      <c r="BF227" s="256"/>
      <c r="BG227" s="256"/>
      <c r="BH227" s="256"/>
      <c r="BI227" s="256"/>
      <c r="BJ227" s="416">
        <f>SUM(Table1[[#This Row],[Pipa 63 mm2]:[Pipa 1,800 mm21]])</f>
        <v>4866</v>
      </c>
      <c r="BK227" s="32">
        <v>3967</v>
      </c>
      <c r="BL227" s="32">
        <v>278</v>
      </c>
      <c r="BM227" s="32">
        <v>81</v>
      </c>
      <c r="BN227" s="32">
        <v>540</v>
      </c>
      <c r="BO227" s="32"/>
      <c r="BP227" s="32"/>
      <c r="BQ227" s="32"/>
      <c r="BR227" s="32"/>
      <c r="BS227" s="32"/>
      <c r="BT227" s="32"/>
      <c r="BU227" s="32"/>
      <c r="BV227" s="32"/>
      <c r="BW227" s="32"/>
      <c r="BX227" s="32"/>
      <c r="BY227" s="32"/>
      <c r="BZ227" s="32"/>
      <c r="CA227" s="32"/>
      <c r="CB227" s="32"/>
      <c r="CC227" s="32"/>
      <c r="CD227" s="32"/>
      <c r="CE227" s="32">
        <v>0</v>
      </c>
      <c r="CF227" s="32">
        <v>0</v>
      </c>
      <c r="CG227" s="32">
        <v>0</v>
      </c>
      <c r="CH227" s="32">
        <v>0</v>
      </c>
      <c r="CI227" s="32">
        <f t="shared" si="12"/>
        <v>0</v>
      </c>
      <c r="CJ227" s="60">
        <f>IF((Table1[[#This Row],["Volume
BA MC-0"]]-Table1[[#This Row],[Total Panjang Pipa Aktual
(Sum-&gt;)3]]-Table1[[#This Row],[Total Volume
tidak dapat dipasang]])&gt;=0,Table1[[#This Row],["Volume
BA MC-0"]]-Table1[[#This Row],[Total Panjang Pipa Aktual
(Sum-&gt;)3]]-Table1[[#This Row],[Total Volume
tidak dapat dipasang]],0)</f>
        <v>477</v>
      </c>
      <c r="CK227" s="42"/>
      <c r="CL227" s="113"/>
      <c r="CM227" s="35"/>
      <c r="CN227" s="113"/>
      <c r="CO227" s="113"/>
      <c r="CP2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0.92093927029196132</v>
      </c>
      <c r="CQ227" s="61">
        <f>IFERROR(Table1[[#This Row],[Progres Keg. Umum
(%)]]*Table1[[#This Row],[Nilai RAB Jaringan
(file pa aji)]],0)</f>
        <v>0</v>
      </c>
      <c r="CR227" s="61">
        <f>IFERROR(Table1[[#This Row],[Progres MOS
(%)]]*Table1[[#This Row],[Nilai RAB Jaringan
(file pa aji)]],0)</f>
        <v>0</v>
      </c>
      <c r="CS227" s="61">
        <f>IFERROR(Table1[[#This Row],[Progres Pemasangan
(%)]]*Table1[[#This Row],[Nilai RAB Jaringan
(file pa aji)]],0)</f>
        <v>0</v>
      </c>
      <c r="CT227" s="61">
        <f>IFERROR(Table1[[#This Row],[Progres Perizinan
(%)]]*Table1[[#This Row],[Nilai RAB Jaringan
(file pa aji)]],0)</f>
        <v>0</v>
      </c>
      <c r="CU227" s="789">
        <v>6857617789.3073425</v>
      </c>
      <c r="CV227" s="299">
        <v>6857617789.3073425</v>
      </c>
      <c r="CW227" s="552">
        <v>0</v>
      </c>
      <c r="CX227" s="789">
        <f>_xlfn.XLOOKUP(Table1[[#This Row],[Kode Program]],'[1]Breakdown VOWD Greenfield'!$E:$E,'[1]Breakdown VOWD Greenfield'!$AT:$AT)</f>
        <v>0</v>
      </c>
      <c r="CY227" s="42"/>
      <c r="CZ227" s="300">
        <v>45656</v>
      </c>
      <c r="DA227" s="300">
        <v>45683</v>
      </c>
      <c r="DB227" s="301">
        <v>45578</v>
      </c>
      <c r="DC227" s="286" t="s">
        <v>1728</v>
      </c>
      <c r="DD227" s="62">
        <v>7446330079</v>
      </c>
      <c r="DE2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7" s="301">
        <v>45596</v>
      </c>
      <c r="DG227" s="286" t="s">
        <v>1729</v>
      </c>
      <c r="DH227" s="62">
        <v>7446330079</v>
      </c>
      <c r="DI22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7" s="300">
        <v>45684</v>
      </c>
      <c r="DK227" s="300">
        <v>45725</v>
      </c>
      <c r="DL227" s="301">
        <v>45709</v>
      </c>
      <c r="DM227" s="286" t="s">
        <v>1730</v>
      </c>
      <c r="DN2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7" s="301">
        <v>45736</v>
      </c>
      <c r="DP227" s="286" t="s">
        <v>1731</v>
      </c>
      <c r="DQ227" s="308" t="s">
        <v>371</v>
      </c>
      <c r="DR2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7" s="300">
        <v>45684</v>
      </c>
      <c r="DT227" s="300" t="e">
        <v>#N/A</v>
      </c>
      <c r="DU227" s="300">
        <v>45725</v>
      </c>
      <c r="DV227" s="300" t="e">
        <v>#N/A</v>
      </c>
      <c r="DW227" s="301">
        <v>45709</v>
      </c>
      <c r="DX227" s="286" t="s">
        <v>1732</v>
      </c>
      <c r="DY227" s="304"/>
      <c r="DZ227" s="304"/>
      <c r="EA2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7" s="301">
        <v>45716</v>
      </c>
      <c r="EC227" s="302"/>
      <c r="ED227" s="302"/>
      <c r="EE227" s="300" t="s">
        <v>1733</v>
      </c>
      <c r="EF227" s="35">
        <v>1</v>
      </c>
      <c r="EG227" s="307">
        <v>1</v>
      </c>
      <c r="EH227" s="286" t="str">
        <f>IF(Table1[[#This Row],[PO Material Aktual 
(%)]]&gt;=100%,"Selesai PO = 100%",IF(Table1[[#This Row],[PO Material Aktual 
(%)]]&gt;=50%,"Proses PO &gt; 100%",IF(Table1[[#This Row],[PO Material Aktual 
(%)]]&gt;0%,"Proses PO &gt; 50%",IF(Table1[[#This Row],[PO Material Aktual 
(%)]]=0,"Belum PO = 0%"))))</f>
        <v>Selesai PO = 100%</v>
      </c>
      <c r="EI22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27" s="300">
        <v>45726</v>
      </c>
      <c r="EK227" s="300" t="e">
        <v>#N/A</v>
      </c>
      <c r="EL227" s="300">
        <v>45816</v>
      </c>
      <c r="EM227" s="300" t="e">
        <v>#N/A</v>
      </c>
      <c r="EN227" s="301">
        <v>45961</v>
      </c>
      <c r="EO227" s="302"/>
      <c r="EP227" s="302"/>
      <c r="EQ227" s="82">
        <v>1</v>
      </c>
      <c r="ER227" s="82">
        <v>1</v>
      </c>
      <c r="ES227" s="286" t="str">
        <f>IF(Table1[[#This Row],[Progres MOS]]&gt;=100%,"Selesai MOS = 100%",IF(Table1[[#This Row],[Progres MOS]]&gt;=50%,"Proses MOS &gt; 100%",IF(Table1[[#This Row],[Progres MOS]]&gt;0%,"Proses MOS &gt; 50%",IF(Table1[[#This Row],[Progres MOS]]=0,"Belum MOS = 0%"))))</f>
        <v>Selesai MOS = 100%</v>
      </c>
      <c r="ET2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7" s="42"/>
      <c r="EV227" s="300">
        <v>45698</v>
      </c>
      <c r="EW227" s="300" t="e">
        <v>#N/A</v>
      </c>
      <c r="EX227" s="300">
        <v>45774</v>
      </c>
      <c r="EY227" s="300" t="e">
        <v>#N/A</v>
      </c>
      <c r="EZ227" s="322" t="s">
        <v>259</v>
      </c>
      <c r="FA227" s="306" t="s">
        <v>259</v>
      </c>
      <c r="FB227" s="300" t="s">
        <v>260</v>
      </c>
      <c r="FC227" s="300">
        <v>45790</v>
      </c>
      <c r="FD227" s="300" t="s">
        <v>260</v>
      </c>
      <c r="FE227" s="300">
        <v>45863</v>
      </c>
      <c r="FF227" s="300">
        <v>45910</v>
      </c>
      <c r="FG227" s="300" t="s">
        <v>260</v>
      </c>
      <c r="FH227" s="300" t="s">
        <v>260</v>
      </c>
      <c r="FI227" s="300">
        <v>45985</v>
      </c>
      <c r="FJ227" s="300" t="s">
        <v>260</v>
      </c>
      <c r="FK227" s="300">
        <v>46041</v>
      </c>
      <c r="FL227" s="306" t="s">
        <v>259</v>
      </c>
      <c r="FM227" s="322">
        <v>45790</v>
      </c>
      <c r="FN227" s="308">
        <f>IF(Table1[[#This Row],[Tanggal Pengajuan Dokumen]]="","",Table1[[#This Row],[PLAN PERMIT
start]]-Table1[[#This Row],[Tanggal Pengajuan Dokumen]])</f>
        <v>-92</v>
      </c>
      <c r="FO227" s="407">
        <v>46064</v>
      </c>
      <c r="FP227" s="286"/>
      <c r="FQ227" s="308"/>
      <c r="FR227" s="308"/>
      <c r="FS227" s="308" t="str">
        <f t="shared" si="11"/>
        <v>Sudah Terbit</v>
      </c>
      <c r="FT22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7" s="314">
        <f ca="1">IF(Table1[[#This Row],[Status Izin]]="Selesai",Table1[[#This Row],[PLAN PERMIT
finish]]-Table1[[#This Row],[Tanggal Terbit/ Target Izin Terbit]],ROUNDUP(Table1[[#This Row],[PLAN PERMIT
finish]]-NOW(),0))</f>
        <v>-290</v>
      </c>
      <c r="FV22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7" s="314"/>
      <c r="FX227" s="42"/>
      <c r="FY227" s="310"/>
      <c r="FZ227" s="311"/>
      <c r="GA2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7" s="300">
        <v>45739</v>
      </c>
      <c r="GC227" s="322">
        <v>45793</v>
      </c>
      <c r="GD22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7" s="300">
        <v>45732</v>
      </c>
      <c r="GF227" s="322">
        <v>45793</v>
      </c>
      <c r="GG22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7" s="300">
        <v>45726</v>
      </c>
      <c r="GI227" s="300">
        <v>45732</v>
      </c>
      <c r="GJ227" s="322">
        <v>45797</v>
      </c>
      <c r="GK22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7" s="300">
        <v>45775</v>
      </c>
      <c r="GM227" s="300" t="e">
        <v>#N/A</v>
      </c>
      <c r="GN227" s="300">
        <v>45900</v>
      </c>
      <c r="GO227" s="300" t="e">
        <v>#N/A</v>
      </c>
      <c r="GP227" s="286"/>
      <c r="GQ22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7" s="300" t="s">
        <v>261</v>
      </c>
      <c r="GS227" s="391" t="s">
        <v>261</v>
      </c>
      <c r="GT227" s="427" t="s">
        <v>1734</v>
      </c>
      <c r="GU227" s="393" t="str">
        <f>IF(Table1[[#This Row],[Hydro Tes Actual
(tanggal)]]&lt;&gt;"","Sudah","Belum")</f>
        <v>Sudah</v>
      </c>
      <c r="GV227" s="300" t="s">
        <v>261</v>
      </c>
      <c r="GW227" s="300" t="s">
        <v>261</v>
      </c>
      <c r="GX227" s="301"/>
      <c r="GY227" s="314" t="str">
        <f>IF(Table1[[#This Row],[Interkoneksi Actual
(tanggal)]]&lt;&gt;"","Sudah","Belum")</f>
        <v>Belum</v>
      </c>
      <c r="GZ227" s="300" t="s">
        <v>261</v>
      </c>
      <c r="HA227" s="391" t="s">
        <v>261</v>
      </c>
      <c r="HB227" s="301"/>
      <c r="HC227" s="314" t="str">
        <f>IF(Table1[[#This Row],[Flushing Actual
(tanggal)]]&lt;&gt;"","Sudah","Belum")</f>
        <v>Belum</v>
      </c>
      <c r="HD227" s="300">
        <v>45880</v>
      </c>
      <c r="HE227" s="300" t="e">
        <v>#N/A</v>
      </c>
      <c r="HF227" s="300">
        <v>45900</v>
      </c>
      <c r="HG227" s="322"/>
      <c r="HH22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7" s="300" t="s">
        <v>261</v>
      </c>
      <c r="HJ227" s="300" t="s">
        <v>261</v>
      </c>
      <c r="HK227" s="301"/>
      <c r="HL227" s="286"/>
      <c r="HM227" s="300">
        <v>45919</v>
      </c>
      <c r="HN227" s="300">
        <v>45919</v>
      </c>
      <c r="HO227" s="391">
        <v>46210</v>
      </c>
      <c r="HP227" s="391"/>
      <c r="HQ227" s="301"/>
      <c r="HR22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7" s="300">
        <v>45926</v>
      </c>
      <c r="HT227" s="300"/>
      <c r="HU227" s="300">
        <v>45926</v>
      </c>
      <c r="HV227" s="300">
        <v>46215</v>
      </c>
      <c r="HW227" s="301"/>
      <c r="HX22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7" s="42"/>
      <c r="HZ227" s="322"/>
      <c r="IA227" s="306"/>
      <c r="IC227" s="585">
        <f>IFERROR(ROUND((Table1[[#This Row],[PLAN TC
finish]]-Table1[[#This Row],[PLAN MC-0
start]])/30,2),"")</f>
        <v>5.8</v>
      </c>
      <c r="ID227">
        <f>DATEDIF(Table1[[#This Row],[PLAN MC-0
start]],Table1[[#This Row],[PLAN TC
finish]],"m")</f>
        <v>5</v>
      </c>
    </row>
    <row r="228" spans="2:238" s="4" customFormat="1" ht="15" customHeight="1" x14ac:dyDescent="0.25">
      <c r="B228" s="281">
        <f>SUBTOTAL(3,$D$5:D228)</f>
        <v>224</v>
      </c>
      <c r="C228" s="318">
        <v>224</v>
      </c>
      <c r="D228" s="285" t="s">
        <v>673</v>
      </c>
      <c r="E228" s="308" t="s">
        <v>1735</v>
      </c>
      <c r="F228" s="308" t="s">
        <v>1736</v>
      </c>
      <c r="G228" s="319">
        <v>45935</v>
      </c>
      <c r="H228" s="284" t="s">
        <v>247</v>
      </c>
      <c r="I228" s="308" t="s">
        <v>278</v>
      </c>
      <c r="J228" s="285" t="s">
        <v>943</v>
      </c>
      <c r="K228" s="308" t="s">
        <v>676</v>
      </c>
      <c r="L228" s="286" t="s">
        <v>250</v>
      </c>
      <c r="M228" s="286" t="s">
        <v>269</v>
      </c>
      <c r="N228" s="94">
        <v>15118</v>
      </c>
      <c r="O228" s="113" t="s">
        <v>252</v>
      </c>
      <c r="P22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28" s="35" t="e">
        <v>#N/A</v>
      </c>
      <c r="S228" s="35">
        <v>1</v>
      </c>
      <c r="T228" s="35">
        <f>Table1[[#This Row],[Progres Total Aktual
(%)]]</f>
        <v>0.68790582635696873</v>
      </c>
      <c r="U228" s="106">
        <f>Table1[[#This Row],[Progres Aktual
(%)]]-Table1[[#This Row],[Target Progres
(%)]]</f>
        <v>-0.31209417364303127</v>
      </c>
      <c r="V228" s="320">
        <f>Table1[[#This Row],["Volume
BA MC-0"]]</f>
        <v>14965</v>
      </c>
      <c r="W228" s="321">
        <f>Table1[[#This Row],[Total Panjang Pipa Aktual
(Sum-&gt;)3]]</f>
        <v>11448</v>
      </c>
      <c r="X228" s="42"/>
      <c r="Y228" s="290" t="s">
        <v>1737</v>
      </c>
      <c r="Z228" s="62">
        <f>ROUND((Table1[[#This Row],[Nilai RAB Jaringan
(Exclude Ppn)]]-Table1[[#This Row],[RAB Perizinan]])*1.11+Table1[[#This Row],[RAB Perizinan]],0)</f>
        <v>24621055413</v>
      </c>
      <c r="AA228" s="62">
        <f>ROUND((Table1[[#This Row],[Nilai RAB Jaringan
(Exclude Ppn)]]-Table1[[#This Row],[RAB Perizinan]])*1.11+Table1[[#This Row],[RAB Perizinan]],0)</f>
        <v>24621055413</v>
      </c>
      <c r="AB228" s="290">
        <f>SUM(Table1[[#This Row],[RAB Kegiatan Umum]:[RAB Perizinan]])</f>
        <v>22198193885.629257</v>
      </c>
      <c r="AC228" s="426">
        <v>1705172653</v>
      </c>
      <c r="AD228" s="426">
        <v>17051726521.629257</v>
      </c>
      <c r="AE228" s="426">
        <v>3269114711</v>
      </c>
      <c r="AF228" s="426">
        <v>172180000</v>
      </c>
      <c r="AG228" s="406">
        <v>3795948652</v>
      </c>
      <c r="AH228" s="35">
        <f>SUM(Table1[[#This Row],[Bobot Keg Umum]:[Bobot Perizinan]])</f>
        <v>1</v>
      </c>
      <c r="AI228" s="35">
        <f>Table1[[#This Row],[RAB Kegiatan Umum]]/Table1[[#This Row],[Nilai RAB Jaringan
(Exclude Ppn)]]</f>
        <v>7.6815828431154504E-2</v>
      </c>
      <c r="AJ228" s="35">
        <f>Table1[[#This Row],[RAB Pemasangan]]/Table1[[#This Row],[Nilai RAB Jaringan
(Exclude Ppn)]]</f>
        <v>0.76815828393445384</v>
      </c>
      <c r="AK228" s="35">
        <f>Table1[[#This Row],[RAB Pengadaan]]/Table1[[#This Row],[Nilai RAB Jaringan
(Exclude Ppn)]]</f>
        <v>0.14726940073788483</v>
      </c>
      <c r="AL228" s="35">
        <f>Table1[[#This Row],[RAB Perizinan]]/Table1[[#This Row],[Nilai RAB Jaringan
(Exclude Ppn)]]</f>
        <v>7.7564868965067681E-3</v>
      </c>
      <c r="AM228" s="42"/>
      <c r="AN228" s="256">
        <v>14965</v>
      </c>
      <c r="AO228" s="256">
        <f>SUM(Table1[[#This Row],[Pipa 63 mm]:[Pipa 1,800 mm]])</f>
        <v>0</v>
      </c>
      <c r="AP228" s="256"/>
      <c r="AQ228" s="256"/>
      <c r="AR228" s="256"/>
      <c r="AS228" s="256"/>
      <c r="AT228" s="256"/>
      <c r="AU228" s="256"/>
      <c r="AV228" s="256"/>
      <c r="AW228" s="256"/>
      <c r="AX228" s="256"/>
      <c r="AY228" s="256"/>
      <c r="AZ228" s="256"/>
      <c r="BA228" s="256"/>
      <c r="BB228" s="256"/>
      <c r="BC228" s="256"/>
      <c r="BD228" s="256"/>
      <c r="BE228" s="256"/>
      <c r="BF228" s="256"/>
      <c r="BG228" s="256"/>
      <c r="BH228" s="256"/>
      <c r="BI228" s="256"/>
      <c r="BJ228" s="416">
        <f>SUM(Table1[[#This Row],[Pipa 63 mm2]:[Pipa 1,800 mm21]])</f>
        <v>11448</v>
      </c>
      <c r="BK228" s="32">
        <v>7414</v>
      </c>
      <c r="BL228" s="32">
        <v>2498</v>
      </c>
      <c r="BM228" s="32">
        <v>755</v>
      </c>
      <c r="BN228" s="32">
        <v>711</v>
      </c>
      <c r="BO228" s="32">
        <v>70</v>
      </c>
      <c r="BP228" s="32"/>
      <c r="BQ228" s="32"/>
      <c r="BR228" s="32"/>
      <c r="BS228" s="32"/>
      <c r="BT228" s="32"/>
      <c r="BU228" s="32"/>
      <c r="BV228" s="32"/>
      <c r="BW228" s="32"/>
      <c r="BX228" s="32"/>
      <c r="BY228" s="32"/>
      <c r="BZ228" s="32"/>
      <c r="CA228" s="32"/>
      <c r="CB228" s="32"/>
      <c r="CC228" s="32"/>
      <c r="CD228" s="32"/>
      <c r="CE228" s="32">
        <v>0</v>
      </c>
      <c r="CF228" s="32">
        <v>0</v>
      </c>
      <c r="CG228" s="32">
        <v>0</v>
      </c>
      <c r="CH228" s="32">
        <v>0</v>
      </c>
      <c r="CI228" s="32">
        <f t="shared" si="12"/>
        <v>0</v>
      </c>
      <c r="CJ228" s="60">
        <f>IF((Table1[[#This Row],["Volume
BA MC-0"]]-Table1[[#This Row],[Total Panjang Pipa Aktual
(Sum-&gt;)3]]-Table1[[#This Row],[Total Volume
tidak dapat dipasang]])&gt;=0,Table1[[#This Row],["Volume
BA MC-0"]]-Table1[[#This Row],[Total Panjang Pipa Aktual
(Sum-&gt;)3]]-Table1[[#This Row],[Total Volume
tidak dapat dipasang]],0)</f>
        <v>3517</v>
      </c>
      <c r="CK228" s="42"/>
      <c r="CL228" s="113"/>
      <c r="CM228" s="35"/>
      <c r="CN228" s="113"/>
      <c r="CO228" s="113"/>
      <c r="CP2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0.68790582635696873</v>
      </c>
      <c r="CQ228" s="61">
        <f>IFERROR(Table1[[#This Row],[Progres Keg. Umum
(%)]]*Table1[[#This Row],[Nilai RAB Jaringan
(file pa aji)]],0)</f>
        <v>0</v>
      </c>
      <c r="CR228" s="61">
        <f>IFERROR(Table1[[#This Row],[Progres MOS
(%)]]*Table1[[#This Row],[Nilai RAB Jaringan
(file pa aji)]],0)</f>
        <v>0</v>
      </c>
      <c r="CS228" s="61">
        <f>IFERROR(Table1[[#This Row],[Progres Pemasangan
(%)]]*Table1[[#This Row],[Nilai RAB Jaringan
(file pa aji)]],0)</f>
        <v>0</v>
      </c>
      <c r="CT228" s="61">
        <f>IFERROR(Table1[[#This Row],[Progres Perizinan
(%)]]*Table1[[#This Row],[Nilai RAB Jaringan
(file pa aji)]],0)</f>
        <v>0</v>
      </c>
      <c r="CU228" s="789">
        <v>16936967469.660484</v>
      </c>
      <c r="CV228" s="299">
        <v>16936967469.660484</v>
      </c>
      <c r="CW228" s="552">
        <v>0</v>
      </c>
      <c r="CX228" s="789">
        <f>_xlfn.XLOOKUP(Table1[[#This Row],[Kode Program]],'[1]Breakdown VOWD Greenfield'!$E:$E,'[1]Breakdown VOWD Greenfield'!$AT:$AT)</f>
        <v>0</v>
      </c>
      <c r="CY228" s="42"/>
      <c r="CZ228" s="300">
        <v>45656</v>
      </c>
      <c r="DA228" s="300">
        <v>45683</v>
      </c>
      <c r="DB228" s="301">
        <v>45578</v>
      </c>
      <c r="DC228" s="286" t="s">
        <v>1738</v>
      </c>
      <c r="DD228" s="62">
        <v>24621055413</v>
      </c>
      <c r="DE2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8" s="301">
        <v>45602</v>
      </c>
      <c r="DG228" s="286" t="s">
        <v>1739</v>
      </c>
      <c r="DH228" s="62">
        <v>24621055413</v>
      </c>
      <c r="DI2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8" s="300">
        <v>45684</v>
      </c>
      <c r="DK228" s="300">
        <v>45725</v>
      </c>
      <c r="DL228" s="301">
        <v>45712</v>
      </c>
      <c r="DM228" s="286" t="s">
        <v>1740</v>
      </c>
      <c r="DN2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8" s="301">
        <v>45736</v>
      </c>
      <c r="DP228" s="286" t="s">
        <v>1741</v>
      </c>
      <c r="DQ228" s="308" t="s">
        <v>371</v>
      </c>
      <c r="DR2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8" s="300">
        <v>45684</v>
      </c>
      <c r="DT228" s="300" t="e">
        <v>#N/A</v>
      </c>
      <c r="DU228" s="300">
        <v>45725</v>
      </c>
      <c r="DV228" s="300" t="e">
        <v>#N/A</v>
      </c>
      <c r="DW228" s="301">
        <v>46009</v>
      </c>
      <c r="DX228" s="286" t="s">
        <v>1742</v>
      </c>
      <c r="DY228" s="304"/>
      <c r="DZ228" s="304"/>
      <c r="EA2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28" s="301"/>
      <c r="EC228" s="302"/>
      <c r="ED228" s="302"/>
      <c r="EE228" s="300"/>
      <c r="EF228" s="35">
        <v>0.96666666666666667</v>
      </c>
      <c r="EG228" s="307">
        <v>0.96666666666666667</v>
      </c>
      <c r="EH228" s="286" t="str">
        <f>IF(Table1[[#This Row],[PO Material Aktual 
(%)]]&gt;=100%,"Selesai PO = 100%",IF(Table1[[#This Row],[PO Material Aktual 
(%)]]&gt;=50%,"Proses PO &gt; 100%",IF(Table1[[#This Row],[PO Material Aktual 
(%)]]&gt;0%,"Proses PO &gt; 50%",IF(Table1[[#This Row],[PO Material Aktual 
(%)]]=0,"Belum PO = 0%"))))</f>
        <v>Proses PO &gt; 100%</v>
      </c>
      <c r="EI2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28" s="300">
        <v>45726</v>
      </c>
      <c r="EK228" s="300" t="e">
        <v>#N/A</v>
      </c>
      <c r="EL228" s="300">
        <v>45816</v>
      </c>
      <c r="EM228" s="300" t="e">
        <v>#N/A</v>
      </c>
      <c r="EN228" s="301"/>
      <c r="EO228" s="302"/>
      <c r="EP228" s="302"/>
      <c r="EQ228" s="82">
        <v>1</v>
      </c>
      <c r="ER228" s="82">
        <v>1</v>
      </c>
      <c r="ES228" s="286" t="str">
        <f>IF(Table1[[#This Row],[Progres MOS]]&gt;=100%,"Selesai MOS = 100%",IF(Table1[[#This Row],[Progres MOS]]&gt;=50%,"Proses MOS &gt; 100%",IF(Table1[[#This Row],[Progres MOS]]&gt;0%,"Proses MOS &gt; 50%",IF(Table1[[#This Row],[Progres MOS]]=0,"Belum MOS = 0%"))))</f>
        <v>Selesai MOS = 100%</v>
      </c>
      <c r="ET2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28" s="42"/>
      <c r="EV228" s="300">
        <v>45698</v>
      </c>
      <c r="EW228" s="300" t="e">
        <v>#N/A</v>
      </c>
      <c r="EX228" s="300">
        <v>45774</v>
      </c>
      <c r="EY228" s="300" t="e">
        <v>#N/A</v>
      </c>
      <c r="EZ228" s="322" t="s">
        <v>259</v>
      </c>
      <c r="FA228" s="306" t="s">
        <v>259</v>
      </c>
      <c r="FB228" s="300" t="s">
        <v>260</v>
      </c>
      <c r="FC228" s="300">
        <v>45790</v>
      </c>
      <c r="FD228" s="300" t="s">
        <v>260</v>
      </c>
      <c r="FE228" s="300">
        <v>45863</v>
      </c>
      <c r="FF228" s="300">
        <v>45910</v>
      </c>
      <c r="FG228" s="300" t="s">
        <v>260</v>
      </c>
      <c r="FH228" s="300" t="s">
        <v>260</v>
      </c>
      <c r="FI228" s="300">
        <v>45985</v>
      </c>
      <c r="FJ228" s="300" t="s">
        <v>260</v>
      </c>
      <c r="FK228" s="300">
        <v>46041</v>
      </c>
      <c r="FL228" s="306" t="s">
        <v>259</v>
      </c>
      <c r="FM228" s="322">
        <v>45790</v>
      </c>
      <c r="FN228" s="308">
        <f>IF(Table1[[#This Row],[Tanggal Pengajuan Dokumen]]="","",Table1[[#This Row],[PLAN PERMIT
start]]-Table1[[#This Row],[Tanggal Pengajuan Dokumen]])</f>
        <v>-92</v>
      </c>
      <c r="FO228" s="407">
        <v>46064</v>
      </c>
      <c r="FP228" s="286"/>
      <c r="FQ228" s="308"/>
      <c r="FR228" s="308"/>
      <c r="FS228" s="308" t="str">
        <f t="shared" si="11"/>
        <v>Sudah Terbit</v>
      </c>
      <c r="FT2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28" s="314">
        <f ca="1">IF(Table1[[#This Row],[Status Izin]]="Selesai",Table1[[#This Row],[PLAN PERMIT
finish]]-Table1[[#This Row],[Tanggal Terbit/ Target Izin Terbit]],ROUNDUP(Table1[[#This Row],[PLAN PERMIT
finish]]-NOW(),0))</f>
        <v>-290</v>
      </c>
      <c r="FV2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8" s="314"/>
      <c r="FX228" s="42"/>
      <c r="FY228" s="310"/>
      <c r="FZ228" s="311"/>
      <c r="GA2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8" s="300">
        <v>45739</v>
      </c>
      <c r="GC228" s="322">
        <v>45793</v>
      </c>
      <c r="GD2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28" s="300">
        <v>45732</v>
      </c>
      <c r="GF228" s="322">
        <v>45793</v>
      </c>
      <c r="GG2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28" s="300">
        <v>45726</v>
      </c>
      <c r="GI228" s="300">
        <v>45732</v>
      </c>
      <c r="GJ228" s="322">
        <v>45797</v>
      </c>
      <c r="GK2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28" s="300">
        <v>45775</v>
      </c>
      <c r="GM228" s="300" t="e">
        <v>#N/A</v>
      </c>
      <c r="GN228" s="300">
        <v>45900</v>
      </c>
      <c r="GO228" s="300" t="e">
        <v>#N/A</v>
      </c>
      <c r="GP228" s="286"/>
      <c r="GQ2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8" s="300" t="s">
        <v>261</v>
      </c>
      <c r="GS228" s="391" t="s">
        <v>261</v>
      </c>
      <c r="GT228" s="427" t="s">
        <v>1743</v>
      </c>
      <c r="GU228" s="393" t="str">
        <f>IF(Table1[[#This Row],[Hydro Tes Actual
(tanggal)]]&lt;&gt;"","Sudah","Belum")</f>
        <v>Sudah</v>
      </c>
      <c r="GV228" s="300" t="s">
        <v>261</v>
      </c>
      <c r="GW228" s="300" t="s">
        <v>261</v>
      </c>
      <c r="GX228" s="301"/>
      <c r="GY228" s="314" t="str">
        <f>IF(Table1[[#This Row],[Interkoneksi Actual
(tanggal)]]&lt;&gt;"","Sudah","Belum")</f>
        <v>Belum</v>
      </c>
      <c r="GZ228" s="300" t="s">
        <v>261</v>
      </c>
      <c r="HA228" s="391" t="s">
        <v>261</v>
      </c>
      <c r="HB228" s="301"/>
      <c r="HC228" s="314" t="str">
        <f>IF(Table1[[#This Row],[Flushing Actual
(tanggal)]]&lt;&gt;"","Sudah","Belum")</f>
        <v>Belum</v>
      </c>
      <c r="HD228" s="300">
        <v>45880</v>
      </c>
      <c r="HE228" s="300" t="e">
        <v>#N/A</v>
      </c>
      <c r="HF228" s="300">
        <v>45900</v>
      </c>
      <c r="HG228" s="322"/>
      <c r="HH2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28" s="300" t="s">
        <v>261</v>
      </c>
      <c r="HJ228" s="300" t="s">
        <v>261</v>
      </c>
      <c r="HK228" s="301"/>
      <c r="HL228" s="286"/>
      <c r="HM228" s="300">
        <v>45919</v>
      </c>
      <c r="HN228" s="300">
        <v>45919</v>
      </c>
      <c r="HO228" s="391">
        <v>46249</v>
      </c>
      <c r="HP228" s="391"/>
      <c r="HQ228" s="301"/>
      <c r="HR22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28" s="300">
        <v>45926</v>
      </c>
      <c r="HT228" s="300"/>
      <c r="HU228" s="300">
        <v>45926</v>
      </c>
      <c r="HV228" s="300">
        <v>46254</v>
      </c>
      <c r="HW228" s="301"/>
      <c r="HX2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28" s="42"/>
      <c r="HZ228" s="322"/>
      <c r="IA228" s="306"/>
      <c r="IC228" s="585">
        <f>IFERROR(ROUND((Table1[[#This Row],[PLAN TC
finish]]-Table1[[#This Row],[PLAN MC-0
start]])/30,2),"")</f>
        <v>5.8</v>
      </c>
      <c r="ID228">
        <f>DATEDIF(Table1[[#This Row],[PLAN MC-0
start]],Table1[[#This Row],[PLAN TC
finish]],"m")</f>
        <v>5</v>
      </c>
    </row>
    <row r="229" spans="2:238" s="4" customFormat="1" ht="15" customHeight="1" x14ac:dyDescent="0.25">
      <c r="B229" s="281">
        <f>SUBTOTAL(3,$D$5:D229)</f>
        <v>225</v>
      </c>
      <c r="C229" s="318">
        <v>225</v>
      </c>
      <c r="D229" s="285" t="s">
        <v>673</v>
      </c>
      <c r="E229" s="308" t="s">
        <v>1744</v>
      </c>
      <c r="F229" s="308" t="s">
        <v>1745</v>
      </c>
      <c r="G229" s="319">
        <v>45935</v>
      </c>
      <c r="H229" s="308" t="s">
        <v>681</v>
      </c>
      <c r="I229" s="308" t="s">
        <v>278</v>
      </c>
      <c r="J229" s="285"/>
      <c r="K229" s="308" t="s">
        <v>676</v>
      </c>
      <c r="L229" s="286" t="s">
        <v>250</v>
      </c>
      <c r="M229" s="286" t="s">
        <v>269</v>
      </c>
      <c r="N229" s="94">
        <v>555</v>
      </c>
      <c r="O229" s="31" t="s">
        <v>252</v>
      </c>
      <c r="P2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29" s="35" t="e">
        <v>#N/A</v>
      </c>
      <c r="S229" s="35">
        <v>1</v>
      </c>
      <c r="T229" s="35">
        <f>Table1[[#This Row],[Progres Total Aktual
(%)]]</f>
        <v>1</v>
      </c>
      <c r="U229" s="106">
        <f>Table1[[#This Row],[Progres Aktual
(%)]]-Table1[[#This Row],[Target Progres
(%)]]</f>
        <v>0</v>
      </c>
      <c r="V229" s="320">
        <f>Table1[[#This Row],["Volume
BA MC-0"]]</f>
        <v>600</v>
      </c>
      <c r="W229" s="321">
        <f>Table1[[#This Row],[Total Panjang Pipa Aktual
(Sum-&gt;)3]]</f>
        <v>600</v>
      </c>
      <c r="X229" s="42"/>
      <c r="Y229" s="62" t="s">
        <v>1746</v>
      </c>
      <c r="Z229" s="62">
        <v>782188678</v>
      </c>
      <c r="AA229" s="62">
        <f>Table1[[#This Row],[Nilai RAB Jaringan
(file pa aji)]]</f>
        <v>782188678</v>
      </c>
      <c r="AB229" s="290">
        <f>SUM(Table1[[#This Row],[RAB Kegiatan Umum]:[RAB Perizinan]])</f>
        <v>0</v>
      </c>
      <c r="AC229" s="290"/>
      <c r="AD229" s="290"/>
      <c r="AE229" s="290"/>
      <c r="AF229" s="290"/>
      <c r="AG229" s="406">
        <v>100432767</v>
      </c>
      <c r="AH229" s="35" t="e">
        <f>SUM(Table1[[#This Row],[Bobot Keg Umum]:[Bobot Perizinan]])</f>
        <v>#DIV/0!</v>
      </c>
      <c r="AI229" s="35" t="e">
        <f>Table1[[#This Row],[RAB Kegiatan Umum]]/Table1[[#This Row],[Nilai RAB Jaringan
(Exclude Ppn)]]</f>
        <v>#DIV/0!</v>
      </c>
      <c r="AJ229" s="35" t="e">
        <f>Table1[[#This Row],[RAB Pemasangan]]/Table1[[#This Row],[Nilai RAB Jaringan
(Exclude Ppn)]]</f>
        <v>#DIV/0!</v>
      </c>
      <c r="AK229" s="35" t="e">
        <f>Table1[[#This Row],[RAB Pengadaan]]/Table1[[#This Row],[Nilai RAB Jaringan
(Exclude Ppn)]]</f>
        <v>#DIV/0!</v>
      </c>
      <c r="AL229" s="35" t="e">
        <f>Table1[[#This Row],[RAB Perizinan]]/Table1[[#This Row],[Nilai RAB Jaringan
(Exclude Ppn)]]</f>
        <v>#DIV/0!</v>
      </c>
      <c r="AM229" s="42"/>
      <c r="AN229" s="256">
        <v>600</v>
      </c>
      <c r="AO229" s="256">
        <f>SUM(Table1[[#This Row],[Pipa 63 mm]:[Pipa 1,800 mm]])</f>
        <v>0</v>
      </c>
      <c r="AP229" s="256"/>
      <c r="AQ229" s="256"/>
      <c r="AR229" s="256"/>
      <c r="AS229" s="256"/>
      <c r="AT229" s="256"/>
      <c r="AU229" s="256"/>
      <c r="AV229" s="256"/>
      <c r="AW229" s="256"/>
      <c r="AX229" s="256"/>
      <c r="AY229" s="256"/>
      <c r="AZ229" s="256"/>
      <c r="BA229" s="256"/>
      <c r="BB229" s="256"/>
      <c r="BC229" s="256"/>
      <c r="BD229" s="256"/>
      <c r="BE229" s="256"/>
      <c r="BF229" s="256"/>
      <c r="BG229" s="256"/>
      <c r="BH229" s="256"/>
      <c r="BI229" s="256"/>
      <c r="BJ229" s="416">
        <f>SUM(Table1[[#This Row],[Pipa 63 mm2]:[Pipa 1,800 mm21]])</f>
        <v>600</v>
      </c>
      <c r="BK229" s="32">
        <v>600</v>
      </c>
      <c r="BL229" s="32"/>
      <c r="BM229" s="32"/>
      <c r="BN229" s="32"/>
      <c r="BO229" s="32"/>
      <c r="BP229" s="32"/>
      <c r="BQ229" s="32"/>
      <c r="BR229" s="32"/>
      <c r="BS229" s="32"/>
      <c r="BT229" s="32"/>
      <c r="BU229" s="32"/>
      <c r="BV229" s="32"/>
      <c r="BW229" s="32"/>
      <c r="BX229" s="32"/>
      <c r="BY229" s="32"/>
      <c r="BZ229" s="32"/>
      <c r="CA229" s="32"/>
      <c r="CB229" s="32"/>
      <c r="CC229" s="32"/>
      <c r="CD229" s="32"/>
      <c r="CE229" s="32">
        <v>0</v>
      </c>
      <c r="CF229" s="32">
        <v>0</v>
      </c>
      <c r="CG229" s="32">
        <v>0</v>
      </c>
      <c r="CH229" s="32">
        <v>0</v>
      </c>
      <c r="CI229" s="32">
        <f t="shared" si="12"/>
        <v>0</v>
      </c>
      <c r="CJ229" s="60">
        <f>IF((Table1[[#This Row],["Volume
BA MC-0"]]-Table1[[#This Row],[Total Panjang Pipa Aktual
(Sum-&gt;)3]]-Table1[[#This Row],[Total Volume
tidak dapat dipasang]])&gt;=0,Table1[[#This Row],["Volume
BA MC-0"]]-Table1[[#This Row],[Total Panjang Pipa Aktual
(Sum-&gt;)3]]-Table1[[#This Row],[Total Volume
tidak dapat dipasang]],0)</f>
        <v>0</v>
      </c>
      <c r="CK229" s="42"/>
      <c r="CL229" s="113"/>
      <c r="CM229" s="35"/>
      <c r="CN229" s="113"/>
      <c r="CO229" s="113"/>
      <c r="CP2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29" s="61">
        <f>IFERROR(Table1[[#This Row],[Progres Keg. Umum
(%)]]*Table1[[#This Row],[Nilai RAB Jaringan
(file pa aji)]],0)</f>
        <v>0</v>
      </c>
      <c r="CR229" s="61">
        <f>IFERROR(Table1[[#This Row],[Progres MOS
(%)]]*Table1[[#This Row],[Nilai RAB Jaringan
(file pa aji)]],0)</f>
        <v>0</v>
      </c>
      <c r="CS229" s="61">
        <f>IFERROR(Table1[[#This Row],[Progres Pemasangan
(%)]]*Table1[[#This Row],[Nilai RAB Jaringan
(file pa aji)]],0)</f>
        <v>0</v>
      </c>
      <c r="CT229" s="61">
        <f>IFERROR(Table1[[#This Row],[Progres Perizinan
(%)]]*Table1[[#This Row],[Nilai RAB Jaringan
(file pa aji)]],0)</f>
        <v>0</v>
      </c>
      <c r="CU229" s="789">
        <v>757847508</v>
      </c>
      <c r="CV229" s="299">
        <v>757847508</v>
      </c>
      <c r="CW229" s="552">
        <v>757847508</v>
      </c>
      <c r="CX229" s="789">
        <f>_xlfn.XLOOKUP(Table1[[#This Row],[Kode Program]],'[1]Breakdown VOWD Greenfield'!$E:$E,'[1]Breakdown VOWD Greenfield'!$AT:$AT)</f>
        <v>757847508</v>
      </c>
      <c r="CY229" s="42"/>
      <c r="CZ229" s="300">
        <v>45565</v>
      </c>
      <c r="DA229" s="300">
        <v>45592</v>
      </c>
      <c r="DB229" s="301">
        <v>45568</v>
      </c>
      <c r="DC229" s="286" t="s">
        <v>1747</v>
      </c>
      <c r="DD229" s="62">
        <v>782188677</v>
      </c>
      <c r="DE2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29" s="301">
        <v>45576</v>
      </c>
      <c r="DG229" s="286" t="s">
        <v>1748</v>
      </c>
      <c r="DH229" s="62">
        <v>782188677</v>
      </c>
      <c r="DI2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29" s="300">
        <v>45593</v>
      </c>
      <c r="DK229" s="300">
        <v>45655</v>
      </c>
      <c r="DL229" s="301">
        <v>45602</v>
      </c>
      <c r="DM229" s="286" t="s">
        <v>1749</v>
      </c>
      <c r="DN2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29" s="301">
        <v>45656</v>
      </c>
      <c r="DP229" s="286" t="s">
        <v>1750</v>
      </c>
      <c r="DQ229" s="308" t="s">
        <v>762</v>
      </c>
      <c r="DR2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29" s="300">
        <v>45593</v>
      </c>
      <c r="DT229" s="300" t="e">
        <v>#N/A</v>
      </c>
      <c r="DU229" s="300">
        <v>45634</v>
      </c>
      <c r="DV229" s="300" t="e">
        <v>#N/A</v>
      </c>
      <c r="DW229" s="301">
        <v>45602</v>
      </c>
      <c r="DX229" s="286" t="s">
        <v>1751</v>
      </c>
      <c r="DY229" s="304"/>
      <c r="DZ229" s="304"/>
      <c r="EA2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29" s="301">
        <v>45726</v>
      </c>
      <c r="EC229" s="302"/>
      <c r="ED229" s="302"/>
      <c r="EE229" s="300" t="s">
        <v>1752</v>
      </c>
      <c r="EF229" s="35">
        <v>1</v>
      </c>
      <c r="EG229" s="307">
        <v>1</v>
      </c>
      <c r="EH229" s="286" t="str">
        <f>IF(Table1[[#This Row],[PO Material Aktual 
(%)]]&gt;=100%,"Selesai PO = 100%",IF(Table1[[#This Row],[PO Material Aktual 
(%)]]&gt;=50%,"Proses PO &gt; 100%",IF(Table1[[#This Row],[PO Material Aktual 
(%)]]&gt;0%,"Proses PO &gt; 50%",IF(Table1[[#This Row],[PO Material Aktual 
(%)]]=0,"Belum PO = 0%"))))</f>
        <v>Selesai PO = 100%</v>
      </c>
      <c r="EI2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29" s="300">
        <v>45635</v>
      </c>
      <c r="EK229" s="300" t="e">
        <v>#N/A</v>
      </c>
      <c r="EL229" s="300">
        <v>45683</v>
      </c>
      <c r="EM229" s="300" t="e">
        <v>#N/A</v>
      </c>
      <c r="EN229" s="301">
        <v>45846</v>
      </c>
      <c r="EO229" s="302"/>
      <c r="EP229" s="302"/>
      <c r="EQ229" s="82">
        <v>1</v>
      </c>
      <c r="ER229" s="82">
        <v>1</v>
      </c>
      <c r="ES229" s="286" t="str">
        <f>IF(Table1[[#This Row],[Progres MOS]]&gt;=100%,"Selesai MOS = 100%",IF(Table1[[#This Row],[Progres MOS]]&gt;=50%,"Proses MOS &gt; 100%",IF(Table1[[#This Row],[Progres MOS]]&gt;0%,"Proses MOS &gt; 50%",IF(Table1[[#This Row],[Progres MOS]]=0,"Belum MOS = 0%"))))</f>
        <v>Selesai MOS = 100%</v>
      </c>
      <c r="ET2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29" s="42"/>
      <c r="EV229" s="300">
        <v>45593</v>
      </c>
      <c r="EW229" s="300" t="e">
        <v>#N/A</v>
      </c>
      <c r="EX229" s="300">
        <v>45683</v>
      </c>
      <c r="EY229" s="300" t="e">
        <v>#N/A</v>
      </c>
      <c r="EZ229" s="322" t="s">
        <v>298</v>
      </c>
      <c r="FA229" s="306" t="s">
        <v>298</v>
      </c>
      <c r="FB229" s="300" t="s">
        <v>260</v>
      </c>
      <c r="FC229" s="300">
        <v>45838</v>
      </c>
      <c r="FD229" s="300" t="s">
        <v>260</v>
      </c>
      <c r="FE229" s="300">
        <v>45895</v>
      </c>
      <c r="FF229" s="300">
        <v>45929</v>
      </c>
      <c r="FG229" s="300" t="s">
        <v>260</v>
      </c>
      <c r="FH229" s="300" t="s">
        <v>260</v>
      </c>
      <c r="FI229" s="300">
        <v>46010</v>
      </c>
      <c r="FJ229" s="300" t="s">
        <v>260</v>
      </c>
      <c r="FK229" s="300"/>
      <c r="FL229" s="306" t="s">
        <v>298</v>
      </c>
      <c r="FM229" s="322">
        <v>45838</v>
      </c>
      <c r="FN229" s="308">
        <f>IF(Table1[[#This Row],[Tanggal Pengajuan Dokumen]]="","",Table1[[#This Row],[PLAN PERMIT
start]]-Table1[[#This Row],[Tanggal Pengajuan Dokumen]])</f>
        <v>-245</v>
      </c>
      <c r="FO229" s="407">
        <v>46086</v>
      </c>
      <c r="FP229" s="286"/>
      <c r="FQ229" s="308"/>
      <c r="FR229" s="308"/>
      <c r="FS229" s="308" t="str">
        <f t="shared" si="11"/>
        <v>On Going</v>
      </c>
      <c r="FT2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29" s="314">
        <f ca="1">IF(Table1[[#This Row],[Status Izin]]="Selesai",Table1[[#This Row],[PLAN PERMIT
finish]]-Table1[[#This Row],[Tanggal Terbit/ Target Izin Terbit]],ROUNDUP(Table1[[#This Row],[PLAN PERMIT
finish]]-NOW(),0))</f>
        <v>-521</v>
      </c>
      <c r="FV2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29" s="314"/>
      <c r="FX229" s="42"/>
      <c r="FY229" s="310"/>
      <c r="FZ229" s="311"/>
      <c r="GA2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29" s="300">
        <v>45657</v>
      </c>
      <c r="GC229" s="322">
        <v>45629</v>
      </c>
      <c r="GD2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29" s="300">
        <v>45664</v>
      </c>
      <c r="GF229" s="322">
        <v>45629</v>
      </c>
      <c r="GG2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29" s="300">
        <v>45670</v>
      </c>
      <c r="GI229" s="300">
        <v>45676</v>
      </c>
      <c r="GJ229" s="322">
        <v>45636</v>
      </c>
      <c r="GK2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29" s="300">
        <v>45684</v>
      </c>
      <c r="GM229" s="300" t="e">
        <v>#N/A</v>
      </c>
      <c r="GN229" s="300">
        <v>45697</v>
      </c>
      <c r="GO229" s="300" t="e">
        <v>#N/A</v>
      </c>
      <c r="GP229" s="286"/>
      <c r="GQ2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29" s="300" t="s">
        <v>261</v>
      </c>
      <c r="GS229" s="391" t="s">
        <v>261</v>
      </c>
      <c r="GT229" s="422" t="s">
        <v>1753</v>
      </c>
      <c r="GU229" s="393" t="str">
        <f>IF(Table1[[#This Row],[Hydro Tes Actual
(tanggal)]]&lt;&gt;"","Sudah","Belum")</f>
        <v>Sudah</v>
      </c>
      <c r="GV229" s="300" t="s">
        <v>261</v>
      </c>
      <c r="GW229" s="300" t="s">
        <v>261</v>
      </c>
      <c r="GX229" s="301">
        <v>45776</v>
      </c>
      <c r="GY229" s="314" t="str">
        <f>IF(Table1[[#This Row],[Interkoneksi Actual
(tanggal)]]&lt;&gt;"","Sudah","Belum")</f>
        <v>Sudah</v>
      </c>
      <c r="GZ229" s="300" t="s">
        <v>261</v>
      </c>
      <c r="HA229" s="391" t="s">
        <v>261</v>
      </c>
      <c r="HB229" s="402">
        <v>45794</v>
      </c>
      <c r="HC229" s="314" t="str">
        <f>IF(Table1[[#This Row],[Flushing Actual
(tanggal)]]&lt;&gt;"","Sudah","Belum")</f>
        <v>Sudah</v>
      </c>
      <c r="HD229" s="300">
        <v>45684</v>
      </c>
      <c r="HE229" s="300" t="e">
        <v>#N/A</v>
      </c>
      <c r="HF229" s="300">
        <v>45697</v>
      </c>
      <c r="HG229" s="322">
        <v>45825</v>
      </c>
      <c r="HH2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29" s="300" t="s">
        <v>261</v>
      </c>
      <c r="HJ229" s="300" t="s">
        <v>261</v>
      </c>
      <c r="HK229" s="301"/>
      <c r="HL229" s="286"/>
      <c r="HM229" s="300">
        <v>45702</v>
      </c>
      <c r="HN229" s="300">
        <v>45702</v>
      </c>
      <c r="HO229" s="300" t="e">
        <v>#N/A</v>
      </c>
      <c r="HP229" s="300"/>
      <c r="HQ229" s="301">
        <v>45927</v>
      </c>
      <c r="HR22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29" s="300">
        <v>45709</v>
      </c>
      <c r="HT229" s="300"/>
      <c r="HU229" s="300">
        <v>45709</v>
      </c>
      <c r="HV229" s="497"/>
      <c r="HW229" s="301">
        <v>45934</v>
      </c>
      <c r="HX2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29" s="42"/>
      <c r="HZ229" s="322"/>
      <c r="IA229" s="306"/>
      <c r="IC229" s="585">
        <f>IFERROR(ROUND((Table1[[#This Row],[PLAN TC
finish]]-Table1[[#This Row],[PLAN MC-0
start]])/30,2),"")</f>
        <v>0.9</v>
      </c>
      <c r="ID229">
        <f>DATEDIF(Table1[[#This Row],[PLAN MC-0
start]],Table1[[#This Row],[PLAN TC
finish]],"m")</f>
        <v>0</v>
      </c>
    </row>
    <row r="230" spans="2:238" s="4" customFormat="1" ht="15" customHeight="1" x14ac:dyDescent="0.25">
      <c r="B230" s="281">
        <f>SUBTOTAL(3,$D$5:D230)</f>
        <v>226</v>
      </c>
      <c r="C230" s="318">
        <v>226</v>
      </c>
      <c r="D230" s="285" t="s">
        <v>673</v>
      </c>
      <c r="E230" s="308" t="s">
        <v>1754</v>
      </c>
      <c r="F230" s="308" t="s">
        <v>1755</v>
      </c>
      <c r="G230" s="319">
        <v>45935</v>
      </c>
      <c r="H230" s="308" t="s">
        <v>681</v>
      </c>
      <c r="I230" s="308" t="s">
        <v>278</v>
      </c>
      <c r="J230" s="285"/>
      <c r="K230" s="308" t="s">
        <v>676</v>
      </c>
      <c r="L230" s="286" t="s">
        <v>250</v>
      </c>
      <c r="M230" s="286" t="s">
        <v>269</v>
      </c>
      <c r="N230" s="94">
        <v>12</v>
      </c>
      <c r="O230" s="31" t="s">
        <v>252</v>
      </c>
      <c r="P2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0" s="35" t="e">
        <v>#N/A</v>
      </c>
      <c r="S230" s="35">
        <v>1</v>
      </c>
      <c r="T230" s="35">
        <f>Table1[[#This Row],[Progres Total Aktual
(%)]]</f>
        <v>1</v>
      </c>
      <c r="U230" s="106">
        <f>Table1[[#This Row],[Progres Aktual
(%)]]-Table1[[#This Row],[Target Progres
(%)]]</f>
        <v>0</v>
      </c>
      <c r="V230" s="320">
        <f>Table1[[#This Row],["Volume
BA MC-0"]]</f>
        <v>12</v>
      </c>
      <c r="W230" s="321">
        <f>Table1[[#This Row],[Total Panjang Pipa Aktual
(Sum-&gt;)3]]</f>
        <v>12</v>
      </c>
      <c r="X230" s="42"/>
      <c r="Y230" s="62" t="s">
        <v>1756</v>
      </c>
      <c r="Z230" s="62">
        <v>78838403</v>
      </c>
      <c r="AA230" s="62">
        <f>Table1[[#This Row],[Nilai RAB Jaringan
(file pa aji)]]</f>
        <v>78838403</v>
      </c>
      <c r="AB230" s="290">
        <f>SUM(Table1[[#This Row],[RAB Kegiatan Umum]:[RAB Perizinan]])</f>
        <v>0</v>
      </c>
      <c r="AC230" s="290"/>
      <c r="AD230" s="290"/>
      <c r="AE230" s="290"/>
      <c r="AF230" s="290"/>
      <c r="AG230" s="406">
        <v>2049649</v>
      </c>
      <c r="AH230" s="35" t="e">
        <f>SUM(Table1[[#This Row],[Bobot Keg Umum]:[Bobot Perizinan]])</f>
        <v>#DIV/0!</v>
      </c>
      <c r="AI230" s="35" t="e">
        <f>Table1[[#This Row],[RAB Kegiatan Umum]]/Table1[[#This Row],[Nilai RAB Jaringan
(Exclude Ppn)]]</f>
        <v>#DIV/0!</v>
      </c>
      <c r="AJ230" s="35" t="e">
        <f>Table1[[#This Row],[RAB Pemasangan]]/Table1[[#This Row],[Nilai RAB Jaringan
(Exclude Ppn)]]</f>
        <v>#DIV/0!</v>
      </c>
      <c r="AK230" s="35" t="e">
        <f>Table1[[#This Row],[RAB Pengadaan]]/Table1[[#This Row],[Nilai RAB Jaringan
(Exclude Ppn)]]</f>
        <v>#DIV/0!</v>
      </c>
      <c r="AL230" s="35" t="e">
        <f>Table1[[#This Row],[RAB Perizinan]]/Table1[[#This Row],[Nilai RAB Jaringan
(Exclude Ppn)]]</f>
        <v>#DIV/0!</v>
      </c>
      <c r="AM230" s="42"/>
      <c r="AN230" s="256">
        <v>12</v>
      </c>
      <c r="AO230" s="256">
        <f>SUM(Table1[[#This Row],[Pipa 63 mm]:[Pipa 1,800 mm]])</f>
        <v>0</v>
      </c>
      <c r="AP230" s="256"/>
      <c r="AQ230" s="256"/>
      <c r="AR230" s="256"/>
      <c r="AS230" s="256"/>
      <c r="AT230" s="256"/>
      <c r="AU230" s="256"/>
      <c r="AV230" s="256"/>
      <c r="AW230" s="256"/>
      <c r="AX230" s="256"/>
      <c r="AY230" s="256"/>
      <c r="AZ230" s="256"/>
      <c r="BA230" s="256"/>
      <c r="BB230" s="256"/>
      <c r="BC230" s="256"/>
      <c r="BD230" s="256"/>
      <c r="BE230" s="256"/>
      <c r="BF230" s="256"/>
      <c r="BG230" s="256"/>
      <c r="BH230" s="256"/>
      <c r="BI230" s="256"/>
      <c r="BJ230" s="416">
        <f>SUM(Table1[[#This Row],[Pipa 63 mm2]:[Pipa 1,800 mm21]])</f>
        <v>12</v>
      </c>
      <c r="BK230" s="32">
        <v>12</v>
      </c>
      <c r="BL230" s="32"/>
      <c r="BM230" s="32"/>
      <c r="BN230" s="32"/>
      <c r="BO230" s="32"/>
      <c r="BP230" s="32"/>
      <c r="BQ230" s="32"/>
      <c r="BR230" s="32"/>
      <c r="BS230" s="32"/>
      <c r="BT230" s="32"/>
      <c r="BU230" s="32"/>
      <c r="BV230" s="32"/>
      <c r="BW230" s="32"/>
      <c r="BX230" s="32"/>
      <c r="BY230" s="32"/>
      <c r="BZ230" s="32"/>
      <c r="CA230" s="32"/>
      <c r="CB230" s="32"/>
      <c r="CC230" s="32"/>
      <c r="CD230" s="32"/>
      <c r="CE230" s="32">
        <v>0</v>
      </c>
      <c r="CF230" s="32">
        <v>0</v>
      </c>
      <c r="CG230" s="32">
        <v>0</v>
      </c>
      <c r="CH230" s="32">
        <v>0</v>
      </c>
      <c r="CI230" s="32">
        <f t="shared" si="12"/>
        <v>0</v>
      </c>
      <c r="CJ230" s="60">
        <f>IF((Table1[[#This Row],["Volume
BA MC-0"]]-Table1[[#This Row],[Total Panjang Pipa Aktual
(Sum-&gt;)3]]-Table1[[#This Row],[Total Volume
tidak dapat dipasang]])&gt;=0,Table1[[#This Row],["Volume
BA MC-0"]]-Table1[[#This Row],[Total Panjang Pipa Aktual
(Sum-&gt;)3]]-Table1[[#This Row],[Total Volume
tidak dapat dipasang]],0)</f>
        <v>0</v>
      </c>
      <c r="CK230" s="42"/>
      <c r="CL230" s="113"/>
      <c r="CM230" s="35"/>
      <c r="CN230" s="113"/>
      <c r="CO230" s="113"/>
      <c r="CP2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0" s="61">
        <f>IFERROR(Table1[[#This Row],[Progres Keg. Umum
(%)]]*Table1[[#This Row],[Nilai RAB Jaringan
(file pa aji)]],0)</f>
        <v>0</v>
      </c>
      <c r="CR230" s="61">
        <f>IFERROR(Table1[[#This Row],[Progres MOS
(%)]]*Table1[[#This Row],[Nilai RAB Jaringan
(file pa aji)]],0)</f>
        <v>0</v>
      </c>
      <c r="CS230" s="61">
        <f>IFERROR(Table1[[#This Row],[Progres Pemasangan
(%)]]*Table1[[#This Row],[Nilai RAB Jaringan
(file pa aji)]],0)</f>
        <v>0</v>
      </c>
      <c r="CT230" s="61">
        <f>IFERROR(Table1[[#This Row],[Progres Perizinan
(%)]]*Table1[[#This Row],[Nilai RAB Jaringan
(file pa aji)]],0)</f>
        <v>0</v>
      </c>
      <c r="CU230" s="789">
        <v>64653893</v>
      </c>
      <c r="CV230" s="299">
        <v>64653893</v>
      </c>
      <c r="CW230" s="552">
        <v>64653893</v>
      </c>
      <c r="CX230" s="789">
        <f>_xlfn.XLOOKUP(Table1[[#This Row],[Kode Program]],'[1]Breakdown VOWD Greenfield'!$E:$E,'[1]Breakdown VOWD Greenfield'!$AT:$AT)</f>
        <v>64653893</v>
      </c>
      <c r="CY230" s="42"/>
      <c r="CZ230" s="300">
        <v>45565</v>
      </c>
      <c r="DA230" s="300">
        <v>45578</v>
      </c>
      <c r="DB230" s="301">
        <v>45568</v>
      </c>
      <c r="DC230" s="286" t="s">
        <v>1757</v>
      </c>
      <c r="DD230" s="62">
        <v>78838403</v>
      </c>
      <c r="DE2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0" s="301">
        <v>45576</v>
      </c>
      <c r="DG230" s="286" t="s">
        <v>1758</v>
      </c>
      <c r="DH230" s="62">
        <v>78838403</v>
      </c>
      <c r="DI2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0" s="300">
        <v>45579</v>
      </c>
      <c r="DK230" s="300">
        <v>45627</v>
      </c>
      <c r="DL230" s="301">
        <v>45602</v>
      </c>
      <c r="DM230" s="286" t="s">
        <v>1759</v>
      </c>
      <c r="DN2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0" s="301">
        <v>45656</v>
      </c>
      <c r="DP230" s="286" t="s">
        <v>1760</v>
      </c>
      <c r="DQ230" s="308" t="s">
        <v>762</v>
      </c>
      <c r="DR2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0" s="300">
        <v>45579</v>
      </c>
      <c r="DT230" s="300" t="e">
        <v>#N/A</v>
      </c>
      <c r="DU230" s="300">
        <v>45606</v>
      </c>
      <c r="DV230" s="300" t="e">
        <v>#N/A</v>
      </c>
      <c r="DW230" s="301">
        <v>45602</v>
      </c>
      <c r="DX230" s="286" t="s">
        <v>1761</v>
      </c>
      <c r="DY230" s="304"/>
      <c r="DZ230" s="304"/>
      <c r="EA2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0" s="301">
        <v>45889</v>
      </c>
      <c r="EC230" s="302"/>
      <c r="ED230" s="302"/>
      <c r="EE230" s="300" t="s">
        <v>1309</v>
      </c>
      <c r="EF230" s="35">
        <v>1</v>
      </c>
      <c r="EG230" s="307">
        <v>1</v>
      </c>
      <c r="EH230" s="286" t="str">
        <f>IF(Table1[[#This Row],[PO Material Aktual 
(%)]]&gt;=100%,"Selesai PO = 100%",IF(Table1[[#This Row],[PO Material Aktual 
(%)]]&gt;=50%,"Proses PO &gt; 100%",IF(Table1[[#This Row],[PO Material Aktual 
(%)]]&gt;0%,"Proses PO &gt; 50%",IF(Table1[[#This Row],[PO Material Aktual 
(%)]]=0,"Belum PO = 0%"))))</f>
        <v>Selesai PO = 100%</v>
      </c>
      <c r="EI2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0" s="300">
        <v>45607</v>
      </c>
      <c r="EK230" s="300" t="e">
        <v>#N/A</v>
      </c>
      <c r="EL230" s="300">
        <v>45655</v>
      </c>
      <c r="EM230" s="300" t="e">
        <v>#N/A</v>
      </c>
      <c r="EN230" s="301">
        <v>45813</v>
      </c>
      <c r="EO230" s="302"/>
      <c r="EP230" s="302"/>
      <c r="EQ230" s="82">
        <v>1</v>
      </c>
      <c r="ER230" s="82">
        <v>1</v>
      </c>
      <c r="ES230" s="286" t="str">
        <f>IF(Table1[[#This Row],[Progres MOS]]&gt;=100%,"Selesai MOS = 100%",IF(Table1[[#This Row],[Progres MOS]]&gt;=50%,"Proses MOS &gt; 100%",IF(Table1[[#This Row],[Progres MOS]]&gt;0%,"Proses MOS &gt; 50%",IF(Table1[[#This Row],[Progres MOS]]=0,"Belum MOS = 0%"))))</f>
        <v>Selesai MOS = 100%</v>
      </c>
      <c r="ET2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0" s="42"/>
      <c r="EV230" s="300">
        <v>45579</v>
      </c>
      <c r="EW230" s="300" t="e">
        <v>#N/A</v>
      </c>
      <c r="EX230" s="300">
        <v>45655</v>
      </c>
      <c r="EY230" s="300" t="e">
        <v>#N/A</v>
      </c>
      <c r="EZ230" s="322" t="s">
        <v>259</v>
      </c>
      <c r="FA230" s="306" t="s">
        <v>259</v>
      </c>
      <c r="FB230" s="300" t="s">
        <v>260</v>
      </c>
      <c r="FC230" s="300">
        <v>45838</v>
      </c>
      <c r="FD230" s="300" t="s">
        <v>260</v>
      </c>
      <c r="FE230" s="300">
        <v>45810</v>
      </c>
      <c r="FF230" s="300">
        <v>45910</v>
      </c>
      <c r="FG230" s="300" t="s">
        <v>260</v>
      </c>
      <c r="FH230" s="300" t="s">
        <v>260</v>
      </c>
      <c r="FI230" s="300"/>
      <c r="FJ230" s="300" t="s">
        <v>260</v>
      </c>
      <c r="FK230" s="300">
        <v>45842</v>
      </c>
      <c r="FL230" s="306" t="s">
        <v>259</v>
      </c>
      <c r="FM230" s="322">
        <v>45838</v>
      </c>
      <c r="FN230" s="308">
        <f>IF(Table1[[#This Row],[Tanggal Pengajuan Dokumen]]="","",Table1[[#This Row],[PLAN PERMIT
start]]-Table1[[#This Row],[Tanggal Pengajuan Dokumen]])</f>
        <v>-259</v>
      </c>
      <c r="FO230" s="407">
        <v>45842</v>
      </c>
      <c r="FP230" s="286"/>
      <c r="FQ230" s="308"/>
      <c r="FR230" s="308"/>
      <c r="FS230" s="308" t="str">
        <f t="shared" si="11"/>
        <v>Sudah Terbit</v>
      </c>
      <c r="FT2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0" s="314">
        <f ca="1">IF(Table1[[#This Row],[Status Izin]]="Selesai",Table1[[#This Row],[PLAN PERMIT
finish]]-Table1[[#This Row],[Tanggal Terbit/ Target Izin Terbit]],ROUNDUP(Table1[[#This Row],[PLAN PERMIT
finish]]-NOW(),0))</f>
        <v>-187</v>
      </c>
      <c r="FV2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0" s="314"/>
      <c r="FX230" s="42"/>
      <c r="FY230" s="310"/>
      <c r="FZ230" s="311"/>
      <c r="GA2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0" s="300">
        <v>45629</v>
      </c>
      <c r="GC230" s="322">
        <v>45629</v>
      </c>
      <c r="GD2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0" s="300">
        <v>45636</v>
      </c>
      <c r="GF230" s="322">
        <v>45629</v>
      </c>
      <c r="GG2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0" s="300">
        <v>45642</v>
      </c>
      <c r="GI230" s="300">
        <v>45648</v>
      </c>
      <c r="GJ230" s="322">
        <v>45638</v>
      </c>
      <c r="GK2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0" s="300">
        <v>45656</v>
      </c>
      <c r="GM230" s="300" t="e">
        <v>#N/A</v>
      </c>
      <c r="GN230" s="300">
        <v>45669</v>
      </c>
      <c r="GO230" s="300" t="e">
        <v>#N/A</v>
      </c>
      <c r="GP230" s="286"/>
      <c r="GQ2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0" s="300" t="s">
        <v>261</v>
      </c>
      <c r="GS230" s="391" t="s">
        <v>261</v>
      </c>
      <c r="GT230" s="401">
        <v>45713</v>
      </c>
      <c r="GU230" s="393" t="str">
        <f>IF(Table1[[#This Row],[Hydro Tes Actual
(tanggal)]]&lt;&gt;"","Sudah","Belum")</f>
        <v>Sudah</v>
      </c>
      <c r="GV230" s="300" t="s">
        <v>261</v>
      </c>
      <c r="GW230" s="300" t="s">
        <v>261</v>
      </c>
      <c r="GX230" s="301">
        <v>45705</v>
      </c>
      <c r="GY230" s="314" t="str">
        <f>IF(Table1[[#This Row],[Interkoneksi Actual
(tanggal)]]&lt;&gt;"","Sudah","Belum")</f>
        <v>Sudah</v>
      </c>
      <c r="GZ230" s="300" t="s">
        <v>261</v>
      </c>
      <c r="HA230" s="391" t="s">
        <v>261</v>
      </c>
      <c r="HB230" s="402">
        <v>45708</v>
      </c>
      <c r="HC230" s="314" t="str">
        <f>IF(Table1[[#This Row],[Flushing Actual
(tanggal)]]&lt;&gt;"","Sudah","Belum")</f>
        <v>Sudah</v>
      </c>
      <c r="HD230" s="300">
        <v>45660</v>
      </c>
      <c r="HE230" s="300" t="e">
        <v>#N/A</v>
      </c>
      <c r="HF230" s="300">
        <v>45669</v>
      </c>
      <c r="HG230" s="322">
        <v>45825</v>
      </c>
      <c r="HH2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0" s="300" t="s">
        <v>261</v>
      </c>
      <c r="HJ230" s="300" t="s">
        <v>261</v>
      </c>
      <c r="HK230" s="301"/>
      <c r="HL230" s="286"/>
      <c r="HM230" s="300">
        <v>45674</v>
      </c>
      <c r="HN230" s="300">
        <v>45674</v>
      </c>
      <c r="HO230" s="300" t="e">
        <v>#N/A</v>
      </c>
      <c r="HP230" s="300"/>
      <c r="HQ230" s="301">
        <v>45927</v>
      </c>
      <c r="HR23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0" s="300">
        <v>45681</v>
      </c>
      <c r="HT230" s="300"/>
      <c r="HU230" s="300">
        <v>45681</v>
      </c>
      <c r="HV230" s="497"/>
      <c r="HW230" s="301">
        <v>45934</v>
      </c>
      <c r="HX2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0" s="42"/>
      <c r="HZ230" s="322"/>
      <c r="IA230" s="306"/>
      <c r="IC230" s="585">
        <f>IFERROR(ROUND((Table1[[#This Row],[PLAN TC
finish]]-Table1[[#This Row],[PLAN MC-0
start]])/30,2),"")</f>
        <v>0.9</v>
      </c>
      <c r="ID230">
        <f>DATEDIF(Table1[[#This Row],[PLAN MC-0
start]],Table1[[#This Row],[PLAN TC
finish]],"m")</f>
        <v>0</v>
      </c>
    </row>
    <row r="231" spans="2:238" s="4" customFormat="1" ht="15" customHeight="1" x14ac:dyDescent="0.25">
      <c r="B231" s="281">
        <f>SUBTOTAL(3,$D$5:D231)</f>
        <v>227</v>
      </c>
      <c r="C231" s="318">
        <v>227</v>
      </c>
      <c r="D231" s="285" t="s">
        <v>673</v>
      </c>
      <c r="E231" s="308" t="s">
        <v>1762</v>
      </c>
      <c r="F231" s="308" t="s">
        <v>1763</v>
      </c>
      <c r="G231" s="319">
        <v>45935</v>
      </c>
      <c r="H231" s="308" t="s">
        <v>681</v>
      </c>
      <c r="I231" s="308" t="s">
        <v>278</v>
      </c>
      <c r="J231" s="285"/>
      <c r="K231" s="308" t="s">
        <v>676</v>
      </c>
      <c r="L231" s="286" t="s">
        <v>250</v>
      </c>
      <c r="M231" s="286" t="s">
        <v>269</v>
      </c>
      <c r="N231" s="94">
        <v>3148</v>
      </c>
      <c r="O231" s="31" t="s">
        <v>252</v>
      </c>
      <c r="P2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1" s="35" t="e">
        <v>#N/A</v>
      </c>
      <c r="S231" s="35">
        <v>1</v>
      </c>
      <c r="T231" s="35">
        <f>Table1[[#This Row],[Progres Total Aktual
(%)]]</f>
        <v>1</v>
      </c>
      <c r="U231" s="106">
        <f>Table1[[#This Row],[Progres Aktual
(%)]]-Table1[[#This Row],[Target Progres
(%)]]</f>
        <v>0</v>
      </c>
      <c r="V231" s="320">
        <f>Table1[[#This Row],["Volume
BA MC-0"]]</f>
        <v>2526</v>
      </c>
      <c r="W231" s="321">
        <f>Table1[[#This Row],[Total Panjang Pipa Aktual
(Sum-&gt;)3]]</f>
        <v>2061</v>
      </c>
      <c r="X231" s="42"/>
      <c r="Y231" s="62" t="s">
        <v>1764</v>
      </c>
      <c r="Z231" s="62">
        <v>5935700207</v>
      </c>
      <c r="AA231" s="62">
        <f>Table1[[#This Row],[Nilai RAB Jaringan
(file pa aji)]]</f>
        <v>5935700207</v>
      </c>
      <c r="AB231" s="290">
        <f>SUM(Table1[[#This Row],[RAB Kegiatan Umum]:[RAB Perizinan]])</f>
        <v>0</v>
      </c>
      <c r="AC231" s="290"/>
      <c r="AD231" s="290"/>
      <c r="AE231" s="290"/>
      <c r="AF231" s="290"/>
      <c r="AG231" s="406">
        <v>245957796</v>
      </c>
      <c r="AH231" s="35" t="e">
        <f>SUM(Table1[[#This Row],[Bobot Keg Umum]:[Bobot Perizinan]])</f>
        <v>#DIV/0!</v>
      </c>
      <c r="AI231" s="35" t="e">
        <f>Table1[[#This Row],[RAB Kegiatan Umum]]/Table1[[#This Row],[Nilai RAB Jaringan
(Exclude Ppn)]]</f>
        <v>#DIV/0!</v>
      </c>
      <c r="AJ231" s="35" t="e">
        <f>Table1[[#This Row],[RAB Pemasangan]]/Table1[[#This Row],[Nilai RAB Jaringan
(Exclude Ppn)]]</f>
        <v>#DIV/0!</v>
      </c>
      <c r="AK231" s="35" t="e">
        <f>Table1[[#This Row],[RAB Pengadaan]]/Table1[[#This Row],[Nilai RAB Jaringan
(Exclude Ppn)]]</f>
        <v>#DIV/0!</v>
      </c>
      <c r="AL231" s="35" t="e">
        <f>Table1[[#This Row],[RAB Perizinan]]/Table1[[#This Row],[Nilai RAB Jaringan
(Exclude Ppn)]]</f>
        <v>#DIV/0!</v>
      </c>
      <c r="AM231" s="42"/>
      <c r="AN231" s="256">
        <v>2526</v>
      </c>
      <c r="AO231" s="256">
        <f>SUM(Table1[[#This Row],[Pipa 63 mm]:[Pipa 1,800 mm]])</f>
        <v>0</v>
      </c>
      <c r="AP231" s="256"/>
      <c r="AQ231" s="256"/>
      <c r="AR231" s="256"/>
      <c r="AS231" s="256"/>
      <c r="AT231" s="256"/>
      <c r="AU231" s="256"/>
      <c r="AV231" s="256"/>
      <c r="AW231" s="256"/>
      <c r="AX231" s="256"/>
      <c r="AY231" s="256"/>
      <c r="AZ231" s="256"/>
      <c r="BA231" s="256"/>
      <c r="BB231" s="256"/>
      <c r="BC231" s="256"/>
      <c r="BD231" s="256"/>
      <c r="BE231" s="256"/>
      <c r="BF231" s="256"/>
      <c r="BG231" s="256"/>
      <c r="BH231" s="256"/>
      <c r="BI231" s="256"/>
      <c r="BJ231" s="416">
        <f>SUM(Table1[[#This Row],[Pipa 63 mm2]:[Pipa 1,800 mm21]])</f>
        <v>2061</v>
      </c>
      <c r="BK231" s="32">
        <v>1544</v>
      </c>
      <c r="BL231" s="32">
        <v>49</v>
      </c>
      <c r="BM231" s="32">
        <v>468</v>
      </c>
      <c r="BN231" s="32"/>
      <c r="BO231" s="32"/>
      <c r="BP231" s="32"/>
      <c r="BQ231" s="32"/>
      <c r="BR231" s="32"/>
      <c r="BS231" s="32"/>
      <c r="BT231" s="32"/>
      <c r="BU231" s="32"/>
      <c r="BV231" s="32"/>
      <c r="BW231" s="32"/>
      <c r="BX231" s="32"/>
      <c r="BY231" s="32"/>
      <c r="BZ231" s="32"/>
      <c r="CA231" s="32"/>
      <c r="CB231" s="32"/>
      <c r="CC231" s="32"/>
      <c r="CD231" s="32"/>
      <c r="CE231" s="32">
        <v>142</v>
      </c>
      <c r="CF231" s="32">
        <v>0</v>
      </c>
      <c r="CG231" s="32">
        <v>0</v>
      </c>
      <c r="CH231" s="32">
        <v>0</v>
      </c>
      <c r="CI231" s="32">
        <f t="shared" si="12"/>
        <v>142</v>
      </c>
      <c r="CJ231" s="60">
        <f>IF((Table1[[#This Row],["Volume
BA MC-0"]]-Table1[[#This Row],[Total Panjang Pipa Aktual
(Sum-&gt;)3]]-Table1[[#This Row],[Total Volume
tidak dapat dipasang]])&gt;=0,Table1[[#This Row],["Volume
BA MC-0"]]-Table1[[#This Row],[Total Panjang Pipa Aktual
(Sum-&gt;)3]]-Table1[[#This Row],[Total Volume
tidak dapat dipasang]],0)</f>
        <v>323</v>
      </c>
      <c r="CK231" s="42"/>
      <c r="CL231" s="113"/>
      <c r="CM231" s="35"/>
      <c r="CN231" s="113"/>
      <c r="CO231" s="113"/>
      <c r="CP2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1" s="61">
        <f>IFERROR(Table1[[#This Row],[Progres Keg. Umum
(%)]]*Table1[[#This Row],[Nilai RAB Jaringan
(file pa aji)]],0)</f>
        <v>0</v>
      </c>
      <c r="CR231" s="61">
        <f>IFERROR(Table1[[#This Row],[Progres MOS
(%)]]*Table1[[#This Row],[Nilai RAB Jaringan
(file pa aji)]],0)</f>
        <v>0</v>
      </c>
      <c r="CS231" s="61">
        <f>IFERROR(Table1[[#This Row],[Progres Pemasangan
(%)]]*Table1[[#This Row],[Nilai RAB Jaringan
(file pa aji)]],0)</f>
        <v>0</v>
      </c>
      <c r="CT231" s="61">
        <f>IFERROR(Table1[[#This Row],[Progres Perizinan
(%)]]*Table1[[#This Row],[Nilai RAB Jaringan
(file pa aji)]],0)</f>
        <v>0</v>
      </c>
      <c r="CU231" s="789">
        <v>3817044561</v>
      </c>
      <c r="CV231" s="299">
        <v>3817044561</v>
      </c>
      <c r="CW231" s="552">
        <v>3817044561</v>
      </c>
      <c r="CX231" s="789">
        <f>_xlfn.XLOOKUP(Table1[[#This Row],[Kode Program]],'[1]Breakdown VOWD Greenfield'!$E:$E,'[1]Breakdown VOWD Greenfield'!$AT:$AT)</f>
        <v>3817044561</v>
      </c>
      <c r="CY231" s="42"/>
      <c r="CZ231" s="300">
        <v>45593</v>
      </c>
      <c r="DA231" s="300">
        <v>45620</v>
      </c>
      <c r="DB231" s="301">
        <v>45621</v>
      </c>
      <c r="DC231" s="286" t="s">
        <v>1765</v>
      </c>
      <c r="DD231" s="62">
        <v>5935700207</v>
      </c>
      <c r="DE2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31" s="301">
        <v>45625</v>
      </c>
      <c r="DG231" s="286" t="s">
        <v>1766</v>
      </c>
      <c r="DH231" s="62">
        <v>5935700207</v>
      </c>
      <c r="DI2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1" s="300">
        <v>45621</v>
      </c>
      <c r="DK231" s="300">
        <v>45683</v>
      </c>
      <c r="DL231" s="301">
        <v>45248</v>
      </c>
      <c r="DM231" s="286" t="s">
        <v>754</v>
      </c>
      <c r="DN2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1" s="301">
        <v>45364</v>
      </c>
      <c r="DP231" s="286" t="s">
        <v>755</v>
      </c>
      <c r="DQ231" s="308" t="s">
        <v>1542</v>
      </c>
      <c r="DR2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1" s="300">
        <v>45621</v>
      </c>
      <c r="DT231" s="300" t="e">
        <v>#N/A</v>
      </c>
      <c r="DU231" s="300">
        <v>45662</v>
      </c>
      <c r="DV231" s="300" t="e">
        <v>#N/A</v>
      </c>
      <c r="DW231" s="301">
        <v>45210</v>
      </c>
      <c r="DX231" s="286" t="s">
        <v>1767</v>
      </c>
      <c r="DY231" s="304"/>
      <c r="DZ231" s="304"/>
      <c r="EA2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1" s="301">
        <v>45728</v>
      </c>
      <c r="EC231" s="302"/>
      <c r="ED231" s="302"/>
      <c r="EE231" s="300" t="s">
        <v>1768</v>
      </c>
      <c r="EF231" s="35">
        <v>1</v>
      </c>
      <c r="EG231" s="307">
        <v>1</v>
      </c>
      <c r="EH231" s="286" t="str">
        <f>IF(Table1[[#This Row],[PO Material Aktual 
(%)]]&gt;=100%,"Selesai PO = 100%",IF(Table1[[#This Row],[PO Material Aktual 
(%)]]&gt;=50%,"Proses PO &gt; 100%",IF(Table1[[#This Row],[PO Material Aktual 
(%)]]&gt;0%,"Proses PO &gt; 50%",IF(Table1[[#This Row],[PO Material Aktual 
(%)]]=0,"Belum PO = 0%"))))</f>
        <v>Selesai PO = 100%</v>
      </c>
      <c r="EI2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1" s="300">
        <v>45663</v>
      </c>
      <c r="EK231" s="300" t="e">
        <v>#N/A</v>
      </c>
      <c r="EL231" s="300">
        <v>45746</v>
      </c>
      <c r="EM231" s="300" t="e">
        <v>#N/A</v>
      </c>
      <c r="EN231" s="301">
        <v>45867</v>
      </c>
      <c r="EO231" s="302"/>
      <c r="EP231" s="302"/>
      <c r="EQ231" s="82">
        <v>1</v>
      </c>
      <c r="ER231" s="82">
        <v>1</v>
      </c>
      <c r="ES231" s="286" t="str">
        <f>IF(Table1[[#This Row],[Progres MOS]]&gt;=100%,"Selesai MOS = 100%",IF(Table1[[#This Row],[Progres MOS]]&gt;=50%,"Proses MOS &gt; 100%",IF(Table1[[#This Row],[Progres MOS]]&gt;0%,"Proses MOS &gt; 50%",IF(Table1[[#This Row],[Progres MOS]]=0,"Belum MOS = 0%"))))</f>
        <v>Selesai MOS = 100%</v>
      </c>
      <c r="ET2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1" s="42"/>
      <c r="EV231" s="300">
        <v>45621</v>
      </c>
      <c r="EW231" s="300" t="e">
        <v>#N/A</v>
      </c>
      <c r="EX231" s="300">
        <v>45711</v>
      </c>
      <c r="EY231" s="300" t="e">
        <v>#N/A</v>
      </c>
      <c r="EZ231" s="322" t="s">
        <v>298</v>
      </c>
      <c r="FA231" s="306" t="s">
        <v>298</v>
      </c>
      <c r="FB231" s="300" t="s">
        <v>260</v>
      </c>
      <c r="FC231" s="300">
        <v>45838</v>
      </c>
      <c r="FD231" s="300" t="s">
        <v>260</v>
      </c>
      <c r="FE231" s="300">
        <v>45884</v>
      </c>
      <c r="FF231" s="300">
        <v>45929</v>
      </c>
      <c r="FG231" s="300" t="s">
        <v>260</v>
      </c>
      <c r="FH231" s="300" t="s">
        <v>260</v>
      </c>
      <c r="FI231" s="300">
        <v>46010</v>
      </c>
      <c r="FJ231" s="300" t="s">
        <v>260</v>
      </c>
      <c r="FK231" s="300"/>
      <c r="FL231" s="306" t="s">
        <v>298</v>
      </c>
      <c r="FM231" s="322">
        <v>45838</v>
      </c>
      <c r="FN231" s="308">
        <f>IF(Table1[[#This Row],[Tanggal Pengajuan Dokumen]]="","",Table1[[#This Row],[PLAN PERMIT
start]]-Table1[[#This Row],[Tanggal Pengajuan Dokumen]])</f>
        <v>-217</v>
      </c>
      <c r="FO231" s="407">
        <v>46086</v>
      </c>
      <c r="FP231" s="286"/>
      <c r="FQ231" s="308"/>
      <c r="FR231" s="308"/>
      <c r="FS231" s="308" t="str">
        <f t="shared" si="11"/>
        <v>On Going</v>
      </c>
      <c r="FT2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1" s="314">
        <f ca="1">IF(Table1[[#This Row],[Status Izin]]="Selesai",Table1[[#This Row],[PLAN PERMIT
finish]]-Table1[[#This Row],[Tanggal Terbit/ Target Izin Terbit]],ROUNDUP(Table1[[#This Row],[PLAN PERMIT
finish]]-NOW(),0))</f>
        <v>-493</v>
      </c>
      <c r="FV2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1" s="314"/>
      <c r="FX231" s="42"/>
      <c r="FY231" s="310"/>
      <c r="FZ231" s="311"/>
      <c r="GA2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1" s="300">
        <v>45685</v>
      </c>
      <c r="GC231" s="322">
        <v>45547</v>
      </c>
      <c r="GD2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1" s="300">
        <v>45692</v>
      </c>
      <c r="GF231" s="322">
        <v>45547</v>
      </c>
      <c r="GG2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1" s="300">
        <v>45698</v>
      </c>
      <c r="GI231" s="300">
        <v>45704</v>
      </c>
      <c r="GJ231" s="322">
        <v>45707</v>
      </c>
      <c r="GK2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1" s="300">
        <v>45712</v>
      </c>
      <c r="GM231" s="300" t="e">
        <v>#N/A</v>
      </c>
      <c r="GN231" s="300">
        <v>45816</v>
      </c>
      <c r="GO231" s="300" t="e">
        <v>#N/A</v>
      </c>
      <c r="GP231" s="286"/>
      <c r="GQ2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1" s="300" t="s">
        <v>261</v>
      </c>
      <c r="GS231" s="391" t="s">
        <v>261</v>
      </c>
      <c r="GT231" s="422" t="s">
        <v>1769</v>
      </c>
      <c r="GU231" s="393" t="str">
        <f>IF(Table1[[#This Row],[Hydro Tes Actual
(tanggal)]]&lt;&gt;"","Sudah","Belum")</f>
        <v>Sudah</v>
      </c>
      <c r="GV231" s="300" t="s">
        <v>261</v>
      </c>
      <c r="GW231" s="300" t="s">
        <v>261</v>
      </c>
      <c r="GX231" s="425" t="s">
        <v>1770</v>
      </c>
      <c r="GY231" s="314" t="str">
        <f>IF(Table1[[#This Row],[Interkoneksi Actual
(tanggal)]]&lt;&gt;"","Sudah","Belum")</f>
        <v>Sudah</v>
      </c>
      <c r="GZ231" s="300" t="s">
        <v>261</v>
      </c>
      <c r="HA231" s="391" t="s">
        <v>261</v>
      </c>
      <c r="HB231" s="402">
        <v>45894</v>
      </c>
      <c r="HC231" s="314" t="str">
        <f>IF(Table1[[#This Row],[Flushing Actual
(tanggal)]]&lt;&gt;"","Sudah","Belum")</f>
        <v>Sudah</v>
      </c>
      <c r="HD231" s="300">
        <v>45789</v>
      </c>
      <c r="HE231" s="300" t="e">
        <v>#N/A</v>
      </c>
      <c r="HF231" s="300">
        <v>45809</v>
      </c>
      <c r="HG231" s="322">
        <v>45909</v>
      </c>
      <c r="HH2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1" s="300" t="s">
        <v>261</v>
      </c>
      <c r="HJ231" s="300" t="s">
        <v>261</v>
      </c>
      <c r="HK231" s="301"/>
      <c r="HL231" s="286"/>
      <c r="HM231" s="300">
        <v>45828</v>
      </c>
      <c r="HN231" s="300">
        <v>45828</v>
      </c>
      <c r="HO231" s="300" t="e">
        <v>#N/A</v>
      </c>
      <c r="HP231" s="300"/>
      <c r="HQ231" s="301">
        <v>45929</v>
      </c>
      <c r="HR23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1" s="300">
        <v>45835</v>
      </c>
      <c r="HT231" s="300"/>
      <c r="HU231" s="300">
        <v>45835</v>
      </c>
      <c r="HV231" s="497"/>
      <c r="HW231" s="301">
        <v>45934</v>
      </c>
      <c r="HX2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1" s="42"/>
      <c r="HZ231" s="322"/>
      <c r="IA231" s="306"/>
      <c r="IC231" s="585">
        <f>IFERROR(ROUND((Table1[[#This Row],[PLAN TC
finish]]-Table1[[#This Row],[PLAN MC-0
start]])/30,2),"")</f>
        <v>3.7</v>
      </c>
      <c r="ID231">
        <f>DATEDIF(Table1[[#This Row],[PLAN MC-0
start]],Table1[[#This Row],[PLAN TC
finish]],"m")</f>
        <v>3</v>
      </c>
    </row>
    <row r="232" spans="2:238" s="4" customFormat="1" ht="15" customHeight="1" x14ac:dyDescent="0.25">
      <c r="B232" s="281">
        <f>SUBTOTAL(3,$D$5:D232)</f>
        <v>228</v>
      </c>
      <c r="C232" s="318">
        <v>228</v>
      </c>
      <c r="D232" s="285" t="s">
        <v>673</v>
      </c>
      <c r="E232" s="308" t="s">
        <v>1771</v>
      </c>
      <c r="F232" s="308" t="s">
        <v>1772</v>
      </c>
      <c r="G232" s="319">
        <v>45935</v>
      </c>
      <c r="H232" s="308" t="s">
        <v>681</v>
      </c>
      <c r="I232" s="308" t="s">
        <v>278</v>
      </c>
      <c r="J232" s="285"/>
      <c r="K232" s="308" t="s">
        <v>676</v>
      </c>
      <c r="L232" s="286" t="s">
        <v>250</v>
      </c>
      <c r="M232" s="286" t="s">
        <v>269</v>
      </c>
      <c r="N232" s="94">
        <v>187</v>
      </c>
      <c r="O232" s="31" t="s">
        <v>252</v>
      </c>
      <c r="P23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2" s="35" t="e">
        <v>#N/A</v>
      </c>
      <c r="S232" s="35">
        <v>1</v>
      </c>
      <c r="T232" s="35">
        <f>Table1[[#This Row],[Progres Total Aktual
(%)]]</f>
        <v>1</v>
      </c>
      <c r="U232" s="106">
        <f>Table1[[#This Row],[Progres Aktual
(%)]]-Table1[[#This Row],[Target Progres
(%)]]</f>
        <v>0</v>
      </c>
      <c r="V232" s="320">
        <f>Table1[[#This Row],["Volume
BA MC-0"]]</f>
        <v>196</v>
      </c>
      <c r="W232" s="321">
        <f>Table1[[#This Row],[Total Panjang Pipa Aktual
(Sum-&gt;)3]]</f>
        <v>196</v>
      </c>
      <c r="X232" s="42"/>
      <c r="Y232" s="62" t="s">
        <v>1773</v>
      </c>
      <c r="Z232" s="62">
        <v>240625010</v>
      </c>
      <c r="AA232" s="62">
        <f>Table1[[#This Row],[Nilai RAB Jaringan
(file pa aji)]]</f>
        <v>240625010</v>
      </c>
      <c r="AB232" s="290">
        <f>SUM(Table1[[#This Row],[RAB Kegiatan Umum]:[RAB Perizinan]])</f>
        <v>0</v>
      </c>
      <c r="AC232" s="290"/>
      <c r="AD232" s="290"/>
      <c r="AE232" s="290"/>
      <c r="AF232" s="290"/>
      <c r="AG232" s="406">
        <v>12297890</v>
      </c>
      <c r="AH232" s="35" t="e">
        <f>SUM(Table1[[#This Row],[Bobot Keg Umum]:[Bobot Perizinan]])</f>
        <v>#DIV/0!</v>
      </c>
      <c r="AI232" s="35" t="e">
        <f>Table1[[#This Row],[RAB Kegiatan Umum]]/Table1[[#This Row],[Nilai RAB Jaringan
(Exclude Ppn)]]</f>
        <v>#DIV/0!</v>
      </c>
      <c r="AJ232" s="35" t="e">
        <f>Table1[[#This Row],[RAB Pemasangan]]/Table1[[#This Row],[Nilai RAB Jaringan
(Exclude Ppn)]]</f>
        <v>#DIV/0!</v>
      </c>
      <c r="AK232" s="35" t="e">
        <f>Table1[[#This Row],[RAB Pengadaan]]/Table1[[#This Row],[Nilai RAB Jaringan
(Exclude Ppn)]]</f>
        <v>#DIV/0!</v>
      </c>
      <c r="AL232" s="35" t="e">
        <f>Table1[[#This Row],[RAB Perizinan]]/Table1[[#This Row],[Nilai RAB Jaringan
(Exclude Ppn)]]</f>
        <v>#DIV/0!</v>
      </c>
      <c r="AM232" s="42"/>
      <c r="AN232" s="256">
        <v>196</v>
      </c>
      <c r="AO232" s="256">
        <f>SUM(Table1[[#This Row],[Pipa 63 mm]:[Pipa 1,800 mm]])</f>
        <v>0</v>
      </c>
      <c r="AP232" s="256"/>
      <c r="AQ232" s="256"/>
      <c r="AR232" s="256"/>
      <c r="AS232" s="256"/>
      <c r="AT232" s="256"/>
      <c r="AU232" s="256"/>
      <c r="AV232" s="256"/>
      <c r="AW232" s="256"/>
      <c r="AX232" s="256"/>
      <c r="AY232" s="256"/>
      <c r="AZ232" s="256"/>
      <c r="BA232" s="256"/>
      <c r="BB232" s="256"/>
      <c r="BC232" s="256"/>
      <c r="BD232" s="256"/>
      <c r="BE232" s="256"/>
      <c r="BF232" s="256"/>
      <c r="BG232" s="256"/>
      <c r="BH232" s="256"/>
      <c r="BI232" s="256"/>
      <c r="BJ232" s="416">
        <f>SUM(Table1[[#This Row],[Pipa 63 mm2]:[Pipa 1,800 mm21]])</f>
        <v>196</v>
      </c>
      <c r="BK232" s="32">
        <v>196</v>
      </c>
      <c r="BL232" s="32"/>
      <c r="BM232" s="32"/>
      <c r="BN232" s="32"/>
      <c r="BO232" s="32"/>
      <c r="BP232" s="32"/>
      <c r="BQ232" s="32"/>
      <c r="BR232" s="32"/>
      <c r="BS232" s="32"/>
      <c r="BT232" s="32"/>
      <c r="BU232" s="32"/>
      <c r="BV232" s="32"/>
      <c r="BW232" s="32"/>
      <c r="BX232" s="32"/>
      <c r="BY232" s="32"/>
      <c r="BZ232" s="32"/>
      <c r="CA232" s="32"/>
      <c r="CB232" s="32"/>
      <c r="CC232" s="32"/>
      <c r="CD232" s="32"/>
      <c r="CE232" s="32">
        <v>0</v>
      </c>
      <c r="CF232" s="32">
        <v>0</v>
      </c>
      <c r="CG232" s="32">
        <v>0</v>
      </c>
      <c r="CH232" s="32">
        <v>0</v>
      </c>
      <c r="CI232" s="32">
        <f t="shared" si="12"/>
        <v>0</v>
      </c>
      <c r="CJ232" s="60">
        <f>IF((Table1[[#This Row],["Volume
BA MC-0"]]-Table1[[#This Row],[Total Panjang Pipa Aktual
(Sum-&gt;)3]]-Table1[[#This Row],[Total Volume
tidak dapat dipasang]])&gt;=0,Table1[[#This Row],["Volume
BA MC-0"]]-Table1[[#This Row],[Total Panjang Pipa Aktual
(Sum-&gt;)3]]-Table1[[#This Row],[Total Volume
tidak dapat dipasang]],0)</f>
        <v>0</v>
      </c>
      <c r="CK232" s="42"/>
      <c r="CL232" s="113"/>
      <c r="CM232" s="35"/>
      <c r="CN232" s="113"/>
      <c r="CO232" s="113"/>
      <c r="CP23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2" s="61">
        <f>IFERROR(Table1[[#This Row],[Progres Keg. Umum
(%)]]*Table1[[#This Row],[Nilai RAB Jaringan
(file pa aji)]],0)</f>
        <v>0</v>
      </c>
      <c r="CR232" s="61">
        <f>IFERROR(Table1[[#This Row],[Progres MOS
(%)]]*Table1[[#This Row],[Nilai RAB Jaringan
(file pa aji)]],0)</f>
        <v>0</v>
      </c>
      <c r="CS232" s="61">
        <f>IFERROR(Table1[[#This Row],[Progres Pemasangan
(%)]]*Table1[[#This Row],[Nilai RAB Jaringan
(file pa aji)]],0)</f>
        <v>0</v>
      </c>
      <c r="CT232" s="61">
        <f>IFERROR(Table1[[#This Row],[Progres Perizinan
(%)]]*Table1[[#This Row],[Nilai RAB Jaringan
(file pa aji)]],0)</f>
        <v>0</v>
      </c>
      <c r="CU232" s="789">
        <v>249482672</v>
      </c>
      <c r="CV232" s="299">
        <v>249482672</v>
      </c>
      <c r="CW232" s="552">
        <v>249482672</v>
      </c>
      <c r="CX232" s="789">
        <f>_xlfn.XLOOKUP(Table1[[#This Row],[Kode Program]],'[1]Breakdown VOWD Greenfield'!$E:$E,'[1]Breakdown VOWD Greenfield'!$AT:$AT)</f>
        <v>249482672</v>
      </c>
      <c r="CY232" s="42"/>
      <c r="CZ232" s="300">
        <v>45684</v>
      </c>
      <c r="DA232" s="300">
        <v>45711</v>
      </c>
      <c r="DB232" s="301">
        <v>45653</v>
      </c>
      <c r="DC232" s="286" t="s">
        <v>1774</v>
      </c>
      <c r="DD232" s="62">
        <v>240625008</v>
      </c>
      <c r="DE2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2" s="301">
        <v>45664</v>
      </c>
      <c r="DG232" s="286" t="s">
        <v>1775</v>
      </c>
      <c r="DH232" s="62">
        <v>238755008</v>
      </c>
      <c r="DI23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2" s="300">
        <v>45712</v>
      </c>
      <c r="DK232" s="300">
        <v>45774</v>
      </c>
      <c r="DL232" s="301">
        <v>45701</v>
      </c>
      <c r="DM232" s="286" t="s">
        <v>1776</v>
      </c>
      <c r="DN2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2" s="301">
        <v>45719</v>
      </c>
      <c r="DP232" s="286" t="s">
        <v>1777</v>
      </c>
      <c r="DQ232" s="308" t="s">
        <v>560</v>
      </c>
      <c r="DR2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2" s="300">
        <v>45712</v>
      </c>
      <c r="DT232" s="300" t="e">
        <v>#N/A</v>
      </c>
      <c r="DU232" s="300">
        <v>45753</v>
      </c>
      <c r="DV232" s="300" t="e">
        <v>#N/A</v>
      </c>
      <c r="DW232" s="301">
        <v>45701</v>
      </c>
      <c r="DX232" s="286" t="s">
        <v>1778</v>
      </c>
      <c r="DY232" s="304"/>
      <c r="DZ232" s="304"/>
      <c r="EA2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2" s="301">
        <v>45783</v>
      </c>
      <c r="EC232" s="302"/>
      <c r="ED232" s="302"/>
      <c r="EE232" s="300" t="s">
        <v>1779</v>
      </c>
      <c r="EF232" s="35">
        <v>1</v>
      </c>
      <c r="EG232" s="307">
        <v>1</v>
      </c>
      <c r="EH232" s="286" t="str">
        <f>IF(Table1[[#This Row],[PO Material Aktual 
(%)]]&gt;=100%,"Selesai PO = 100%",IF(Table1[[#This Row],[PO Material Aktual 
(%)]]&gt;=50%,"Proses PO &gt; 100%",IF(Table1[[#This Row],[PO Material Aktual 
(%)]]&gt;0%,"Proses PO &gt; 50%",IF(Table1[[#This Row],[PO Material Aktual 
(%)]]=0,"Belum PO = 0%"))))</f>
        <v>Selesai PO = 100%</v>
      </c>
      <c r="EI23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2" s="300">
        <v>45754</v>
      </c>
      <c r="EK232" s="300" t="e">
        <v>#N/A</v>
      </c>
      <c r="EL232" s="300">
        <v>45802</v>
      </c>
      <c r="EM232" s="300" t="e">
        <v>#N/A</v>
      </c>
      <c r="EN232" s="301">
        <v>45797</v>
      </c>
      <c r="EO232" s="302"/>
      <c r="EP232" s="302"/>
      <c r="EQ232" s="82">
        <v>1</v>
      </c>
      <c r="ER232" s="82">
        <v>1</v>
      </c>
      <c r="ES232" s="286" t="str">
        <f>IF(Table1[[#This Row],[Progres MOS]]&gt;=100%,"Selesai MOS = 100%",IF(Table1[[#This Row],[Progres MOS]]&gt;=50%,"Proses MOS &gt; 100%",IF(Table1[[#This Row],[Progres MOS]]&gt;0%,"Proses MOS &gt; 50%",IF(Table1[[#This Row],[Progres MOS]]=0,"Belum MOS = 0%"))))</f>
        <v>Selesai MOS = 100%</v>
      </c>
      <c r="ET2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232" s="42"/>
      <c r="EV232" s="300">
        <v>45712</v>
      </c>
      <c r="EW232" s="300" t="e">
        <v>#N/A</v>
      </c>
      <c r="EX232" s="300">
        <v>45802</v>
      </c>
      <c r="EY232" s="300" t="e">
        <v>#N/A</v>
      </c>
      <c r="EZ232" s="322" t="s">
        <v>298</v>
      </c>
      <c r="FA232" s="306" t="s">
        <v>259</v>
      </c>
      <c r="FB232" s="300" t="s">
        <v>260</v>
      </c>
      <c r="FC232" s="300">
        <v>45838</v>
      </c>
      <c r="FD232" s="300" t="s">
        <v>260</v>
      </c>
      <c r="FE232" s="300">
        <v>45910</v>
      </c>
      <c r="FF232" s="300">
        <v>45944</v>
      </c>
      <c r="FG232" s="300" t="s">
        <v>260</v>
      </c>
      <c r="FH232" s="300" t="s">
        <v>260</v>
      </c>
      <c r="FI232" s="300">
        <v>46010</v>
      </c>
      <c r="FJ232" s="300" t="s">
        <v>260</v>
      </c>
      <c r="FK232" s="300">
        <v>46094</v>
      </c>
      <c r="FL232" s="306" t="s">
        <v>298</v>
      </c>
      <c r="FM232" s="322">
        <v>45838</v>
      </c>
      <c r="FN232" s="308">
        <f>IF(Table1[[#This Row],[Tanggal Pengajuan Dokumen]]="","",Table1[[#This Row],[PLAN PERMIT
start]]-Table1[[#This Row],[Tanggal Pengajuan Dokumen]])</f>
        <v>-126</v>
      </c>
      <c r="FO232" s="407">
        <v>46086</v>
      </c>
      <c r="FP232" s="286"/>
      <c r="FQ232" s="308"/>
      <c r="FR232" s="308"/>
      <c r="FS232" s="308" t="str">
        <f t="shared" si="11"/>
        <v>Sudah Terbit</v>
      </c>
      <c r="FT23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2" s="314">
        <f ca="1">IF(Table1[[#This Row],[Status Izin]]="Selesai",Table1[[#This Row],[PLAN PERMIT
finish]]-Table1[[#This Row],[Tanggal Terbit/ Target Izin Terbit]],ROUNDUP(Table1[[#This Row],[PLAN PERMIT
finish]]-NOW(),0))</f>
        <v>-284</v>
      </c>
      <c r="FV23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2" s="314"/>
      <c r="FX232" s="42"/>
      <c r="FY232" s="310"/>
      <c r="FZ232" s="311"/>
      <c r="GA2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2" s="300">
        <v>45776</v>
      </c>
      <c r="GC232" s="322">
        <v>45547</v>
      </c>
      <c r="GD23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2" s="300">
        <v>45783</v>
      </c>
      <c r="GF232" s="322">
        <v>45547</v>
      </c>
      <c r="GG23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2" s="300">
        <v>45789</v>
      </c>
      <c r="GI232" s="300">
        <v>45795</v>
      </c>
      <c r="GJ232" s="322">
        <v>45706</v>
      </c>
      <c r="GK23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2" s="300">
        <v>45803</v>
      </c>
      <c r="GM232" s="300" t="e">
        <v>#N/A</v>
      </c>
      <c r="GN232" s="300">
        <v>45823</v>
      </c>
      <c r="GO232" s="300" t="e">
        <v>#N/A</v>
      </c>
      <c r="GP232" s="286"/>
      <c r="GQ23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2" s="300" t="s">
        <v>261</v>
      </c>
      <c r="GS232" s="391" t="s">
        <v>261</v>
      </c>
      <c r="GT232" s="401">
        <v>45768</v>
      </c>
      <c r="GU232" s="393" t="str">
        <f>IF(Table1[[#This Row],[Hydro Tes Actual
(tanggal)]]&lt;&gt;"","Sudah","Belum")</f>
        <v>Sudah</v>
      </c>
      <c r="GV232" s="300" t="s">
        <v>261</v>
      </c>
      <c r="GW232" s="300" t="s">
        <v>261</v>
      </c>
      <c r="GX232" s="301">
        <v>45770</v>
      </c>
      <c r="GY232" s="314" t="str">
        <f>IF(Table1[[#This Row],[Interkoneksi Actual
(tanggal)]]&lt;&gt;"","Sudah","Belum")</f>
        <v>Sudah</v>
      </c>
      <c r="GZ232" s="300" t="s">
        <v>261</v>
      </c>
      <c r="HA232" s="391" t="s">
        <v>261</v>
      </c>
      <c r="HB232" s="402">
        <v>45770</v>
      </c>
      <c r="HC232" s="314" t="str">
        <f>IF(Table1[[#This Row],[Flushing Actual
(tanggal)]]&lt;&gt;"","Sudah","Belum")</f>
        <v>Sudah</v>
      </c>
      <c r="HD232" s="300">
        <v>45810</v>
      </c>
      <c r="HE232" s="300" t="e">
        <v>#N/A</v>
      </c>
      <c r="HF232" s="300">
        <v>45823</v>
      </c>
      <c r="HG232" s="322">
        <v>45824</v>
      </c>
      <c r="HH23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2" s="300" t="s">
        <v>261</v>
      </c>
      <c r="HJ232" s="300" t="s">
        <v>261</v>
      </c>
      <c r="HK232" s="301"/>
      <c r="HL232" s="286"/>
      <c r="HM232" s="300">
        <v>45828</v>
      </c>
      <c r="HN232" s="300">
        <v>45828</v>
      </c>
      <c r="HO232" s="300" t="e">
        <v>#N/A</v>
      </c>
      <c r="HP232" s="300"/>
      <c r="HQ232" s="301">
        <v>45927</v>
      </c>
      <c r="HR23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2" s="300">
        <v>45835</v>
      </c>
      <c r="HT232" s="300"/>
      <c r="HU232" s="300">
        <v>45835</v>
      </c>
      <c r="HV232" s="497"/>
      <c r="HW232" s="301">
        <v>45934</v>
      </c>
      <c r="HX23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2" s="42"/>
      <c r="HZ232" s="322"/>
      <c r="IA232" s="306"/>
      <c r="IC232" s="585">
        <f>IFERROR(ROUND((Table1[[#This Row],[PLAN TC
finish]]-Table1[[#This Row],[PLAN MC-0
start]])/30,2),"")</f>
        <v>1.1299999999999999</v>
      </c>
      <c r="ID232">
        <f>DATEDIF(Table1[[#This Row],[PLAN MC-0
start]],Table1[[#This Row],[PLAN TC
finish]],"m")</f>
        <v>1</v>
      </c>
    </row>
    <row r="233" spans="2:238" s="4" customFormat="1" ht="15" customHeight="1" x14ac:dyDescent="0.25">
      <c r="B233" s="281">
        <f>SUBTOTAL(3,$D$5:D233)</f>
        <v>229</v>
      </c>
      <c r="C233" s="318">
        <v>229</v>
      </c>
      <c r="D233" s="285" t="s">
        <v>673</v>
      </c>
      <c r="E233" s="308" t="s">
        <v>1780</v>
      </c>
      <c r="F233" s="308" t="s">
        <v>1781</v>
      </c>
      <c r="G233" s="319">
        <v>45935</v>
      </c>
      <c r="H233" s="308" t="s">
        <v>681</v>
      </c>
      <c r="I233" s="308" t="s">
        <v>278</v>
      </c>
      <c r="J233" s="285" t="s">
        <v>882</v>
      </c>
      <c r="K233" s="308" t="s">
        <v>676</v>
      </c>
      <c r="L233" s="286" t="s">
        <v>250</v>
      </c>
      <c r="M233" s="286" t="s">
        <v>269</v>
      </c>
      <c r="N233" s="94">
        <v>208</v>
      </c>
      <c r="O233" s="31" t="s">
        <v>252</v>
      </c>
      <c r="P2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3" s="35" t="e">
        <v>#N/A</v>
      </c>
      <c r="S233" s="35">
        <v>1</v>
      </c>
      <c r="T233" s="35">
        <f>Table1[[#This Row],[Progres Total Aktual
(%)]]</f>
        <v>1</v>
      </c>
      <c r="U233" s="106">
        <f>Table1[[#This Row],[Progres Aktual
(%)]]-Table1[[#This Row],[Target Progres
(%)]]</f>
        <v>0</v>
      </c>
      <c r="V233" s="320">
        <f>Table1[[#This Row],["Volume
BA MC-0"]]</f>
        <v>208</v>
      </c>
      <c r="W233" s="321">
        <f>Table1[[#This Row],[Total Panjang Pipa Aktual
(Sum-&gt;)3]]</f>
        <v>208</v>
      </c>
      <c r="X233" s="42"/>
      <c r="Y233" s="62" t="s">
        <v>1782</v>
      </c>
      <c r="Z233" s="62">
        <v>265106945</v>
      </c>
      <c r="AA233" s="62">
        <f>Table1[[#This Row],[Nilai RAB Jaringan
(file pa aji)]]</f>
        <v>265106945</v>
      </c>
      <c r="AB233" s="290">
        <f>SUM(Table1[[#This Row],[RAB Kegiatan Umum]:[RAB Perizinan]])</f>
        <v>0</v>
      </c>
      <c r="AC233" s="290"/>
      <c r="AD233" s="290"/>
      <c r="AE233" s="290"/>
      <c r="AF233" s="290"/>
      <c r="AG233" s="406">
        <v>63211159</v>
      </c>
      <c r="AH233" s="35" t="e">
        <f>SUM(Table1[[#This Row],[Bobot Keg Umum]:[Bobot Perizinan]])</f>
        <v>#DIV/0!</v>
      </c>
      <c r="AI233" s="35" t="e">
        <f>Table1[[#This Row],[RAB Kegiatan Umum]]/Table1[[#This Row],[Nilai RAB Jaringan
(Exclude Ppn)]]</f>
        <v>#DIV/0!</v>
      </c>
      <c r="AJ233" s="35" t="e">
        <f>Table1[[#This Row],[RAB Pemasangan]]/Table1[[#This Row],[Nilai RAB Jaringan
(Exclude Ppn)]]</f>
        <v>#DIV/0!</v>
      </c>
      <c r="AK233" s="35" t="e">
        <f>Table1[[#This Row],[RAB Pengadaan]]/Table1[[#This Row],[Nilai RAB Jaringan
(Exclude Ppn)]]</f>
        <v>#DIV/0!</v>
      </c>
      <c r="AL233" s="35" t="e">
        <f>Table1[[#This Row],[RAB Perizinan]]/Table1[[#This Row],[Nilai RAB Jaringan
(Exclude Ppn)]]</f>
        <v>#DIV/0!</v>
      </c>
      <c r="AM233" s="42"/>
      <c r="AN233" s="256">
        <v>208</v>
      </c>
      <c r="AO233" s="256">
        <f>SUM(Table1[[#This Row],[Pipa 63 mm]:[Pipa 1,800 mm]])</f>
        <v>0</v>
      </c>
      <c r="AP233" s="256"/>
      <c r="AQ233" s="256"/>
      <c r="AR233" s="256"/>
      <c r="AS233" s="256"/>
      <c r="AT233" s="256"/>
      <c r="AU233" s="256"/>
      <c r="AV233" s="256"/>
      <c r="AW233" s="256"/>
      <c r="AX233" s="256"/>
      <c r="AY233" s="256"/>
      <c r="AZ233" s="256"/>
      <c r="BA233" s="256"/>
      <c r="BB233" s="256"/>
      <c r="BC233" s="256"/>
      <c r="BD233" s="256"/>
      <c r="BE233" s="256"/>
      <c r="BF233" s="256"/>
      <c r="BG233" s="256"/>
      <c r="BH233" s="256"/>
      <c r="BI233" s="256"/>
      <c r="BJ233" s="416">
        <f>SUM(Table1[[#This Row],[Pipa 63 mm2]:[Pipa 1,800 mm21]])</f>
        <v>208</v>
      </c>
      <c r="BK233" s="32">
        <v>208</v>
      </c>
      <c r="BL233" s="32"/>
      <c r="BM233" s="32"/>
      <c r="BN233" s="32"/>
      <c r="BO233" s="32"/>
      <c r="BP233" s="32"/>
      <c r="BQ233" s="32"/>
      <c r="BR233" s="32"/>
      <c r="BS233" s="32"/>
      <c r="BT233" s="32"/>
      <c r="BU233" s="32"/>
      <c r="BV233" s="32"/>
      <c r="BW233" s="32"/>
      <c r="BX233" s="32"/>
      <c r="BY233" s="32"/>
      <c r="BZ233" s="32"/>
      <c r="CA233" s="32"/>
      <c r="CB233" s="32"/>
      <c r="CC233" s="32"/>
      <c r="CD233" s="32"/>
      <c r="CE233" s="32">
        <v>0</v>
      </c>
      <c r="CF233" s="32">
        <v>0</v>
      </c>
      <c r="CG233" s="32">
        <v>0</v>
      </c>
      <c r="CH233" s="32">
        <v>0</v>
      </c>
      <c r="CI233" s="32">
        <f t="shared" si="12"/>
        <v>0</v>
      </c>
      <c r="CJ233" s="60">
        <f>IF((Table1[[#This Row],["Volume
BA MC-0"]]-Table1[[#This Row],[Total Panjang Pipa Aktual
(Sum-&gt;)3]]-Table1[[#This Row],[Total Volume
tidak dapat dipasang]])&gt;=0,Table1[[#This Row],["Volume
BA MC-0"]]-Table1[[#This Row],[Total Panjang Pipa Aktual
(Sum-&gt;)3]]-Table1[[#This Row],[Total Volume
tidak dapat dipasang]],0)</f>
        <v>0</v>
      </c>
      <c r="CK233" s="42"/>
      <c r="CL233" s="113"/>
      <c r="CM233" s="35"/>
      <c r="CN233" s="113"/>
      <c r="CO233" s="113"/>
      <c r="CP2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3" s="61">
        <f>IFERROR(Table1[[#This Row],[Progres Keg. Umum
(%)]]*Table1[[#This Row],[Nilai RAB Jaringan
(file pa aji)]],0)</f>
        <v>0</v>
      </c>
      <c r="CR233" s="61">
        <f>IFERROR(Table1[[#This Row],[Progres MOS
(%)]]*Table1[[#This Row],[Nilai RAB Jaringan
(file pa aji)]],0)</f>
        <v>0</v>
      </c>
      <c r="CS233" s="61">
        <f>IFERROR(Table1[[#This Row],[Progres Pemasangan
(%)]]*Table1[[#This Row],[Nilai RAB Jaringan
(file pa aji)]],0)</f>
        <v>0</v>
      </c>
      <c r="CT233" s="61">
        <f>IFERROR(Table1[[#This Row],[Progres Perizinan
(%)]]*Table1[[#This Row],[Nilai RAB Jaringan
(file pa aji)]],0)</f>
        <v>0</v>
      </c>
      <c r="CU233" s="789">
        <v>184205568</v>
      </c>
      <c r="CV233" s="299">
        <v>184205568</v>
      </c>
      <c r="CW233" s="552">
        <v>184205568</v>
      </c>
      <c r="CX233" s="789">
        <f>_xlfn.XLOOKUP(Table1[[#This Row],[Kode Program]],'[1]Breakdown VOWD Greenfield'!$E:$E,'[1]Breakdown VOWD Greenfield'!$AT:$AT)</f>
        <v>184205568</v>
      </c>
      <c r="CY233" s="42"/>
      <c r="CZ233" s="300">
        <v>45747</v>
      </c>
      <c r="DA233" s="300">
        <v>45774</v>
      </c>
      <c r="DB233" s="301">
        <v>45755</v>
      </c>
      <c r="DC233" s="286" t="s">
        <v>1783</v>
      </c>
      <c r="DD233" s="62">
        <v>265106945</v>
      </c>
      <c r="DE2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3" s="301">
        <v>45763</v>
      </c>
      <c r="DG233" s="286" t="s">
        <v>1784</v>
      </c>
      <c r="DH233" s="62">
        <v>265106945</v>
      </c>
      <c r="DI23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3" s="300">
        <v>45775</v>
      </c>
      <c r="DK233" s="300">
        <v>45837</v>
      </c>
      <c r="DL233" s="301">
        <v>45786</v>
      </c>
      <c r="DM233" s="286" t="s">
        <v>1785</v>
      </c>
      <c r="DN2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3" s="301">
        <v>45882</v>
      </c>
      <c r="DP233" s="286" t="s">
        <v>1786</v>
      </c>
      <c r="DQ233" s="308" t="s">
        <v>1542</v>
      </c>
      <c r="DR2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3" s="300">
        <v>45775</v>
      </c>
      <c r="DT233" s="300" t="e">
        <v>#N/A</v>
      </c>
      <c r="DU233" s="300">
        <v>45816</v>
      </c>
      <c r="DV233" s="300" t="e">
        <v>#N/A</v>
      </c>
      <c r="DW233" s="301">
        <v>45786</v>
      </c>
      <c r="DX233" s="286" t="s">
        <v>1787</v>
      </c>
      <c r="DY233" s="304"/>
      <c r="DZ233" s="304"/>
      <c r="EA2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3" s="301">
        <v>46006</v>
      </c>
      <c r="EC233" s="302"/>
      <c r="ED233" s="302"/>
      <c r="EE233" s="300" t="s">
        <v>1788</v>
      </c>
      <c r="EF233" s="35">
        <v>1</v>
      </c>
      <c r="EG233" s="307">
        <v>1</v>
      </c>
      <c r="EH233" s="286" t="str">
        <f>IF(Table1[[#This Row],[PO Material Aktual 
(%)]]&gt;=100%,"Selesai PO = 100%",IF(Table1[[#This Row],[PO Material Aktual 
(%)]]&gt;=50%,"Proses PO &gt; 100%",IF(Table1[[#This Row],[PO Material Aktual 
(%)]]&gt;0%,"Proses PO &gt; 50%",IF(Table1[[#This Row],[PO Material Aktual 
(%)]]=0,"Belum PO = 0%"))))</f>
        <v>Selesai PO = 100%</v>
      </c>
      <c r="EI23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3" s="300">
        <v>45817</v>
      </c>
      <c r="EK233" s="300" t="e">
        <v>#N/A</v>
      </c>
      <c r="EL233" s="300">
        <v>45865</v>
      </c>
      <c r="EM233" s="300" t="e">
        <v>#N/A</v>
      </c>
      <c r="EN233" s="301">
        <v>46091</v>
      </c>
      <c r="EO233" s="302"/>
      <c r="EP233" s="302"/>
      <c r="EQ233" s="82">
        <v>1</v>
      </c>
      <c r="ER233" s="82">
        <v>1</v>
      </c>
      <c r="ES233" s="286" t="str">
        <f>IF(Table1[[#This Row],[Progres MOS]]&gt;=100%,"Selesai MOS = 100%",IF(Table1[[#This Row],[Progres MOS]]&gt;=50%,"Proses MOS &gt; 100%",IF(Table1[[#This Row],[Progres MOS]]&gt;0%,"Proses MOS &gt; 50%",IF(Table1[[#This Row],[Progres MOS]]=0,"Belum MOS = 0%"))))</f>
        <v>Selesai MOS = 100%</v>
      </c>
      <c r="ET2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3" s="42"/>
      <c r="EV233" s="300">
        <v>45775</v>
      </c>
      <c r="EW233" s="300" t="e">
        <v>#N/A</v>
      </c>
      <c r="EX233" s="300">
        <v>45865</v>
      </c>
      <c r="EY233" s="300" t="e">
        <v>#N/A</v>
      </c>
      <c r="EZ233" s="322" t="s">
        <v>298</v>
      </c>
      <c r="FA233" s="306" t="s">
        <v>259</v>
      </c>
      <c r="FB233" s="300" t="s">
        <v>260</v>
      </c>
      <c r="FC233" s="300">
        <v>45838</v>
      </c>
      <c r="FD233" s="300" t="s">
        <v>260</v>
      </c>
      <c r="FE233" s="300">
        <v>45895</v>
      </c>
      <c r="FF233" s="300">
        <v>45929</v>
      </c>
      <c r="FG233" s="300" t="s">
        <v>260</v>
      </c>
      <c r="FH233" s="300" t="s">
        <v>260</v>
      </c>
      <c r="FI233" s="300">
        <v>46010</v>
      </c>
      <c r="FJ233" s="300" t="s">
        <v>260</v>
      </c>
      <c r="FK233" s="300">
        <v>46111</v>
      </c>
      <c r="FL233" s="306" t="s">
        <v>298</v>
      </c>
      <c r="FM233" s="322">
        <v>45838</v>
      </c>
      <c r="FN233" s="308">
        <f>IF(Table1[[#This Row],[Tanggal Pengajuan Dokumen]]="","",Table1[[#This Row],[PLAN PERMIT
start]]-Table1[[#This Row],[Tanggal Pengajuan Dokumen]])</f>
        <v>-63</v>
      </c>
      <c r="FO233" s="407">
        <v>46086</v>
      </c>
      <c r="FP233" s="286"/>
      <c r="FQ233" s="308"/>
      <c r="FR233" s="308"/>
      <c r="FS233" s="308" t="str">
        <f t="shared" si="11"/>
        <v>Sudah Terbit</v>
      </c>
      <c r="FT2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3" s="314">
        <f ca="1">IF(Table1[[#This Row],[Status Izin]]="Selesai",Table1[[#This Row],[PLAN PERMIT
finish]]-Table1[[#This Row],[Tanggal Terbit/ Target Izin Terbit]],ROUNDUP(Table1[[#This Row],[PLAN PERMIT
finish]]-NOW(),0))</f>
        <v>-221</v>
      </c>
      <c r="FV2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3" s="314"/>
      <c r="FX233" s="42"/>
      <c r="FY233" s="310"/>
      <c r="FZ233" s="311"/>
      <c r="GA2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3" s="300">
        <v>45839</v>
      </c>
      <c r="GC233" s="322">
        <v>45880</v>
      </c>
      <c r="GD2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3" s="300">
        <v>45846</v>
      </c>
      <c r="GF233" s="322">
        <v>45880</v>
      </c>
      <c r="GG2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3" s="300">
        <v>45852</v>
      </c>
      <c r="GI233" s="300">
        <v>45858</v>
      </c>
      <c r="GJ233" s="322">
        <v>45916</v>
      </c>
      <c r="GK2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3" s="300">
        <v>45866</v>
      </c>
      <c r="GM233" s="300" t="e">
        <v>#N/A</v>
      </c>
      <c r="GN233" s="300">
        <v>45886</v>
      </c>
      <c r="GO233" s="300" t="e">
        <v>#N/A</v>
      </c>
      <c r="GP233" s="286"/>
      <c r="GQ2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3" s="300" t="s">
        <v>261</v>
      </c>
      <c r="GS233" s="391" t="s">
        <v>261</v>
      </c>
      <c r="GT233" s="401">
        <v>45926</v>
      </c>
      <c r="GU233" s="393" t="str">
        <f>IF(Table1[[#This Row],[Hydro Tes Actual
(tanggal)]]&lt;&gt;"","Sudah","Belum")</f>
        <v>Sudah</v>
      </c>
      <c r="GV233" s="300" t="s">
        <v>261</v>
      </c>
      <c r="GW233" s="300" t="s">
        <v>261</v>
      </c>
      <c r="GX233" s="301">
        <v>45925</v>
      </c>
      <c r="GY233" s="314" t="str">
        <f>IF(Table1[[#This Row],[Interkoneksi Actual
(tanggal)]]&lt;&gt;"","Sudah","Belum")</f>
        <v>Sudah</v>
      </c>
      <c r="GZ233" s="300" t="s">
        <v>261</v>
      </c>
      <c r="HA233" s="391" t="s">
        <v>261</v>
      </c>
      <c r="HB233" s="402">
        <v>45926</v>
      </c>
      <c r="HC233" s="314" t="str">
        <f>IF(Table1[[#This Row],[Flushing Actual
(tanggal)]]&lt;&gt;"","Sudah","Belum")</f>
        <v>Sudah</v>
      </c>
      <c r="HD233" s="300">
        <v>45873</v>
      </c>
      <c r="HE233" s="300" t="e">
        <v>#N/A</v>
      </c>
      <c r="HF233" s="300">
        <v>45886</v>
      </c>
      <c r="HG233" s="322">
        <v>45929</v>
      </c>
      <c r="HH2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3" s="300" t="s">
        <v>261</v>
      </c>
      <c r="HJ233" s="300" t="s">
        <v>261</v>
      </c>
      <c r="HK233" s="301"/>
      <c r="HL233" s="286"/>
      <c r="HM233" s="300">
        <v>45891</v>
      </c>
      <c r="HN233" s="300">
        <v>45891</v>
      </c>
      <c r="HO233" s="300" t="e">
        <v>#N/A</v>
      </c>
      <c r="HP233" s="300"/>
      <c r="HQ233" s="301">
        <v>45931</v>
      </c>
      <c r="HR23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3" s="300">
        <v>45898</v>
      </c>
      <c r="HT233" s="300"/>
      <c r="HU233" s="300">
        <v>45898</v>
      </c>
      <c r="HV233" s="497"/>
      <c r="HW233" s="301">
        <v>45968</v>
      </c>
      <c r="HX2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3" s="42"/>
      <c r="HZ233" s="322"/>
      <c r="IA233" s="306"/>
      <c r="IC233" s="585">
        <f>IFERROR(ROUND((Table1[[#This Row],[PLAN TC
finish]]-Table1[[#This Row],[PLAN MC-0
start]])/30,2),"")</f>
        <v>1.1299999999999999</v>
      </c>
      <c r="ID233">
        <f>DATEDIF(Table1[[#This Row],[PLAN MC-0
start]],Table1[[#This Row],[PLAN TC
finish]],"m")</f>
        <v>1</v>
      </c>
    </row>
    <row r="234" spans="2:238" s="4" customFormat="1" ht="15" customHeight="1" x14ac:dyDescent="0.25">
      <c r="B234" s="281">
        <f>SUBTOTAL(3,$D$5:D234)</f>
        <v>230</v>
      </c>
      <c r="C234" s="318">
        <v>230</v>
      </c>
      <c r="D234" s="285" t="s">
        <v>673</v>
      </c>
      <c r="E234" s="308" t="s">
        <v>1789</v>
      </c>
      <c r="F234" s="308" t="s">
        <v>1790</v>
      </c>
      <c r="G234" s="319">
        <v>45935</v>
      </c>
      <c r="H234" s="308" t="s">
        <v>681</v>
      </c>
      <c r="I234" s="308" t="s">
        <v>278</v>
      </c>
      <c r="J234" s="285"/>
      <c r="K234" s="308" t="s">
        <v>676</v>
      </c>
      <c r="L234" s="286" t="s">
        <v>250</v>
      </c>
      <c r="M234" s="286" t="s">
        <v>269</v>
      </c>
      <c r="N234" s="94">
        <v>75</v>
      </c>
      <c r="O234" s="31" t="s">
        <v>252</v>
      </c>
      <c r="P2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4" s="35" t="e">
        <v>#N/A</v>
      </c>
      <c r="S234" s="35">
        <v>1</v>
      </c>
      <c r="T234" s="35">
        <f>Table1[[#This Row],[Progres Total Aktual
(%)]]</f>
        <v>1</v>
      </c>
      <c r="U234" s="106">
        <f>Table1[[#This Row],[Progres Aktual
(%)]]-Table1[[#This Row],[Target Progres
(%)]]</f>
        <v>0</v>
      </c>
      <c r="V234" s="320">
        <f>Table1[[#This Row],["Volume
BA MC-0"]]</f>
        <v>100</v>
      </c>
      <c r="W234" s="321">
        <f>Table1[[#This Row],[Total Panjang Pipa Aktual
(Sum-&gt;)3]]</f>
        <v>100</v>
      </c>
      <c r="X234" s="42"/>
      <c r="Y234" s="62" t="s">
        <v>1791</v>
      </c>
      <c r="Z234" s="62">
        <v>186108320</v>
      </c>
      <c r="AA234" s="62">
        <f>Table1[[#This Row],[Nilai RAB Jaringan
(file pa aji)]]</f>
        <v>186108320</v>
      </c>
      <c r="AB234" s="290">
        <f>SUM(Table1[[#This Row],[RAB Kegiatan Umum]:[RAB Perizinan]])</f>
        <v>0</v>
      </c>
      <c r="AC234" s="290"/>
      <c r="AD234" s="290"/>
      <c r="AE234" s="290"/>
      <c r="AF234" s="290"/>
      <c r="AG234" s="406">
        <v>2107039</v>
      </c>
      <c r="AH234" s="35" t="e">
        <f>SUM(Table1[[#This Row],[Bobot Keg Umum]:[Bobot Perizinan]])</f>
        <v>#DIV/0!</v>
      </c>
      <c r="AI234" s="35" t="e">
        <f>Table1[[#This Row],[RAB Kegiatan Umum]]/Table1[[#This Row],[Nilai RAB Jaringan
(Exclude Ppn)]]</f>
        <v>#DIV/0!</v>
      </c>
      <c r="AJ234" s="35" t="e">
        <f>Table1[[#This Row],[RAB Pemasangan]]/Table1[[#This Row],[Nilai RAB Jaringan
(Exclude Ppn)]]</f>
        <v>#DIV/0!</v>
      </c>
      <c r="AK234" s="35" t="e">
        <f>Table1[[#This Row],[RAB Pengadaan]]/Table1[[#This Row],[Nilai RAB Jaringan
(Exclude Ppn)]]</f>
        <v>#DIV/0!</v>
      </c>
      <c r="AL234" s="35" t="e">
        <f>Table1[[#This Row],[RAB Perizinan]]/Table1[[#This Row],[Nilai RAB Jaringan
(Exclude Ppn)]]</f>
        <v>#DIV/0!</v>
      </c>
      <c r="AM234" s="42"/>
      <c r="AN234" s="256">
        <v>100</v>
      </c>
      <c r="AO234" s="256">
        <f>SUM(Table1[[#This Row],[Pipa 63 mm]:[Pipa 1,800 mm]])</f>
        <v>0</v>
      </c>
      <c r="AP234" s="256"/>
      <c r="AQ234" s="256"/>
      <c r="AR234" s="256"/>
      <c r="AS234" s="256"/>
      <c r="AT234" s="256"/>
      <c r="AU234" s="256"/>
      <c r="AV234" s="256"/>
      <c r="AW234" s="256"/>
      <c r="AX234" s="256"/>
      <c r="AY234" s="256"/>
      <c r="AZ234" s="256"/>
      <c r="BA234" s="256"/>
      <c r="BB234" s="256"/>
      <c r="BC234" s="256"/>
      <c r="BD234" s="256"/>
      <c r="BE234" s="256"/>
      <c r="BF234" s="256"/>
      <c r="BG234" s="256"/>
      <c r="BH234" s="256"/>
      <c r="BI234" s="256"/>
      <c r="BJ234" s="416">
        <f>SUM(Table1[[#This Row],[Pipa 63 mm2]:[Pipa 1,800 mm21]])</f>
        <v>100</v>
      </c>
      <c r="BK234" s="32">
        <v>100</v>
      </c>
      <c r="BL234" s="32"/>
      <c r="BM234" s="32"/>
      <c r="BN234" s="32"/>
      <c r="BO234" s="32"/>
      <c r="BP234" s="32"/>
      <c r="BQ234" s="32"/>
      <c r="BR234" s="32"/>
      <c r="BS234" s="32"/>
      <c r="BT234" s="32"/>
      <c r="BU234" s="32"/>
      <c r="BV234" s="32"/>
      <c r="BW234" s="32"/>
      <c r="BX234" s="32"/>
      <c r="BY234" s="32"/>
      <c r="BZ234" s="32"/>
      <c r="CA234" s="32"/>
      <c r="CB234" s="32"/>
      <c r="CC234" s="32"/>
      <c r="CD234" s="32"/>
      <c r="CE234" s="32">
        <v>0</v>
      </c>
      <c r="CF234" s="32">
        <v>0</v>
      </c>
      <c r="CG234" s="32">
        <v>0</v>
      </c>
      <c r="CH234" s="32">
        <v>0</v>
      </c>
      <c r="CI234" s="32">
        <f t="shared" si="12"/>
        <v>0</v>
      </c>
      <c r="CJ234" s="60">
        <f>IF((Table1[[#This Row],["Volume
BA MC-0"]]-Table1[[#This Row],[Total Panjang Pipa Aktual
(Sum-&gt;)3]]-Table1[[#This Row],[Total Volume
tidak dapat dipasang]])&gt;=0,Table1[[#This Row],["Volume
BA MC-0"]]-Table1[[#This Row],[Total Panjang Pipa Aktual
(Sum-&gt;)3]]-Table1[[#This Row],[Total Volume
tidak dapat dipasang]],0)</f>
        <v>0</v>
      </c>
      <c r="CK234" s="42"/>
      <c r="CL234" s="113"/>
      <c r="CM234" s="35"/>
      <c r="CN234" s="113"/>
      <c r="CO234" s="113"/>
      <c r="CP2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4" s="61">
        <f>IFERROR(Table1[[#This Row],[Progres Keg. Umum
(%)]]*Table1[[#This Row],[Nilai RAB Jaringan
(file pa aji)]],0)</f>
        <v>0</v>
      </c>
      <c r="CR234" s="61">
        <f>IFERROR(Table1[[#This Row],[Progres MOS
(%)]]*Table1[[#This Row],[Nilai RAB Jaringan
(file pa aji)]],0)</f>
        <v>0</v>
      </c>
      <c r="CS234" s="61">
        <f>IFERROR(Table1[[#This Row],[Progres Pemasangan
(%)]]*Table1[[#This Row],[Nilai RAB Jaringan
(file pa aji)]],0)</f>
        <v>0</v>
      </c>
      <c r="CT234" s="61">
        <f>IFERROR(Table1[[#This Row],[Progres Perizinan
(%)]]*Table1[[#This Row],[Nilai RAB Jaringan
(file pa aji)]],0)</f>
        <v>0</v>
      </c>
      <c r="CU234" s="789">
        <v>187931124</v>
      </c>
      <c r="CV234" s="299">
        <v>187931124</v>
      </c>
      <c r="CW234" s="552">
        <v>187931124</v>
      </c>
      <c r="CX234" s="789">
        <f>_xlfn.XLOOKUP(Table1[[#This Row],[Kode Program]],'[1]Breakdown VOWD Greenfield'!$E:$E,'[1]Breakdown VOWD Greenfield'!$AT:$AT)</f>
        <v>187931124</v>
      </c>
      <c r="CY234" s="42"/>
      <c r="CZ234" s="300">
        <v>45775</v>
      </c>
      <c r="DA234" s="300">
        <v>45802</v>
      </c>
      <c r="DB234" s="301">
        <v>45793</v>
      </c>
      <c r="DC234" s="286" t="s">
        <v>1792</v>
      </c>
      <c r="DD234" s="62">
        <v>186108320</v>
      </c>
      <c r="DE2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4" s="301">
        <v>45799</v>
      </c>
      <c r="DG234" s="286" t="s">
        <v>1793</v>
      </c>
      <c r="DH234" s="62">
        <v>186108320</v>
      </c>
      <c r="DI2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4" s="300">
        <v>45803</v>
      </c>
      <c r="DK234" s="300">
        <v>45872</v>
      </c>
      <c r="DL234" s="301">
        <v>45824</v>
      </c>
      <c r="DM234" s="286" t="s">
        <v>1794</v>
      </c>
      <c r="DN2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4" s="301">
        <v>45853</v>
      </c>
      <c r="DP234" s="286" t="s">
        <v>1795</v>
      </c>
      <c r="DQ234" s="308" t="s">
        <v>1542</v>
      </c>
      <c r="DR2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4" s="300">
        <v>45803</v>
      </c>
      <c r="DT234" s="300" t="e">
        <v>#N/A</v>
      </c>
      <c r="DU234" s="300">
        <v>45844</v>
      </c>
      <c r="DV234" s="300" t="e">
        <v>#N/A</v>
      </c>
      <c r="DW234" s="301">
        <v>45824</v>
      </c>
      <c r="DX234" s="286" t="s">
        <v>1796</v>
      </c>
      <c r="DY234" s="304"/>
      <c r="DZ234" s="304"/>
      <c r="EA2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4" s="301">
        <v>45722</v>
      </c>
      <c r="EC234" s="302"/>
      <c r="ED234" s="302"/>
      <c r="EE234" s="300" t="s">
        <v>1797</v>
      </c>
      <c r="EF234" s="35">
        <v>1</v>
      </c>
      <c r="EG234" s="307">
        <v>1</v>
      </c>
      <c r="EH234" s="286" t="str">
        <f>IF(Table1[[#This Row],[PO Material Aktual 
(%)]]&gt;=100%,"Selesai PO = 100%",IF(Table1[[#This Row],[PO Material Aktual 
(%)]]&gt;=50%,"Proses PO &gt; 100%",IF(Table1[[#This Row],[PO Material Aktual 
(%)]]&gt;0%,"Proses PO &gt; 50%",IF(Table1[[#This Row],[PO Material Aktual 
(%)]]=0,"Belum PO = 0%"))))</f>
        <v>Selesai PO = 100%</v>
      </c>
      <c r="EI2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234" s="300">
        <v>45845</v>
      </c>
      <c r="EK234" s="300" t="e">
        <v>#N/A</v>
      </c>
      <c r="EL234" s="300">
        <v>45900</v>
      </c>
      <c r="EM234" s="300" t="e">
        <v>#N/A</v>
      </c>
      <c r="EN234" s="301">
        <v>46091</v>
      </c>
      <c r="EO234" s="302"/>
      <c r="EP234" s="302"/>
      <c r="EQ234" s="82">
        <v>1</v>
      </c>
      <c r="ER234" s="82">
        <v>1</v>
      </c>
      <c r="ES234" s="286" t="str">
        <f>IF(Table1[[#This Row],[Progres MOS]]&gt;=100%,"Selesai MOS = 100%",IF(Table1[[#This Row],[Progres MOS]]&gt;=50%,"Proses MOS &gt; 100%",IF(Table1[[#This Row],[Progres MOS]]&gt;0%,"Proses MOS &gt; 50%",IF(Table1[[#This Row],[Progres MOS]]=0,"Belum MOS = 0%"))))</f>
        <v>Selesai MOS = 100%</v>
      </c>
      <c r="ET2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4" s="42"/>
      <c r="EV234" s="300">
        <v>45803</v>
      </c>
      <c r="EW234" s="300" t="e">
        <v>#N/A</v>
      </c>
      <c r="EX234" s="300">
        <v>45900</v>
      </c>
      <c r="EY234" s="300" t="e">
        <v>#N/A</v>
      </c>
      <c r="EZ234" s="322" t="s">
        <v>298</v>
      </c>
      <c r="FA234" s="306" t="s">
        <v>259</v>
      </c>
      <c r="FB234" s="300" t="s">
        <v>260</v>
      </c>
      <c r="FC234" s="300">
        <v>45838</v>
      </c>
      <c r="FD234" s="300" t="s">
        <v>260</v>
      </c>
      <c r="FE234" s="300">
        <v>45910</v>
      </c>
      <c r="FF234" s="300">
        <v>45929</v>
      </c>
      <c r="FG234" s="300" t="s">
        <v>260</v>
      </c>
      <c r="FH234" s="300" t="s">
        <v>260</v>
      </c>
      <c r="FI234" s="300">
        <v>46010</v>
      </c>
      <c r="FJ234" s="300" t="s">
        <v>260</v>
      </c>
      <c r="FK234" s="300">
        <v>46094</v>
      </c>
      <c r="FL234" s="306" t="s">
        <v>298</v>
      </c>
      <c r="FM234" s="322">
        <v>45838</v>
      </c>
      <c r="FN234" s="308">
        <f>IF(Table1[[#This Row],[Tanggal Pengajuan Dokumen]]="","",Table1[[#This Row],[PLAN PERMIT
start]]-Table1[[#This Row],[Tanggal Pengajuan Dokumen]])</f>
        <v>-35</v>
      </c>
      <c r="FO234" s="407">
        <v>46086</v>
      </c>
      <c r="FP234" s="286"/>
      <c r="FQ234" s="308"/>
      <c r="FR234" s="308"/>
      <c r="FS234" s="308" t="str">
        <f t="shared" si="11"/>
        <v>Sudah Terbit</v>
      </c>
      <c r="FT2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4" s="314">
        <f ca="1">IF(Table1[[#This Row],[Status Izin]]="Selesai",Table1[[#This Row],[PLAN PERMIT
finish]]-Table1[[#This Row],[Tanggal Terbit/ Target Izin Terbit]],ROUNDUP(Table1[[#This Row],[PLAN PERMIT
finish]]-NOW(),0))</f>
        <v>-186</v>
      </c>
      <c r="FV2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4" s="314"/>
      <c r="FX234" s="42"/>
      <c r="FY234" s="310"/>
      <c r="FZ234" s="311"/>
      <c r="GA2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4" s="300">
        <v>45874</v>
      </c>
      <c r="GC234" s="322">
        <v>45880</v>
      </c>
      <c r="GD2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4" s="300">
        <v>45881</v>
      </c>
      <c r="GF234" s="322">
        <v>45880</v>
      </c>
      <c r="GG2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4" s="300">
        <v>45887</v>
      </c>
      <c r="GI234" s="300">
        <v>45893</v>
      </c>
      <c r="GJ234" s="322">
        <v>45882</v>
      </c>
      <c r="GK2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4" s="300">
        <v>45901</v>
      </c>
      <c r="GM234" s="300" t="e">
        <v>#N/A</v>
      </c>
      <c r="GN234" s="300">
        <v>45914</v>
      </c>
      <c r="GO234" s="300" t="e">
        <v>#N/A</v>
      </c>
      <c r="GP234" s="286"/>
      <c r="GQ2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4" s="300" t="s">
        <v>261</v>
      </c>
      <c r="GS234" s="391" t="s">
        <v>261</v>
      </c>
      <c r="GT234" s="401">
        <v>45895</v>
      </c>
      <c r="GU234" s="393" t="str">
        <f>IF(Table1[[#This Row],[Hydro Tes Actual
(tanggal)]]&lt;&gt;"","Sudah","Belum")</f>
        <v>Sudah</v>
      </c>
      <c r="GV234" s="300" t="s">
        <v>261</v>
      </c>
      <c r="GW234" s="300" t="s">
        <v>261</v>
      </c>
      <c r="GX234" s="301">
        <v>45895</v>
      </c>
      <c r="GY234" s="314" t="str">
        <f>IF(Table1[[#This Row],[Interkoneksi Actual
(tanggal)]]&lt;&gt;"","Sudah","Belum")</f>
        <v>Sudah</v>
      </c>
      <c r="GZ234" s="300" t="s">
        <v>261</v>
      </c>
      <c r="HA234" s="391" t="s">
        <v>261</v>
      </c>
      <c r="HB234" s="402">
        <v>45886</v>
      </c>
      <c r="HC234" s="314" t="str">
        <f>IF(Table1[[#This Row],[Flushing Actual
(tanggal)]]&lt;&gt;"","Sudah","Belum")</f>
        <v>Sudah</v>
      </c>
      <c r="HD234" s="300">
        <v>45901</v>
      </c>
      <c r="HE234" s="300" t="e">
        <v>#N/A</v>
      </c>
      <c r="HF234" s="300">
        <v>45914</v>
      </c>
      <c r="HG234" s="322">
        <v>45908</v>
      </c>
      <c r="HH2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4" s="300" t="s">
        <v>261</v>
      </c>
      <c r="HJ234" s="300" t="s">
        <v>261</v>
      </c>
      <c r="HK234" s="301"/>
      <c r="HL234" s="286"/>
      <c r="HM234" s="300">
        <v>45919</v>
      </c>
      <c r="HN234" s="300">
        <v>45919</v>
      </c>
      <c r="HO234" s="300" t="e">
        <v>#N/A</v>
      </c>
      <c r="HP234" s="300"/>
      <c r="HQ234" s="301">
        <v>45927</v>
      </c>
      <c r="HR23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4" s="300">
        <v>45926</v>
      </c>
      <c r="HT234" s="300"/>
      <c r="HU234" s="300">
        <v>45926</v>
      </c>
      <c r="HV234" s="497"/>
      <c r="HW234" s="301">
        <v>45934</v>
      </c>
      <c r="HX2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4" s="42"/>
      <c r="HZ234" s="322"/>
      <c r="IA234" s="306"/>
      <c r="IC234" s="585">
        <f>IFERROR(ROUND((Table1[[#This Row],[PLAN TC
finish]]-Table1[[#This Row],[PLAN MC-0
start]])/30,2),"")</f>
        <v>0.9</v>
      </c>
      <c r="ID234">
        <f>DATEDIF(Table1[[#This Row],[PLAN MC-0
start]],Table1[[#This Row],[PLAN TC
finish]],"m")</f>
        <v>0</v>
      </c>
    </row>
    <row r="235" spans="2:238" s="4" customFormat="1" ht="21.75" customHeight="1" x14ac:dyDescent="0.25">
      <c r="B235" s="281">
        <f>SUBTOTAL(3,$D$5:D235)</f>
        <v>231</v>
      </c>
      <c r="C235" s="318">
        <v>231</v>
      </c>
      <c r="D235" s="285" t="s">
        <v>673</v>
      </c>
      <c r="E235" s="308" t="s">
        <v>1798</v>
      </c>
      <c r="F235" s="308" t="s">
        <v>1799</v>
      </c>
      <c r="G235" s="319">
        <v>45935</v>
      </c>
      <c r="H235" s="308" t="s">
        <v>681</v>
      </c>
      <c r="I235" s="308" t="s">
        <v>278</v>
      </c>
      <c r="J235" s="285"/>
      <c r="K235" s="308" t="s">
        <v>676</v>
      </c>
      <c r="L235" s="286" t="s">
        <v>250</v>
      </c>
      <c r="M235" s="286" t="s">
        <v>269</v>
      </c>
      <c r="N235" s="94">
        <v>773</v>
      </c>
      <c r="O235" s="31" t="s">
        <v>252</v>
      </c>
      <c r="P2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5" s="35" t="e">
        <v>#N/A</v>
      </c>
      <c r="S235" s="35">
        <v>1</v>
      </c>
      <c r="T235" s="35">
        <f>Table1[[#This Row],[Progres Total Aktual
(%)]]</f>
        <v>1</v>
      </c>
      <c r="U235" s="106">
        <f>Table1[[#This Row],[Progres Aktual
(%)]]-Table1[[#This Row],[Target Progres
(%)]]</f>
        <v>0</v>
      </c>
      <c r="V235" s="320">
        <f>Table1[[#This Row],["Volume
BA MC-0"]]</f>
        <v>791</v>
      </c>
      <c r="W235" s="321">
        <f>Table1[[#This Row],[Total Panjang Pipa Aktual
(Sum-&gt;)3]]</f>
        <v>783</v>
      </c>
      <c r="X235" s="42"/>
      <c r="Y235" s="428" t="s">
        <v>1800</v>
      </c>
      <c r="Z235" s="62">
        <v>1377871182</v>
      </c>
      <c r="AA235" s="62">
        <f>Table1[[#This Row],[Nilai RAB Jaringan
(file pa aji)]]</f>
        <v>1377871182</v>
      </c>
      <c r="AB235" s="290">
        <f>SUM(Table1[[#This Row],[RAB Kegiatan Umum]:[RAB Perizinan]])</f>
        <v>0</v>
      </c>
      <c r="AC235" s="290"/>
      <c r="AD235" s="290"/>
      <c r="AE235" s="290"/>
      <c r="AF235" s="290"/>
      <c r="AG235" s="406">
        <v>2107039</v>
      </c>
      <c r="AH235" s="35" t="e">
        <f>SUM(Table1[[#This Row],[Bobot Keg Umum]:[Bobot Perizinan]])</f>
        <v>#DIV/0!</v>
      </c>
      <c r="AI235" s="35" t="e">
        <f>Table1[[#This Row],[RAB Kegiatan Umum]]/Table1[[#This Row],[Nilai RAB Jaringan
(Exclude Ppn)]]</f>
        <v>#DIV/0!</v>
      </c>
      <c r="AJ235" s="35" t="e">
        <f>Table1[[#This Row],[RAB Pemasangan]]/Table1[[#This Row],[Nilai RAB Jaringan
(Exclude Ppn)]]</f>
        <v>#DIV/0!</v>
      </c>
      <c r="AK235" s="35" t="e">
        <f>Table1[[#This Row],[RAB Pengadaan]]/Table1[[#This Row],[Nilai RAB Jaringan
(Exclude Ppn)]]</f>
        <v>#DIV/0!</v>
      </c>
      <c r="AL235" s="35" t="e">
        <f>Table1[[#This Row],[RAB Perizinan]]/Table1[[#This Row],[Nilai RAB Jaringan
(Exclude Ppn)]]</f>
        <v>#DIV/0!</v>
      </c>
      <c r="AM235" s="42"/>
      <c r="AN235" s="256">
        <v>791</v>
      </c>
      <c r="AO235" s="256">
        <f>SUM(Table1[[#This Row],[Pipa 63 mm]:[Pipa 1,800 mm]])</f>
        <v>0</v>
      </c>
      <c r="AP235" s="256"/>
      <c r="AQ235" s="256"/>
      <c r="AR235" s="256"/>
      <c r="AS235" s="256"/>
      <c r="AT235" s="256"/>
      <c r="AU235" s="256"/>
      <c r="AV235" s="256"/>
      <c r="AW235" s="256"/>
      <c r="AX235" s="256"/>
      <c r="AY235" s="256"/>
      <c r="AZ235" s="256"/>
      <c r="BA235" s="256"/>
      <c r="BB235" s="256"/>
      <c r="BC235" s="256"/>
      <c r="BD235" s="256"/>
      <c r="BE235" s="256"/>
      <c r="BF235" s="256"/>
      <c r="BG235" s="256"/>
      <c r="BH235" s="256"/>
      <c r="BI235" s="256"/>
      <c r="BJ235" s="416">
        <f>SUM(Table1[[#This Row],[Pipa 63 mm2]:[Pipa 1,800 mm21]])</f>
        <v>783</v>
      </c>
      <c r="BK235" s="32">
        <v>17</v>
      </c>
      <c r="BL235" s="32">
        <v>331</v>
      </c>
      <c r="BM235" s="32">
        <v>375</v>
      </c>
      <c r="BN235" s="32">
        <v>60</v>
      </c>
      <c r="BO235" s="32"/>
      <c r="BP235" s="32"/>
      <c r="BQ235" s="32"/>
      <c r="BR235" s="32"/>
      <c r="BS235" s="32"/>
      <c r="BT235" s="32"/>
      <c r="BU235" s="32"/>
      <c r="BV235" s="32"/>
      <c r="BW235" s="32"/>
      <c r="BX235" s="32"/>
      <c r="BY235" s="32"/>
      <c r="BZ235" s="32"/>
      <c r="CA235" s="32"/>
      <c r="CB235" s="32"/>
      <c r="CC235" s="32"/>
      <c r="CD235" s="32"/>
      <c r="CE235" s="32">
        <v>0</v>
      </c>
      <c r="CF235" s="32">
        <v>0</v>
      </c>
      <c r="CG235" s="32">
        <v>0</v>
      </c>
      <c r="CH235" s="32">
        <v>0</v>
      </c>
      <c r="CI235" s="32">
        <f t="shared" si="12"/>
        <v>0</v>
      </c>
      <c r="CJ235" s="60">
        <f>IF((Table1[[#This Row],["Volume
BA MC-0"]]-Table1[[#This Row],[Total Panjang Pipa Aktual
(Sum-&gt;)3]]-Table1[[#This Row],[Total Volume
tidak dapat dipasang]])&gt;=0,Table1[[#This Row],["Volume
BA MC-0"]]-Table1[[#This Row],[Total Panjang Pipa Aktual
(Sum-&gt;)3]]-Table1[[#This Row],[Total Volume
tidak dapat dipasang]],0)</f>
        <v>8</v>
      </c>
      <c r="CK235" s="42"/>
      <c r="CL235" s="113"/>
      <c r="CM235" s="35"/>
      <c r="CN235" s="113"/>
      <c r="CO235" s="113"/>
      <c r="CP2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5" s="61">
        <f>IFERROR(Table1[[#This Row],[Progres Keg. Umum
(%)]]*Table1[[#This Row],[Nilai RAB Jaringan
(file pa aji)]],0)</f>
        <v>0</v>
      </c>
      <c r="CR235" s="61">
        <f>IFERROR(Table1[[#This Row],[Progres MOS
(%)]]*Table1[[#This Row],[Nilai RAB Jaringan
(file pa aji)]],0)</f>
        <v>0</v>
      </c>
      <c r="CS235" s="61">
        <f>IFERROR(Table1[[#This Row],[Progres Pemasangan
(%)]]*Table1[[#This Row],[Nilai RAB Jaringan
(file pa aji)]],0)</f>
        <v>0</v>
      </c>
      <c r="CT235" s="61">
        <f>IFERROR(Table1[[#This Row],[Progres Perizinan
(%)]]*Table1[[#This Row],[Nilai RAB Jaringan
(file pa aji)]],0)</f>
        <v>0</v>
      </c>
      <c r="CU235" s="789">
        <v>1458507560</v>
      </c>
      <c r="CV235" s="299">
        <v>1458507560</v>
      </c>
      <c r="CW235" s="552">
        <v>1458507560</v>
      </c>
      <c r="CX235" s="789">
        <f>_xlfn.XLOOKUP(Table1[[#This Row],[Kode Program]],'[1]Breakdown VOWD Greenfield'!$E:$E,'[1]Breakdown VOWD Greenfield'!$AT:$AT)</f>
        <v>1458507560</v>
      </c>
      <c r="CY235" s="42"/>
      <c r="CZ235" s="300">
        <v>45775</v>
      </c>
      <c r="DA235" s="300">
        <v>45795</v>
      </c>
      <c r="DB235" s="301">
        <v>45782</v>
      </c>
      <c r="DC235" s="286" t="s">
        <v>1801</v>
      </c>
      <c r="DD235" s="62">
        <v>1377871183</v>
      </c>
      <c r="DE2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5" s="301">
        <v>45799</v>
      </c>
      <c r="DG235" s="286" t="s">
        <v>1802</v>
      </c>
      <c r="DH235" s="62">
        <v>1377871183</v>
      </c>
      <c r="DI2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5" s="300">
        <v>45796</v>
      </c>
      <c r="DK235" s="300">
        <v>45837</v>
      </c>
      <c r="DL235" s="301">
        <v>45817</v>
      </c>
      <c r="DM235" s="286" t="s">
        <v>1803</v>
      </c>
      <c r="DN2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5" s="301">
        <v>45824</v>
      </c>
      <c r="DP235" s="286" t="s">
        <v>1804</v>
      </c>
      <c r="DQ235" s="308" t="s">
        <v>371</v>
      </c>
      <c r="DR2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5" s="300">
        <v>45796</v>
      </c>
      <c r="DT235" s="300" t="e">
        <v>#N/A</v>
      </c>
      <c r="DU235" s="300">
        <v>45830</v>
      </c>
      <c r="DV235" s="300" t="e">
        <v>#N/A</v>
      </c>
      <c r="DW235" s="301">
        <v>45817</v>
      </c>
      <c r="DX235" s="286" t="s">
        <v>1805</v>
      </c>
      <c r="DY235" s="304"/>
      <c r="DZ235" s="304"/>
      <c r="EA2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5" s="301">
        <v>46135</v>
      </c>
      <c r="EC235" s="302"/>
      <c r="ED235" s="302"/>
      <c r="EE235" s="300" t="s">
        <v>1806</v>
      </c>
      <c r="EF235" s="35">
        <v>1</v>
      </c>
      <c r="EG235" s="307">
        <v>1</v>
      </c>
      <c r="EH235" s="286" t="str">
        <f>IF(Table1[[#This Row],[PO Material Aktual 
(%)]]&gt;=100%,"Selesai PO = 100%",IF(Table1[[#This Row],[PO Material Aktual 
(%)]]&gt;=50%,"Proses PO &gt; 100%",IF(Table1[[#This Row],[PO Material Aktual 
(%)]]&gt;0%,"Proses PO &gt; 50%",IF(Table1[[#This Row],[PO Material Aktual 
(%)]]=0,"Belum PO = 0%"))))</f>
        <v>Selesai PO = 100%</v>
      </c>
      <c r="EI2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5" s="300">
        <v>45831</v>
      </c>
      <c r="EK235" s="300" t="e">
        <v>#N/A</v>
      </c>
      <c r="EL235" s="300">
        <v>45879</v>
      </c>
      <c r="EM235" s="300" t="e">
        <v>#N/A</v>
      </c>
      <c r="EN235" s="301">
        <v>46160</v>
      </c>
      <c r="EO235" s="302"/>
      <c r="EP235" s="302"/>
      <c r="EQ235" s="82">
        <v>1</v>
      </c>
      <c r="ER235" s="82">
        <v>1</v>
      </c>
      <c r="ES235" s="286" t="str">
        <f>IF(Table1[[#This Row],[Progres MOS]]&gt;=100%,"Selesai MOS = 100%",IF(Table1[[#This Row],[Progres MOS]]&gt;=50%,"Proses MOS &gt; 100%",IF(Table1[[#This Row],[Progres MOS]]&gt;0%,"Proses MOS &gt; 50%",IF(Table1[[#This Row],[Progres MOS]]=0,"Belum MOS = 0%"))))</f>
        <v>Selesai MOS = 100%</v>
      </c>
      <c r="ET2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5" s="42"/>
      <c r="EV235" s="300">
        <v>45796</v>
      </c>
      <c r="EW235" s="300" t="e">
        <v>#N/A</v>
      </c>
      <c r="EX235" s="300">
        <v>45865</v>
      </c>
      <c r="EY235" s="300" t="e">
        <v>#N/A</v>
      </c>
      <c r="EZ235" s="322" t="s">
        <v>298</v>
      </c>
      <c r="FA235" s="306" t="s">
        <v>259</v>
      </c>
      <c r="FB235" s="300" t="s">
        <v>260</v>
      </c>
      <c r="FC235" s="300">
        <v>45785</v>
      </c>
      <c r="FD235" s="300" t="s">
        <v>260</v>
      </c>
      <c r="FE235" s="300">
        <v>45910</v>
      </c>
      <c r="FF235" s="300">
        <v>45958</v>
      </c>
      <c r="FG235" s="300" t="s">
        <v>260</v>
      </c>
      <c r="FH235" s="300" t="s">
        <v>260</v>
      </c>
      <c r="FI235" s="300">
        <v>46010</v>
      </c>
      <c r="FJ235" s="300" t="s">
        <v>260</v>
      </c>
      <c r="FK235" s="300">
        <v>46111</v>
      </c>
      <c r="FL235" s="306" t="s">
        <v>298</v>
      </c>
      <c r="FM235" s="322">
        <v>45785</v>
      </c>
      <c r="FN235" s="308">
        <f>IF(Table1[[#This Row],[Tanggal Pengajuan Dokumen]]="","",Table1[[#This Row],[PLAN PERMIT
start]]-Table1[[#This Row],[Tanggal Pengajuan Dokumen]])</f>
        <v>11</v>
      </c>
      <c r="FO235" s="407">
        <v>46086</v>
      </c>
      <c r="FP235" s="286"/>
      <c r="FQ235" s="308"/>
      <c r="FR235" s="308"/>
      <c r="FS235" s="308" t="str">
        <f t="shared" si="11"/>
        <v>Sudah Terbit</v>
      </c>
      <c r="FT2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5" s="314">
        <f ca="1">IF(Table1[[#This Row],[Status Izin]]="Selesai",Table1[[#This Row],[PLAN PERMIT
finish]]-Table1[[#This Row],[Tanggal Terbit/ Target Izin Terbit]],ROUNDUP(Table1[[#This Row],[PLAN PERMIT
finish]]-NOW(),0))</f>
        <v>-221</v>
      </c>
      <c r="FV2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5" s="314"/>
      <c r="FX235" s="42"/>
      <c r="FY235" s="310"/>
      <c r="FZ235" s="311"/>
      <c r="GA2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5" s="300">
        <v>45839</v>
      </c>
      <c r="GC235" s="322">
        <v>45826</v>
      </c>
      <c r="GD2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5" s="300">
        <v>45846</v>
      </c>
      <c r="GF235" s="322">
        <v>45828</v>
      </c>
      <c r="GG2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5" s="300">
        <v>45852</v>
      </c>
      <c r="GI235" s="300">
        <v>45858</v>
      </c>
      <c r="GJ235" s="322">
        <v>45832</v>
      </c>
      <c r="GK2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5" s="300">
        <v>45866</v>
      </c>
      <c r="GM235" s="300" t="e">
        <v>#N/A</v>
      </c>
      <c r="GN235" s="300">
        <v>45914</v>
      </c>
      <c r="GO235" s="300" t="e">
        <v>#N/A</v>
      </c>
      <c r="GP235" s="286"/>
      <c r="GQ2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5" s="300" t="s">
        <v>261</v>
      </c>
      <c r="GS235" s="391" t="s">
        <v>261</v>
      </c>
      <c r="GT235" s="401">
        <v>45917</v>
      </c>
      <c r="GU235" s="393" t="str">
        <f>IF(Table1[[#This Row],[Hydro Tes Actual
(tanggal)]]&lt;&gt;"","Sudah","Belum")</f>
        <v>Sudah</v>
      </c>
      <c r="GV235" s="300" t="s">
        <v>261</v>
      </c>
      <c r="GW235" s="300" t="s">
        <v>261</v>
      </c>
      <c r="GX235" s="301">
        <v>45917</v>
      </c>
      <c r="GY235" s="314" t="str">
        <f>IF(Table1[[#This Row],[Interkoneksi Actual
(tanggal)]]&lt;&gt;"","Sudah","Belum")</f>
        <v>Sudah</v>
      </c>
      <c r="GZ235" s="300" t="s">
        <v>261</v>
      </c>
      <c r="HA235" s="391" t="s">
        <v>261</v>
      </c>
      <c r="HB235" s="402">
        <v>45923</v>
      </c>
      <c r="HC235" s="314" t="str">
        <f>IF(Table1[[#This Row],[Flushing Actual
(tanggal)]]&lt;&gt;"","Sudah","Belum")</f>
        <v>Sudah</v>
      </c>
      <c r="HD235" s="300">
        <v>45887</v>
      </c>
      <c r="HE235" s="300" t="e">
        <v>#N/A</v>
      </c>
      <c r="HF235" s="300">
        <v>45907</v>
      </c>
      <c r="HG235" s="322">
        <v>45924</v>
      </c>
      <c r="HH2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5" s="300" t="s">
        <v>261</v>
      </c>
      <c r="HJ235" s="300" t="s">
        <v>261</v>
      </c>
      <c r="HK235" s="301"/>
      <c r="HL235" s="286"/>
      <c r="HM235" s="300">
        <v>45919</v>
      </c>
      <c r="HN235" s="300">
        <v>45919</v>
      </c>
      <c r="HO235" s="300" t="e">
        <v>#N/A</v>
      </c>
      <c r="HP235" s="300"/>
      <c r="HQ235" s="301">
        <v>45929</v>
      </c>
      <c r="HR2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5" s="300">
        <v>45926</v>
      </c>
      <c r="HT235" s="300"/>
      <c r="HU235" s="300">
        <v>45926</v>
      </c>
      <c r="HV235" s="497"/>
      <c r="HW235" s="301">
        <v>45934</v>
      </c>
      <c r="HX2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5" s="42"/>
      <c r="HZ235" s="322"/>
      <c r="IA235" s="306"/>
      <c r="IC235" s="585">
        <f>IFERROR(ROUND((Table1[[#This Row],[PLAN TC
finish]]-Table1[[#This Row],[PLAN MC-0
start]])/30,2),"")</f>
        <v>1.83</v>
      </c>
      <c r="ID235">
        <f>DATEDIF(Table1[[#This Row],[PLAN MC-0
start]],Table1[[#This Row],[PLAN TC
finish]],"m")</f>
        <v>1</v>
      </c>
    </row>
    <row r="236" spans="2:238" s="4" customFormat="1" ht="15" customHeight="1" x14ac:dyDescent="0.25">
      <c r="B236" s="281">
        <f>SUBTOTAL(3,$D$5:D236)</f>
        <v>232</v>
      </c>
      <c r="C236" s="429">
        <v>232</v>
      </c>
      <c r="D236" s="430" t="s">
        <v>673</v>
      </c>
      <c r="E236" s="431" t="s">
        <v>1807</v>
      </c>
      <c r="F236" s="431" t="s">
        <v>1808</v>
      </c>
      <c r="G236" s="432">
        <v>45935</v>
      </c>
      <c r="H236" s="308" t="s">
        <v>681</v>
      </c>
      <c r="I236" s="308" t="s">
        <v>278</v>
      </c>
      <c r="J236" s="285"/>
      <c r="K236" s="431" t="s">
        <v>676</v>
      </c>
      <c r="L236" s="286" t="s">
        <v>250</v>
      </c>
      <c r="M236" s="286" t="s">
        <v>269</v>
      </c>
      <c r="N236" s="433">
        <v>367</v>
      </c>
      <c r="O236" s="434" t="s">
        <v>252</v>
      </c>
      <c r="P236" s="435"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6" s="35" t="e">
        <v>#N/A</v>
      </c>
      <c r="S236" s="35">
        <v>1</v>
      </c>
      <c r="T236" s="127">
        <f>Table1[[#This Row],[Progres Total Aktual
(%)]]</f>
        <v>1</v>
      </c>
      <c r="U236" s="107">
        <f>Table1[[#This Row],[Progres Aktual
(%)]]-Table1[[#This Row],[Target Progres
(%)]]</f>
        <v>0</v>
      </c>
      <c r="V236" s="436">
        <f>Table1[[#This Row],["Volume
BA MC-0"]]</f>
        <v>395</v>
      </c>
      <c r="W236" s="437">
        <f>Table1[[#This Row],[Total Panjang Pipa Aktual
(Sum-&gt;)3]]</f>
        <v>360</v>
      </c>
      <c r="X236" s="42"/>
      <c r="Y236" s="62" t="s">
        <v>1809</v>
      </c>
      <c r="Z236" s="438">
        <v>989398061</v>
      </c>
      <c r="AA236" s="62">
        <f>Table1[[#This Row],[Nilai RAB Jaringan
(file pa aji)]]</f>
        <v>989398061</v>
      </c>
      <c r="AB236" s="439">
        <f>SUM(Table1[[#This Row],[RAB Kegiatan Umum]:[RAB Perizinan]])</f>
        <v>0</v>
      </c>
      <c r="AC236" s="439"/>
      <c r="AD236" s="439"/>
      <c r="AE236" s="439"/>
      <c r="AF236" s="439"/>
      <c r="AG236" s="406">
        <v>2107039</v>
      </c>
      <c r="AH236" s="127" t="e">
        <f>SUM(Table1[[#This Row],[Bobot Keg Umum]:[Bobot Perizinan]])</f>
        <v>#DIV/0!</v>
      </c>
      <c r="AI236" s="127" t="e">
        <f>Table1[[#This Row],[RAB Kegiatan Umum]]/Table1[[#This Row],[Nilai RAB Jaringan
(Exclude Ppn)]]</f>
        <v>#DIV/0!</v>
      </c>
      <c r="AJ236" s="127" t="e">
        <f>Table1[[#This Row],[RAB Pemasangan]]/Table1[[#This Row],[Nilai RAB Jaringan
(Exclude Ppn)]]</f>
        <v>#DIV/0!</v>
      </c>
      <c r="AK236" s="127" t="e">
        <f>Table1[[#This Row],[RAB Pengadaan]]/Table1[[#This Row],[Nilai RAB Jaringan
(Exclude Ppn)]]</f>
        <v>#DIV/0!</v>
      </c>
      <c r="AL236" s="127" t="e">
        <f>Table1[[#This Row],[RAB Perizinan]]/Table1[[#This Row],[Nilai RAB Jaringan
(Exclude Ppn)]]</f>
        <v>#DIV/0!</v>
      </c>
      <c r="AM236" s="42"/>
      <c r="AN236" s="440">
        <v>395</v>
      </c>
      <c r="AO236" s="440">
        <f>SUM(Table1[[#This Row],[Pipa 63 mm]:[Pipa 1,800 mm]])</f>
        <v>0</v>
      </c>
      <c r="AP236" s="440"/>
      <c r="AQ236" s="440"/>
      <c r="AR236" s="440"/>
      <c r="AS236" s="440"/>
      <c r="AT236" s="440"/>
      <c r="AU236" s="440"/>
      <c r="AV236" s="440"/>
      <c r="AW236" s="440"/>
      <c r="AX236" s="440"/>
      <c r="AY236" s="440"/>
      <c r="AZ236" s="440"/>
      <c r="BA236" s="440"/>
      <c r="BB236" s="440"/>
      <c r="BC236" s="440"/>
      <c r="BD236" s="440"/>
      <c r="BE236" s="440"/>
      <c r="BF236" s="440"/>
      <c r="BG236" s="440"/>
      <c r="BH236" s="440"/>
      <c r="BI236" s="440"/>
      <c r="BJ236" s="416">
        <f>SUM(Table1[[#This Row],[Pipa 63 mm2]:[Pipa 1,800 mm21]])</f>
        <v>360</v>
      </c>
      <c r="BK236" s="441">
        <v>89</v>
      </c>
      <c r="BL236" s="441">
        <v>269</v>
      </c>
      <c r="BM236" s="441">
        <v>2</v>
      </c>
      <c r="BN236" s="441"/>
      <c r="BO236" s="441"/>
      <c r="BP236" s="441"/>
      <c r="BQ236" s="441"/>
      <c r="BR236" s="441"/>
      <c r="BS236" s="441"/>
      <c r="BT236" s="441"/>
      <c r="BU236" s="441"/>
      <c r="BV236" s="441"/>
      <c r="BW236" s="441"/>
      <c r="BX236" s="441"/>
      <c r="BY236" s="441"/>
      <c r="BZ236" s="441"/>
      <c r="CA236" s="441"/>
      <c r="CB236" s="441"/>
      <c r="CC236" s="441"/>
      <c r="CD236" s="441"/>
      <c r="CE236" s="441">
        <v>0</v>
      </c>
      <c r="CF236" s="441">
        <v>0</v>
      </c>
      <c r="CG236" s="441">
        <v>0</v>
      </c>
      <c r="CH236" s="441">
        <v>0</v>
      </c>
      <c r="CI236" s="441">
        <f t="shared" si="12"/>
        <v>0</v>
      </c>
      <c r="CJ236" s="60">
        <f>IF((Table1[[#This Row],["Volume
BA MC-0"]]-Table1[[#This Row],[Total Panjang Pipa Aktual
(Sum-&gt;)3]]-Table1[[#This Row],[Total Volume
tidak dapat dipasang]])&gt;=0,Table1[[#This Row],["Volume
BA MC-0"]]-Table1[[#This Row],[Total Panjang Pipa Aktual
(Sum-&gt;)3]]-Table1[[#This Row],[Total Volume
tidak dapat dipasang]],0)</f>
        <v>35</v>
      </c>
      <c r="CK236" s="42"/>
      <c r="CL236" s="442"/>
      <c r="CM236" s="127"/>
      <c r="CN236" s="442"/>
      <c r="CO236" s="442"/>
      <c r="CP2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6" s="443">
        <f>IFERROR(Table1[[#This Row],[Progres Keg. Umum
(%)]]*Table1[[#This Row],[Nilai RAB Jaringan
(file pa aji)]],0)</f>
        <v>0</v>
      </c>
      <c r="CR236" s="443">
        <f>IFERROR(Table1[[#This Row],[Progres MOS
(%)]]*Table1[[#This Row],[Nilai RAB Jaringan
(file pa aji)]],0)</f>
        <v>0</v>
      </c>
      <c r="CS236" s="443">
        <f>IFERROR(Table1[[#This Row],[Progres Pemasangan
(%)]]*Table1[[#This Row],[Nilai RAB Jaringan
(file pa aji)]],0)</f>
        <v>0</v>
      </c>
      <c r="CT236" s="443">
        <f>IFERROR(Table1[[#This Row],[Progres Perizinan
(%)]]*Table1[[#This Row],[Nilai RAB Jaringan
(file pa aji)]],0)</f>
        <v>0</v>
      </c>
      <c r="CU236" s="789">
        <v>944669704</v>
      </c>
      <c r="CV236" s="299">
        <v>944669704</v>
      </c>
      <c r="CW236" s="549">
        <v>944669704</v>
      </c>
      <c r="CX236" s="789">
        <f>_xlfn.XLOOKUP(Table1[[#This Row],[Kode Program]],'[1]Breakdown VOWD Greenfield'!$E:$E,'[1]Breakdown VOWD Greenfield'!$AT:$AT)</f>
        <v>944669704</v>
      </c>
      <c r="CY236" s="42"/>
      <c r="CZ236" s="300">
        <v>45803</v>
      </c>
      <c r="DA236" s="300">
        <v>45823</v>
      </c>
      <c r="DB236" s="301">
        <v>45804</v>
      </c>
      <c r="DC236" s="304" t="s">
        <v>1810</v>
      </c>
      <c r="DD236" s="438">
        <v>989398061</v>
      </c>
      <c r="DE2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6" s="301">
        <v>45825</v>
      </c>
      <c r="DG236" s="304" t="s">
        <v>1811</v>
      </c>
      <c r="DH236" s="438">
        <v>989398061</v>
      </c>
      <c r="DI236"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36" s="300">
        <v>45824</v>
      </c>
      <c r="DK236" s="300">
        <v>45872</v>
      </c>
      <c r="DL236" s="301">
        <v>45828</v>
      </c>
      <c r="DM236" s="304" t="s">
        <v>1812</v>
      </c>
      <c r="DN2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6" s="301">
        <v>45853</v>
      </c>
      <c r="DP236" s="304" t="s">
        <v>1813</v>
      </c>
      <c r="DQ236" s="431" t="s">
        <v>1542</v>
      </c>
      <c r="DR2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6" s="300">
        <v>45824</v>
      </c>
      <c r="DT236" s="300" t="e">
        <v>#N/A</v>
      </c>
      <c r="DU236" s="300">
        <v>45858</v>
      </c>
      <c r="DV236" s="300" t="e">
        <v>#N/A</v>
      </c>
      <c r="DW236" s="301">
        <v>45828</v>
      </c>
      <c r="DX236" s="304" t="s">
        <v>1814</v>
      </c>
      <c r="DY236" s="304"/>
      <c r="DZ236" s="304"/>
      <c r="EA2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36" s="301">
        <v>46039</v>
      </c>
      <c r="EC236" s="305"/>
      <c r="ED236" s="305"/>
      <c r="EE236" s="497" t="s">
        <v>1815</v>
      </c>
      <c r="EF236" s="127">
        <v>1</v>
      </c>
      <c r="EG236" s="445">
        <v>1</v>
      </c>
      <c r="EH236" s="286" t="str">
        <f>IF(Table1[[#This Row],[PO Material Aktual 
(%)]]&gt;=100%,"Selesai PO = 100%",IF(Table1[[#This Row],[PO Material Aktual 
(%)]]&gt;=50%,"Proses PO &gt; 100%",IF(Table1[[#This Row],[PO Material Aktual 
(%)]]&gt;0%,"Proses PO &gt; 50%",IF(Table1[[#This Row],[PO Material Aktual 
(%)]]=0,"Belum PO = 0%"))))</f>
        <v>Selesai PO = 100%</v>
      </c>
      <c r="EI2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6" s="300">
        <v>45859</v>
      </c>
      <c r="EK236" s="300" t="e">
        <v>#N/A</v>
      </c>
      <c r="EL236" s="300">
        <v>45900</v>
      </c>
      <c r="EM236" s="300" t="e">
        <v>#N/A</v>
      </c>
      <c r="EN236" s="301">
        <v>46088</v>
      </c>
      <c r="EO236" s="302"/>
      <c r="EP236" s="302"/>
      <c r="EQ236" s="82">
        <v>1</v>
      </c>
      <c r="ER236" s="82">
        <v>1</v>
      </c>
      <c r="ES236" s="286" t="str">
        <f>IF(Table1[[#This Row],[Progres MOS]]&gt;=100%,"Selesai MOS = 100%",IF(Table1[[#This Row],[Progres MOS]]&gt;=50%,"Proses MOS &gt; 100%",IF(Table1[[#This Row],[Progres MOS]]&gt;0%,"Proses MOS &gt; 50%",IF(Table1[[#This Row],[Progres MOS]]=0,"Belum MOS = 0%"))))</f>
        <v>Selesai MOS = 100%</v>
      </c>
      <c r="ET2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6" s="42"/>
      <c r="EV236" s="300">
        <v>45824</v>
      </c>
      <c r="EW236" s="300" t="e">
        <v>#N/A</v>
      </c>
      <c r="EX236" s="300">
        <v>45900</v>
      </c>
      <c r="EY236" s="300" t="e">
        <v>#N/A</v>
      </c>
      <c r="EZ236" s="322" t="s">
        <v>298</v>
      </c>
      <c r="FA236" s="306" t="s">
        <v>259</v>
      </c>
      <c r="FB236" s="300" t="s">
        <v>260</v>
      </c>
      <c r="FC236" s="300">
        <v>45805</v>
      </c>
      <c r="FD236" s="300" t="s">
        <v>260</v>
      </c>
      <c r="FE236" s="300">
        <v>45863</v>
      </c>
      <c r="FF236" s="300">
        <v>45958</v>
      </c>
      <c r="FG236" s="300" t="s">
        <v>260</v>
      </c>
      <c r="FH236" s="300" t="s">
        <v>260</v>
      </c>
      <c r="FI236" s="300">
        <v>46003</v>
      </c>
      <c r="FJ236" s="300" t="s">
        <v>260</v>
      </c>
      <c r="FK236" s="300">
        <v>46111</v>
      </c>
      <c r="FL236" s="306" t="s">
        <v>298</v>
      </c>
      <c r="FM236" s="322">
        <v>45805</v>
      </c>
      <c r="FN236" s="308">
        <f>IF(Table1[[#This Row],[Tanggal Pengajuan Dokumen]]="","",Table1[[#This Row],[PLAN PERMIT
start]]-Table1[[#This Row],[Tanggal Pengajuan Dokumen]])</f>
        <v>19</v>
      </c>
      <c r="FO236" s="407">
        <v>46086</v>
      </c>
      <c r="FP236" s="286"/>
      <c r="FQ236" s="308"/>
      <c r="FR236" s="308"/>
      <c r="FS236" s="308" t="str">
        <f t="shared" si="11"/>
        <v>Sudah Terbit</v>
      </c>
      <c r="FT236"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6" s="446">
        <f ca="1">IF(Table1[[#This Row],[Status Izin]]="Selesai",Table1[[#This Row],[PLAN PERMIT
finish]]-Table1[[#This Row],[Tanggal Terbit/ Target Izin Terbit]],ROUNDUP(Table1[[#This Row],[PLAN PERMIT
finish]]-NOW(),0))</f>
        <v>-186</v>
      </c>
      <c r="FV236"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6" s="446"/>
      <c r="FX236" s="42"/>
      <c r="FY236" s="310"/>
      <c r="FZ236" s="311"/>
      <c r="GA2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36" s="300">
        <v>45874</v>
      </c>
      <c r="GC236" s="447">
        <v>45826</v>
      </c>
      <c r="GD236"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6" s="300">
        <v>45881</v>
      </c>
      <c r="GF236" s="447">
        <v>45828</v>
      </c>
      <c r="GG236"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6" s="300">
        <v>45887</v>
      </c>
      <c r="GI236" s="300">
        <v>45893</v>
      </c>
      <c r="GJ236" s="447">
        <v>45832</v>
      </c>
      <c r="GK236"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6" s="300">
        <v>45901</v>
      </c>
      <c r="GM236" s="300" t="e">
        <v>#N/A</v>
      </c>
      <c r="GN236" s="300">
        <v>45914</v>
      </c>
      <c r="GO236" s="300" t="e">
        <v>#N/A</v>
      </c>
      <c r="GP236" s="304"/>
      <c r="GQ236"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6" s="300" t="s">
        <v>261</v>
      </c>
      <c r="GS236" s="391" t="s">
        <v>261</v>
      </c>
      <c r="GT236" s="401">
        <v>45866</v>
      </c>
      <c r="GU236" s="448" t="str">
        <f>IF(Table1[[#This Row],[Hydro Tes Actual
(tanggal)]]&lt;&gt;"","Sudah","Belum")</f>
        <v>Sudah</v>
      </c>
      <c r="GV236" s="300" t="s">
        <v>261</v>
      </c>
      <c r="GW236" s="300" t="s">
        <v>261</v>
      </c>
      <c r="GX236" s="390">
        <v>45866</v>
      </c>
      <c r="GY236" s="314" t="str">
        <f>IF(Table1[[#This Row],[Interkoneksi Actual
(tanggal)]]&lt;&gt;"","Sudah","Belum")</f>
        <v>Sudah</v>
      </c>
      <c r="GZ236" s="300" t="s">
        <v>261</v>
      </c>
      <c r="HA236" s="391" t="s">
        <v>261</v>
      </c>
      <c r="HB236" s="402">
        <v>45867</v>
      </c>
      <c r="HC236" s="314" t="str">
        <f>IF(Table1[[#This Row],[Flushing Actual
(tanggal)]]&lt;&gt;"","Sudah","Belum")</f>
        <v>Sudah</v>
      </c>
      <c r="HD236" s="300">
        <v>45901</v>
      </c>
      <c r="HE236" s="300" t="e">
        <v>#N/A</v>
      </c>
      <c r="HF236" s="300">
        <v>45914</v>
      </c>
      <c r="HG236" s="447">
        <v>45909</v>
      </c>
      <c r="HH236"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36" s="300" t="s">
        <v>261</v>
      </c>
      <c r="HJ236" s="300" t="s">
        <v>261</v>
      </c>
      <c r="HK236" s="390"/>
      <c r="HL236" s="304"/>
      <c r="HM236" s="300">
        <v>45919</v>
      </c>
      <c r="HN236" s="300">
        <v>45919</v>
      </c>
      <c r="HO236" s="300" t="e">
        <v>#N/A</v>
      </c>
      <c r="HP236" s="497"/>
      <c r="HQ236" s="390">
        <v>45929</v>
      </c>
      <c r="HR236"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6" s="300">
        <v>45926</v>
      </c>
      <c r="HT236" s="300"/>
      <c r="HU236" s="300">
        <v>45926</v>
      </c>
      <c r="HV236" s="497"/>
      <c r="HW236" s="301">
        <v>45934</v>
      </c>
      <c r="HX236" s="390"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6" s="42"/>
      <c r="HZ236" s="447"/>
      <c r="IA236" s="306"/>
      <c r="IC236" s="585">
        <f>IFERROR(ROUND((Table1[[#This Row],[PLAN TC
finish]]-Table1[[#This Row],[PLAN MC-0
start]])/30,2),"")</f>
        <v>0.9</v>
      </c>
      <c r="ID236">
        <f>DATEDIF(Table1[[#This Row],[PLAN MC-0
start]],Table1[[#This Row],[PLAN TC
finish]],"m")</f>
        <v>0</v>
      </c>
    </row>
    <row r="237" spans="2:238" s="4" customFormat="1" ht="15" customHeight="1" x14ac:dyDescent="0.25">
      <c r="B237" s="281">
        <f>SUBTOTAL(3,$D$5:D237)</f>
        <v>233</v>
      </c>
      <c r="C237" s="286">
        <v>233</v>
      </c>
      <c r="D237" s="308" t="s">
        <v>629</v>
      </c>
      <c r="E237" s="308" t="s">
        <v>1816</v>
      </c>
      <c r="F237" s="308" t="s">
        <v>1817</v>
      </c>
      <c r="G237" s="319">
        <v>46117</v>
      </c>
      <c r="H237" s="284" t="s">
        <v>247</v>
      </c>
      <c r="I237" s="308" t="s">
        <v>248</v>
      </c>
      <c r="J237" s="450" t="s">
        <v>1818</v>
      </c>
      <c r="K237" s="308" t="s">
        <v>915</v>
      </c>
      <c r="L237" s="286" t="s">
        <v>250</v>
      </c>
      <c r="M237" s="325" t="s">
        <v>251</v>
      </c>
      <c r="N237" s="94">
        <v>2363</v>
      </c>
      <c r="O237" s="113" t="s">
        <v>252</v>
      </c>
      <c r="P2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7" s="290" t="s">
        <v>1819</v>
      </c>
      <c r="R237" s="35">
        <v>0.89951060580720976</v>
      </c>
      <c r="S237" s="34">
        <v>1</v>
      </c>
      <c r="T237" s="34">
        <f>Table1[[#This Row],[Progres Total Aktual
(%)]]</f>
        <v>1</v>
      </c>
      <c r="U237" s="85">
        <f>Table1[[#This Row],[Progres Aktual
(%)]]-Table1[[#This Row],[Target Progres
(%)]]</f>
        <v>0</v>
      </c>
      <c r="V237" s="75">
        <f>Table1[[#This Row],["Volume
BA MC-0"]]</f>
        <v>2363</v>
      </c>
      <c r="W237" s="41">
        <f>Table1[[#This Row],[Total Panjang Pipa Aktual
(Sum-&gt;)3]]</f>
        <v>2107.5</v>
      </c>
      <c r="X237" s="42"/>
      <c r="Y237" s="62" t="s">
        <v>1820</v>
      </c>
      <c r="Z237" s="62">
        <v>48813195121</v>
      </c>
      <c r="AA237" s="428">
        <f>ROUND((Table1[[#This Row],[Nilai RAB Jaringan
(Exclude Ppn)]]-Table1[[#This Row],[RAB Perizinan]])*1.11+Table1[[#This Row],[RAB Perizinan]],0)</f>
        <v>48813195120</v>
      </c>
      <c r="AB237" s="406">
        <f>SUM(Table1[[#This Row],[RAB Kegiatan Umum]:[RAB Perizinan]])</f>
        <v>43984963701</v>
      </c>
      <c r="AC237" s="451">
        <v>1778006120</v>
      </c>
      <c r="AD237" s="452">
        <v>22225076498</v>
      </c>
      <c r="AE237" s="406">
        <v>19889930283</v>
      </c>
      <c r="AF237" s="406">
        <v>91950800</v>
      </c>
      <c r="AG237" s="453">
        <v>0</v>
      </c>
      <c r="AH237" s="33">
        <f>SUM(Table1[[#This Row],[Bobot Keg Umum]:[Bobot Perizinan]])</f>
        <v>1</v>
      </c>
      <c r="AI237" s="33">
        <f>Table1[[#This Row],[RAB Kegiatan Umum]]/Table1[[#This Row],[Nilai RAB Jaringan
(Exclude Ppn)]]</f>
        <v>4.0423043931250915E-2</v>
      </c>
      <c r="AJ237" s="33">
        <f>Table1[[#This Row],[RAB Pemasangan]]/Table1[[#This Row],[Nilai RAB Jaringan
(Exclude Ppn)]]</f>
        <v>0.50528804909516645</v>
      </c>
      <c r="AK237" s="33">
        <f>Table1[[#This Row],[RAB Pengadaan]]/Table1[[#This Row],[Nilai RAB Jaringan
(Exclude Ppn)]]</f>
        <v>0.452198401667609</v>
      </c>
      <c r="AL237" s="33">
        <f>Table1[[#This Row],[RAB Perizinan]]/Table1[[#This Row],[Nilai RAB Jaringan
(Exclude Ppn)]]</f>
        <v>2.0905053059736751E-3</v>
      </c>
      <c r="AM237" s="42"/>
      <c r="AN237" s="256">
        <v>2363</v>
      </c>
      <c r="AO237" s="256">
        <f>SUM(Table1[[#This Row],[Pipa 63 mm]:[Pipa 1,800 mm]])</f>
        <v>2363</v>
      </c>
      <c r="AP237" s="256"/>
      <c r="AQ237" s="256"/>
      <c r="AR237" s="256"/>
      <c r="AS237" s="256"/>
      <c r="AT237" s="256"/>
      <c r="AU237" s="256"/>
      <c r="AV237" s="256"/>
      <c r="AW237" s="256"/>
      <c r="AX237" s="256"/>
      <c r="AY237" s="256"/>
      <c r="AZ237" s="256">
        <v>2363</v>
      </c>
      <c r="BA237" s="256"/>
      <c r="BB237" s="256"/>
      <c r="BC237" s="256"/>
      <c r="BD237" s="256"/>
      <c r="BE237" s="256"/>
      <c r="BF237" s="256"/>
      <c r="BG237" s="256"/>
      <c r="BH237" s="256"/>
      <c r="BI237" s="256"/>
      <c r="BJ237" s="36">
        <f>SUM(Table1[[#This Row],[Pipa 63 mm2]:[Pipa 1,800 mm21]])</f>
        <v>2107.5</v>
      </c>
      <c r="BK237" s="32"/>
      <c r="BL237" s="32"/>
      <c r="BM237" s="32"/>
      <c r="BN237" s="32"/>
      <c r="BO237" s="32"/>
      <c r="BP237" s="32"/>
      <c r="BQ237" s="32"/>
      <c r="BR237" s="32"/>
      <c r="BS237" s="32"/>
      <c r="BT237" s="32"/>
      <c r="BU237" s="32">
        <v>2107.5</v>
      </c>
      <c r="BV237" s="32"/>
      <c r="BW237" s="32"/>
      <c r="BX237" s="32"/>
      <c r="BY237" s="32"/>
      <c r="BZ237" s="32"/>
      <c r="CA237" s="32"/>
      <c r="CB237" s="32"/>
      <c r="CC237" s="32"/>
      <c r="CD237" s="32"/>
      <c r="CE237" s="32"/>
      <c r="CF237" s="32"/>
      <c r="CG237" s="32"/>
      <c r="CH237" s="32"/>
      <c r="CI237" s="32">
        <f t="shared" si="12"/>
        <v>0</v>
      </c>
      <c r="CJ237" s="60">
        <f>IF((Table1[[#This Row],["Volume
BA MC-0"]]-Table1[[#This Row],[Total Panjang Pipa Aktual
(Sum-&gt;)3]]-Table1[[#This Row],[Total Volume
tidak dapat dipasang]])&gt;=0,Table1[[#This Row],["Volume
BA MC-0"]]-Table1[[#This Row],[Total Panjang Pipa Aktual
(Sum-&gt;)3]]-Table1[[#This Row],[Total Volume
tidak dapat dipasang]],0)</f>
        <v>255.5</v>
      </c>
      <c r="CK237" s="42"/>
      <c r="CL237" s="454" t="s">
        <v>1821</v>
      </c>
      <c r="CM237" s="34" t="s">
        <v>1821</v>
      </c>
      <c r="CN237" s="454" t="s">
        <v>1821</v>
      </c>
      <c r="CO237" s="454" t="s">
        <v>1821</v>
      </c>
      <c r="CP2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7" s="61">
        <f>IFERROR(Table1[[#This Row],[Progres Keg. Umum
(%)]]*Table1[[#This Row],[Nilai RAB Jaringan
(file pa aji)]],0)</f>
        <v>0</v>
      </c>
      <c r="CR237" s="61">
        <f>IFERROR(Table1[[#This Row],[Progres MOS
(%)]]*Table1[[#This Row],[Nilai RAB Jaringan
(file pa aji)]],0)</f>
        <v>0</v>
      </c>
      <c r="CS237" s="61">
        <f>IFERROR(Table1[[#This Row],[Progres Pemasangan
(%)]]*Table1[[#This Row],[Nilai RAB Jaringan
(file pa aji)]],0)</f>
        <v>0</v>
      </c>
      <c r="CT237" s="61">
        <f>IFERROR(Table1[[#This Row],[Progres Perizinan
(%)]]*Table1[[#This Row],[Nilai RAB Jaringan
(file pa aji)]],0)</f>
        <v>0</v>
      </c>
      <c r="CU237" s="789">
        <v>40050406375</v>
      </c>
      <c r="CV237" s="299">
        <v>40050406375</v>
      </c>
      <c r="CW237" s="552">
        <v>40050406375</v>
      </c>
      <c r="CX237" s="789">
        <f>_xlfn.XLOOKUP(Table1[[#This Row],[Kode Program]],'[1]Breakdown VOWD Greenfield'!$E:$E,'[1]Breakdown VOWD Greenfield'!$AT:$AT)</f>
        <v>40050406375</v>
      </c>
      <c r="CY237" s="42"/>
      <c r="CZ237" s="300">
        <v>45803</v>
      </c>
      <c r="DA237" s="300">
        <v>45830</v>
      </c>
      <c r="DB237" s="301">
        <v>45776</v>
      </c>
      <c r="DC237" s="286" t="s">
        <v>1822</v>
      </c>
      <c r="DD237" s="62">
        <v>50475884742</v>
      </c>
      <c r="DE2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7" s="301">
        <v>45807</v>
      </c>
      <c r="DG237" s="286" t="s">
        <v>1823</v>
      </c>
      <c r="DH237" s="62">
        <v>50475884742</v>
      </c>
      <c r="DI2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7" s="300">
        <v>45831</v>
      </c>
      <c r="DK237" s="300">
        <v>45900</v>
      </c>
      <c r="DL237" s="301">
        <v>45874</v>
      </c>
      <c r="DM237" s="286" t="s">
        <v>1824</v>
      </c>
      <c r="DN2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7" s="301">
        <v>45894</v>
      </c>
      <c r="DP237" s="286" t="s">
        <v>1825</v>
      </c>
      <c r="DQ237" s="308" t="s">
        <v>1826</v>
      </c>
      <c r="DR2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7" s="300">
        <v>45831</v>
      </c>
      <c r="DT237" s="300" t="e">
        <v>#N/A</v>
      </c>
      <c r="DU237" s="300">
        <v>45872</v>
      </c>
      <c r="DV237" s="300" t="e">
        <v>#N/A</v>
      </c>
      <c r="DW237" s="301">
        <v>46036</v>
      </c>
      <c r="DX237" s="286" t="s">
        <v>1827</v>
      </c>
      <c r="DY237" s="304">
        <v>166</v>
      </c>
      <c r="DZ237" s="304">
        <v>166</v>
      </c>
      <c r="EA2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7" s="301"/>
      <c r="EC237" s="302">
        <v>120</v>
      </c>
      <c r="ED237" s="302">
        <v>120</v>
      </c>
      <c r="EE237" s="300"/>
      <c r="EF237" s="35">
        <v>0.72289156626506024</v>
      </c>
      <c r="EG237" s="35">
        <f>Table1[[#This Row],[Line PO (kolom  bantu)2]]/Table1[[#This Row],[Line PR]]</f>
        <v>0.72289156626506024</v>
      </c>
      <c r="EH237" s="286" t="str">
        <f>IF(Table1[[#This Row],[PO Material Aktual 
(%)]]&gt;=100%,"Selesai PO = 100%",IF(Table1[[#This Row],[PO Material Aktual 
(%)]]&gt;=50%,"Proses PO &gt; 100%",IF(Table1[[#This Row],[PO Material Aktual 
(%)]]&gt;0%,"Proses PO &gt; 50%",IF(Table1[[#This Row],[PO Material Aktual 
(%)]]=0,"Belum PO = 0%"))))</f>
        <v>Proses PO &gt; 100%</v>
      </c>
      <c r="EI2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37" s="300">
        <v>45873</v>
      </c>
      <c r="EK237" s="300" t="e">
        <v>#N/A</v>
      </c>
      <c r="EL237" s="300">
        <v>46019</v>
      </c>
      <c r="EM237" s="300" t="e">
        <v>#N/A</v>
      </c>
      <c r="EN237" s="301"/>
      <c r="EO237" s="286">
        <v>119</v>
      </c>
      <c r="EP237" s="593">
        <v>119</v>
      </c>
      <c r="EQ237" s="592">
        <v>0.7168674698795181</v>
      </c>
      <c r="ER237" s="592">
        <f>Table1[[#This Row],[Line MOS]]/Table1[[#This Row],[Line PR]]</f>
        <v>0.7168674698795181</v>
      </c>
      <c r="ES237" s="286" t="str">
        <f>IF(Table1[[#This Row],[Progres MOS]]&gt;=100%,"Selesai MOS = 100%",IF(Table1[[#This Row],[Progres MOS]]&gt;=50%,"Proses MOS &gt; 100%",IF(Table1[[#This Row],[Progres MOS]]&gt;0%,"Proses MOS &gt; 50%",IF(Table1[[#This Row],[Progres MOS]]=0,"Belum MOS = 0%"))))</f>
        <v>Proses MOS &gt; 100%</v>
      </c>
      <c r="ET2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37" s="42"/>
      <c r="EV237" s="300">
        <v>45831</v>
      </c>
      <c r="EW237" s="300" t="e">
        <v>#N/A</v>
      </c>
      <c r="EX237" s="300">
        <v>45928</v>
      </c>
      <c r="EY237" s="300" t="e">
        <v>#N/A</v>
      </c>
      <c r="EZ237" s="322" t="s">
        <v>259</v>
      </c>
      <c r="FA237" s="306" t="s">
        <v>259</v>
      </c>
      <c r="FB237" s="300" t="s">
        <v>260</v>
      </c>
      <c r="FC237" s="300">
        <v>45857</v>
      </c>
      <c r="FD237" s="300" t="s">
        <v>260</v>
      </c>
      <c r="FE237" s="300">
        <v>45884</v>
      </c>
      <c r="FF237" s="300">
        <v>45919</v>
      </c>
      <c r="FG237" s="300" t="s">
        <v>260</v>
      </c>
      <c r="FH237" s="300" t="s">
        <v>260</v>
      </c>
      <c r="FI237" s="300">
        <v>45993</v>
      </c>
      <c r="FJ237" s="300" t="s">
        <v>260</v>
      </c>
      <c r="FK237" s="300">
        <v>46094</v>
      </c>
      <c r="FL237" s="306" t="s">
        <v>259</v>
      </c>
      <c r="FM237" s="322">
        <v>45857</v>
      </c>
      <c r="FN237" s="308">
        <f>IF(Table1[[#This Row],[Tanggal Pengajuan Dokumen]]="","",Table1[[#This Row],[PLAN PERMIT
start]]-Table1[[#This Row],[Tanggal Pengajuan Dokumen]])</f>
        <v>-26</v>
      </c>
      <c r="FO237" s="407">
        <v>46064</v>
      </c>
      <c r="FP237" s="286"/>
      <c r="FQ237" s="308"/>
      <c r="FR237" s="308"/>
      <c r="FS237" s="308" t="str">
        <f t="shared" si="11"/>
        <v>Sudah Terbit</v>
      </c>
      <c r="FT2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37" s="314">
        <f ca="1">IF(Table1[[#This Row],[Status Izin]]="Selesai",Table1[[#This Row],[PLAN PERMIT
finish]]-Table1[[#This Row],[Tanggal Terbit/ Target Izin Terbit]],ROUNDUP(Table1[[#This Row],[PLAN PERMIT
finish]]-NOW(),0))</f>
        <v>-136</v>
      </c>
      <c r="FV2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37" s="314"/>
      <c r="FX237" s="42"/>
      <c r="FY237" s="310"/>
      <c r="FZ237" s="311">
        <v>45911</v>
      </c>
      <c r="GA2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7" s="300">
        <v>45902</v>
      </c>
      <c r="GC237" s="322">
        <v>45997</v>
      </c>
      <c r="GD2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37" s="300">
        <v>45909</v>
      </c>
      <c r="GF237" s="322">
        <v>45970</v>
      </c>
      <c r="GG2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7" s="300">
        <v>45915</v>
      </c>
      <c r="GI237" s="300">
        <v>45921</v>
      </c>
      <c r="GJ237" s="322">
        <v>45970</v>
      </c>
      <c r="GK2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37" s="300">
        <v>45929</v>
      </c>
      <c r="GM237" s="300" t="e">
        <v>#N/A</v>
      </c>
      <c r="GN237" s="300">
        <v>46096</v>
      </c>
      <c r="GO237" s="300" t="e">
        <v>#N/A</v>
      </c>
      <c r="GP237" s="286"/>
      <c r="GQ2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7" s="300" t="s">
        <v>261</v>
      </c>
      <c r="GS237" s="300" t="s">
        <v>261</v>
      </c>
      <c r="GT237" s="300">
        <v>46130</v>
      </c>
      <c r="GU237" s="314" t="str">
        <f>IF(Table1[[#This Row],[Hydro Tes Actual
(tanggal)]]&lt;&gt;"","Sudah","Belum")</f>
        <v>Sudah</v>
      </c>
      <c r="GV237" s="300" t="s">
        <v>261</v>
      </c>
      <c r="GW237" s="300" t="s">
        <v>261</v>
      </c>
      <c r="GX237" s="300">
        <v>46130</v>
      </c>
      <c r="GY237" s="314" t="str">
        <f>IF(Table1[[#This Row],[Interkoneksi Actual
(tanggal)]]&lt;&gt;"","Sudah","Belum")</f>
        <v>Sudah</v>
      </c>
      <c r="GZ237" s="300" t="s">
        <v>261</v>
      </c>
      <c r="HA237" s="300" t="s">
        <v>261</v>
      </c>
      <c r="HB237" s="300">
        <v>46155</v>
      </c>
      <c r="HC237" s="314" t="str">
        <f>IF(Table1[[#This Row],[Flushing Actual
(tanggal)]]&lt;&gt;"","Sudah","Belum")</f>
        <v>Sudah</v>
      </c>
      <c r="HD237" s="300">
        <v>46069</v>
      </c>
      <c r="HE237" s="300" t="e">
        <v>#N/A</v>
      </c>
      <c r="HF237" s="300">
        <v>46082</v>
      </c>
      <c r="HG237" s="322">
        <v>46178</v>
      </c>
      <c r="HH2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7" s="300" t="s">
        <v>261</v>
      </c>
      <c r="HJ237" s="300" t="s">
        <v>261</v>
      </c>
      <c r="HK237" s="301"/>
      <c r="HL237" s="286"/>
      <c r="HM237" s="300">
        <v>46101</v>
      </c>
      <c r="HN237" s="300">
        <v>46101</v>
      </c>
      <c r="HO237" s="300" t="e">
        <v>#N/A</v>
      </c>
      <c r="HP237" s="300" t="s">
        <v>260</v>
      </c>
      <c r="HQ237" s="301"/>
      <c r="HR23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37" s="300">
        <v>46108</v>
      </c>
      <c r="HT237" s="300"/>
      <c r="HU237" s="300">
        <v>46108</v>
      </c>
      <c r="HV237" s="300"/>
      <c r="HW237" s="301"/>
      <c r="HX2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37" s="42"/>
      <c r="HZ237" s="322"/>
      <c r="IA237" s="322"/>
      <c r="IC237" s="585">
        <f>IFERROR(ROUND((Table1[[#This Row],[PLAN TC
finish]]-Table1[[#This Row],[PLAN MC-0
start]])/30,2),"")</f>
        <v>5.57</v>
      </c>
      <c r="ID237">
        <f>DATEDIF(Table1[[#This Row],[PLAN MC-0
start]],Table1[[#This Row],[PLAN TC
finish]],"m")</f>
        <v>5</v>
      </c>
    </row>
    <row r="238" spans="2:238" s="4" customFormat="1" ht="15" customHeight="1" x14ac:dyDescent="0.25">
      <c r="B238" s="281">
        <f>SUBTOTAL(3,$D$5:D238)</f>
        <v>234</v>
      </c>
      <c r="C238" s="286">
        <v>234</v>
      </c>
      <c r="D238" s="308" t="s">
        <v>629</v>
      </c>
      <c r="E238" s="308" t="s">
        <v>1828</v>
      </c>
      <c r="F238" s="308" t="s">
        <v>1829</v>
      </c>
      <c r="G238" s="319">
        <v>46117</v>
      </c>
      <c r="H238" s="284" t="s">
        <v>247</v>
      </c>
      <c r="I238" s="308" t="s">
        <v>248</v>
      </c>
      <c r="J238" s="450" t="s">
        <v>1830</v>
      </c>
      <c r="K238" s="308" t="s">
        <v>632</v>
      </c>
      <c r="L238" s="286" t="s">
        <v>250</v>
      </c>
      <c r="M238" s="325" t="s">
        <v>251</v>
      </c>
      <c r="N238" s="94">
        <v>2248</v>
      </c>
      <c r="O238" s="113" t="s">
        <v>252</v>
      </c>
      <c r="P2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8" s="35">
        <v>0.9082112638787081</v>
      </c>
      <c r="S238" s="34">
        <v>1</v>
      </c>
      <c r="T238" s="34">
        <f>Table1[[#This Row],[Progres Total Aktual
(%)]]</f>
        <v>1</v>
      </c>
      <c r="U238" s="85">
        <f>Table1[[#This Row],[Progres Aktual
(%)]]-Table1[[#This Row],[Target Progres
(%)]]</f>
        <v>0</v>
      </c>
      <c r="V238" s="75">
        <f>Table1[[#This Row],["Volume
BA MC-0"]]</f>
        <v>2248</v>
      </c>
      <c r="W238" s="41">
        <f>Table1[[#This Row],[Total Panjang Pipa Aktual
(Sum-&gt;)3]]</f>
        <v>2183.6999999999998</v>
      </c>
      <c r="X238" s="42"/>
      <c r="Y238" s="62" t="s">
        <v>1831</v>
      </c>
      <c r="Z238" s="62">
        <v>161684727811.64001</v>
      </c>
      <c r="AA238" s="428">
        <f>ROUND((Table1[[#This Row],[Nilai RAB Jaringan
(Exclude Ppn)]]-Table1[[#This Row],[RAB Perizinan]])*1.11+Table1[[#This Row],[RAB Perizinan]],0)</f>
        <v>161684727812</v>
      </c>
      <c r="AB238" s="406">
        <f>SUM(Table1[[#This Row],[RAB Kegiatan Umum]:[RAB Perizinan]])</f>
        <v>145690776451</v>
      </c>
      <c r="AC238" s="406">
        <v>3299351015</v>
      </c>
      <c r="AD238" s="406">
        <v>54989183567</v>
      </c>
      <c r="AE238" s="406">
        <v>87111023242</v>
      </c>
      <c r="AF238" s="406">
        <v>291218627</v>
      </c>
      <c r="AG238" s="453">
        <v>0</v>
      </c>
      <c r="AH238" s="33">
        <f>SUM(Table1[[#This Row],[Bobot Keg Umum]:[Bobot Perizinan]])</f>
        <v>1</v>
      </c>
      <c r="AI238" s="33">
        <f>Table1[[#This Row],[RAB Kegiatan Umum]]/Table1[[#This Row],[Nilai RAB Jaringan
(Exclude Ppn)]]</f>
        <v>2.2646258708832311E-2</v>
      </c>
      <c r="AJ238" s="33">
        <f>Table1[[#This Row],[RAB Pemasangan]]/Table1[[#This Row],[Nilai RAB Jaringan
(Exclude Ppn)]]</f>
        <v>0.37743764503509558</v>
      </c>
      <c r="AK238" s="33">
        <f>Table1[[#This Row],[RAB Pengadaan]]/Table1[[#This Row],[Nilai RAB Jaringan
(Exclude Ppn)]]</f>
        <v>0.59791721455543168</v>
      </c>
      <c r="AL238" s="33">
        <f>Table1[[#This Row],[RAB Perizinan]]/Table1[[#This Row],[Nilai RAB Jaringan
(Exclude Ppn)]]</f>
        <v>1.9988817006404329E-3</v>
      </c>
      <c r="AM238" s="42"/>
      <c r="AN238" s="256">
        <v>2248</v>
      </c>
      <c r="AO238" s="256">
        <f>SUM(Table1[[#This Row],[Pipa 63 mm]:[Pipa 1,800 mm]])</f>
        <v>2307</v>
      </c>
      <c r="AP238" s="256"/>
      <c r="AQ238" s="256"/>
      <c r="AR238" s="256"/>
      <c r="AS238" s="256"/>
      <c r="AT238" s="256"/>
      <c r="AU238" s="256"/>
      <c r="AV238" s="256"/>
      <c r="AW238" s="256"/>
      <c r="AX238" s="256"/>
      <c r="AY238" s="256"/>
      <c r="AZ238" s="256"/>
      <c r="BA238" s="256"/>
      <c r="BB238" s="256"/>
      <c r="BC238" s="256"/>
      <c r="BD238" s="256"/>
      <c r="BE238" s="256"/>
      <c r="BF238" s="256"/>
      <c r="BG238" s="256"/>
      <c r="BH238" s="256">
        <v>2307</v>
      </c>
      <c r="BI238" s="256"/>
      <c r="BJ238" s="36">
        <f>SUM(Table1[[#This Row],[Pipa 63 mm2]:[Pipa 1,800 mm21]])</f>
        <v>2183.6999999999998</v>
      </c>
      <c r="BK238" s="32"/>
      <c r="BL238" s="32"/>
      <c r="BM238" s="32"/>
      <c r="BN238" s="32"/>
      <c r="BO238" s="32"/>
      <c r="BP238" s="32"/>
      <c r="BQ238" s="32"/>
      <c r="BR238" s="32"/>
      <c r="BS238" s="32"/>
      <c r="BT238" s="32"/>
      <c r="BU238" s="32"/>
      <c r="BV238" s="32"/>
      <c r="BW238" s="32"/>
      <c r="BX238" s="32"/>
      <c r="BY238" s="32"/>
      <c r="BZ238" s="32"/>
      <c r="CA238" s="32"/>
      <c r="CB238" s="32"/>
      <c r="CC238" s="32">
        <v>2183.6999999999998</v>
      </c>
      <c r="CD238" s="32"/>
      <c r="CE238" s="32"/>
      <c r="CF238" s="32"/>
      <c r="CG238" s="32"/>
      <c r="CH238" s="32"/>
      <c r="CI238" s="32">
        <f t="shared" si="12"/>
        <v>0</v>
      </c>
      <c r="CJ238" s="60">
        <f>IF((Table1[[#This Row],["Volume
BA MC-0"]]-Table1[[#This Row],[Total Panjang Pipa Aktual
(Sum-&gt;)3]]-Table1[[#This Row],[Total Volume
tidak dapat dipasang]])&gt;=0,Table1[[#This Row],["Volume
BA MC-0"]]-Table1[[#This Row],[Total Panjang Pipa Aktual
(Sum-&gt;)3]]-Table1[[#This Row],[Total Volume
tidak dapat dipasang]],0)</f>
        <v>64.300000000000182</v>
      </c>
      <c r="CK238" s="42"/>
      <c r="CL238" s="297">
        <v>4.1999999999999997E-3</v>
      </c>
      <c r="CM238" s="34">
        <v>0.1721</v>
      </c>
      <c r="CN238" s="297">
        <v>1E-4</v>
      </c>
      <c r="CO238" s="297">
        <v>0</v>
      </c>
      <c r="CP2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8" s="61">
        <f>IFERROR(Table1[[#This Row],[Progres Keg. Umum
(%)]]*Table1[[#This Row],[Nilai RAB Jaringan
(file pa aji)]],0)</f>
        <v>679075856.80888808</v>
      </c>
      <c r="CR238" s="61">
        <f>IFERROR(Table1[[#This Row],[Progres MOS
(%)]]*Table1[[#This Row],[Nilai RAB Jaringan
(file pa aji)]],0)</f>
        <v>27825941656.383247</v>
      </c>
      <c r="CS238" s="61">
        <f>IFERROR(Table1[[#This Row],[Progres Pemasangan
(%)]]*Table1[[#This Row],[Nilai RAB Jaringan
(file pa aji)]],0)</f>
        <v>16168472.781164002</v>
      </c>
      <c r="CT238" s="61">
        <f>IFERROR(Table1[[#This Row],[Progres Perizinan
(%)]]*Table1[[#This Row],[Nilai RAB Jaringan
(file pa aji)]],0)</f>
        <v>0</v>
      </c>
      <c r="CU238" s="789">
        <v>144789880439</v>
      </c>
      <c r="CV238" s="299">
        <v>144789880439</v>
      </c>
      <c r="CW238" s="552">
        <v>144789880439</v>
      </c>
      <c r="CX238" s="789">
        <f>_xlfn.XLOOKUP(Table1[[#This Row],[Kode Program]],'[1]Breakdown VOWD Greenfield'!$E:$E,'[1]Breakdown VOWD Greenfield'!$AT:$AT)</f>
        <v>144789880439</v>
      </c>
      <c r="CY238" s="42"/>
      <c r="CZ238" s="300">
        <v>45803</v>
      </c>
      <c r="DA238" s="300">
        <v>45830</v>
      </c>
      <c r="DB238" s="301">
        <v>45365</v>
      </c>
      <c r="DC238" s="286" t="s">
        <v>1832</v>
      </c>
      <c r="DD238" s="62">
        <v>161457209185</v>
      </c>
      <c r="DE2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8" s="301">
        <v>45805</v>
      </c>
      <c r="DG238" s="286" t="s">
        <v>1833</v>
      </c>
      <c r="DH238" s="62">
        <v>161457209185</v>
      </c>
      <c r="DI2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8" s="300">
        <v>45831</v>
      </c>
      <c r="DK238" s="300">
        <v>45900</v>
      </c>
      <c r="DL238" s="301">
        <v>45825</v>
      </c>
      <c r="DM238" s="286" t="s">
        <v>1834</v>
      </c>
      <c r="DN2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8" s="301">
        <v>45924</v>
      </c>
      <c r="DP238" s="286" t="s">
        <v>1835</v>
      </c>
      <c r="DQ238" s="308" t="s">
        <v>1836</v>
      </c>
      <c r="DR2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38" s="300">
        <v>45831</v>
      </c>
      <c r="DT238" s="300" t="e">
        <v>#N/A</v>
      </c>
      <c r="DU238" s="300">
        <v>45872</v>
      </c>
      <c r="DV238" s="300" t="e">
        <v>#N/A</v>
      </c>
      <c r="DW238" s="301">
        <v>45912</v>
      </c>
      <c r="DX238" s="286" t="s">
        <v>1837</v>
      </c>
      <c r="DY238" s="304">
        <v>150</v>
      </c>
      <c r="DZ238" s="304">
        <v>150</v>
      </c>
      <c r="EA2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8" s="301">
        <v>46080</v>
      </c>
      <c r="EC238" s="302">
        <v>126</v>
      </c>
      <c r="ED238" s="302">
        <v>126</v>
      </c>
      <c r="EE238" s="300" t="s">
        <v>1838</v>
      </c>
      <c r="EF238" s="35">
        <v>1</v>
      </c>
      <c r="EG238" s="307">
        <v>1</v>
      </c>
      <c r="EH238" s="286" t="str">
        <f>IF(Table1[[#This Row],[PO Material Aktual 
(%)]]&gt;=100%,"Selesai PO = 100%",IF(Table1[[#This Row],[PO Material Aktual 
(%)]]&gt;=50%,"Proses PO &gt; 100%",IF(Table1[[#This Row],[PO Material Aktual 
(%)]]&gt;0%,"Proses PO &gt; 50%",IF(Table1[[#This Row],[PO Material Aktual 
(%)]]=0,"Belum PO = 0%"))))</f>
        <v>Selesai PO = 100%</v>
      </c>
      <c r="EI2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8" s="300">
        <v>45873</v>
      </c>
      <c r="EK238" s="300" t="e">
        <v>#N/A</v>
      </c>
      <c r="EL238" s="300">
        <v>46019</v>
      </c>
      <c r="EM238" s="300" t="e">
        <v>#N/A</v>
      </c>
      <c r="EN238" s="301">
        <v>46107</v>
      </c>
      <c r="EO238" s="302">
        <v>128</v>
      </c>
      <c r="EP238" s="302">
        <v>128</v>
      </c>
      <c r="EQ238" s="35">
        <v>0.85333333333333339</v>
      </c>
      <c r="ER238" s="35">
        <f>Table1[[#This Row],[Line MOS]]/Table1[[#This Row],[Line PR]]</f>
        <v>0.85333333333333339</v>
      </c>
      <c r="ES238" s="286" t="str">
        <f>IF(Table1[[#This Row],[Progres MOS]]&gt;=100%,"Selesai MOS = 100%",IF(Table1[[#This Row],[Progres MOS]]&gt;=50%,"Proses MOS &gt; 100%",IF(Table1[[#This Row],[Progres MOS]]&gt;0%,"Proses MOS &gt; 50%",IF(Table1[[#This Row],[Progres MOS]]=0,"Belum MOS = 0%"))))</f>
        <v>Proses MOS &gt; 100%</v>
      </c>
      <c r="ET2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8" s="42"/>
      <c r="EV238" s="300">
        <v>45831</v>
      </c>
      <c r="EW238" s="300" t="e">
        <v>#N/A</v>
      </c>
      <c r="EX238" s="300">
        <v>45928</v>
      </c>
      <c r="EY238" s="300" t="e">
        <v>#N/A</v>
      </c>
      <c r="EZ238" s="322" t="s">
        <v>259</v>
      </c>
      <c r="FA238" s="306" t="s">
        <v>259</v>
      </c>
      <c r="FB238" s="300" t="s">
        <v>260</v>
      </c>
      <c r="FC238" s="300">
        <v>45013</v>
      </c>
      <c r="FD238" s="300" t="s">
        <v>260</v>
      </c>
      <c r="FE238" s="300">
        <v>45139</v>
      </c>
      <c r="FF238" s="300">
        <v>45870</v>
      </c>
      <c r="FG238" s="300" t="s">
        <v>260</v>
      </c>
      <c r="FH238" s="300" t="s">
        <v>260</v>
      </c>
      <c r="FI238" s="300">
        <v>45195</v>
      </c>
      <c r="FJ238" s="300" t="s">
        <v>260</v>
      </c>
      <c r="FK238" s="300">
        <v>45573</v>
      </c>
      <c r="FL238" s="306" t="s">
        <v>259</v>
      </c>
      <c r="FM238" s="322">
        <v>45013</v>
      </c>
      <c r="FN238" s="308">
        <f>IF(Table1[[#This Row],[Tanggal Pengajuan Dokumen]]="","",Table1[[#This Row],[PLAN PERMIT
start]]-Table1[[#This Row],[Tanggal Pengajuan Dokumen]])</f>
        <v>818</v>
      </c>
      <c r="FO238" s="407">
        <v>45573</v>
      </c>
      <c r="FP238" s="286"/>
      <c r="FQ238" s="308"/>
      <c r="FR238" s="308" t="s">
        <v>171</v>
      </c>
      <c r="FS238" s="308" t="str">
        <f t="shared" si="11"/>
        <v>On Going</v>
      </c>
      <c r="FT2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8" s="314">
        <f ca="1">IF(Table1[[#This Row],[Status Izin]]="Selesai",Table1[[#This Row],[PLAN PERMIT
finish]]-Table1[[#This Row],[Tanggal Terbit/ Target Izin Terbit]],ROUNDUP(Table1[[#This Row],[PLAN PERMIT
finish]]-NOW(),0))</f>
        <v>-276</v>
      </c>
      <c r="FV2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8" s="314"/>
      <c r="FX238" s="42"/>
      <c r="FY238" s="310"/>
      <c r="FZ238" s="311">
        <v>45947</v>
      </c>
      <c r="GA2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8" s="300">
        <v>45902</v>
      </c>
      <c r="GC238" s="322">
        <v>45820</v>
      </c>
      <c r="GD2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8" s="300">
        <v>45909</v>
      </c>
      <c r="GF238" s="322">
        <v>45997</v>
      </c>
      <c r="GG2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38" s="300">
        <v>45915</v>
      </c>
      <c r="GI238" s="300">
        <v>45921</v>
      </c>
      <c r="GJ238" s="322">
        <v>45832</v>
      </c>
      <c r="GK2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8" s="300">
        <v>45929</v>
      </c>
      <c r="GM238" s="300" t="e">
        <v>#N/A</v>
      </c>
      <c r="GN238" s="300">
        <v>46096</v>
      </c>
      <c r="GO238" s="300" t="e">
        <v>#N/A</v>
      </c>
      <c r="GP238" s="286"/>
      <c r="GQ2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8" s="300" t="s">
        <v>261</v>
      </c>
      <c r="GS238" s="300" t="s">
        <v>261</v>
      </c>
      <c r="GT238" s="324">
        <v>46094</v>
      </c>
      <c r="GU238" s="314" t="str">
        <f>IF(Table1[[#This Row],[Hydro Tes Actual
(tanggal)]]&lt;&gt;"","Sudah","Belum")</f>
        <v>Sudah</v>
      </c>
      <c r="GV238" s="300" t="s">
        <v>261</v>
      </c>
      <c r="GW238" s="300" t="s">
        <v>261</v>
      </c>
      <c r="GX238" s="301">
        <v>46106</v>
      </c>
      <c r="GY238" s="314" t="str">
        <f>IF(Table1[[#This Row],[Interkoneksi Actual
(tanggal)]]&lt;&gt;"","Sudah","Belum")</f>
        <v>Sudah</v>
      </c>
      <c r="GZ238" s="300" t="s">
        <v>261</v>
      </c>
      <c r="HA238" s="300" t="s">
        <v>261</v>
      </c>
      <c r="HB238" s="301">
        <v>46107</v>
      </c>
      <c r="HC238" s="314" t="str">
        <f>IF(Table1[[#This Row],[Flushing Actual
(tanggal)]]&lt;&gt;"","Sudah","Belum")</f>
        <v>Sudah</v>
      </c>
      <c r="HD238" s="300">
        <v>46069</v>
      </c>
      <c r="HE238" s="300" t="e">
        <v>#N/A</v>
      </c>
      <c r="HF238" s="300">
        <v>46082</v>
      </c>
      <c r="HG238" s="322">
        <v>46115</v>
      </c>
      <c r="HH2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8" s="300" t="s">
        <v>261</v>
      </c>
      <c r="HJ238" s="300" t="s">
        <v>261</v>
      </c>
      <c r="HK238" s="301"/>
      <c r="HL238" s="286"/>
      <c r="HM238" s="300">
        <v>46101</v>
      </c>
      <c r="HN238" s="300">
        <v>46101</v>
      </c>
      <c r="HO238" s="300" t="e">
        <v>#N/A</v>
      </c>
      <c r="HP238" s="300"/>
      <c r="HQ238" s="301">
        <v>46116</v>
      </c>
      <c r="HR23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8" s="300">
        <v>46108</v>
      </c>
      <c r="HT238" s="300"/>
      <c r="HU238" s="300">
        <v>46108</v>
      </c>
      <c r="HV238" s="300"/>
      <c r="HW238" s="301">
        <v>46116</v>
      </c>
      <c r="HX2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8" s="42"/>
      <c r="HZ238" s="322"/>
      <c r="IA238" s="322"/>
      <c r="IC238" s="585">
        <f>IFERROR(ROUND((Table1[[#This Row],[PLAN TC
finish]]-Table1[[#This Row],[PLAN MC-0
start]])/30,2),"")</f>
        <v>5.57</v>
      </c>
      <c r="ID238">
        <f>DATEDIF(Table1[[#This Row],[PLAN MC-0
start]],Table1[[#This Row],[PLAN TC
finish]],"m")</f>
        <v>5</v>
      </c>
    </row>
    <row r="239" spans="2:238" s="4" customFormat="1" ht="15" customHeight="1" x14ac:dyDescent="0.25">
      <c r="B239" s="281">
        <f>SUBTOTAL(3,$D$5:D239)</f>
        <v>235</v>
      </c>
      <c r="C239" s="286">
        <v>235</v>
      </c>
      <c r="D239" s="308" t="s">
        <v>629</v>
      </c>
      <c r="E239" s="308" t="s">
        <v>1839</v>
      </c>
      <c r="F239" s="308" t="s">
        <v>1840</v>
      </c>
      <c r="G239" s="319">
        <v>46117</v>
      </c>
      <c r="H239" s="284" t="s">
        <v>247</v>
      </c>
      <c r="I239" s="308" t="s">
        <v>248</v>
      </c>
      <c r="J239" s="450" t="s">
        <v>1830</v>
      </c>
      <c r="K239" s="308" t="s">
        <v>632</v>
      </c>
      <c r="L239" s="286" t="s">
        <v>250</v>
      </c>
      <c r="M239" s="325" t="s">
        <v>251</v>
      </c>
      <c r="N239" s="94">
        <v>484</v>
      </c>
      <c r="O239" s="113" t="s">
        <v>252</v>
      </c>
      <c r="P2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39" s="35">
        <v>0.81687503729062705</v>
      </c>
      <c r="S239" s="34">
        <v>1</v>
      </c>
      <c r="T239" s="34">
        <f>Table1[[#This Row],[Progres Total Aktual
(%)]]</f>
        <v>1</v>
      </c>
      <c r="U239" s="85">
        <f>Table1[[#This Row],[Progres Aktual
(%)]]-Table1[[#This Row],[Target Progres
(%)]]</f>
        <v>0</v>
      </c>
      <c r="V239" s="75">
        <f>Table1[[#This Row],["Volume
BA MC-0"]]</f>
        <v>484</v>
      </c>
      <c r="W239" s="41">
        <f>Table1[[#This Row],[Total Panjang Pipa Aktual
(Sum-&gt;)3]]</f>
        <v>539</v>
      </c>
      <c r="X239" s="42"/>
      <c r="Y239" s="62" t="s">
        <v>1841</v>
      </c>
      <c r="Z239" s="62">
        <v>27152951022.120003</v>
      </c>
      <c r="AA239" s="62">
        <f>ROUND((Table1[[#This Row],[Nilai RAB Jaringan
(Exclude Ppn)]]-Table1[[#This Row],[RAB Perizinan]])*1.11+Table1[[#This Row],[RAB Perizinan]],0)</f>
        <v>27152951021</v>
      </c>
      <c r="AB239" s="406">
        <f>SUM(Table1[[#This Row],[RAB Kegiatan Umum]:[RAB Perizinan]])</f>
        <v>24469463445</v>
      </c>
      <c r="AC239" s="406">
        <v>1111501224</v>
      </c>
      <c r="AD239" s="406">
        <v>11115012233</v>
      </c>
      <c r="AE239" s="406">
        <v>12168828145</v>
      </c>
      <c r="AF239" s="406">
        <v>74121843</v>
      </c>
      <c r="AG239" s="453">
        <v>0</v>
      </c>
      <c r="AH239" s="33">
        <f>SUM(Table1[[#This Row],[Bobot Keg Umum]:[Bobot Perizinan]])</f>
        <v>1</v>
      </c>
      <c r="AI239" s="33">
        <f>Table1[[#This Row],[RAB Kegiatan Umum]]/Table1[[#This Row],[Nilai RAB Jaringan
(Exclude Ppn)]]</f>
        <v>4.5424012933439291E-2</v>
      </c>
      <c r="AJ239" s="33">
        <f>Table1[[#This Row],[RAB Pemasangan]]/Table1[[#This Row],[Nilai RAB Jaringan
(Exclude Ppn)]]</f>
        <v>0.45424012904832212</v>
      </c>
      <c r="AK239" s="33">
        <f>Table1[[#This Row],[RAB Pengadaan]]/Table1[[#This Row],[Nilai RAB Jaringan
(Exclude Ppn)]]</f>
        <v>0.49730670116048392</v>
      </c>
      <c r="AL239" s="33">
        <f>Table1[[#This Row],[RAB Perizinan]]/Table1[[#This Row],[Nilai RAB Jaringan
(Exclude Ppn)]]</f>
        <v>3.0291568577547126E-3</v>
      </c>
      <c r="AM239" s="42"/>
      <c r="AN239" s="256">
        <v>484</v>
      </c>
      <c r="AO239" s="256">
        <f>SUM(Table1[[#This Row],[Pipa 63 mm]:[Pipa 1,800 mm]])</f>
        <v>562</v>
      </c>
      <c r="AP239" s="256"/>
      <c r="AQ239" s="256"/>
      <c r="AR239" s="256"/>
      <c r="AS239" s="256"/>
      <c r="AT239" s="256"/>
      <c r="AU239" s="256"/>
      <c r="AV239" s="256"/>
      <c r="AW239" s="256"/>
      <c r="AX239" s="256"/>
      <c r="AY239" s="256"/>
      <c r="AZ239" s="256"/>
      <c r="BA239" s="256"/>
      <c r="BB239" s="256"/>
      <c r="BC239" s="256"/>
      <c r="BD239" s="256"/>
      <c r="BE239" s="256">
        <v>562</v>
      </c>
      <c r="BF239" s="256"/>
      <c r="BG239" s="256"/>
      <c r="BH239" s="256"/>
      <c r="BI239" s="256"/>
      <c r="BJ239" s="36">
        <f>SUM(Table1[[#This Row],[Pipa 63 mm2]:[Pipa 1,800 mm21]])</f>
        <v>539</v>
      </c>
      <c r="BK239" s="32"/>
      <c r="BL239" s="32"/>
      <c r="BM239" s="32"/>
      <c r="BN239" s="32"/>
      <c r="BO239" s="32"/>
      <c r="BP239" s="32"/>
      <c r="BQ239" s="32"/>
      <c r="BR239" s="32"/>
      <c r="BS239" s="32"/>
      <c r="BT239" s="32"/>
      <c r="BU239" s="32"/>
      <c r="BV239" s="32"/>
      <c r="BW239" s="32"/>
      <c r="BX239" s="32"/>
      <c r="BY239" s="32"/>
      <c r="BZ239" s="32">
        <v>539</v>
      </c>
      <c r="CA239" s="32"/>
      <c r="CB239" s="32"/>
      <c r="CC239" s="32"/>
      <c r="CD239" s="32"/>
      <c r="CE239" s="32"/>
      <c r="CF239" s="32"/>
      <c r="CG239" s="32"/>
      <c r="CH239" s="32"/>
      <c r="CI239" s="32">
        <f t="shared" si="12"/>
        <v>0</v>
      </c>
      <c r="CJ239" s="60">
        <f>IF((Table1[[#This Row],["Volume
BA MC-0"]]-Table1[[#This Row],[Total Panjang Pipa Aktual
(Sum-&gt;)3]]-Table1[[#This Row],[Total Volume
tidak dapat dipasang]])&gt;=0,Table1[[#This Row],["Volume
BA MC-0"]]-Table1[[#This Row],[Total Panjang Pipa Aktual
(Sum-&gt;)3]]-Table1[[#This Row],[Total Volume
tidak dapat dipasang]],0)</f>
        <v>0</v>
      </c>
      <c r="CK239" s="42"/>
      <c r="CL239" s="297">
        <v>4.1000000000000003E-3</v>
      </c>
      <c r="CM239" s="34">
        <v>8.3000000000000004E-2</v>
      </c>
      <c r="CN239" s="297">
        <v>0</v>
      </c>
      <c r="CO239" s="297">
        <v>0</v>
      </c>
      <c r="CP2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39" s="61">
        <f>IFERROR(Table1[[#This Row],[Progres Keg. Umum
(%)]]*Table1[[#This Row],[Nilai RAB Jaringan
(file pa aji)]],0)</f>
        <v>111327099.19069202</v>
      </c>
      <c r="CR239" s="61">
        <f>IFERROR(Table1[[#This Row],[Progres MOS
(%)]]*Table1[[#This Row],[Nilai RAB Jaringan
(file pa aji)]],0)</f>
        <v>2253694934.8359604</v>
      </c>
      <c r="CS239" s="61">
        <f>IFERROR(Table1[[#This Row],[Progres Pemasangan
(%)]]*Table1[[#This Row],[Nilai RAB Jaringan
(file pa aji)]],0)</f>
        <v>0</v>
      </c>
      <c r="CT239" s="61">
        <f>IFERROR(Table1[[#This Row],[Progres Perizinan
(%)]]*Table1[[#This Row],[Nilai RAB Jaringan
(file pa aji)]],0)</f>
        <v>0</v>
      </c>
      <c r="CU239" s="789">
        <v>30081829643</v>
      </c>
      <c r="CV239" s="299">
        <v>30081829643</v>
      </c>
      <c r="CW239" s="552">
        <v>30081829643</v>
      </c>
      <c r="CX239" s="789">
        <f>_xlfn.XLOOKUP(Table1[[#This Row],[Kode Program]],'[1]Breakdown VOWD Greenfield'!$E:$E,'[1]Breakdown VOWD Greenfield'!$AT:$AT)</f>
        <v>30081829643</v>
      </c>
      <c r="CY239" s="42"/>
      <c r="CZ239" s="300">
        <v>45803</v>
      </c>
      <c r="DA239" s="300">
        <v>45830</v>
      </c>
      <c r="DB239" s="301">
        <v>45770</v>
      </c>
      <c r="DC239" s="286" t="s">
        <v>1842</v>
      </c>
      <c r="DD239" s="62">
        <v>27164979179</v>
      </c>
      <c r="DE2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39" s="301">
        <v>45798</v>
      </c>
      <c r="DG239" s="286" t="s">
        <v>1843</v>
      </c>
      <c r="DH239" s="62">
        <v>27164979179</v>
      </c>
      <c r="DI2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39" s="300">
        <v>45831</v>
      </c>
      <c r="DK239" s="300">
        <v>45991</v>
      </c>
      <c r="DL239" s="301">
        <v>45840</v>
      </c>
      <c r="DM239" s="286" t="s">
        <v>1844</v>
      </c>
      <c r="DN2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39" s="301">
        <v>45859</v>
      </c>
      <c r="DP239" s="286" t="s">
        <v>1845</v>
      </c>
      <c r="DQ239" s="308" t="s">
        <v>1836</v>
      </c>
      <c r="DR2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39" s="300">
        <v>45831</v>
      </c>
      <c r="DT239" s="300" t="e">
        <v>#N/A</v>
      </c>
      <c r="DU239" s="300">
        <v>45872</v>
      </c>
      <c r="DV239" s="300" t="e">
        <v>#N/A</v>
      </c>
      <c r="DW239" s="301">
        <v>45915</v>
      </c>
      <c r="DX239" s="286" t="s">
        <v>1846</v>
      </c>
      <c r="DY239" s="304">
        <v>111</v>
      </c>
      <c r="DZ239" s="304">
        <v>111</v>
      </c>
      <c r="EA2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39" s="301">
        <v>46113</v>
      </c>
      <c r="EC239" s="302">
        <v>82</v>
      </c>
      <c r="ED239" s="302">
        <v>82</v>
      </c>
      <c r="EE239" s="300" t="s">
        <v>1847</v>
      </c>
      <c r="EF239" s="35">
        <v>1</v>
      </c>
      <c r="EG239" s="307">
        <v>1</v>
      </c>
      <c r="EH239" s="286" t="str">
        <f>IF(Table1[[#This Row],[PO Material Aktual 
(%)]]&gt;=100%,"Selesai PO = 100%",IF(Table1[[#This Row],[PO Material Aktual 
(%)]]&gt;=50%,"Proses PO &gt; 100%",IF(Table1[[#This Row],[PO Material Aktual 
(%)]]&gt;0%,"Proses PO &gt; 50%",IF(Table1[[#This Row],[PO Material Aktual 
(%)]]=0,"Belum PO = 0%"))))</f>
        <v>Selesai PO = 100%</v>
      </c>
      <c r="EI2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39" s="300">
        <v>45873</v>
      </c>
      <c r="EK239" s="300" t="e">
        <v>#N/A</v>
      </c>
      <c r="EL239" s="300">
        <v>46019</v>
      </c>
      <c r="EM239" s="300" t="e">
        <v>#N/A</v>
      </c>
      <c r="EN239" s="301">
        <v>46141</v>
      </c>
      <c r="EO239" s="302">
        <v>81</v>
      </c>
      <c r="EP239" s="596">
        <v>81</v>
      </c>
      <c r="EQ239" s="35">
        <v>0.72972972972972971</v>
      </c>
      <c r="ER239" s="35">
        <f>Table1[[#This Row],[Line MOS]]/Table1[[#This Row],[Line PR]]</f>
        <v>0.72972972972972971</v>
      </c>
      <c r="ES239" s="286" t="str">
        <f>IF(Table1[[#This Row],[Progres MOS]]&gt;=100%,"Selesai MOS = 100%",IF(Table1[[#This Row],[Progres MOS]]&gt;=50%,"Proses MOS &gt; 100%",IF(Table1[[#This Row],[Progres MOS]]&gt;0%,"Proses MOS &gt; 50%",IF(Table1[[#This Row],[Progres MOS]]=0,"Belum MOS = 0%"))))</f>
        <v>Proses MOS &gt; 100%</v>
      </c>
      <c r="ET2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39" s="42"/>
      <c r="EV239" s="300">
        <v>45831</v>
      </c>
      <c r="EW239" s="300" t="e">
        <v>#N/A</v>
      </c>
      <c r="EX239" s="300">
        <v>46019</v>
      </c>
      <c r="EY239" s="300" t="e">
        <v>#N/A</v>
      </c>
      <c r="EZ239" s="322" t="s">
        <v>259</v>
      </c>
      <c r="FA239" s="306" t="s">
        <v>259</v>
      </c>
      <c r="FB239" s="300" t="s">
        <v>260</v>
      </c>
      <c r="FC239" s="300">
        <v>45013</v>
      </c>
      <c r="FD239" s="300" t="s">
        <v>260</v>
      </c>
      <c r="FE239" s="300">
        <v>45139</v>
      </c>
      <c r="FF239" s="300">
        <v>45870</v>
      </c>
      <c r="FG239" s="300" t="s">
        <v>260</v>
      </c>
      <c r="FH239" s="300" t="s">
        <v>260</v>
      </c>
      <c r="FI239" s="300">
        <v>45195</v>
      </c>
      <c r="FJ239" s="300" t="s">
        <v>260</v>
      </c>
      <c r="FK239" s="300">
        <v>45573</v>
      </c>
      <c r="FL239" s="306" t="s">
        <v>259</v>
      </c>
      <c r="FM239" s="322">
        <v>45013</v>
      </c>
      <c r="FN239" s="308">
        <f>IF(Table1[[#This Row],[Tanggal Pengajuan Dokumen]]="","",Table1[[#This Row],[PLAN PERMIT
start]]-Table1[[#This Row],[Tanggal Pengajuan Dokumen]])</f>
        <v>818</v>
      </c>
      <c r="FO239" s="407">
        <v>45573</v>
      </c>
      <c r="FP239" s="286"/>
      <c r="FQ239" s="308"/>
      <c r="FR239" s="308" t="s">
        <v>174</v>
      </c>
      <c r="FS239" s="308" t="str">
        <f t="shared" si="11"/>
        <v>On Going</v>
      </c>
      <c r="FT2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39" s="314">
        <f ca="1">IF(Table1[[#This Row],[Status Izin]]="Selesai",Table1[[#This Row],[PLAN PERMIT
finish]]-Table1[[#This Row],[Tanggal Terbit/ Target Izin Terbit]],ROUNDUP(Table1[[#This Row],[PLAN PERMIT
finish]]-NOW(),0))</f>
        <v>-185</v>
      </c>
      <c r="FV2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39" s="314"/>
      <c r="FX239" s="42"/>
      <c r="FY239" s="310"/>
      <c r="FZ239" s="311">
        <v>45947</v>
      </c>
      <c r="GA2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39" s="300">
        <v>45993</v>
      </c>
      <c r="GC239" s="322">
        <v>45820</v>
      </c>
      <c r="GD2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39" s="300">
        <v>46000</v>
      </c>
      <c r="GF239" s="322">
        <v>45997</v>
      </c>
      <c r="GG2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39" s="300">
        <v>46006</v>
      </c>
      <c r="GI239" s="300">
        <v>46012</v>
      </c>
      <c r="GJ239" s="322">
        <v>45832</v>
      </c>
      <c r="GK2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39" s="300">
        <v>46020</v>
      </c>
      <c r="GM239" s="300" t="e">
        <v>#N/A</v>
      </c>
      <c r="GN239" s="300">
        <v>46096</v>
      </c>
      <c r="GO239" s="300" t="e">
        <v>#N/A</v>
      </c>
      <c r="GP239" s="286"/>
      <c r="GQ2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39" s="300" t="s">
        <v>261</v>
      </c>
      <c r="GS239" s="300" t="s">
        <v>261</v>
      </c>
      <c r="GT239" s="324">
        <v>46101</v>
      </c>
      <c r="GU239" s="314" t="str">
        <f>IF(Table1[[#This Row],[Hydro Tes Actual
(tanggal)]]&lt;&gt;"","Sudah","Belum")</f>
        <v>Sudah</v>
      </c>
      <c r="GV239" s="300" t="s">
        <v>261</v>
      </c>
      <c r="GW239" s="300" t="s">
        <v>261</v>
      </c>
      <c r="GX239" s="301">
        <v>46106</v>
      </c>
      <c r="GY239" s="314" t="str">
        <f>IF(Table1[[#This Row],[Interkoneksi Actual
(tanggal)]]&lt;&gt;"","Sudah","Belum")</f>
        <v>Sudah</v>
      </c>
      <c r="GZ239" s="300" t="s">
        <v>261</v>
      </c>
      <c r="HA239" s="300" t="s">
        <v>261</v>
      </c>
      <c r="HB239" s="301">
        <v>46107</v>
      </c>
      <c r="HC239" s="314" t="str">
        <f>IF(Table1[[#This Row],[Flushing Actual
(tanggal)]]&lt;&gt;"","Sudah","Belum")</f>
        <v>Sudah</v>
      </c>
      <c r="HD239" s="300">
        <v>46069</v>
      </c>
      <c r="HE239" s="300" t="e">
        <v>#N/A</v>
      </c>
      <c r="HF239" s="300">
        <v>46082</v>
      </c>
      <c r="HG239" s="322">
        <v>46112</v>
      </c>
      <c r="HH2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39" s="300" t="s">
        <v>261</v>
      </c>
      <c r="HJ239" s="300" t="s">
        <v>261</v>
      </c>
      <c r="HK239" s="301"/>
      <c r="HL239" s="286"/>
      <c r="HM239" s="300">
        <v>46101</v>
      </c>
      <c r="HN239" s="300">
        <v>46101</v>
      </c>
      <c r="HO239" s="300" t="e">
        <v>#N/A</v>
      </c>
      <c r="HP239" s="300"/>
      <c r="HQ239" s="301">
        <v>46116</v>
      </c>
      <c r="HR23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39" s="300">
        <v>46108</v>
      </c>
      <c r="HT239" s="300"/>
      <c r="HU239" s="300">
        <v>46108</v>
      </c>
      <c r="HV239" s="300"/>
      <c r="HW239" s="301">
        <v>46116</v>
      </c>
      <c r="HX2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39" s="42"/>
      <c r="HZ239" s="322"/>
      <c r="IA239" s="322"/>
      <c r="IC239" s="585">
        <f>IFERROR(ROUND((Table1[[#This Row],[PLAN TC
finish]]-Table1[[#This Row],[PLAN MC-0
start]])/30,2),"")</f>
        <v>2.5299999999999998</v>
      </c>
      <c r="ID239">
        <f>DATEDIF(Table1[[#This Row],[PLAN MC-0
start]],Table1[[#This Row],[PLAN TC
finish]],"m")</f>
        <v>2</v>
      </c>
    </row>
    <row r="240" spans="2:238" s="4" customFormat="1" ht="15" customHeight="1" x14ac:dyDescent="0.25">
      <c r="B240" s="281">
        <f>SUBTOTAL(3,$D$5:D240)</f>
        <v>236</v>
      </c>
      <c r="C240" s="286">
        <v>236</v>
      </c>
      <c r="D240" s="308" t="s">
        <v>629</v>
      </c>
      <c r="E240" s="308" t="s">
        <v>1848</v>
      </c>
      <c r="F240" s="308" t="s">
        <v>1849</v>
      </c>
      <c r="G240" s="319">
        <v>46117</v>
      </c>
      <c r="H240" s="284" t="s">
        <v>247</v>
      </c>
      <c r="I240" s="308" t="s">
        <v>248</v>
      </c>
      <c r="J240" s="450" t="s">
        <v>1818</v>
      </c>
      <c r="K240" s="308" t="s">
        <v>632</v>
      </c>
      <c r="L240" s="286" t="s">
        <v>250</v>
      </c>
      <c r="M240" s="325" t="s">
        <v>251</v>
      </c>
      <c r="N240" s="94">
        <v>4450</v>
      </c>
      <c r="O240" s="113" t="s">
        <v>252</v>
      </c>
      <c r="P2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0" s="35">
        <v>0.89813023006235615</v>
      </c>
      <c r="S240" s="34">
        <v>1</v>
      </c>
      <c r="T240" s="34">
        <f>Table1[[#This Row],[Progres Total Aktual
(%)]]</f>
        <v>0.81768367320736579</v>
      </c>
      <c r="U240" s="85">
        <f>Table1[[#This Row],[Progres Aktual
(%)]]-Table1[[#This Row],[Target Progres
(%)]]</f>
        <v>-0.18231632679263421</v>
      </c>
      <c r="V240" s="75">
        <f>Table1[[#This Row],["Volume
BA MC-0"]]</f>
        <v>4335</v>
      </c>
      <c r="W240" s="41">
        <f>Table1[[#This Row],[Total Panjang Pipa Aktual
(Sum-&gt;)3]]</f>
        <v>3046.4</v>
      </c>
      <c r="X240" s="42"/>
      <c r="Y240" s="62" t="s">
        <v>1850</v>
      </c>
      <c r="Z240" s="62">
        <v>201942465302.90002</v>
      </c>
      <c r="AA240" s="62">
        <f>ROUND((Table1[[#This Row],[Nilai RAB Jaringan
(Exclude Ppn)]]-Table1[[#This Row],[RAB Perizinan]])*1.11+Table1[[#This Row],[RAB Perizinan]],0)</f>
        <v>201942465303</v>
      </c>
      <c r="AB240" s="406">
        <f>SUM(Table1[[#This Row],[RAB Kegiatan Umum]:[RAB Perizinan]])</f>
        <v>181969587984</v>
      </c>
      <c r="AC240" s="406">
        <v>5916445186</v>
      </c>
      <c r="AD240" s="406">
        <v>98607419756</v>
      </c>
      <c r="AE240" s="406">
        <v>77047747048</v>
      </c>
      <c r="AF240" s="406">
        <v>397975994</v>
      </c>
      <c r="AG240" s="453">
        <v>0</v>
      </c>
      <c r="AH240" s="33">
        <f>SUM(Table1[[#This Row],[Bobot Keg Umum]:[Bobot Perizinan]])</f>
        <v>1</v>
      </c>
      <c r="AI240" s="33">
        <f>Table1[[#This Row],[RAB Kegiatan Umum]]/Table1[[#This Row],[Nilai RAB Jaringan
(Exclude Ppn)]]</f>
        <v>3.2513373534264492E-2</v>
      </c>
      <c r="AJ240" s="33">
        <f>Table1[[#This Row],[RAB Pemasangan]]/Table1[[#This Row],[Nilai RAB Jaringan
(Exclude Ppn)]]</f>
        <v>0.54188955884579038</v>
      </c>
      <c r="AK240" s="33">
        <f>Table1[[#This Row],[RAB Pengadaan]]/Table1[[#This Row],[Nilai RAB Jaringan
(Exclude Ppn)]]</f>
        <v>0.42341002088093183</v>
      </c>
      <c r="AL240" s="33">
        <f>Table1[[#This Row],[RAB Perizinan]]/Table1[[#This Row],[Nilai RAB Jaringan
(Exclude Ppn)]]</f>
        <v>2.1870467390132948E-3</v>
      </c>
      <c r="AM240" s="42"/>
      <c r="AN240" s="256">
        <v>4335</v>
      </c>
      <c r="AO240" s="256">
        <f>SUM(Table1[[#This Row],[Pipa 63 mm]:[Pipa 1,800 mm]])</f>
        <v>4335</v>
      </c>
      <c r="AP240" s="256"/>
      <c r="AQ240" s="256"/>
      <c r="AR240" s="256"/>
      <c r="AS240" s="256"/>
      <c r="AT240" s="256"/>
      <c r="AU240" s="256"/>
      <c r="AV240" s="256"/>
      <c r="AW240" s="256"/>
      <c r="AX240" s="256"/>
      <c r="AY240" s="256"/>
      <c r="AZ240" s="256"/>
      <c r="BA240" s="256"/>
      <c r="BB240" s="256"/>
      <c r="BC240" s="256"/>
      <c r="BD240" s="256">
        <v>4335</v>
      </c>
      <c r="BE240" s="256"/>
      <c r="BF240" s="256"/>
      <c r="BG240" s="256"/>
      <c r="BH240" s="256"/>
      <c r="BI240" s="256"/>
      <c r="BJ240" s="36">
        <f>SUM(Table1[[#This Row],[Pipa 63 mm2]:[Pipa 1,800 mm21]])</f>
        <v>3046.4</v>
      </c>
      <c r="BK240" s="32"/>
      <c r="BL240" s="32"/>
      <c r="BM240" s="32"/>
      <c r="BN240" s="32"/>
      <c r="BO240" s="32"/>
      <c r="BP240" s="32"/>
      <c r="BQ240" s="32"/>
      <c r="BR240" s="32"/>
      <c r="BS240" s="32"/>
      <c r="BT240" s="32"/>
      <c r="BU240" s="32"/>
      <c r="BV240" s="32"/>
      <c r="BW240" s="32"/>
      <c r="BX240" s="32"/>
      <c r="BY240" s="32">
        <v>3046.4</v>
      </c>
      <c r="BZ240" s="32"/>
      <c r="CA240" s="32"/>
      <c r="CB240" s="32"/>
      <c r="CC240" s="32"/>
      <c r="CD240" s="32"/>
      <c r="CE240" s="32"/>
      <c r="CF240" s="32"/>
      <c r="CG240" s="32"/>
      <c r="CH240" s="32"/>
      <c r="CI240" s="32">
        <f t="shared" si="12"/>
        <v>0</v>
      </c>
      <c r="CJ240" s="60">
        <f>IF((Table1[[#This Row],["Volume
BA MC-0"]]-Table1[[#This Row],[Total Panjang Pipa Aktual
(Sum-&gt;)3]]-Table1[[#This Row],[Total Volume
tidak dapat dipasang]])&gt;=0,Table1[[#This Row],["Volume
BA MC-0"]]-Table1[[#This Row],[Total Panjang Pipa Aktual
(Sum-&gt;)3]]-Table1[[#This Row],[Total Volume
tidak dapat dipasang]],0)</f>
        <v>1288.5999999999999</v>
      </c>
      <c r="CK240" s="42"/>
      <c r="CL240" s="297">
        <v>8.8999999999999999E-3</v>
      </c>
      <c r="CM240" s="34">
        <v>0.1026</v>
      </c>
      <c r="CN240" s="297">
        <v>1E-4</v>
      </c>
      <c r="CO240" s="297">
        <v>0</v>
      </c>
      <c r="CP2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0.81768367320736579</v>
      </c>
      <c r="CQ240" s="61">
        <f>IFERROR(Table1[[#This Row],[Progres Keg. Umum
(%)]]*Table1[[#This Row],[Nilai RAB Jaringan
(file pa aji)]],0)</f>
        <v>1797287941.1958103</v>
      </c>
      <c r="CR240" s="61">
        <f>IFERROR(Table1[[#This Row],[Progres MOS
(%)]]*Table1[[#This Row],[Nilai RAB Jaringan
(file pa aji)]],0)</f>
        <v>20719296940.077541</v>
      </c>
      <c r="CS240" s="61">
        <f>IFERROR(Table1[[#This Row],[Progres Pemasangan
(%)]]*Table1[[#This Row],[Nilai RAB Jaringan
(file pa aji)]],0)</f>
        <v>20194246.530290004</v>
      </c>
      <c r="CT240" s="61">
        <f>IFERROR(Table1[[#This Row],[Progres Perizinan
(%)]]*Table1[[#This Row],[Nilai RAB Jaringan
(file pa aji)]],0)</f>
        <v>0</v>
      </c>
      <c r="CU240" s="789">
        <v>165125056805.50806</v>
      </c>
      <c r="CV240" s="299">
        <v>165125056805.50806</v>
      </c>
      <c r="CW240" s="552">
        <v>0</v>
      </c>
      <c r="CX240" s="789">
        <f>_xlfn.XLOOKUP(Table1[[#This Row],[Kode Program]],'[1]Breakdown VOWD Greenfield'!$E:$E,'[1]Breakdown VOWD Greenfield'!$AT:$AT)</f>
        <v>0</v>
      </c>
      <c r="CY240" s="42"/>
      <c r="CZ240" s="300">
        <v>45803</v>
      </c>
      <c r="DA240" s="300">
        <v>45830</v>
      </c>
      <c r="DB240" s="301">
        <v>45770</v>
      </c>
      <c r="DC240" s="286" t="s">
        <v>1851</v>
      </c>
      <c r="DD240" s="62">
        <v>201747689310</v>
      </c>
      <c r="DE2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0" s="301">
        <v>45782</v>
      </c>
      <c r="DG240" s="286" t="s">
        <v>1852</v>
      </c>
      <c r="DH240" s="62">
        <v>201747689310</v>
      </c>
      <c r="DI2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0" s="300">
        <v>45831</v>
      </c>
      <c r="DK240" s="300">
        <v>45900</v>
      </c>
      <c r="DL240" s="301">
        <v>45825</v>
      </c>
      <c r="DM240" s="286" t="s">
        <v>1853</v>
      </c>
      <c r="DN2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0" s="301">
        <v>45859</v>
      </c>
      <c r="DP240" s="286" t="s">
        <v>1845</v>
      </c>
      <c r="DQ240" s="308" t="s">
        <v>1836</v>
      </c>
      <c r="DR2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0" s="300">
        <v>45831</v>
      </c>
      <c r="DT240" s="300" t="e">
        <v>#N/A</v>
      </c>
      <c r="DU240" s="300">
        <v>45872</v>
      </c>
      <c r="DV240" s="300" t="e">
        <v>#N/A</v>
      </c>
      <c r="DW240" s="301">
        <v>45922</v>
      </c>
      <c r="DX240" s="286" t="s">
        <v>1854</v>
      </c>
      <c r="DY240" s="304">
        <v>215</v>
      </c>
      <c r="DZ240" s="304">
        <v>215</v>
      </c>
      <c r="EA2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0" s="301"/>
      <c r="EC240" s="302">
        <v>174</v>
      </c>
      <c r="ED240" s="302">
        <v>174</v>
      </c>
      <c r="EE240" s="300"/>
      <c r="EF240" s="35">
        <v>0.80930232558139537</v>
      </c>
      <c r="EG240" s="35">
        <f>Table1[[#This Row],[Line PO (kolom  bantu)2]]/Table1[[#This Row],[Line PR]]</f>
        <v>0.80930232558139537</v>
      </c>
      <c r="EH240" s="286" t="str">
        <f>IF(Table1[[#This Row],[PO Material Aktual 
(%)]]&gt;=100%,"Selesai PO = 100%",IF(Table1[[#This Row],[PO Material Aktual 
(%)]]&gt;=50%,"Proses PO &gt; 100%",IF(Table1[[#This Row],[PO Material Aktual 
(%)]]&gt;0%,"Proses PO &gt; 50%",IF(Table1[[#This Row],[PO Material Aktual 
(%)]]=0,"Belum PO = 0%"))))</f>
        <v>Proses PO &gt; 100%</v>
      </c>
      <c r="EI2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0" s="300">
        <v>45873</v>
      </c>
      <c r="EK240" s="300" t="e">
        <v>#N/A</v>
      </c>
      <c r="EL240" s="300">
        <v>46019</v>
      </c>
      <c r="EM240" s="300" t="e">
        <v>#N/A</v>
      </c>
      <c r="EN240" s="301"/>
      <c r="EO240" s="286">
        <v>171</v>
      </c>
      <c r="EP240" s="286">
        <v>171</v>
      </c>
      <c r="EQ240" s="35">
        <v>0.79534883720930227</v>
      </c>
      <c r="ER240" s="35">
        <f>Table1[[#This Row],[Line MOS]]/Table1[[#This Row],[Line PR]]</f>
        <v>0.79534883720930227</v>
      </c>
      <c r="ES240" s="286" t="str">
        <f>IF(Table1[[#This Row],[Progres MOS]]&gt;=100%,"Selesai MOS = 100%",IF(Table1[[#This Row],[Progres MOS]]&gt;=50%,"Proses MOS &gt; 100%",IF(Table1[[#This Row],[Progres MOS]]&gt;0%,"Proses MOS &gt; 50%",IF(Table1[[#This Row],[Progres MOS]]=0,"Belum MOS = 0%"))))</f>
        <v>Proses MOS &gt; 100%</v>
      </c>
      <c r="ET2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0" s="42"/>
      <c r="EV240" s="300">
        <v>45831</v>
      </c>
      <c r="EW240" s="300" t="e">
        <v>#N/A</v>
      </c>
      <c r="EX240" s="300">
        <v>45928</v>
      </c>
      <c r="EY240" s="300" t="e">
        <v>#N/A</v>
      </c>
      <c r="EZ240" s="322" t="s">
        <v>259</v>
      </c>
      <c r="FA240" s="306" t="s">
        <v>259</v>
      </c>
      <c r="FB240" s="300" t="s">
        <v>260</v>
      </c>
      <c r="FC240" s="300">
        <v>45013</v>
      </c>
      <c r="FD240" s="300" t="s">
        <v>260</v>
      </c>
      <c r="FE240" s="300">
        <v>45139</v>
      </c>
      <c r="FF240" s="300">
        <v>45870</v>
      </c>
      <c r="FG240" s="300" t="s">
        <v>260</v>
      </c>
      <c r="FH240" s="300" t="s">
        <v>260</v>
      </c>
      <c r="FI240" s="300">
        <v>45195</v>
      </c>
      <c r="FJ240" s="300" t="s">
        <v>260</v>
      </c>
      <c r="FK240" s="300">
        <v>45573</v>
      </c>
      <c r="FL240" s="306" t="s">
        <v>259</v>
      </c>
      <c r="FM240" s="322">
        <v>45013</v>
      </c>
      <c r="FN240" s="308">
        <f>IF(Table1[[#This Row],[Tanggal Pengajuan Dokumen]]="","",Table1[[#This Row],[PLAN PERMIT
start]]-Table1[[#This Row],[Tanggal Pengajuan Dokumen]])</f>
        <v>818</v>
      </c>
      <c r="FO240" s="407">
        <v>45573</v>
      </c>
      <c r="FP240" s="286" t="s">
        <v>1855</v>
      </c>
      <c r="FQ240" s="308"/>
      <c r="FR240" s="308" t="s">
        <v>171</v>
      </c>
      <c r="FS240" s="308" t="str">
        <f t="shared" si="11"/>
        <v>On Going</v>
      </c>
      <c r="FT2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0" s="314">
        <f ca="1">IF(Table1[[#This Row],[Status Izin]]="Selesai",Table1[[#This Row],[PLAN PERMIT
finish]]-Table1[[#This Row],[Tanggal Terbit/ Target Izin Terbit]],ROUNDUP(Table1[[#This Row],[PLAN PERMIT
finish]]-NOW(),0))</f>
        <v>-276</v>
      </c>
      <c r="FV2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240" s="314"/>
      <c r="FX240" s="42"/>
      <c r="FY240" s="310"/>
      <c r="FZ240" s="311">
        <v>45947</v>
      </c>
      <c r="GA2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0" s="300">
        <v>45902</v>
      </c>
      <c r="GC240" s="322">
        <v>45820</v>
      </c>
      <c r="GD2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0" s="300">
        <v>45909</v>
      </c>
      <c r="GF240" s="322">
        <v>45997</v>
      </c>
      <c r="GG2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0" s="300">
        <v>45915</v>
      </c>
      <c r="GI240" s="300">
        <v>45921</v>
      </c>
      <c r="GJ240" s="322">
        <v>45833</v>
      </c>
      <c r="GK2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0" s="300">
        <v>45929</v>
      </c>
      <c r="GM240" s="300" t="e">
        <v>#N/A</v>
      </c>
      <c r="GN240" s="300">
        <v>46096</v>
      </c>
      <c r="GO240" s="300" t="e">
        <v>#N/A</v>
      </c>
      <c r="GP240" s="286"/>
      <c r="GQ2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0" s="300" t="s">
        <v>261</v>
      </c>
      <c r="GS240" s="300" t="s">
        <v>261</v>
      </c>
      <c r="GT240" s="324">
        <v>46066</v>
      </c>
      <c r="GU240" s="314" t="str">
        <f>IF(Table1[[#This Row],[Hydro Tes Actual
(tanggal)]]&lt;&gt;"","Sudah","Belum")</f>
        <v>Sudah</v>
      </c>
      <c r="GV240" s="300" t="s">
        <v>261</v>
      </c>
      <c r="GW240" s="300" t="s">
        <v>261</v>
      </c>
      <c r="GX240" s="301">
        <v>46168</v>
      </c>
      <c r="GY240" s="314" t="str">
        <f>IF(Table1[[#This Row],[Interkoneksi Actual
(tanggal)]]&lt;&gt;"","Sudah","Belum")</f>
        <v>Sudah</v>
      </c>
      <c r="GZ240" s="300" t="s">
        <v>261</v>
      </c>
      <c r="HA240" s="300" t="s">
        <v>261</v>
      </c>
      <c r="HB240" s="301"/>
      <c r="HC240" s="314" t="str">
        <f>IF(Table1[[#This Row],[Flushing Actual
(tanggal)]]&lt;&gt;"","Sudah","Belum")</f>
        <v>Belum</v>
      </c>
      <c r="HD240" s="300">
        <v>46069</v>
      </c>
      <c r="HE240" s="300" t="e">
        <v>#N/A</v>
      </c>
      <c r="HF240" s="300">
        <v>46082</v>
      </c>
      <c r="HG240" s="322"/>
      <c r="HH2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0" s="300" t="s">
        <v>261</v>
      </c>
      <c r="HJ240" s="300" t="s">
        <v>261</v>
      </c>
      <c r="HK240" s="301"/>
      <c r="HL240" s="286"/>
      <c r="HM240" s="300">
        <v>46101</v>
      </c>
      <c r="HN240" s="300">
        <v>46101</v>
      </c>
      <c r="HO240" s="300" t="e">
        <v>#N/A</v>
      </c>
      <c r="HP240" s="300"/>
      <c r="HQ240" s="301"/>
      <c r="HR24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0" s="300">
        <v>46108</v>
      </c>
      <c r="HT240" s="300"/>
      <c r="HU240" s="300">
        <v>46108</v>
      </c>
      <c r="HV240" s="300"/>
      <c r="HW240" s="301"/>
      <c r="HX2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0" s="42"/>
      <c r="HZ240" s="322"/>
      <c r="IA240" s="322"/>
      <c r="IC240" s="585">
        <f>IFERROR(ROUND((Table1[[#This Row],[PLAN TC
finish]]-Table1[[#This Row],[PLAN MC-0
start]])/30,2),"")</f>
        <v>5.57</v>
      </c>
      <c r="ID240">
        <f>DATEDIF(Table1[[#This Row],[PLAN MC-0
start]],Table1[[#This Row],[PLAN TC
finish]],"m")</f>
        <v>5</v>
      </c>
    </row>
    <row r="241" spans="2:238" s="4" customFormat="1" ht="15" customHeight="1" x14ac:dyDescent="0.25">
      <c r="B241" s="281">
        <f>SUBTOTAL(3,$D$5:D241)</f>
        <v>237</v>
      </c>
      <c r="C241" s="286">
        <v>237</v>
      </c>
      <c r="D241" s="308" t="s">
        <v>629</v>
      </c>
      <c r="E241" s="308" t="s">
        <v>1856</v>
      </c>
      <c r="F241" s="308" t="s">
        <v>1857</v>
      </c>
      <c r="G241" s="319">
        <v>46117</v>
      </c>
      <c r="H241" s="284" t="s">
        <v>247</v>
      </c>
      <c r="I241" s="308" t="s">
        <v>248</v>
      </c>
      <c r="J241" s="450" t="s">
        <v>1818</v>
      </c>
      <c r="K241" s="308" t="s">
        <v>915</v>
      </c>
      <c r="L241" s="286" t="s">
        <v>250</v>
      </c>
      <c r="M241" s="325" t="s">
        <v>251</v>
      </c>
      <c r="N241" s="94">
        <v>2084</v>
      </c>
      <c r="O241" s="113" t="s">
        <v>252</v>
      </c>
      <c r="P2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41" s="35">
        <v>0.89505227678599575</v>
      </c>
      <c r="S241" s="34">
        <v>1</v>
      </c>
      <c r="T241" s="34">
        <f>Table1[[#This Row],[Progres Total Aktual
(%)]]</f>
        <v>0.94810093755324509</v>
      </c>
      <c r="U241" s="85">
        <f>Table1[[#This Row],[Progres Aktual
(%)]]-Table1[[#This Row],[Target Progres
(%)]]</f>
        <v>-5.1899062446754907E-2</v>
      </c>
      <c r="V241" s="75">
        <f>Table1[[#This Row],["Volume
BA MC-0"]]</f>
        <v>2066</v>
      </c>
      <c r="W241" s="41">
        <f>Table1[[#This Row],[Total Panjang Pipa Aktual
(Sum-&gt;)3]]</f>
        <v>2066</v>
      </c>
      <c r="X241" s="42"/>
      <c r="Y241" s="62" t="s">
        <v>1858</v>
      </c>
      <c r="Z241" s="62">
        <v>30274805397</v>
      </c>
      <c r="AA241" s="62">
        <f>ROUND((Table1[[#This Row],[Nilai RAB Jaringan
(Exclude Ppn)]]-Table1[[#This Row],[RAB Perizinan]])*1.11+Table1[[#This Row],[RAB Perizinan]],0)</f>
        <v>30274805396</v>
      </c>
      <c r="AB241" s="406">
        <f>SUM(Table1[[#This Row],[RAB Kegiatan Umum]:[RAB Perizinan]])</f>
        <v>27279913467</v>
      </c>
      <c r="AC241" s="406">
        <v>1529656489</v>
      </c>
      <c r="AD241" s="406">
        <v>15296564884</v>
      </c>
      <c r="AE241" s="406">
        <v>10400068894</v>
      </c>
      <c r="AF241" s="406">
        <v>53623200</v>
      </c>
      <c r="AG241" s="453">
        <v>0</v>
      </c>
      <c r="AH241" s="33">
        <f>SUM(Table1[[#This Row],[Bobot Keg Umum]:[Bobot Perizinan]])</f>
        <v>1.0000000000000002</v>
      </c>
      <c r="AI241" s="33">
        <f>Table1[[#This Row],[RAB Kegiatan Umum]]/Table1[[#This Row],[Nilai RAB Jaringan
(Exclude Ppn)]]</f>
        <v>5.6072629806923575E-2</v>
      </c>
      <c r="AJ241" s="33">
        <f>Table1[[#This Row],[RAB Pemasangan]]/Table1[[#This Row],[Nilai RAB Jaringan
(Exclude Ppn)]]</f>
        <v>0.56072629784929373</v>
      </c>
      <c r="AK241" s="33">
        <f>Table1[[#This Row],[RAB Pengadaan]]/Table1[[#This Row],[Nilai RAB Jaringan
(Exclude Ppn)]]</f>
        <v>0.38123540628458258</v>
      </c>
      <c r="AL241" s="33">
        <f>Table1[[#This Row],[RAB Perizinan]]/Table1[[#This Row],[Nilai RAB Jaringan
(Exclude Ppn)]]</f>
        <v>1.9656660592001869E-3</v>
      </c>
      <c r="AM241" s="42"/>
      <c r="AN241" s="256">
        <v>2066</v>
      </c>
      <c r="AO241" s="256">
        <f>SUM(Table1[[#This Row],[Pipa 63 mm]:[Pipa 1,800 mm]])</f>
        <v>2066</v>
      </c>
      <c r="AP241" s="256"/>
      <c r="AQ241" s="256"/>
      <c r="AR241" s="256"/>
      <c r="AS241" s="256"/>
      <c r="AT241" s="256"/>
      <c r="AU241" s="256"/>
      <c r="AV241" s="256"/>
      <c r="AW241" s="256"/>
      <c r="AX241" s="256"/>
      <c r="AY241" s="256">
        <v>2066</v>
      </c>
      <c r="AZ241" s="256"/>
      <c r="BA241" s="256"/>
      <c r="BB241" s="256"/>
      <c r="BC241" s="256"/>
      <c r="BD241" s="256"/>
      <c r="BE241" s="256"/>
      <c r="BF241" s="256"/>
      <c r="BG241" s="256"/>
      <c r="BH241" s="256"/>
      <c r="BI241" s="256"/>
      <c r="BJ241" s="36">
        <f>SUM(Table1[[#This Row],[Pipa 63 mm2]:[Pipa 1,800 mm21]])</f>
        <v>2066</v>
      </c>
      <c r="BK241" s="32"/>
      <c r="BL241" s="32"/>
      <c r="BM241" s="32"/>
      <c r="BN241" s="32"/>
      <c r="BO241" s="32"/>
      <c r="BP241" s="32"/>
      <c r="BQ241" s="32"/>
      <c r="BR241" s="32"/>
      <c r="BS241" s="32"/>
      <c r="BT241" s="32">
        <v>2066</v>
      </c>
      <c r="BU241" s="32"/>
      <c r="BV241" s="32"/>
      <c r="BW241" s="32"/>
      <c r="BX241" s="32"/>
      <c r="BY241" s="32"/>
      <c r="BZ241" s="32"/>
      <c r="CA241" s="32"/>
      <c r="CB241" s="32"/>
      <c r="CC241" s="32"/>
      <c r="CD241" s="32"/>
      <c r="CE241" s="32">
        <v>0</v>
      </c>
      <c r="CF241" s="32"/>
      <c r="CG241" s="32"/>
      <c r="CH241" s="32"/>
      <c r="CI241" s="32">
        <f t="shared" si="12"/>
        <v>0</v>
      </c>
      <c r="CJ241" s="60">
        <f>IF((Table1[[#This Row],["Volume
BA MC-0"]]-Table1[[#This Row],[Total Panjang Pipa Aktual
(Sum-&gt;)3]]-Table1[[#This Row],[Total Volume
tidak dapat dipasang]])&gt;=0,Table1[[#This Row],["Volume
BA MC-0"]]-Table1[[#This Row],[Total Panjang Pipa Aktual
(Sum-&gt;)3]]-Table1[[#This Row],[Total Volume
tidak dapat dipasang]],0)</f>
        <v>0</v>
      </c>
      <c r="CK241" s="42"/>
      <c r="CL241" s="454" t="s">
        <v>1821</v>
      </c>
      <c r="CM241" s="34" t="s">
        <v>1821</v>
      </c>
      <c r="CN241" s="454" t="s">
        <v>1821</v>
      </c>
      <c r="CO241" s="454" t="s">
        <v>1821</v>
      </c>
      <c r="CP2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0.94810093755324509</v>
      </c>
      <c r="CQ241" s="61">
        <f>IFERROR(Table1[[#This Row],[Progres Keg. Umum
(%)]]*Table1[[#This Row],[Nilai RAB Jaringan
(file pa aji)]],0)</f>
        <v>0</v>
      </c>
      <c r="CR241" s="61">
        <f>IFERROR(Table1[[#This Row],[Progres MOS
(%)]]*Table1[[#This Row],[Nilai RAB Jaringan
(file pa aji)]],0)</f>
        <v>0</v>
      </c>
      <c r="CS241" s="61">
        <f>IFERROR(Table1[[#This Row],[Progres Pemasangan
(%)]]*Table1[[#This Row],[Nilai RAB Jaringan
(file pa aji)]],0)</f>
        <v>0</v>
      </c>
      <c r="CT241" s="61">
        <f>IFERROR(Table1[[#This Row],[Progres Perizinan
(%)]]*Table1[[#This Row],[Nilai RAB Jaringan
(file pa aji)]],0)</f>
        <v>0</v>
      </c>
      <c r="CU241" s="789">
        <v>28703571380.189644</v>
      </c>
      <c r="CV241" s="299">
        <v>28703571380.189644</v>
      </c>
      <c r="CW241" s="552">
        <v>0</v>
      </c>
      <c r="CX241" s="789">
        <f>_xlfn.XLOOKUP(Table1[[#This Row],[Kode Program]],'[1]Breakdown VOWD Greenfield'!$E:$E,'[1]Breakdown VOWD Greenfield'!$AT:$AT)</f>
        <v>0</v>
      </c>
      <c r="CY241" s="42"/>
      <c r="CZ241" s="300">
        <v>45803</v>
      </c>
      <c r="DA241" s="300">
        <v>45830</v>
      </c>
      <c r="DB241" s="301">
        <v>45875</v>
      </c>
      <c r="DC241" s="286" t="s">
        <v>1859</v>
      </c>
      <c r="DD241" s="62">
        <v>30331282196</v>
      </c>
      <c r="DE2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1" s="301">
        <v>45884</v>
      </c>
      <c r="DG241" s="286" t="s">
        <v>1860</v>
      </c>
      <c r="DH241" s="62">
        <v>30331282196</v>
      </c>
      <c r="DI2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1" s="300">
        <v>45831</v>
      </c>
      <c r="DK241" s="300">
        <v>45900</v>
      </c>
      <c r="DL241" s="301">
        <v>45910</v>
      </c>
      <c r="DM241" s="286" t="s">
        <v>1861</v>
      </c>
      <c r="DN2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1" s="301">
        <v>45944</v>
      </c>
      <c r="DP241" s="455" t="s">
        <v>1862</v>
      </c>
      <c r="DQ241" s="308" t="s">
        <v>1863</v>
      </c>
      <c r="DR2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1" s="300">
        <v>45831</v>
      </c>
      <c r="DT241" s="300" t="e">
        <v>#N/A</v>
      </c>
      <c r="DU241" s="300">
        <v>45872</v>
      </c>
      <c r="DV241" s="300" t="e">
        <v>#N/A</v>
      </c>
      <c r="DW241" s="301">
        <v>45910</v>
      </c>
      <c r="DX241" s="286" t="s">
        <v>1864</v>
      </c>
      <c r="DY241" s="304">
        <v>109</v>
      </c>
      <c r="DZ241" s="304">
        <v>109</v>
      </c>
      <c r="EA2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1" s="301"/>
      <c r="EC241" s="302">
        <v>99</v>
      </c>
      <c r="ED241" s="302">
        <v>99</v>
      </c>
      <c r="EE241" s="300"/>
      <c r="EF241" s="35">
        <v>0.90825688073394495</v>
      </c>
      <c r="EG241" s="35">
        <f>Table1[[#This Row],[Line PO (kolom  bantu)2]]/Table1[[#This Row],[Line PR]]</f>
        <v>0.90825688073394495</v>
      </c>
      <c r="EH241" s="286" t="str">
        <f>IF(Table1[[#This Row],[PO Material Aktual 
(%)]]&gt;=100%,"Selesai PO = 100%",IF(Table1[[#This Row],[PO Material Aktual 
(%)]]&gt;=50%,"Proses PO &gt; 100%",IF(Table1[[#This Row],[PO Material Aktual 
(%)]]&gt;0%,"Proses PO &gt; 50%",IF(Table1[[#This Row],[PO Material Aktual 
(%)]]=0,"Belum PO = 0%"))))</f>
        <v>Proses PO &gt; 100%</v>
      </c>
      <c r="EI2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41" s="300">
        <v>45873</v>
      </c>
      <c r="EK241" s="300" t="e">
        <v>#N/A</v>
      </c>
      <c r="EL241" s="300">
        <v>46019</v>
      </c>
      <c r="EM241" s="300" t="e">
        <v>#N/A</v>
      </c>
      <c r="EN241" s="301"/>
      <c r="EO241" s="286">
        <v>99</v>
      </c>
      <c r="EP241" s="593">
        <v>99</v>
      </c>
      <c r="EQ241" s="35">
        <v>0.90825688073394495</v>
      </c>
      <c r="ER241" s="35">
        <f>Table1[[#This Row],[Line MOS]]/Table1[[#This Row],[Line PR]]</f>
        <v>0.90825688073394495</v>
      </c>
      <c r="ES241" s="286" t="str">
        <f>IF(Table1[[#This Row],[Progres MOS]]&gt;=100%,"Selesai MOS = 100%",IF(Table1[[#This Row],[Progres MOS]]&gt;=50%,"Proses MOS &gt; 100%",IF(Table1[[#This Row],[Progres MOS]]&gt;0%,"Proses MOS &gt; 50%",IF(Table1[[#This Row],[Progres MOS]]=0,"Belum MOS = 0%"))))</f>
        <v>Proses MOS &gt; 100%</v>
      </c>
      <c r="ET2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1" s="42"/>
      <c r="EV241" s="300">
        <v>45831</v>
      </c>
      <c r="EW241" s="300" t="e">
        <v>#N/A</v>
      </c>
      <c r="EX241" s="300">
        <v>45928</v>
      </c>
      <c r="EY241" s="300" t="e">
        <v>#N/A</v>
      </c>
      <c r="EZ241" s="322" t="s">
        <v>259</v>
      </c>
      <c r="FA241" s="306" t="s">
        <v>259</v>
      </c>
      <c r="FB241" s="300" t="s">
        <v>260</v>
      </c>
      <c r="FC241" s="300">
        <v>45873</v>
      </c>
      <c r="FD241" s="300" t="s">
        <v>260</v>
      </c>
      <c r="FE241" s="300">
        <v>45895</v>
      </c>
      <c r="FF241" s="300">
        <v>45919</v>
      </c>
      <c r="FG241" s="300" t="s">
        <v>260</v>
      </c>
      <c r="FH241" s="300" t="s">
        <v>260</v>
      </c>
      <c r="FI241" s="300">
        <v>45993</v>
      </c>
      <c r="FJ241" s="300" t="s">
        <v>260</v>
      </c>
      <c r="FK241" s="300">
        <v>46062</v>
      </c>
      <c r="FL241" s="306" t="s">
        <v>259</v>
      </c>
      <c r="FM241" s="322">
        <v>45873</v>
      </c>
      <c r="FN241" s="308">
        <f>IF(Table1[[#This Row],[Tanggal Pengajuan Dokumen]]="","",Table1[[#This Row],[PLAN PERMIT
start]]-Table1[[#This Row],[Tanggal Pengajuan Dokumen]])</f>
        <v>-42</v>
      </c>
      <c r="FO241" s="407">
        <v>46064</v>
      </c>
      <c r="FP241" s="286"/>
      <c r="FQ241" s="308"/>
      <c r="FR241" s="308"/>
      <c r="FS241" s="308" t="str">
        <f t="shared" si="11"/>
        <v>Sudah Terbit</v>
      </c>
      <c r="FT2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1" s="314">
        <f ca="1">IF(Table1[[#This Row],[Status Izin]]="Selesai",Table1[[#This Row],[PLAN PERMIT
finish]]-Table1[[#This Row],[Tanggal Terbit/ Target Izin Terbit]],ROUNDUP(Table1[[#This Row],[PLAN PERMIT
finish]]-NOW(),0))</f>
        <v>-136</v>
      </c>
      <c r="FV2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1" s="314"/>
      <c r="FX241" s="42"/>
      <c r="FY241" s="310"/>
      <c r="FZ241" s="311">
        <v>45903</v>
      </c>
      <c r="GA2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1" s="300">
        <v>45902</v>
      </c>
      <c r="GC241" s="322">
        <v>45917</v>
      </c>
      <c r="GD2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1" s="300">
        <v>45909</v>
      </c>
      <c r="GF241" s="322">
        <v>45912</v>
      </c>
      <c r="GG2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1" s="300">
        <v>45915</v>
      </c>
      <c r="GI241" s="300">
        <v>45921</v>
      </c>
      <c r="GJ241" s="322">
        <v>45922</v>
      </c>
      <c r="GK2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1" s="300">
        <v>45929</v>
      </c>
      <c r="GM241" s="300" t="e">
        <v>#N/A</v>
      </c>
      <c r="GN241" s="300">
        <v>46096</v>
      </c>
      <c r="GO241" s="300" t="e">
        <v>#N/A</v>
      </c>
      <c r="GP241" s="286"/>
      <c r="GQ2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1" s="300" t="s">
        <v>261</v>
      </c>
      <c r="GS241" s="300" t="s">
        <v>261</v>
      </c>
      <c r="GT241" s="300">
        <v>46141</v>
      </c>
      <c r="GU241" s="314" t="str">
        <f>IF(Table1[[#This Row],[Hydro Tes Actual
(tanggal)]]&lt;&gt;"","Sudah","Belum")</f>
        <v>Sudah</v>
      </c>
      <c r="GV241" s="300" t="s">
        <v>261</v>
      </c>
      <c r="GW241" s="300" t="s">
        <v>261</v>
      </c>
      <c r="GX241" s="301">
        <v>46129</v>
      </c>
      <c r="GY241" s="314" t="str">
        <f>IF(Table1[[#This Row],[Interkoneksi Actual
(tanggal)]]&lt;&gt;"","Sudah","Belum")</f>
        <v>Sudah</v>
      </c>
      <c r="GZ241" s="300" t="s">
        <v>261</v>
      </c>
      <c r="HA241" s="300" t="s">
        <v>261</v>
      </c>
      <c r="HB241" s="300">
        <v>46155</v>
      </c>
      <c r="HC241" s="314" t="str">
        <f>IF(Table1[[#This Row],[Flushing Actual
(tanggal)]]&lt;&gt;"","Sudah","Belum")</f>
        <v>Sudah</v>
      </c>
      <c r="HD241" s="300">
        <v>46069</v>
      </c>
      <c r="HE241" s="300" t="e">
        <v>#N/A</v>
      </c>
      <c r="HF241" s="300">
        <v>46082</v>
      </c>
      <c r="HG241" s="322">
        <v>46178</v>
      </c>
      <c r="HH2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1" s="300" t="s">
        <v>261</v>
      </c>
      <c r="HJ241" s="300" t="s">
        <v>261</v>
      </c>
      <c r="HK241" s="301"/>
      <c r="HL241" s="286"/>
      <c r="HM241" s="300">
        <v>46101</v>
      </c>
      <c r="HN241" s="300">
        <v>46101</v>
      </c>
      <c r="HO241" s="300" t="e">
        <v>#N/A</v>
      </c>
      <c r="HP241" s="300" t="s">
        <v>260</v>
      </c>
      <c r="HQ241" s="301"/>
      <c r="HR24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1" s="300">
        <v>46108</v>
      </c>
      <c r="HT241" s="300"/>
      <c r="HU241" s="300">
        <v>46108</v>
      </c>
      <c r="HV241" s="300"/>
      <c r="HW241" s="301"/>
      <c r="HX2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1" s="42"/>
      <c r="HZ241" s="322"/>
      <c r="IA241" s="322"/>
      <c r="IC241" s="585">
        <f>IFERROR(ROUND((Table1[[#This Row],[PLAN TC
finish]]-Table1[[#This Row],[PLAN MC-0
start]])/30,2),"")</f>
        <v>5.57</v>
      </c>
      <c r="ID241">
        <f>DATEDIF(Table1[[#This Row],[PLAN MC-0
start]],Table1[[#This Row],[PLAN TC
finish]],"m")</f>
        <v>5</v>
      </c>
    </row>
    <row r="242" spans="2:238" s="4" customFormat="1" ht="15" customHeight="1" x14ac:dyDescent="0.25">
      <c r="B242" s="281">
        <f>SUBTOTAL(3,$D$5:D242)</f>
        <v>238</v>
      </c>
      <c r="C242" s="286">
        <v>238</v>
      </c>
      <c r="D242" s="308" t="s">
        <v>629</v>
      </c>
      <c r="E242" s="308" t="s">
        <v>1865</v>
      </c>
      <c r="F242" s="308" t="s">
        <v>1866</v>
      </c>
      <c r="G242" s="319">
        <v>46117</v>
      </c>
      <c r="H242" s="284" t="s">
        <v>247</v>
      </c>
      <c r="I242" s="308" t="s">
        <v>278</v>
      </c>
      <c r="J242" s="450" t="s">
        <v>1818</v>
      </c>
      <c r="K242" s="308" t="s">
        <v>915</v>
      </c>
      <c r="L242" s="286" t="s">
        <v>250</v>
      </c>
      <c r="M242" s="325" t="s">
        <v>269</v>
      </c>
      <c r="N242" s="94">
        <v>8172</v>
      </c>
      <c r="O242" s="113" t="s">
        <v>252</v>
      </c>
      <c r="P2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2" s="35">
        <v>0.86374237535202636</v>
      </c>
      <c r="S242" s="34">
        <v>1</v>
      </c>
      <c r="T242" s="34">
        <f>Table1[[#This Row],[Progres Total Aktual
(%)]]</f>
        <v>0.42552050001018388</v>
      </c>
      <c r="U242" s="85">
        <f>Table1[[#This Row],[Progres Aktual
(%)]]-Table1[[#This Row],[Target Progres
(%)]]</f>
        <v>-0.57447949998981618</v>
      </c>
      <c r="V242" s="75">
        <f>Table1[[#This Row],["Volume
BA MC-0"]]</f>
        <v>7889.7</v>
      </c>
      <c r="W242" s="41">
        <f>Table1[[#This Row],[Total Panjang Pipa Aktual
(Sum-&gt;)3]]</f>
        <v>4871.5</v>
      </c>
      <c r="X242" s="42"/>
      <c r="Y242" s="62" t="s">
        <v>1867</v>
      </c>
      <c r="Z242" s="62">
        <v>22691364069</v>
      </c>
      <c r="AA242" s="62">
        <f>ROUND((Table1[[#This Row],[Nilai RAB Jaringan
(Exclude Ppn)]]-Table1[[#This Row],[RAB Perizinan]])*1.11+Table1[[#This Row],[RAB Perizinan]],0)</f>
        <v>22691364069</v>
      </c>
      <c r="AB242" s="406">
        <f>SUM(Table1[[#This Row],[RAB Kegiatan Umum]:[RAB Perizinan]])</f>
        <v>20452156098</v>
      </c>
      <c r="AC242" s="406">
        <v>1340625169</v>
      </c>
      <c r="AD242" s="406">
        <v>13406251682</v>
      </c>
      <c r="AE242" s="406">
        <v>5609559247</v>
      </c>
      <c r="AF242" s="406">
        <v>95720000</v>
      </c>
      <c r="AG242" s="453">
        <v>9178325088</v>
      </c>
      <c r="AH242" s="33">
        <f>SUM(Table1[[#This Row],[Bobot Keg Umum]:[Bobot Perizinan]])</f>
        <v>1</v>
      </c>
      <c r="AI242" s="33">
        <f>Table1[[#This Row],[RAB Kegiatan Umum]]/Table1[[#This Row],[Nilai RAB Jaringan
(Exclude Ppn)]]</f>
        <v>6.5549331942127059E-2</v>
      </c>
      <c r="AJ242" s="33">
        <f>Table1[[#This Row],[RAB Pemasangan]]/Table1[[#This Row],[Nilai RAB Jaringan
(Exclude Ppn)]]</f>
        <v>0.65549331903011376</v>
      </c>
      <c r="AK242" s="33">
        <f>Table1[[#This Row],[RAB Pengadaan]]/Table1[[#This Row],[Nilai RAB Jaringan
(Exclude Ppn)]]</f>
        <v>0.27427715787620821</v>
      </c>
      <c r="AL242" s="33">
        <f>Table1[[#This Row],[RAB Perizinan]]/Table1[[#This Row],[Nilai RAB Jaringan
(Exclude Ppn)]]</f>
        <v>4.680191151551028E-3</v>
      </c>
      <c r="AM242" s="42"/>
      <c r="AN242" s="256">
        <v>7889.7</v>
      </c>
      <c r="AO242" s="256">
        <f>SUM(Table1[[#This Row],[Pipa 63 mm]:[Pipa 1,800 mm]])</f>
        <v>7889.5</v>
      </c>
      <c r="AP242" s="256">
        <v>2293</v>
      </c>
      <c r="AQ242" s="256">
        <v>1493</v>
      </c>
      <c r="AR242" s="256">
        <v>1224</v>
      </c>
      <c r="AS242" s="256">
        <v>877.5</v>
      </c>
      <c r="AT242" s="256">
        <v>6</v>
      </c>
      <c r="AU242" s="256">
        <v>1835</v>
      </c>
      <c r="AV242" s="256">
        <v>161</v>
      </c>
      <c r="AW242" s="256"/>
      <c r="AX242" s="256"/>
      <c r="AY242" s="256"/>
      <c r="AZ242" s="256"/>
      <c r="BA242" s="256"/>
      <c r="BB242" s="256"/>
      <c r="BC242" s="256"/>
      <c r="BD242" s="256"/>
      <c r="BE242" s="256"/>
      <c r="BF242" s="256"/>
      <c r="BG242" s="256"/>
      <c r="BH242" s="256"/>
      <c r="BI242" s="256"/>
      <c r="BJ242" s="36">
        <f>SUM(Table1[[#This Row],[Pipa 63 mm2]:[Pipa 1,800 mm21]])</f>
        <v>4871.5</v>
      </c>
      <c r="BK242" s="32">
        <v>1618</v>
      </c>
      <c r="BL242" s="32">
        <v>1029</v>
      </c>
      <c r="BM242" s="32">
        <v>713</v>
      </c>
      <c r="BN242" s="32">
        <v>878</v>
      </c>
      <c r="BO242" s="32"/>
      <c r="BP242" s="32">
        <v>633.5</v>
      </c>
      <c r="BQ242" s="32"/>
      <c r="BR242" s="32"/>
      <c r="BS242" s="32"/>
      <c r="BT242" s="32"/>
      <c r="BU242" s="32"/>
      <c r="BV242" s="32"/>
      <c r="BW242" s="32"/>
      <c r="BX242" s="32"/>
      <c r="BY242" s="32"/>
      <c r="BZ242" s="32"/>
      <c r="CA242" s="32"/>
      <c r="CB242" s="32"/>
      <c r="CC242" s="32"/>
      <c r="CD242" s="32"/>
      <c r="CE242" s="32">
        <v>0</v>
      </c>
      <c r="CF242" s="32"/>
      <c r="CG242" s="32"/>
      <c r="CH242" s="32"/>
      <c r="CI242" s="32">
        <f t="shared" si="12"/>
        <v>0</v>
      </c>
      <c r="CJ242" s="60">
        <f>IF((Table1[[#This Row],["Volume
BA MC-0"]]-Table1[[#This Row],[Total Panjang Pipa Aktual
(Sum-&gt;)3]]-Table1[[#This Row],[Total Volume
tidak dapat dipasang]])&gt;=0,Table1[[#This Row],["Volume
BA MC-0"]]-Table1[[#This Row],[Total Panjang Pipa Aktual
(Sum-&gt;)3]]-Table1[[#This Row],[Total Volume
tidak dapat dipasang]],0)</f>
        <v>3018.2</v>
      </c>
      <c r="CK242" s="42"/>
      <c r="CL242" s="454" t="s">
        <v>1821</v>
      </c>
      <c r="CM242" s="34" t="s">
        <v>1821</v>
      </c>
      <c r="CN242" s="454" t="s">
        <v>1821</v>
      </c>
      <c r="CO242" s="454" t="s">
        <v>1821</v>
      </c>
      <c r="CP2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0.42552050001018388</v>
      </c>
      <c r="CQ242" s="61">
        <f>IFERROR(Table1[[#This Row],[Progres Keg. Umum
(%)]]*Table1[[#This Row],[Nilai RAB Jaringan
(file pa aji)]],0)</f>
        <v>0</v>
      </c>
      <c r="CR242" s="61">
        <f>IFERROR(Table1[[#This Row],[Progres MOS
(%)]]*Table1[[#This Row],[Nilai RAB Jaringan
(file pa aji)]],0)</f>
        <v>0</v>
      </c>
      <c r="CS242" s="61">
        <f>IFERROR(Table1[[#This Row],[Progres Pemasangan
(%)]]*Table1[[#This Row],[Nilai RAB Jaringan
(file pa aji)]],0)</f>
        <v>0</v>
      </c>
      <c r="CT242" s="61">
        <f>IFERROR(Table1[[#This Row],[Progres Perizinan
(%)]]*Table1[[#This Row],[Nilai RAB Jaringan
(file pa aji)]],0)</f>
        <v>0</v>
      </c>
      <c r="CU242" s="789">
        <v>9655640584.5540009</v>
      </c>
      <c r="CV242" s="299">
        <v>9655640584.5540009</v>
      </c>
      <c r="CW242" s="552">
        <v>0</v>
      </c>
      <c r="CX242" s="789">
        <f>_xlfn.XLOOKUP(Table1[[#This Row],[Kode Program]],'[1]Breakdown VOWD Greenfield'!$E:$E,'[1]Breakdown VOWD Greenfield'!$AT:$AT)</f>
        <v>0</v>
      </c>
      <c r="CY242" s="42"/>
      <c r="CZ242" s="300">
        <v>45838</v>
      </c>
      <c r="DA242" s="300">
        <v>45865</v>
      </c>
      <c r="DB242" s="301">
        <v>45811</v>
      </c>
      <c r="DC242" s="286" t="s">
        <v>1868</v>
      </c>
      <c r="DD242" s="62">
        <v>26619887846</v>
      </c>
      <c r="DE2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2" s="301">
        <v>45820</v>
      </c>
      <c r="DG242" s="286" t="s">
        <v>1869</v>
      </c>
      <c r="DH242" s="62">
        <v>26619887846</v>
      </c>
      <c r="DI2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2" s="300">
        <v>45866</v>
      </c>
      <c r="DK242" s="300">
        <v>45935</v>
      </c>
      <c r="DL242" s="301">
        <v>45922</v>
      </c>
      <c r="DM242" s="286" t="s">
        <v>1870</v>
      </c>
      <c r="DN2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2" s="301">
        <v>45957.291666666664</v>
      </c>
      <c r="DP242" s="286" t="s">
        <v>1871</v>
      </c>
      <c r="DQ242" s="308" t="s">
        <v>1872</v>
      </c>
      <c r="DR2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2" s="300">
        <v>45866</v>
      </c>
      <c r="DT242" s="300" t="e">
        <v>#N/A</v>
      </c>
      <c r="DU242" s="300">
        <v>45907</v>
      </c>
      <c r="DV242" s="300" t="e">
        <v>#N/A</v>
      </c>
      <c r="DW242" s="301">
        <v>45911</v>
      </c>
      <c r="DX242" s="286" t="s">
        <v>1873</v>
      </c>
      <c r="DY242" s="304">
        <v>277</v>
      </c>
      <c r="DZ242" s="304">
        <v>277</v>
      </c>
      <c r="EA2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2" s="301">
        <v>46127</v>
      </c>
      <c r="EC242" s="302">
        <v>245</v>
      </c>
      <c r="ED242" s="302">
        <v>245</v>
      </c>
      <c r="EE242" s="300"/>
      <c r="EF242" s="35">
        <v>0.8844765342960289</v>
      </c>
      <c r="EG242" s="35">
        <f>Table1[[#This Row],[Line PO (kolom  bantu)2]]/Table1[[#This Row],[Line PR]]</f>
        <v>0.8844765342960289</v>
      </c>
      <c r="EH242" s="286" t="str">
        <f>IF(Table1[[#This Row],[PO Material Aktual 
(%)]]&gt;=100%,"Selesai PO = 100%",IF(Table1[[#This Row],[PO Material Aktual 
(%)]]&gt;=50%,"Proses PO &gt; 100%",IF(Table1[[#This Row],[PO Material Aktual 
(%)]]&gt;0%,"Proses PO &gt; 50%",IF(Table1[[#This Row],[PO Material Aktual 
(%)]]=0,"Belum PO = 0%"))))</f>
        <v>Proses PO &gt; 100%</v>
      </c>
      <c r="EI2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2" s="300">
        <v>45908</v>
      </c>
      <c r="EK242" s="300" t="e">
        <v>#N/A</v>
      </c>
      <c r="EL242" s="300">
        <v>46019</v>
      </c>
      <c r="EM242" s="300" t="e">
        <v>#N/A</v>
      </c>
      <c r="EN242" s="301"/>
      <c r="EO242" s="302">
        <v>238</v>
      </c>
      <c r="EP242" s="286">
        <v>238</v>
      </c>
      <c r="EQ242" s="35">
        <v>0.8592057761732852</v>
      </c>
      <c r="ER242" s="35">
        <f>Table1[[#This Row],[Line MOS]]/Table1[[#This Row],[Line PR]]</f>
        <v>0.8592057761732852</v>
      </c>
      <c r="ES242" s="286" t="str">
        <f>IF(Table1[[#This Row],[Progres MOS]]&gt;=100%,"Selesai MOS = 100%",IF(Table1[[#This Row],[Progres MOS]]&gt;=50%,"Proses MOS &gt; 100%",IF(Table1[[#This Row],[Progres MOS]]&gt;0%,"Proses MOS &gt; 50%",IF(Table1[[#This Row],[Progres MOS]]=0,"Belum MOS = 0%"))))</f>
        <v>Proses MOS &gt; 100%</v>
      </c>
      <c r="ET2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2" s="42"/>
      <c r="EV242" s="300">
        <v>45866</v>
      </c>
      <c r="EW242" s="300" t="e">
        <v>#N/A</v>
      </c>
      <c r="EX242" s="300">
        <v>45963</v>
      </c>
      <c r="EY242" s="300" t="e">
        <v>#N/A</v>
      </c>
      <c r="EZ242" s="322" t="s">
        <v>298</v>
      </c>
      <c r="FA242" s="306" t="s">
        <v>298</v>
      </c>
      <c r="FB242" s="300" t="s">
        <v>260</v>
      </c>
      <c r="FC242" s="300">
        <v>45891</v>
      </c>
      <c r="FD242" s="300" t="s">
        <v>260</v>
      </c>
      <c r="FE242" s="300">
        <v>45919</v>
      </c>
      <c r="FF242" s="300">
        <v>45937</v>
      </c>
      <c r="FG242" s="300" t="s">
        <v>260</v>
      </c>
      <c r="FH242" s="300" t="s">
        <v>260</v>
      </c>
      <c r="FI242" s="300">
        <v>46010</v>
      </c>
      <c r="FJ242" s="300" t="s">
        <v>260</v>
      </c>
      <c r="FK242" s="300"/>
      <c r="FL242" s="306" t="s">
        <v>298</v>
      </c>
      <c r="FM242" s="322">
        <v>45891</v>
      </c>
      <c r="FN242" s="308">
        <f>IF(Table1[[#This Row],[Tanggal Pengajuan Dokumen]]="","",Table1[[#This Row],[PLAN PERMIT
start]]-Table1[[#This Row],[Tanggal Pengajuan Dokumen]])</f>
        <v>-25</v>
      </c>
      <c r="FO242" s="407">
        <v>46086</v>
      </c>
      <c r="FP242" s="286"/>
      <c r="FQ242" s="308"/>
      <c r="FR242" s="308"/>
      <c r="FS242" s="308" t="str">
        <f t="shared" si="11"/>
        <v>On Going</v>
      </c>
      <c r="FT2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2" s="314">
        <f ca="1">IF(Table1[[#This Row],[Status Izin]]="Selesai",Table1[[#This Row],[PLAN PERMIT
finish]]-Table1[[#This Row],[Tanggal Terbit/ Target Izin Terbit]],ROUNDUP(Table1[[#This Row],[PLAN PERMIT
finish]]-NOW(),0))</f>
        <v>-241</v>
      </c>
      <c r="FV2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2" s="314"/>
      <c r="FX242" s="42"/>
      <c r="FY242" s="310"/>
      <c r="FZ242" s="311">
        <v>45903</v>
      </c>
      <c r="GA2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2" s="300">
        <v>45937</v>
      </c>
      <c r="GC242" s="322">
        <v>45917</v>
      </c>
      <c r="GD2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2" s="300">
        <v>45944</v>
      </c>
      <c r="GF242" s="322">
        <v>45912</v>
      </c>
      <c r="GG2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2" s="300">
        <v>45950</v>
      </c>
      <c r="GI242" s="300">
        <v>45956</v>
      </c>
      <c r="GJ242" s="322">
        <v>45945</v>
      </c>
      <c r="GK2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2" s="300">
        <v>45964</v>
      </c>
      <c r="GM242" s="300" t="e">
        <v>#N/A</v>
      </c>
      <c r="GN242" s="300">
        <v>46096</v>
      </c>
      <c r="GO242" s="300" t="e">
        <v>#N/A</v>
      </c>
      <c r="GP242" s="286"/>
      <c r="GQ2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2" s="300" t="s">
        <v>261</v>
      </c>
      <c r="GS242" s="300" t="s">
        <v>261</v>
      </c>
      <c r="GT242" s="324">
        <v>46171</v>
      </c>
      <c r="GU242" s="314" t="str">
        <f>IF(Table1[[#This Row],[Hydro Tes Actual
(tanggal)]]&lt;&gt;"","Sudah","Belum")</f>
        <v>Sudah</v>
      </c>
      <c r="GV242" s="300" t="s">
        <v>261</v>
      </c>
      <c r="GW242" s="300" t="s">
        <v>261</v>
      </c>
      <c r="GX242" s="301"/>
      <c r="GY242" s="314" t="str">
        <f>IF(Table1[[#This Row],[Interkoneksi Actual
(tanggal)]]&lt;&gt;"","Sudah","Belum")</f>
        <v>Belum</v>
      </c>
      <c r="GZ242" s="300" t="s">
        <v>261</v>
      </c>
      <c r="HA242" s="300" t="s">
        <v>261</v>
      </c>
      <c r="HB242" s="301"/>
      <c r="HC242" s="314" t="str">
        <f>IF(Table1[[#This Row],[Flushing Actual
(tanggal)]]&lt;&gt;"","Sudah","Belum")</f>
        <v>Belum</v>
      </c>
      <c r="HD242" s="300">
        <v>46069</v>
      </c>
      <c r="HE242" s="300" t="e">
        <v>#N/A</v>
      </c>
      <c r="HF242" s="300">
        <v>46082</v>
      </c>
      <c r="HG242" s="322"/>
      <c r="HH2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2" s="300" t="s">
        <v>261</v>
      </c>
      <c r="HJ242" s="300" t="s">
        <v>261</v>
      </c>
      <c r="HK242" s="301"/>
      <c r="HL242" s="286"/>
      <c r="HM242" s="300">
        <v>46101</v>
      </c>
      <c r="HN242" s="300">
        <v>46101</v>
      </c>
      <c r="HO242" s="300" t="e">
        <v>#N/A</v>
      </c>
      <c r="HP242" s="300"/>
      <c r="HQ242" s="301"/>
      <c r="HR24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2" s="300">
        <v>46108</v>
      </c>
      <c r="HT242" s="300"/>
      <c r="HU242" s="300">
        <v>46108</v>
      </c>
      <c r="HV242" s="300"/>
      <c r="HW242" s="301"/>
      <c r="HX2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2" s="42"/>
      <c r="HZ242" s="322"/>
      <c r="IA242" s="322"/>
      <c r="IC242" s="585">
        <f>IFERROR(ROUND((Table1[[#This Row],[PLAN TC
finish]]-Table1[[#This Row],[PLAN MC-0
start]])/30,2),"")</f>
        <v>4.4000000000000004</v>
      </c>
      <c r="ID242">
        <f>DATEDIF(Table1[[#This Row],[PLAN MC-0
start]],Table1[[#This Row],[PLAN TC
finish]],"m")</f>
        <v>4</v>
      </c>
    </row>
    <row r="243" spans="2:238" s="4" customFormat="1" ht="15" customHeight="1" x14ac:dyDescent="0.25">
      <c r="B243" s="281">
        <f>SUBTOTAL(3,$D$5:D243)</f>
        <v>239</v>
      </c>
      <c r="C243" s="286">
        <v>239</v>
      </c>
      <c r="D243" s="308" t="s">
        <v>629</v>
      </c>
      <c r="E243" s="308" t="s">
        <v>1874</v>
      </c>
      <c r="F243" s="308" t="s">
        <v>1875</v>
      </c>
      <c r="G243" s="319">
        <v>46117</v>
      </c>
      <c r="H243" s="284" t="s">
        <v>247</v>
      </c>
      <c r="I243" s="308" t="s">
        <v>278</v>
      </c>
      <c r="J243" s="450" t="s">
        <v>1818</v>
      </c>
      <c r="K243" s="308" t="s">
        <v>915</v>
      </c>
      <c r="L243" s="286" t="s">
        <v>250</v>
      </c>
      <c r="M243" s="325" t="s">
        <v>269</v>
      </c>
      <c r="N243" s="94">
        <v>611</v>
      </c>
      <c r="O243" s="113" t="s">
        <v>252</v>
      </c>
      <c r="P2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3" s="35">
        <v>0.83046136432281525</v>
      </c>
      <c r="S243" s="34">
        <v>1</v>
      </c>
      <c r="T243" s="34">
        <f>Table1[[#This Row],[Progres Total Aktual
(%)]]</f>
        <v>0.34466664900087324</v>
      </c>
      <c r="U243" s="85">
        <f>Table1[[#This Row],[Progres Aktual
(%)]]-Table1[[#This Row],[Target Progres
(%)]]</f>
        <v>-0.65533335099912682</v>
      </c>
      <c r="V243" s="75">
        <f>Table1[[#This Row],["Volume
BA MC-0"]]</f>
        <v>1177</v>
      </c>
      <c r="W243" s="41">
        <f>Table1[[#This Row],[Total Panjang Pipa Aktual
(Sum-&gt;)3]]</f>
        <v>548</v>
      </c>
      <c r="X243" s="42"/>
      <c r="Y243" s="62" t="s">
        <v>1876</v>
      </c>
      <c r="Z243" s="62">
        <v>2211882788</v>
      </c>
      <c r="AA243" s="62">
        <f>ROUND((Table1[[#This Row],[Nilai RAB Jaringan
(Exclude Ppn)]]-Table1[[#This Row],[RAB Perizinan]])*1.11+Table1[[#This Row],[RAB Perizinan]],0)</f>
        <v>2211882788</v>
      </c>
      <c r="AB243" s="456">
        <f>SUM(Table1[[#This Row],[RAB Kegiatan Umum]:[RAB Perizinan]])</f>
        <v>1993913052</v>
      </c>
      <c r="AC243" s="406">
        <v>132306355</v>
      </c>
      <c r="AD243" s="406">
        <v>1323063548</v>
      </c>
      <c r="AE243" s="406">
        <v>526173149</v>
      </c>
      <c r="AF243" s="406">
        <v>12370000</v>
      </c>
      <c r="AG243" s="453">
        <v>3566388042</v>
      </c>
      <c r="AH243" s="33">
        <f>SUM(Table1[[#This Row],[Bobot Keg Umum]:[Bobot Perizinan]])</f>
        <v>1</v>
      </c>
      <c r="AI243" s="33">
        <f>Table1[[#This Row],[RAB Kegiatan Umum]]/Table1[[#This Row],[Nilai RAB Jaringan
(Exclude Ppn)]]</f>
        <v>6.6355127605634431E-2</v>
      </c>
      <c r="AJ243" s="33">
        <f>Table1[[#This Row],[RAB Pemasangan]]/Table1[[#This Row],[Nilai RAB Jaringan
(Exclude Ppn)]]</f>
        <v>0.66355127505329159</v>
      </c>
      <c r="AK243" s="33">
        <f>Table1[[#This Row],[RAB Pengadaan]]/Table1[[#This Row],[Nilai RAB Jaringan
(Exclude Ppn)]]</f>
        <v>0.26388971598948135</v>
      </c>
      <c r="AL243" s="33">
        <f>Table1[[#This Row],[RAB Perizinan]]/Table1[[#This Row],[Nilai RAB Jaringan
(Exclude Ppn)]]</f>
        <v>6.2038813515926574E-3</v>
      </c>
      <c r="AM243" s="42"/>
      <c r="AN243" s="256">
        <v>1177</v>
      </c>
      <c r="AO243" s="256">
        <f>SUM(Table1[[#This Row],[Pipa 63 mm]:[Pipa 1,800 mm]])</f>
        <v>1177</v>
      </c>
      <c r="AP243" s="256">
        <v>757</v>
      </c>
      <c r="AQ243" s="256">
        <v>161</v>
      </c>
      <c r="AR243" s="256"/>
      <c r="AS243" s="256">
        <v>259</v>
      </c>
      <c r="AT243" s="256"/>
      <c r="AU243" s="256"/>
      <c r="AV243" s="256"/>
      <c r="AW243" s="256"/>
      <c r="AX243" s="256"/>
      <c r="AY243" s="256"/>
      <c r="AZ243" s="256"/>
      <c r="BA243" s="256"/>
      <c r="BB243" s="256"/>
      <c r="BC243" s="256"/>
      <c r="BD243" s="256"/>
      <c r="BE243" s="256"/>
      <c r="BF243" s="256"/>
      <c r="BG243" s="256"/>
      <c r="BH243" s="256"/>
      <c r="BI243" s="256"/>
      <c r="BJ243" s="36">
        <f>SUM(Table1[[#This Row],[Pipa 63 mm2]:[Pipa 1,800 mm21]])</f>
        <v>548</v>
      </c>
      <c r="BK243" s="32">
        <v>398</v>
      </c>
      <c r="BL243" s="32">
        <v>150</v>
      </c>
      <c r="BM243" s="32"/>
      <c r="BN243" s="32"/>
      <c r="BO243" s="32"/>
      <c r="BP243" s="32"/>
      <c r="BQ243" s="32"/>
      <c r="BR243" s="32"/>
      <c r="BS243" s="32"/>
      <c r="BT243" s="32"/>
      <c r="BU243" s="32"/>
      <c r="BV243" s="32"/>
      <c r="BW243" s="32"/>
      <c r="BX243" s="32"/>
      <c r="BY243" s="32"/>
      <c r="BZ243" s="32"/>
      <c r="CA243" s="32"/>
      <c r="CB243" s="32"/>
      <c r="CC243" s="32"/>
      <c r="CD243" s="32"/>
      <c r="CE243" s="32">
        <v>0</v>
      </c>
      <c r="CF243" s="32"/>
      <c r="CG243" s="32"/>
      <c r="CH243" s="32"/>
      <c r="CI243" s="32">
        <f t="shared" si="12"/>
        <v>0</v>
      </c>
      <c r="CJ243" s="60">
        <f>IF((Table1[[#This Row],["Volume
BA MC-0"]]-Table1[[#This Row],[Total Panjang Pipa Aktual
(Sum-&gt;)3]]-Table1[[#This Row],[Total Volume
tidak dapat dipasang]])&gt;=0,Table1[[#This Row],["Volume
BA MC-0"]]-Table1[[#This Row],[Total Panjang Pipa Aktual
(Sum-&gt;)3]]-Table1[[#This Row],[Total Volume
tidak dapat dipasang]],0)</f>
        <v>629</v>
      </c>
      <c r="CK243" s="42"/>
      <c r="CL243" s="454" t="s">
        <v>1821</v>
      </c>
      <c r="CM243" s="34" t="s">
        <v>1821</v>
      </c>
      <c r="CN243" s="454" t="s">
        <v>1821</v>
      </c>
      <c r="CO243" s="454" t="s">
        <v>1821</v>
      </c>
      <c r="CP2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0.34466664900087324</v>
      </c>
      <c r="CQ243" s="61">
        <f>IFERROR(Table1[[#This Row],[Progres Keg. Umum
(%)]]*Table1[[#This Row],[Nilai RAB Jaringan
(file pa aji)]],0)</f>
        <v>0</v>
      </c>
      <c r="CR243" s="61">
        <f>IFERROR(Table1[[#This Row],[Progres MOS
(%)]]*Table1[[#This Row],[Nilai RAB Jaringan
(file pa aji)]],0)</f>
        <v>0</v>
      </c>
      <c r="CS243" s="61">
        <f>IFERROR(Table1[[#This Row],[Progres Pemasangan
(%)]]*Table1[[#This Row],[Nilai RAB Jaringan
(file pa aji)]],0)</f>
        <v>0</v>
      </c>
      <c r="CT243" s="61">
        <f>IFERROR(Table1[[#This Row],[Progres Perizinan
(%)]]*Table1[[#This Row],[Nilai RAB Jaringan
(file pa aji)]],0)</f>
        <v>0</v>
      </c>
      <c r="CU243" s="789">
        <v>762362228.52266896</v>
      </c>
      <c r="CV243" s="299">
        <v>762362228.52266896</v>
      </c>
      <c r="CW243" s="552">
        <v>0</v>
      </c>
      <c r="CX243" s="789">
        <f>_xlfn.XLOOKUP(Table1[[#This Row],[Kode Program]],'[1]Breakdown VOWD Greenfield'!$E:$E,'[1]Breakdown VOWD Greenfield'!$AT:$AT)</f>
        <v>0</v>
      </c>
      <c r="CY243" s="42"/>
      <c r="CZ243" s="300">
        <v>45866</v>
      </c>
      <c r="DA243" s="300">
        <v>45893</v>
      </c>
      <c r="DB243" s="301">
        <v>45881</v>
      </c>
      <c r="DC243" s="286" t="s">
        <v>1877</v>
      </c>
      <c r="DD243" s="62">
        <v>2211882787</v>
      </c>
      <c r="DE2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43" s="301">
        <v>45890</v>
      </c>
      <c r="DG243" s="286" t="s">
        <v>1878</v>
      </c>
      <c r="DH243" s="62">
        <v>2211882787</v>
      </c>
      <c r="DI2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43" s="300">
        <v>45894</v>
      </c>
      <c r="DK243" s="300">
        <v>45963</v>
      </c>
      <c r="DL243" s="301">
        <v>45922</v>
      </c>
      <c r="DM243" s="286" t="s">
        <v>1879</v>
      </c>
      <c r="DN2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43" s="301">
        <v>45940</v>
      </c>
      <c r="DP243" s="308" t="s">
        <v>1880</v>
      </c>
      <c r="DQ243" s="308" t="s">
        <v>312</v>
      </c>
      <c r="DR2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43" s="300">
        <v>45894</v>
      </c>
      <c r="DT243" s="300" t="e">
        <v>#N/A</v>
      </c>
      <c r="DU243" s="300">
        <v>45935</v>
      </c>
      <c r="DV243" s="300" t="e">
        <v>#N/A</v>
      </c>
      <c r="DW243" s="301">
        <v>45916</v>
      </c>
      <c r="DX243" s="286" t="s">
        <v>1881</v>
      </c>
      <c r="DY243" s="304">
        <v>63</v>
      </c>
      <c r="DZ243" s="304">
        <v>63</v>
      </c>
      <c r="EA2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43" s="301">
        <v>46006</v>
      </c>
      <c r="EC243" s="302">
        <v>63</v>
      </c>
      <c r="ED243" s="302">
        <v>63</v>
      </c>
      <c r="EE243" s="300" t="s">
        <v>1882</v>
      </c>
      <c r="EF243" s="35">
        <v>1</v>
      </c>
      <c r="EG243" s="35">
        <f>Table1[[#This Row],[Line PO (kolom  bantu)2]]/Table1[[#This Row],[Line PR]]</f>
        <v>1</v>
      </c>
      <c r="EH243" s="286" t="str">
        <f>IF(Table1[[#This Row],[PO Material Aktual 
(%)]]&gt;=100%,"Selesai PO = 100%",IF(Table1[[#This Row],[PO Material Aktual 
(%)]]&gt;=50%,"Proses PO &gt; 100%",IF(Table1[[#This Row],[PO Material Aktual 
(%)]]&gt;0%,"Proses PO &gt; 50%",IF(Table1[[#This Row],[PO Material Aktual 
(%)]]=0,"Belum PO = 0%"))))</f>
        <v>Selesai PO = 100%</v>
      </c>
      <c r="EI2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3" s="300">
        <v>45936</v>
      </c>
      <c r="EK243" s="300" t="e">
        <v>#N/A</v>
      </c>
      <c r="EL243" s="300">
        <v>46047</v>
      </c>
      <c r="EM243" s="300" t="e">
        <v>#N/A</v>
      </c>
      <c r="EN243" s="301"/>
      <c r="EO243" s="302">
        <v>63</v>
      </c>
      <c r="EP243" s="286">
        <v>63</v>
      </c>
      <c r="EQ243" s="35">
        <v>1</v>
      </c>
      <c r="ER243" s="35">
        <f>Table1[[#This Row],[Line MOS]]/Table1[[#This Row],[Line PR]]</f>
        <v>1</v>
      </c>
      <c r="ES243" s="286" t="str">
        <f>IF(Table1[[#This Row],[Progres MOS]]&gt;=100%,"Selesai MOS = 100%",IF(Table1[[#This Row],[Progres MOS]]&gt;=50%,"Proses MOS &gt; 100%",IF(Table1[[#This Row],[Progres MOS]]&gt;0%,"Proses MOS &gt; 50%",IF(Table1[[#This Row],[Progres MOS]]=0,"Belum MOS = 0%"))))</f>
        <v>Selesai MOS = 100%</v>
      </c>
      <c r="ET2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3" s="42"/>
      <c r="EV243" s="300">
        <v>45894</v>
      </c>
      <c r="EW243" s="300" t="e">
        <v>#N/A</v>
      </c>
      <c r="EX243" s="300">
        <v>45991</v>
      </c>
      <c r="EY243" s="300" t="e">
        <v>#N/A</v>
      </c>
      <c r="EZ243" s="322" t="s">
        <v>298</v>
      </c>
      <c r="FA243" s="306" t="s">
        <v>298</v>
      </c>
      <c r="FB243" s="300" t="s">
        <v>260</v>
      </c>
      <c r="FC243" s="300">
        <v>45891</v>
      </c>
      <c r="FD243" s="300" t="s">
        <v>260</v>
      </c>
      <c r="FE243" s="300">
        <v>45919</v>
      </c>
      <c r="FF243" s="300">
        <v>45937</v>
      </c>
      <c r="FG243" s="300" t="s">
        <v>260</v>
      </c>
      <c r="FH243" s="300" t="s">
        <v>260</v>
      </c>
      <c r="FI243" s="300">
        <v>46010</v>
      </c>
      <c r="FJ243" s="300" t="s">
        <v>260</v>
      </c>
      <c r="FK243" s="300"/>
      <c r="FL243" s="306" t="s">
        <v>298</v>
      </c>
      <c r="FM243" s="322">
        <v>45891</v>
      </c>
      <c r="FN243" s="308">
        <f>IF(Table1[[#This Row],[Tanggal Pengajuan Dokumen]]="","",Table1[[#This Row],[PLAN PERMIT
start]]-Table1[[#This Row],[Tanggal Pengajuan Dokumen]])</f>
        <v>3</v>
      </c>
      <c r="FO243" s="407">
        <v>46086</v>
      </c>
      <c r="FP243" s="286"/>
      <c r="FQ243" s="308"/>
      <c r="FR243" s="308"/>
      <c r="FS243" s="308" t="str">
        <f t="shared" si="11"/>
        <v>On Going</v>
      </c>
      <c r="FT2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3" s="314">
        <f ca="1">IF(Table1[[#This Row],[Status Izin]]="Selesai",Table1[[#This Row],[PLAN PERMIT
finish]]-Table1[[#This Row],[Tanggal Terbit/ Target Izin Terbit]],ROUNDUP(Table1[[#This Row],[PLAN PERMIT
finish]]-NOW(),0))</f>
        <v>-213</v>
      </c>
      <c r="FV2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3" s="314"/>
      <c r="FX243" s="42"/>
      <c r="FY243" s="310"/>
      <c r="FZ243" s="311">
        <v>45911</v>
      </c>
      <c r="GA2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3" s="300">
        <v>45965</v>
      </c>
      <c r="GC243" s="322">
        <v>45917</v>
      </c>
      <c r="GD2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43" s="300">
        <v>45972</v>
      </c>
      <c r="GF243" s="322">
        <v>45912</v>
      </c>
      <c r="GG2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43" s="300">
        <v>45978</v>
      </c>
      <c r="GI243" s="300">
        <v>45984</v>
      </c>
      <c r="GJ243" s="322">
        <v>45944</v>
      </c>
      <c r="GK2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43" s="300">
        <v>45992</v>
      </c>
      <c r="GM243" s="300" t="e">
        <v>#N/A</v>
      </c>
      <c r="GN243" s="300">
        <v>46096</v>
      </c>
      <c r="GO243" s="300" t="e">
        <v>#N/A</v>
      </c>
      <c r="GP243" s="286"/>
      <c r="GQ2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3" s="300" t="s">
        <v>261</v>
      </c>
      <c r="GS243" s="300" t="s">
        <v>261</v>
      </c>
      <c r="GT243" s="324">
        <v>46167</v>
      </c>
      <c r="GU243" s="314" t="str">
        <f>IF(Table1[[#This Row],[Hydro Tes Actual
(tanggal)]]&lt;&gt;"","Sudah","Belum")</f>
        <v>Sudah</v>
      </c>
      <c r="GV243" s="300" t="s">
        <v>261</v>
      </c>
      <c r="GW243" s="300" t="s">
        <v>261</v>
      </c>
      <c r="GX243" s="301"/>
      <c r="GY243" s="314" t="str">
        <f>IF(Table1[[#This Row],[Interkoneksi Actual
(tanggal)]]&lt;&gt;"","Sudah","Belum")</f>
        <v>Belum</v>
      </c>
      <c r="GZ243" s="300" t="s">
        <v>261</v>
      </c>
      <c r="HA243" s="300" t="s">
        <v>261</v>
      </c>
      <c r="HB243" s="301"/>
      <c r="HC243" s="314" t="str">
        <f>IF(Table1[[#This Row],[Flushing Actual
(tanggal)]]&lt;&gt;"","Sudah","Belum")</f>
        <v>Belum</v>
      </c>
      <c r="HD243" s="300">
        <v>46069</v>
      </c>
      <c r="HE243" s="300" t="e">
        <v>#N/A</v>
      </c>
      <c r="HF243" s="300">
        <v>46082</v>
      </c>
      <c r="HG243" s="322"/>
      <c r="HH2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3" s="300" t="s">
        <v>261</v>
      </c>
      <c r="HJ243" s="300" t="s">
        <v>261</v>
      </c>
      <c r="HK243" s="301"/>
      <c r="HL243" s="286"/>
      <c r="HM243" s="300">
        <v>46101</v>
      </c>
      <c r="HN243" s="300">
        <v>46101</v>
      </c>
      <c r="HO243" s="300" t="e">
        <v>#N/A</v>
      </c>
      <c r="HP243" s="300"/>
      <c r="HQ243" s="301"/>
      <c r="HR24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3" s="300">
        <v>46108</v>
      </c>
      <c r="HT243" s="300"/>
      <c r="HU243" s="300">
        <v>46108</v>
      </c>
      <c r="HV243" s="300"/>
      <c r="HW243" s="301"/>
      <c r="HX2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3" s="42"/>
      <c r="HZ243" s="322"/>
      <c r="IA243" s="322" t="s">
        <v>1883</v>
      </c>
      <c r="IC243" s="585">
        <f>IFERROR(ROUND((Table1[[#This Row],[PLAN TC
finish]]-Table1[[#This Row],[PLAN MC-0
start]])/30,2),"")</f>
        <v>3.47</v>
      </c>
      <c r="ID243">
        <f>DATEDIF(Table1[[#This Row],[PLAN MC-0
start]],Table1[[#This Row],[PLAN TC
finish]],"m")</f>
        <v>3</v>
      </c>
    </row>
    <row r="244" spans="2:238" s="4" customFormat="1" ht="15" customHeight="1" x14ac:dyDescent="0.25">
      <c r="B244" s="281">
        <f>SUBTOTAL(3,$D$5:D244)</f>
        <v>240</v>
      </c>
      <c r="C244" s="286">
        <v>240</v>
      </c>
      <c r="D244" s="308" t="s">
        <v>629</v>
      </c>
      <c r="E244" s="308" t="s">
        <v>1884</v>
      </c>
      <c r="F244" s="308" t="s">
        <v>1885</v>
      </c>
      <c r="G244" s="319">
        <v>46117</v>
      </c>
      <c r="H244" s="284" t="s">
        <v>247</v>
      </c>
      <c r="I244" s="308" t="s">
        <v>278</v>
      </c>
      <c r="J244" s="450" t="s">
        <v>1818</v>
      </c>
      <c r="K244" s="308" t="s">
        <v>915</v>
      </c>
      <c r="L244" s="286" t="s">
        <v>250</v>
      </c>
      <c r="M244" s="325" t="s">
        <v>269</v>
      </c>
      <c r="N244" s="94">
        <v>5094</v>
      </c>
      <c r="O244" s="113" t="s">
        <v>252</v>
      </c>
      <c r="P2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4" s="290" t="s">
        <v>1819</v>
      </c>
      <c r="R244" s="35">
        <v>0.9011402020647451</v>
      </c>
      <c r="S244" s="34">
        <v>1</v>
      </c>
      <c r="T244" s="34">
        <f>Table1[[#This Row],[Progres Total Aktual
(%)]]</f>
        <v>0.47552623821939266</v>
      </c>
      <c r="U244" s="85">
        <f>Table1[[#This Row],[Progres Aktual
(%)]]-Table1[[#This Row],[Target Progres
(%)]]</f>
        <v>-0.52447376178060734</v>
      </c>
      <c r="V244" s="75">
        <f>Table1[[#This Row],["Volume
BA MC-0"]]</f>
        <v>4323.3</v>
      </c>
      <c r="W244" s="41">
        <f>Table1[[#This Row],[Total Panjang Pipa Aktual
(Sum-&gt;)3]]</f>
        <v>1841.4</v>
      </c>
      <c r="X244" s="42"/>
      <c r="Y244" s="62" t="s">
        <v>1886</v>
      </c>
      <c r="Z244" s="62">
        <v>8381493043</v>
      </c>
      <c r="AA244" s="62">
        <f>ROUND((Table1[[#This Row],[Nilai RAB Jaringan
(Exclude Ppn)]]-Table1[[#This Row],[RAB Perizinan]])*1.11+Table1[[#This Row],[RAB Perizinan]],0)</f>
        <v>8381493043</v>
      </c>
      <c r="AB244" s="456">
        <f>SUM(Table1[[#This Row],[RAB Kegiatan Umum]:[RAB Perizinan]])</f>
        <v>7555942741</v>
      </c>
      <c r="AC244" s="406">
        <v>524322488</v>
      </c>
      <c r="AD244" s="406">
        <v>5243224873</v>
      </c>
      <c r="AE244" s="406">
        <v>1737455380</v>
      </c>
      <c r="AF244" s="406">
        <v>50940000</v>
      </c>
      <c r="AG244" s="453">
        <v>2085968244</v>
      </c>
      <c r="AH244" s="33">
        <f>SUM(Table1[[#This Row],[Bobot Keg Umum]:[Bobot Perizinan]])</f>
        <v>1</v>
      </c>
      <c r="AI244" s="33">
        <f>Table1[[#This Row],[RAB Kegiatan Umum]]/Table1[[#This Row],[Nilai RAB Jaringan
(Exclude Ppn)]]</f>
        <v>6.9392067406086236E-2</v>
      </c>
      <c r="AJ244" s="33">
        <f>Table1[[#This Row],[RAB Pemasangan]]/Table1[[#This Row],[Nilai RAB Jaringan
(Exclude Ppn)]]</f>
        <v>0.69392067313443928</v>
      </c>
      <c r="AK244" s="33">
        <f>Table1[[#This Row],[RAB Pengadaan]]/Table1[[#This Row],[Nilai RAB Jaringan
(Exclude Ppn)]]</f>
        <v>0.22994554611593768</v>
      </c>
      <c r="AL244" s="33">
        <f>Table1[[#This Row],[RAB Perizinan]]/Table1[[#This Row],[Nilai RAB Jaringan
(Exclude Ppn)]]</f>
        <v>6.7417133435368369E-3</v>
      </c>
      <c r="AM244" s="42"/>
      <c r="AN244" s="256">
        <v>4323.3</v>
      </c>
      <c r="AO244" s="256">
        <f>SUM(Table1[[#This Row],[Pipa 63 mm]:[Pipa 1,800 mm]])</f>
        <v>4323.3999999999996</v>
      </c>
      <c r="AP244" s="256">
        <v>2426.1</v>
      </c>
      <c r="AQ244" s="256">
        <v>843</v>
      </c>
      <c r="AR244" s="256">
        <v>223</v>
      </c>
      <c r="AS244" s="256">
        <v>391.3</v>
      </c>
      <c r="AT244" s="256">
        <v>440</v>
      </c>
      <c r="AU244" s="256"/>
      <c r="AV244" s="256"/>
      <c r="AW244" s="256"/>
      <c r="AX244" s="256"/>
      <c r="AY244" s="256"/>
      <c r="AZ244" s="256"/>
      <c r="BA244" s="256"/>
      <c r="BB244" s="256"/>
      <c r="BC244" s="256"/>
      <c r="BD244" s="256"/>
      <c r="BE244" s="256"/>
      <c r="BF244" s="256"/>
      <c r="BG244" s="256"/>
      <c r="BH244" s="256"/>
      <c r="BI244" s="256"/>
      <c r="BJ244" s="36">
        <f>SUM(Table1[[#This Row],[Pipa 63 mm2]:[Pipa 1,800 mm21]])</f>
        <v>1841.4</v>
      </c>
      <c r="BK244" s="32">
        <v>341.9</v>
      </c>
      <c r="BL244" s="32">
        <v>652.5</v>
      </c>
      <c r="BM244" s="32">
        <v>50</v>
      </c>
      <c r="BN244" s="32">
        <v>324</v>
      </c>
      <c r="BO244" s="32">
        <v>473</v>
      </c>
      <c r="BP244" s="32"/>
      <c r="BQ244" s="32"/>
      <c r="BR244" s="32"/>
      <c r="BS244" s="32"/>
      <c r="BT244" s="32"/>
      <c r="BU244" s="32"/>
      <c r="BV244" s="32"/>
      <c r="BW244" s="32"/>
      <c r="BX244" s="32"/>
      <c r="BY244" s="32"/>
      <c r="BZ244" s="32"/>
      <c r="CA244" s="32"/>
      <c r="CB244" s="32"/>
      <c r="CC244" s="32"/>
      <c r="CD244" s="32"/>
      <c r="CE244" s="32">
        <v>0</v>
      </c>
      <c r="CF244" s="32"/>
      <c r="CG244" s="32"/>
      <c r="CH244" s="32"/>
      <c r="CI244" s="32">
        <f t="shared" si="12"/>
        <v>0</v>
      </c>
      <c r="CJ244" s="60">
        <f>IF((Table1[[#This Row],["Volume
BA MC-0"]]-Table1[[#This Row],[Total Panjang Pipa Aktual
(Sum-&gt;)3]]-Table1[[#This Row],[Total Volume
tidak dapat dipasang]])&gt;=0,Table1[[#This Row],["Volume
BA MC-0"]]-Table1[[#This Row],[Total Panjang Pipa Aktual
(Sum-&gt;)3]]-Table1[[#This Row],[Total Volume
tidak dapat dipasang]],0)</f>
        <v>2481.9</v>
      </c>
      <c r="CK244" s="42"/>
      <c r="CL244" s="454" t="s">
        <v>1821</v>
      </c>
      <c r="CM244" s="34" t="s">
        <v>1821</v>
      </c>
      <c r="CN244" s="454" t="s">
        <v>1821</v>
      </c>
      <c r="CO244" s="454" t="s">
        <v>1821</v>
      </c>
      <c r="CP2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0.47552623821939266</v>
      </c>
      <c r="CQ244" s="61">
        <f>IFERROR(Table1[[#This Row],[Progres Keg. Umum
(%)]]*Table1[[#This Row],[Nilai RAB Jaringan
(file pa aji)]],0)</f>
        <v>0</v>
      </c>
      <c r="CR244" s="61">
        <f>IFERROR(Table1[[#This Row],[Progres MOS
(%)]]*Table1[[#This Row],[Nilai RAB Jaringan
(file pa aji)]],0)</f>
        <v>0</v>
      </c>
      <c r="CS244" s="61">
        <f>IFERROR(Table1[[#This Row],[Progres Pemasangan
(%)]]*Table1[[#This Row],[Nilai RAB Jaringan
(file pa aji)]],0)</f>
        <v>0</v>
      </c>
      <c r="CT244" s="61">
        <f>IFERROR(Table1[[#This Row],[Progres Perizinan
(%)]]*Table1[[#This Row],[Nilai RAB Jaringan
(file pa aji)]],0)</f>
        <v>0</v>
      </c>
      <c r="CU244" s="789">
        <v>3985619857.3998003</v>
      </c>
      <c r="CV244" s="299">
        <v>3985619857.3998003</v>
      </c>
      <c r="CW244" s="552">
        <v>0</v>
      </c>
      <c r="CX244" s="789">
        <f>_xlfn.XLOOKUP(Table1[[#This Row],[Kode Program]],'[1]Breakdown VOWD Greenfield'!$E:$E,'[1]Breakdown VOWD Greenfield'!$AT:$AT)</f>
        <v>0</v>
      </c>
      <c r="CY244" s="42"/>
      <c r="CZ244" s="300">
        <v>45775</v>
      </c>
      <c r="DA244" s="300">
        <v>45802</v>
      </c>
      <c r="DB244" s="301">
        <v>45812</v>
      </c>
      <c r="DC244" s="286" t="s">
        <v>1887</v>
      </c>
      <c r="DD244" s="62">
        <v>8907307436</v>
      </c>
      <c r="DE2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4" s="301">
        <v>45820</v>
      </c>
      <c r="DG244" s="286" t="s">
        <v>1888</v>
      </c>
      <c r="DH244" s="62">
        <v>8907307436</v>
      </c>
      <c r="DI2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4" s="300">
        <v>45803</v>
      </c>
      <c r="DK244" s="300">
        <v>45872</v>
      </c>
      <c r="DL244" s="301">
        <v>45910</v>
      </c>
      <c r="DM244" s="286" t="s">
        <v>1889</v>
      </c>
      <c r="DN2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4" s="301">
        <v>45940</v>
      </c>
      <c r="DP244" s="308" t="s">
        <v>1890</v>
      </c>
      <c r="DQ244" s="308" t="s">
        <v>1891</v>
      </c>
      <c r="DR2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4" s="300">
        <v>45803</v>
      </c>
      <c r="DT244" s="300" t="e">
        <v>#N/A</v>
      </c>
      <c r="DU244" s="300">
        <v>45844</v>
      </c>
      <c r="DV244" s="300" t="e">
        <v>#N/A</v>
      </c>
      <c r="DW244" s="301">
        <v>45910</v>
      </c>
      <c r="DX244" s="286" t="s">
        <v>1892</v>
      </c>
      <c r="DY244" s="304">
        <v>99</v>
      </c>
      <c r="DZ244" s="304">
        <v>99</v>
      </c>
      <c r="EA2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4" s="301">
        <v>46006</v>
      </c>
      <c r="EC244" s="302">
        <v>91</v>
      </c>
      <c r="ED244" s="302">
        <v>91</v>
      </c>
      <c r="EE244" s="300" t="s">
        <v>1893</v>
      </c>
      <c r="EF244" s="35">
        <v>0.91919191919191923</v>
      </c>
      <c r="EG244" s="35">
        <f>Table1[[#This Row],[Line PO (kolom  bantu)2]]/Table1[[#This Row],[Line PR]]</f>
        <v>0.91919191919191923</v>
      </c>
      <c r="EH244" s="286" t="str">
        <f>IF(Table1[[#This Row],[PO Material Aktual 
(%)]]&gt;=100%,"Selesai PO = 100%",IF(Table1[[#This Row],[PO Material Aktual 
(%)]]&gt;=50%,"Proses PO &gt; 100%",IF(Table1[[#This Row],[PO Material Aktual 
(%)]]&gt;0%,"Proses PO &gt; 50%",IF(Table1[[#This Row],[PO Material Aktual 
(%)]]=0,"Belum PO = 0%"))))</f>
        <v>Proses PO &gt; 100%</v>
      </c>
      <c r="EI2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4" s="300">
        <v>45845</v>
      </c>
      <c r="EK244" s="300" t="e">
        <v>#N/A</v>
      </c>
      <c r="EL244" s="300">
        <v>46019</v>
      </c>
      <c r="EM244" s="300" t="e">
        <v>#N/A</v>
      </c>
      <c r="EN244" s="301"/>
      <c r="EO244" s="302">
        <v>89</v>
      </c>
      <c r="EP244" s="286">
        <v>89</v>
      </c>
      <c r="EQ244" s="35">
        <v>0.89898989898989901</v>
      </c>
      <c r="ER244" s="35">
        <f>Table1[[#This Row],[Line MOS]]/Table1[[#This Row],[Line PR]]</f>
        <v>0.89898989898989901</v>
      </c>
      <c r="ES244" s="286" t="str">
        <f>IF(Table1[[#This Row],[Progres MOS]]&gt;=100%,"Selesai MOS = 100%",IF(Table1[[#This Row],[Progres MOS]]&gt;=50%,"Proses MOS &gt; 100%",IF(Table1[[#This Row],[Progres MOS]]&gt;0%,"Proses MOS &gt; 50%",IF(Table1[[#This Row],[Progres MOS]]=0,"Belum MOS = 0%"))))</f>
        <v>Proses MOS &gt; 100%</v>
      </c>
      <c r="ET2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44" s="42"/>
      <c r="EV244" s="300">
        <v>45803</v>
      </c>
      <c r="EW244" s="300" t="e">
        <v>#N/A</v>
      </c>
      <c r="EX244" s="300">
        <v>45900</v>
      </c>
      <c r="EY244" s="300" t="e">
        <v>#N/A</v>
      </c>
      <c r="EZ244" s="322" t="s">
        <v>298</v>
      </c>
      <c r="FA244" s="306" t="s">
        <v>259</v>
      </c>
      <c r="FB244" s="300" t="s">
        <v>260</v>
      </c>
      <c r="FC244" s="300">
        <v>45883</v>
      </c>
      <c r="FD244" s="300" t="s">
        <v>260</v>
      </c>
      <c r="FE244" s="300">
        <v>45931</v>
      </c>
      <c r="FF244" s="300">
        <v>45937</v>
      </c>
      <c r="FG244" s="300" t="s">
        <v>260</v>
      </c>
      <c r="FH244" s="300" t="s">
        <v>260</v>
      </c>
      <c r="FI244" s="300">
        <v>46003</v>
      </c>
      <c r="FJ244" s="300" t="s">
        <v>260</v>
      </c>
      <c r="FK244" s="300">
        <v>46098</v>
      </c>
      <c r="FL244" s="306" t="s">
        <v>298</v>
      </c>
      <c r="FM244" s="322">
        <v>45883</v>
      </c>
      <c r="FN244" s="308">
        <f>IF(Table1[[#This Row],[Tanggal Pengajuan Dokumen]]="","",Table1[[#This Row],[PLAN PERMIT
start]]-Table1[[#This Row],[Tanggal Pengajuan Dokumen]])</f>
        <v>-80</v>
      </c>
      <c r="FO244" s="407">
        <v>46086</v>
      </c>
      <c r="FP244" s="286"/>
      <c r="FQ244" s="308"/>
      <c r="FR244" s="308"/>
      <c r="FS244" s="308" t="str">
        <f t="shared" si="11"/>
        <v>Sudah Terbit</v>
      </c>
      <c r="FT2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4" s="314">
        <f ca="1">IF(Table1[[#This Row],[Status Izin]]="Selesai",Table1[[#This Row],[PLAN PERMIT
finish]]-Table1[[#This Row],[Tanggal Terbit/ Target Izin Terbit]],ROUNDUP(Table1[[#This Row],[PLAN PERMIT
finish]]-NOW(),0))</f>
        <v>-186</v>
      </c>
      <c r="FV2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4" s="314"/>
      <c r="FX244" s="42"/>
      <c r="FY244" s="310"/>
      <c r="FZ244" s="311">
        <v>45903</v>
      </c>
      <c r="GA2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4" s="300">
        <v>45874</v>
      </c>
      <c r="GC244" s="322">
        <v>45917</v>
      </c>
      <c r="GD2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4" s="300">
        <v>45881</v>
      </c>
      <c r="GF244" s="322">
        <v>45912</v>
      </c>
      <c r="GG2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4" s="300">
        <v>45887</v>
      </c>
      <c r="GI244" s="300">
        <v>45893</v>
      </c>
      <c r="GJ244" s="322">
        <v>45940</v>
      </c>
      <c r="GK2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4" s="300">
        <v>45901</v>
      </c>
      <c r="GM244" s="300" t="e">
        <v>#N/A</v>
      </c>
      <c r="GN244" s="300">
        <v>46096</v>
      </c>
      <c r="GO244" s="300" t="e">
        <v>#N/A</v>
      </c>
      <c r="GP244" s="300"/>
      <c r="GQ2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4" s="300" t="s">
        <v>261</v>
      </c>
      <c r="GS244" s="300" t="s">
        <v>261</v>
      </c>
      <c r="GT244" s="324">
        <v>46160</v>
      </c>
      <c r="GU244" s="314" t="str">
        <f>IF(Table1[[#This Row],[Hydro Tes Actual
(tanggal)]]&lt;&gt;"","Sudah","Belum")</f>
        <v>Sudah</v>
      </c>
      <c r="GV244" s="300" t="s">
        <v>261</v>
      </c>
      <c r="GW244" s="300" t="s">
        <v>261</v>
      </c>
      <c r="GX244" s="301">
        <v>46129</v>
      </c>
      <c r="GY244" s="314" t="str">
        <f>IF(Table1[[#This Row],[Interkoneksi Actual
(tanggal)]]&lt;&gt;"","Sudah","Belum")</f>
        <v>Sudah</v>
      </c>
      <c r="GZ244" s="300" t="s">
        <v>261</v>
      </c>
      <c r="HA244" s="300" t="s">
        <v>261</v>
      </c>
      <c r="HB244" s="301">
        <v>46120</v>
      </c>
      <c r="HC244" s="314" t="str">
        <f>IF(Table1[[#This Row],[Flushing Actual
(tanggal)]]&lt;&gt;"","Sudah","Belum")</f>
        <v>Sudah</v>
      </c>
      <c r="HD244" s="300">
        <v>46069</v>
      </c>
      <c r="HE244" s="300" t="e">
        <v>#N/A</v>
      </c>
      <c r="HF244" s="300">
        <v>46082</v>
      </c>
      <c r="HG244" s="301">
        <v>46136</v>
      </c>
      <c r="HH2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44" s="300" t="s">
        <v>261</v>
      </c>
      <c r="HJ244" s="300" t="s">
        <v>261</v>
      </c>
      <c r="HK244" s="301"/>
      <c r="HL244" s="286"/>
      <c r="HM244" s="300">
        <v>46101</v>
      </c>
      <c r="HN244" s="300">
        <v>46101</v>
      </c>
      <c r="HO244" s="300" t="e">
        <v>#N/A</v>
      </c>
      <c r="HP244" s="620" t="s">
        <v>260</v>
      </c>
      <c r="HQ244" s="301"/>
      <c r="HR24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4" s="300">
        <v>46108</v>
      </c>
      <c r="HT244" s="300"/>
      <c r="HU244" s="300">
        <v>46108</v>
      </c>
      <c r="HV244" s="300"/>
      <c r="HW244" s="301"/>
      <c r="HX2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4" s="42"/>
      <c r="HZ244" s="322"/>
      <c r="IA244" s="322" t="s">
        <v>1894</v>
      </c>
      <c r="IC244" s="585">
        <f>IFERROR(ROUND((Table1[[#This Row],[PLAN TC
finish]]-Table1[[#This Row],[PLAN MC-0
start]])/30,2),"")</f>
        <v>6.5</v>
      </c>
      <c r="ID244">
        <f>DATEDIF(Table1[[#This Row],[PLAN MC-0
start]],Table1[[#This Row],[PLAN TC
finish]],"m")</f>
        <v>6</v>
      </c>
    </row>
    <row r="245" spans="2:238" s="4" customFormat="1" ht="15" customHeight="1" x14ac:dyDescent="0.25">
      <c r="B245" s="281">
        <f>SUBTOTAL(3,$D$5:D245)</f>
        <v>241</v>
      </c>
      <c r="C245" s="286">
        <v>241</v>
      </c>
      <c r="D245" s="308" t="s">
        <v>629</v>
      </c>
      <c r="E245" s="308" t="s">
        <v>1895</v>
      </c>
      <c r="F245" s="308" t="s">
        <v>1896</v>
      </c>
      <c r="G245" s="319">
        <v>46117</v>
      </c>
      <c r="H245" s="284" t="s">
        <v>247</v>
      </c>
      <c r="I245" s="308" t="s">
        <v>278</v>
      </c>
      <c r="J245" s="450" t="s">
        <v>1818</v>
      </c>
      <c r="K245" s="308" t="s">
        <v>915</v>
      </c>
      <c r="L245" s="286" t="s">
        <v>250</v>
      </c>
      <c r="M245" s="325" t="s">
        <v>269</v>
      </c>
      <c r="N245" s="94">
        <v>17923</v>
      </c>
      <c r="O245" s="113" t="s">
        <v>252</v>
      </c>
      <c r="P24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5" s="35">
        <v>0.90093289049896852</v>
      </c>
      <c r="S245" s="34">
        <v>1</v>
      </c>
      <c r="T245" s="34">
        <f>Table1[[#This Row],[Progres Total Aktual
(%)]]</f>
        <v>0.63662408471719356</v>
      </c>
      <c r="U245" s="85">
        <f>Table1[[#This Row],[Progres Aktual
(%)]]-Table1[[#This Row],[Target Progres
(%)]]</f>
        <v>-0.36337591528280644</v>
      </c>
      <c r="V245" s="75">
        <f>Table1[[#This Row],["Volume
BA MC-0"]]</f>
        <v>15186</v>
      </c>
      <c r="W245" s="41">
        <f>Table1[[#This Row],[Total Panjang Pipa Aktual
(Sum-&gt;)3]]</f>
        <v>11269</v>
      </c>
      <c r="X245" s="42"/>
      <c r="Y245" s="62" t="s">
        <v>1897</v>
      </c>
      <c r="Z245" s="62">
        <v>29028372403</v>
      </c>
      <c r="AA245" s="62">
        <f>ROUND((Table1[[#This Row],[Nilai RAB Jaringan
(Exclude Ppn)]]-Table1[[#This Row],[RAB Perizinan]])*1.11+Table1[[#This Row],[RAB Perizinan]],0)</f>
        <v>29028372403</v>
      </c>
      <c r="AB245" s="456">
        <f>SUM(Table1[[#This Row],[RAB Kegiatan Umum]:[RAB Perizinan]])</f>
        <v>26169448381</v>
      </c>
      <c r="AC245" s="406">
        <v>1827624859</v>
      </c>
      <c r="AD245" s="406">
        <v>18276248583</v>
      </c>
      <c r="AE245" s="406">
        <v>5886344939</v>
      </c>
      <c r="AF245" s="406">
        <v>179230000</v>
      </c>
      <c r="AG245" s="453">
        <v>6080913487</v>
      </c>
      <c r="AH245" s="33">
        <f>SUM(Table1[[#This Row],[Bobot Keg Umum]:[Bobot Perizinan]])</f>
        <v>0.99999999999999989</v>
      </c>
      <c r="AI245" s="33">
        <f>Table1[[#This Row],[RAB Kegiatan Umum]]/Table1[[#This Row],[Nilai RAB Jaringan
(Exclude Ppn)]]</f>
        <v>6.9838111693898905E-2</v>
      </c>
      <c r="AJ245" s="33">
        <f>Table1[[#This Row],[RAB Pemasangan]]/Table1[[#This Row],[Nilai RAB Jaringan
(Exclude Ppn)]]</f>
        <v>0.6983811166715016</v>
      </c>
      <c r="AK245" s="33">
        <f>Table1[[#This Row],[RAB Pengadaan]]/Table1[[#This Row],[Nilai RAB Jaringan
(Exclude Ppn)]]</f>
        <v>0.22493194557641907</v>
      </c>
      <c r="AL245" s="33">
        <f>Table1[[#This Row],[RAB Perizinan]]/Table1[[#This Row],[Nilai RAB Jaringan
(Exclude Ppn)]]</f>
        <v>6.8488260581804124E-3</v>
      </c>
      <c r="AM245" s="42"/>
      <c r="AN245" s="457">
        <v>15186</v>
      </c>
      <c r="AO245" s="457">
        <f>SUM(Table1[[#This Row],[Pipa 63 mm]:[Pipa 1,800 mm]])</f>
        <v>15186</v>
      </c>
      <c r="AP245" s="457">
        <v>7768</v>
      </c>
      <c r="AQ245" s="457">
        <v>3837</v>
      </c>
      <c r="AR245" s="457">
        <v>2080</v>
      </c>
      <c r="AS245" s="457">
        <v>750</v>
      </c>
      <c r="AT245" s="457">
        <v>585</v>
      </c>
      <c r="AU245" s="457">
        <v>166</v>
      </c>
      <c r="AV245" s="457"/>
      <c r="AW245" s="457"/>
      <c r="AX245" s="457"/>
      <c r="AY245" s="457"/>
      <c r="AZ245" s="457"/>
      <c r="BA245" s="457"/>
      <c r="BB245" s="457"/>
      <c r="BC245" s="457"/>
      <c r="BD245" s="457"/>
      <c r="BE245" s="457"/>
      <c r="BF245" s="457"/>
      <c r="BG245" s="457"/>
      <c r="BH245" s="457"/>
      <c r="BI245" s="457"/>
      <c r="BJ245" s="36">
        <f>SUM(Table1[[#This Row],[Pipa 63 mm2]:[Pipa 1,800 mm21]])</f>
        <v>11269</v>
      </c>
      <c r="BK245" s="32">
        <v>4914</v>
      </c>
      <c r="BL245" s="32">
        <v>3226</v>
      </c>
      <c r="BM245" s="32">
        <v>1844</v>
      </c>
      <c r="BN245" s="32">
        <v>651</v>
      </c>
      <c r="BO245" s="32">
        <v>465</v>
      </c>
      <c r="BP245" s="32">
        <v>169</v>
      </c>
      <c r="BQ245" s="32"/>
      <c r="BR245" s="32"/>
      <c r="BS245" s="32"/>
      <c r="BT245" s="32"/>
      <c r="BU245" s="32"/>
      <c r="BV245" s="32"/>
      <c r="BW245" s="32"/>
      <c r="BX245" s="32"/>
      <c r="BY245" s="32"/>
      <c r="BZ245" s="32"/>
      <c r="CA245" s="32"/>
      <c r="CB245" s="32"/>
      <c r="CC245" s="32"/>
      <c r="CD245" s="32"/>
      <c r="CE245" s="32">
        <v>0</v>
      </c>
      <c r="CF245" s="32"/>
      <c r="CG245" s="32"/>
      <c r="CH245" s="32"/>
      <c r="CI245" s="32">
        <f t="shared" si="12"/>
        <v>0</v>
      </c>
      <c r="CJ245" s="60">
        <f>IF((Table1[[#This Row],["Volume
BA MC-0"]]-Table1[[#This Row],[Total Panjang Pipa Aktual
(Sum-&gt;)3]]-Table1[[#This Row],[Total Volume
tidak dapat dipasang]])&gt;=0,Table1[[#This Row],["Volume
BA MC-0"]]-Table1[[#This Row],[Total Panjang Pipa Aktual
(Sum-&gt;)3]]-Table1[[#This Row],[Total Volume
tidak dapat dipasang]],0)</f>
        <v>3917</v>
      </c>
      <c r="CK245" s="42"/>
      <c r="CL245" s="454" t="s">
        <v>1821</v>
      </c>
      <c r="CM245" s="34" t="s">
        <v>1821</v>
      </c>
      <c r="CN245" s="454" t="s">
        <v>1821</v>
      </c>
      <c r="CO245" s="454" t="s">
        <v>1821</v>
      </c>
      <c r="CP2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0.63662408471719356</v>
      </c>
      <c r="CQ245" s="61">
        <f>IFERROR(Table1[[#This Row],[Progres Keg. Umum
(%)]]*Table1[[#This Row],[Nilai RAB Jaringan
(file pa aji)]],0)</f>
        <v>0</v>
      </c>
      <c r="CR245" s="61">
        <f>IFERROR(Table1[[#This Row],[Progres MOS
(%)]]*Table1[[#This Row],[Nilai RAB Jaringan
(file pa aji)]],0)</f>
        <v>0</v>
      </c>
      <c r="CS245" s="61">
        <f>IFERROR(Table1[[#This Row],[Progres Pemasangan
(%)]]*Table1[[#This Row],[Nilai RAB Jaringan
(file pa aji)]],0)</f>
        <v>0</v>
      </c>
      <c r="CT245" s="61">
        <f>IFERROR(Table1[[#This Row],[Progres Perizinan
(%)]]*Table1[[#This Row],[Nilai RAB Jaringan
(file pa aji)]],0)</f>
        <v>0</v>
      </c>
      <c r="CU245" s="789">
        <v>18480161011.889717</v>
      </c>
      <c r="CV245" s="299">
        <v>18480161011.889717</v>
      </c>
      <c r="CW245" s="552">
        <v>0</v>
      </c>
      <c r="CX245" s="789">
        <f>_xlfn.XLOOKUP(Table1[[#This Row],[Kode Program]],'[1]Breakdown VOWD Greenfield'!$E:$E,'[1]Breakdown VOWD Greenfield'!$AT:$AT)</f>
        <v>0</v>
      </c>
      <c r="CY245" s="42"/>
      <c r="CZ245" s="300">
        <v>45775</v>
      </c>
      <c r="DA245" s="300">
        <v>45802</v>
      </c>
      <c r="DB245" s="301">
        <v>45870</v>
      </c>
      <c r="DC245" s="286" t="s">
        <v>1898</v>
      </c>
      <c r="DD245" s="62">
        <v>28849142402.91</v>
      </c>
      <c r="DE2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5" s="301">
        <v>45895</v>
      </c>
      <c r="DG245" s="286" t="s">
        <v>1899</v>
      </c>
      <c r="DH245" s="62">
        <v>28849142402.91</v>
      </c>
      <c r="DI2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5" s="300">
        <v>45803</v>
      </c>
      <c r="DK245" s="300">
        <v>45872</v>
      </c>
      <c r="DL245" s="301">
        <v>45910</v>
      </c>
      <c r="DM245" s="286" t="s">
        <v>1900</v>
      </c>
      <c r="DN2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5" s="301">
        <v>45978</v>
      </c>
      <c r="DP245" s="286" t="s">
        <v>1901</v>
      </c>
      <c r="DQ245" s="308" t="s">
        <v>365</v>
      </c>
      <c r="DR2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5" s="300">
        <v>45803</v>
      </c>
      <c r="DT245" s="300" t="e">
        <v>#N/A</v>
      </c>
      <c r="DU245" s="300">
        <v>45844</v>
      </c>
      <c r="DV245" s="300" t="e">
        <v>#N/A</v>
      </c>
      <c r="DW245" s="301">
        <v>45910</v>
      </c>
      <c r="DX245" s="286" t="s">
        <v>1902</v>
      </c>
      <c r="DY245" s="304">
        <v>141</v>
      </c>
      <c r="DZ245" s="304">
        <v>141</v>
      </c>
      <c r="EA2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5" s="301">
        <v>46079</v>
      </c>
      <c r="EC245" s="302">
        <v>141</v>
      </c>
      <c r="ED245" s="302">
        <f>114+27</f>
        <v>141</v>
      </c>
      <c r="EE245" s="300"/>
      <c r="EF245" s="35">
        <v>1</v>
      </c>
      <c r="EG245" s="35">
        <f>Table1[[#This Row],[Line PO (kolom  bantu)2]]/Table1[[#This Row],[Line PR]]</f>
        <v>1</v>
      </c>
      <c r="EH245" s="286" t="str">
        <f>IF(Table1[[#This Row],[PO Material Aktual 
(%)]]&gt;=100%,"Selesai PO = 100%",IF(Table1[[#This Row],[PO Material Aktual 
(%)]]&gt;=50%,"Proses PO &gt; 100%",IF(Table1[[#This Row],[PO Material Aktual 
(%)]]&gt;0%,"Proses PO &gt; 50%",IF(Table1[[#This Row],[PO Material Aktual 
(%)]]=0,"Belum PO = 0%"))))</f>
        <v>Selesai PO = 100%</v>
      </c>
      <c r="EI24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5" s="300">
        <v>45845</v>
      </c>
      <c r="EK245" s="300" t="e">
        <v>#N/A</v>
      </c>
      <c r="EL245" s="300">
        <v>46019</v>
      </c>
      <c r="EM245" s="300" t="e">
        <v>#N/A</v>
      </c>
      <c r="EN245" s="301">
        <v>46119</v>
      </c>
      <c r="EO245" s="302">
        <v>139</v>
      </c>
      <c r="EP245" s="286">
        <v>139</v>
      </c>
      <c r="EQ245" s="35">
        <v>0.98581560283687941</v>
      </c>
      <c r="ER245" s="35">
        <f>Table1[[#This Row],[Line MOS]]/Table1[[#This Row],[Line PR]]</f>
        <v>0.98581560283687941</v>
      </c>
      <c r="ES245" s="286" t="str">
        <f>IF(Table1[[#This Row],[Progres MOS]]&gt;=100%,"Selesai MOS = 100%",IF(Table1[[#This Row],[Progres MOS]]&gt;=50%,"Proses MOS &gt; 100%",IF(Table1[[#This Row],[Progres MOS]]&gt;0%,"Proses MOS &gt; 50%",IF(Table1[[#This Row],[Progres MOS]]=0,"Belum MOS = 0%"))))</f>
        <v>Proses MOS &gt; 100%</v>
      </c>
      <c r="ET2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5" s="42"/>
      <c r="EV245" s="300">
        <v>45803</v>
      </c>
      <c r="EW245" s="300" t="e">
        <v>#N/A</v>
      </c>
      <c r="EX245" s="300">
        <v>45900</v>
      </c>
      <c r="EY245" s="300" t="e">
        <v>#N/A</v>
      </c>
      <c r="EZ245" s="322" t="s">
        <v>298</v>
      </c>
      <c r="FA245" s="306" t="s">
        <v>298</v>
      </c>
      <c r="FB245" s="300" t="s">
        <v>260</v>
      </c>
      <c r="FC245" s="300">
        <v>45883</v>
      </c>
      <c r="FD245" s="300" t="s">
        <v>260</v>
      </c>
      <c r="FE245" s="300">
        <v>45931</v>
      </c>
      <c r="FF245" s="300">
        <v>45937</v>
      </c>
      <c r="FG245" s="300" t="s">
        <v>260</v>
      </c>
      <c r="FH245" s="300" t="s">
        <v>260</v>
      </c>
      <c r="FI245" s="300">
        <v>46010</v>
      </c>
      <c r="FJ245" s="300" t="s">
        <v>260</v>
      </c>
      <c r="FK245" s="300"/>
      <c r="FL245" s="306" t="s">
        <v>298</v>
      </c>
      <c r="FM245" s="322">
        <v>45883</v>
      </c>
      <c r="FN245" s="308">
        <f>IF(Table1[[#This Row],[Tanggal Pengajuan Dokumen]]="","",Table1[[#This Row],[PLAN PERMIT
start]]-Table1[[#This Row],[Tanggal Pengajuan Dokumen]])</f>
        <v>-80</v>
      </c>
      <c r="FO245" s="407">
        <v>46086</v>
      </c>
      <c r="FP245" s="286"/>
      <c r="FQ245" s="308"/>
      <c r="FR245" s="308"/>
      <c r="FS245" s="308" t="str">
        <f t="shared" si="11"/>
        <v>On Going</v>
      </c>
      <c r="FT2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5" s="314">
        <f ca="1">IF(Table1[[#This Row],[Status Izin]]="Selesai",Table1[[#This Row],[PLAN PERMIT
finish]]-Table1[[#This Row],[Tanggal Terbit/ Target Izin Terbit]],ROUNDUP(Table1[[#This Row],[PLAN PERMIT
finish]]-NOW(),0))</f>
        <v>-304</v>
      </c>
      <c r="FV2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5" s="314"/>
      <c r="FX245" s="42"/>
      <c r="FY245" s="310"/>
      <c r="FZ245" s="311">
        <v>45903</v>
      </c>
      <c r="GA2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5" s="300">
        <v>45874</v>
      </c>
      <c r="GC245" s="322">
        <v>45917</v>
      </c>
      <c r="GD2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5" s="300">
        <v>45881</v>
      </c>
      <c r="GF245" s="322">
        <v>45912</v>
      </c>
      <c r="GG2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5" s="300">
        <v>45887</v>
      </c>
      <c r="GI245" s="300">
        <v>45893</v>
      </c>
      <c r="GJ245" s="322">
        <v>45923</v>
      </c>
      <c r="GK2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5" s="300">
        <v>45901</v>
      </c>
      <c r="GM245" s="300" t="e">
        <v>#N/A</v>
      </c>
      <c r="GN245" s="300">
        <v>46096</v>
      </c>
      <c r="GO245" s="300" t="e">
        <v>#N/A</v>
      </c>
      <c r="GP245" s="300"/>
      <c r="GQ2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5" s="300" t="s">
        <v>261</v>
      </c>
      <c r="GS245" s="300" t="s">
        <v>261</v>
      </c>
      <c r="GT245" s="324">
        <v>46160</v>
      </c>
      <c r="GU245" s="314" t="str">
        <f>IF(Table1[[#This Row],[Hydro Tes Actual
(tanggal)]]&lt;&gt;"","Sudah","Belum")</f>
        <v>Sudah</v>
      </c>
      <c r="GV245" s="300" t="s">
        <v>261</v>
      </c>
      <c r="GW245" s="300" t="s">
        <v>261</v>
      </c>
      <c r="GX245" s="301"/>
      <c r="GY245" s="314" t="str">
        <f>IF(Table1[[#This Row],[Interkoneksi Actual
(tanggal)]]&lt;&gt;"","Sudah","Belum")</f>
        <v>Belum</v>
      </c>
      <c r="GZ245" s="300" t="s">
        <v>261</v>
      </c>
      <c r="HA245" s="300" t="s">
        <v>261</v>
      </c>
      <c r="HB245" s="301"/>
      <c r="HC245" s="314" t="str">
        <f>IF(Table1[[#This Row],[Flushing Actual
(tanggal)]]&lt;&gt;"","Sudah","Belum")</f>
        <v>Belum</v>
      </c>
      <c r="HD245" s="300">
        <v>46069</v>
      </c>
      <c r="HE245" s="300" t="e">
        <v>#N/A</v>
      </c>
      <c r="HF245" s="300">
        <v>46082</v>
      </c>
      <c r="HG245" s="322"/>
      <c r="HH2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5" s="300" t="s">
        <v>261</v>
      </c>
      <c r="HJ245" s="300" t="s">
        <v>261</v>
      </c>
      <c r="HK245" s="301"/>
      <c r="HL245" s="286"/>
      <c r="HM245" s="300">
        <v>46101</v>
      </c>
      <c r="HN245" s="300">
        <v>46101</v>
      </c>
      <c r="HO245" s="300" t="e">
        <v>#N/A</v>
      </c>
      <c r="HP245" s="300"/>
      <c r="HQ245" s="301"/>
      <c r="HR24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5" s="300">
        <v>46108</v>
      </c>
      <c r="HT245" s="300"/>
      <c r="HU245" s="300">
        <v>46108</v>
      </c>
      <c r="HV245" s="300"/>
      <c r="HW245" s="301"/>
      <c r="HX24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5" s="42"/>
      <c r="HZ245" s="322"/>
      <c r="IA245" s="322"/>
      <c r="IC245" s="585">
        <f>IFERROR(ROUND((Table1[[#This Row],[PLAN TC
finish]]-Table1[[#This Row],[PLAN MC-0
start]])/30,2),"")</f>
        <v>6.5</v>
      </c>
      <c r="ID245">
        <f>DATEDIF(Table1[[#This Row],[PLAN MC-0
start]],Table1[[#This Row],[PLAN TC
finish]],"m")</f>
        <v>6</v>
      </c>
    </row>
    <row r="246" spans="2:238" s="4" customFormat="1" ht="15" customHeight="1" x14ac:dyDescent="0.25">
      <c r="B246" s="281">
        <f>SUBTOTAL(3,$D$5:D246)</f>
        <v>242</v>
      </c>
      <c r="C246" s="286">
        <v>242</v>
      </c>
      <c r="D246" s="308" t="s">
        <v>629</v>
      </c>
      <c r="E246" s="308" t="s">
        <v>1903</v>
      </c>
      <c r="F246" s="308" t="s">
        <v>1904</v>
      </c>
      <c r="G246" s="319">
        <v>46117</v>
      </c>
      <c r="H246" s="284" t="s">
        <v>247</v>
      </c>
      <c r="I246" s="308" t="s">
        <v>278</v>
      </c>
      <c r="J246" s="450" t="s">
        <v>1818</v>
      </c>
      <c r="K246" s="308" t="s">
        <v>915</v>
      </c>
      <c r="L246" s="286" t="s">
        <v>250</v>
      </c>
      <c r="M246" s="325" t="s">
        <v>269</v>
      </c>
      <c r="N246" s="94">
        <v>27532</v>
      </c>
      <c r="O246" s="113" t="s">
        <v>252</v>
      </c>
      <c r="P24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6" s="35">
        <v>0.90021040923001772</v>
      </c>
      <c r="S246" s="34">
        <v>1</v>
      </c>
      <c r="T246" s="34">
        <f>Table1[[#This Row],[Progres Total Aktual
(%)]]</f>
        <v>0.52547958139014028</v>
      </c>
      <c r="U246" s="85">
        <f>Table1[[#This Row],[Progres Aktual
(%)]]-Table1[[#This Row],[Target Progres
(%)]]</f>
        <v>-0.47452041860985972</v>
      </c>
      <c r="V246" s="75">
        <f>Table1[[#This Row],["Volume
BA MC-0"]]</f>
        <v>23511.5</v>
      </c>
      <c r="W246" s="41">
        <f>Table1[[#This Row],[Total Panjang Pipa Aktual
(Sum-&gt;)3]]</f>
        <v>14204</v>
      </c>
      <c r="X246" s="42"/>
      <c r="Y246" s="62" t="s">
        <v>1905</v>
      </c>
      <c r="Z246" s="62">
        <v>40637322375</v>
      </c>
      <c r="AA246" s="62">
        <f>ROUND((Table1[[#This Row],[Nilai RAB Jaringan
(Exclude Ppn)]]-Table1[[#This Row],[RAB Perizinan]])*1.11+Table1[[#This Row],[RAB Perizinan]],0)</f>
        <v>40637322375</v>
      </c>
      <c r="AB246" s="456">
        <f>SUM(Table1[[#This Row],[RAB Kegiatan Umum]:[RAB Perizinan]])</f>
        <v>36639565383</v>
      </c>
      <c r="AC246" s="406">
        <v>2156301559</v>
      </c>
      <c r="AD246" s="406">
        <v>26953769488</v>
      </c>
      <c r="AE246" s="406">
        <v>7233174336</v>
      </c>
      <c r="AF246" s="406">
        <v>296320000</v>
      </c>
      <c r="AG246" s="453">
        <v>9016018298</v>
      </c>
      <c r="AH246" s="33">
        <f>SUM(Table1[[#This Row],[Bobot Keg Umum]:[Bobot Perizinan]])</f>
        <v>0.99999999999999989</v>
      </c>
      <c r="AI246" s="33">
        <f>Table1[[#This Row],[RAB Kegiatan Umum]]/Table1[[#This Row],[Nilai RAB Jaringan
(Exclude Ppn)]]</f>
        <v>5.8851723170288459E-2</v>
      </c>
      <c r="AJ246" s="33">
        <f>Table1[[#This Row],[RAB Pemasangan]]/Table1[[#This Row],[Nilai RAB Jaringan
(Exclude Ppn)]]</f>
        <v>0.73564653964225213</v>
      </c>
      <c r="AK246" s="33">
        <f>Table1[[#This Row],[RAB Pengadaan]]/Table1[[#This Row],[Nilai RAB Jaringan
(Exclude Ppn)]]</f>
        <v>0.19741430501127186</v>
      </c>
      <c r="AL246" s="33">
        <f>Table1[[#This Row],[RAB Perizinan]]/Table1[[#This Row],[Nilai RAB Jaringan
(Exclude Ppn)]]</f>
        <v>8.0874321761875024E-3</v>
      </c>
      <c r="AM246" s="42"/>
      <c r="AN246" s="256">
        <v>23511.5</v>
      </c>
      <c r="AO246" s="256">
        <f>SUM(Table1[[#This Row],[Pipa 63 mm]:[Pipa 1,800 mm]])</f>
        <v>23511.5</v>
      </c>
      <c r="AP246" s="256">
        <v>10775.6</v>
      </c>
      <c r="AQ246" s="256">
        <v>7938.6</v>
      </c>
      <c r="AR246" s="256">
        <v>2354.6</v>
      </c>
      <c r="AS246" s="256">
        <v>1573.5</v>
      </c>
      <c r="AT246" s="256">
        <v>431.2</v>
      </c>
      <c r="AU246" s="256">
        <v>438</v>
      </c>
      <c r="AV246" s="256"/>
      <c r="AW246" s="256"/>
      <c r="AX246" s="256"/>
      <c r="AY246" s="256"/>
      <c r="AZ246" s="256"/>
      <c r="BA246" s="256"/>
      <c r="BB246" s="256"/>
      <c r="BC246" s="256"/>
      <c r="BD246" s="256"/>
      <c r="BE246" s="256"/>
      <c r="BF246" s="256"/>
      <c r="BG246" s="256"/>
      <c r="BH246" s="256"/>
      <c r="BI246" s="256"/>
      <c r="BJ246" s="36">
        <f>SUM(Table1[[#This Row],[Pipa 63 mm2]:[Pipa 1,800 mm21]])</f>
        <v>14204</v>
      </c>
      <c r="BK246" s="32">
        <v>3098</v>
      </c>
      <c r="BL246" s="32">
        <v>6183</v>
      </c>
      <c r="BM246" s="32">
        <v>2274</v>
      </c>
      <c r="BN246" s="32">
        <v>1775</v>
      </c>
      <c r="BO246" s="32">
        <v>414</v>
      </c>
      <c r="BP246" s="32">
        <v>460</v>
      </c>
      <c r="BQ246" s="32"/>
      <c r="BR246" s="32"/>
      <c r="BS246" s="32"/>
      <c r="BT246" s="32"/>
      <c r="BU246" s="32"/>
      <c r="BV246" s="32"/>
      <c r="BW246" s="32"/>
      <c r="BX246" s="32"/>
      <c r="BY246" s="32"/>
      <c r="BZ246" s="32"/>
      <c r="CA246" s="32"/>
      <c r="CB246" s="32"/>
      <c r="CC246" s="32"/>
      <c r="CD246" s="32"/>
      <c r="CE246" s="32">
        <v>0</v>
      </c>
      <c r="CF246" s="32"/>
      <c r="CG246" s="32"/>
      <c r="CH246" s="32"/>
      <c r="CI246" s="32">
        <f t="shared" si="12"/>
        <v>0</v>
      </c>
      <c r="CJ246" s="60">
        <f>IF((Table1[[#This Row],["Volume
BA MC-0"]]-Table1[[#This Row],[Total Panjang Pipa Aktual
(Sum-&gt;)3]]-Table1[[#This Row],[Total Volume
tidak dapat dipasang]])&gt;=0,Table1[[#This Row],["Volume
BA MC-0"]]-Table1[[#This Row],[Total Panjang Pipa Aktual
(Sum-&gt;)3]]-Table1[[#This Row],[Total Volume
tidak dapat dipasang]],0)</f>
        <v>9307.5</v>
      </c>
      <c r="CK246" s="42"/>
      <c r="CL246" s="454" t="s">
        <v>1821</v>
      </c>
      <c r="CM246" s="34" t="s">
        <v>1821</v>
      </c>
      <c r="CN246" s="454" t="s">
        <v>1821</v>
      </c>
      <c r="CO246" s="454" t="s">
        <v>1821</v>
      </c>
      <c r="CP2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0.52547958139014028</v>
      </c>
      <c r="CQ246" s="61">
        <f>IFERROR(Table1[[#This Row],[Progres Keg. Umum
(%)]]*Table1[[#This Row],[Nilai RAB Jaringan
(file pa aji)]],0)</f>
        <v>0</v>
      </c>
      <c r="CR246" s="61">
        <f>IFERROR(Table1[[#This Row],[Progres MOS
(%)]]*Table1[[#This Row],[Nilai RAB Jaringan
(file pa aji)]],0)</f>
        <v>0</v>
      </c>
      <c r="CS246" s="61">
        <f>IFERROR(Table1[[#This Row],[Progres Pemasangan
(%)]]*Table1[[#This Row],[Nilai RAB Jaringan
(file pa aji)]],0)</f>
        <v>0</v>
      </c>
      <c r="CT246" s="61">
        <f>IFERROR(Table1[[#This Row],[Progres Perizinan
(%)]]*Table1[[#This Row],[Nilai RAB Jaringan
(file pa aji)]],0)</f>
        <v>0</v>
      </c>
      <c r="CU246" s="789">
        <v>21354083150.431179</v>
      </c>
      <c r="CV246" s="299">
        <v>21354083150.431179</v>
      </c>
      <c r="CW246" s="552">
        <v>0</v>
      </c>
      <c r="CX246" s="789">
        <f>_xlfn.XLOOKUP(Table1[[#This Row],[Kode Program]],'[1]Breakdown VOWD Greenfield'!$E:$E,'[1]Breakdown VOWD Greenfield'!$AT:$AT)</f>
        <v>0</v>
      </c>
      <c r="CY246" s="42"/>
      <c r="CZ246" s="300">
        <v>45775</v>
      </c>
      <c r="DA246" s="300">
        <v>45802</v>
      </c>
      <c r="DB246" s="301">
        <v>45825</v>
      </c>
      <c r="DC246" s="286" t="s">
        <v>1906</v>
      </c>
      <c r="DD246" s="62">
        <v>45174997846</v>
      </c>
      <c r="DE2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6" s="301">
        <v>45838</v>
      </c>
      <c r="DG246" s="286" t="s">
        <v>1907</v>
      </c>
      <c r="DH246" s="62">
        <v>45174997846</v>
      </c>
      <c r="DI2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6" s="300">
        <v>45803</v>
      </c>
      <c r="DK246" s="300">
        <v>45872</v>
      </c>
      <c r="DL246" s="301">
        <v>45922</v>
      </c>
      <c r="DM246" s="286" t="s">
        <v>1908</v>
      </c>
      <c r="DN2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6" s="301">
        <v>45929</v>
      </c>
      <c r="DP246" s="286" t="s">
        <v>1909</v>
      </c>
      <c r="DQ246" s="308" t="s">
        <v>1910</v>
      </c>
      <c r="DR2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6" s="300">
        <v>45803</v>
      </c>
      <c r="DT246" s="300" t="e">
        <v>#N/A</v>
      </c>
      <c r="DU246" s="300">
        <v>45844</v>
      </c>
      <c r="DV246" s="300" t="e">
        <v>#N/A</v>
      </c>
      <c r="DW246" s="301">
        <v>45918</v>
      </c>
      <c r="DX246" s="286" t="s">
        <v>1911</v>
      </c>
      <c r="DY246" s="304">
        <v>141</v>
      </c>
      <c r="DZ246" s="304">
        <v>141</v>
      </c>
      <c r="EA2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6" s="301">
        <v>46114</v>
      </c>
      <c r="EC246" s="302">
        <v>140</v>
      </c>
      <c r="ED246" s="302">
        <v>140</v>
      </c>
      <c r="EE246" s="300"/>
      <c r="EF246" s="35">
        <v>0.99290780141843971</v>
      </c>
      <c r="EG246" s="35">
        <f>Table1[[#This Row],[Line PO (kolom  bantu)2]]/Table1[[#This Row],[Line PR]]</f>
        <v>0.99290780141843971</v>
      </c>
      <c r="EH246" s="286" t="str">
        <f>IF(Table1[[#This Row],[PO Material Aktual 
(%)]]&gt;=100%,"Selesai PO = 100%",IF(Table1[[#This Row],[PO Material Aktual 
(%)]]&gt;=50%,"Proses PO &gt; 100%",IF(Table1[[#This Row],[PO Material Aktual 
(%)]]&gt;0%,"Proses PO &gt; 50%",IF(Table1[[#This Row],[PO Material Aktual 
(%)]]=0,"Belum PO = 0%"))))</f>
        <v>Proses PO &gt; 100%</v>
      </c>
      <c r="EI24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6" s="300">
        <v>45845</v>
      </c>
      <c r="EK246" s="300" t="e">
        <v>#N/A</v>
      </c>
      <c r="EL246" s="300">
        <v>46019</v>
      </c>
      <c r="EM246" s="300" t="e">
        <v>#N/A</v>
      </c>
      <c r="EN246" s="301">
        <v>46091</v>
      </c>
      <c r="EO246" s="302">
        <v>140</v>
      </c>
      <c r="EP246" s="286">
        <v>140</v>
      </c>
      <c r="EQ246" s="35">
        <v>0.99290780141843971</v>
      </c>
      <c r="ER246" s="35">
        <f>Table1[[#This Row],[Line MOS]]/Table1[[#This Row],[Line PR]]</f>
        <v>0.99290780141843971</v>
      </c>
      <c r="ES246" s="286" t="str">
        <f>IF(Table1[[#This Row],[Progres MOS]]&gt;=100%,"Selesai MOS = 100%",IF(Table1[[#This Row],[Progres MOS]]&gt;=50%,"Proses MOS &gt; 100%",IF(Table1[[#This Row],[Progres MOS]]&gt;0%,"Proses MOS &gt; 50%",IF(Table1[[#This Row],[Progres MOS]]=0,"Belum MOS = 0%"))))</f>
        <v>Proses MOS &gt; 100%</v>
      </c>
      <c r="ET2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6" s="42"/>
      <c r="EV246" s="300">
        <v>45803</v>
      </c>
      <c r="EW246" s="300" t="e">
        <v>#N/A</v>
      </c>
      <c r="EX246" s="300">
        <v>45900</v>
      </c>
      <c r="EY246" s="300" t="e">
        <v>#N/A</v>
      </c>
      <c r="EZ246" s="322" t="s">
        <v>298</v>
      </c>
      <c r="FA246" s="306" t="s">
        <v>298</v>
      </c>
      <c r="FB246" s="300" t="s">
        <v>260</v>
      </c>
      <c r="FC246" s="300">
        <v>45909</v>
      </c>
      <c r="FD246" s="300" t="s">
        <v>260</v>
      </c>
      <c r="FE246" s="300">
        <v>45939</v>
      </c>
      <c r="FF246" s="300">
        <v>45935</v>
      </c>
      <c r="FG246" s="300" t="s">
        <v>260</v>
      </c>
      <c r="FH246" s="300" t="s">
        <v>260</v>
      </c>
      <c r="FI246" s="300">
        <v>46010</v>
      </c>
      <c r="FJ246" s="300" t="s">
        <v>260</v>
      </c>
      <c r="FK246" s="300"/>
      <c r="FL246" s="306" t="s">
        <v>298</v>
      </c>
      <c r="FM246" s="322">
        <v>45909</v>
      </c>
      <c r="FN246" s="308">
        <f>IF(Table1[[#This Row],[Tanggal Pengajuan Dokumen]]="","",Table1[[#This Row],[PLAN PERMIT
start]]-Table1[[#This Row],[Tanggal Pengajuan Dokumen]])</f>
        <v>-106</v>
      </c>
      <c r="FO246" s="407">
        <v>46086</v>
      </c>
      <c r="FP246" s="286"/>
      <c r="FQ246" s="308"/>
      <c r="FR246" s="308"/>
      <c r="FS246" s="308" t="str">
        <f t="shared" si="11"/>
        <v>On Going</v>
      </c>
      <c r="FT2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6" s="314">
        <f ca="1">IF(Table1[[#This Row],[Status Izin]]="Selesai",Table1[[#This Row],[PLAN PERMIT
finish]]-Table1[[#This Row],[Tanggal Terbit/ Target Izin Terbit]],ROUNDUP(Table1[[#This Row],[PLAN PERMIT
finish]]-NOW(),0))</f>
        <v>-304</v>
      </c>
      <c r="FV2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6" s="314"/>
      <c r="FX246" s="42"/>
      <c r="FY246" s="310"/>
      <c r="FZ246" s="311">
        <v>45903</v>
      </c>
      <c r="GA2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6" s="300">
        <v>45874</v>
      </c>
      <c r="GC246" s="322">
        <v>45917</v>
      </c>
      <c r="GD2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6" s="300">
        <v>45881</v>
      </c>
      <c r="GF246" s="322">
        <v>45912</v>
      </c>
      <c r="GG2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6" s="300">
        <v>45887</v>
      </c>
      <c r="GI246" s="300">
        <v>45893</v>
      </c>
      <c r="GJ246" s="322">
        <v>45973</v>
      </c>
      <c r="GK2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6" s="300">
        <v>45901</v>
      </c>
      <c r="GM246" s="300" t="e">
        <v>#N/A</v>
      </c>
      <c r="GN246" s="300">
        <v>46096</v>
      </c>
      <c r="GO246" s="300" t="e">
        <v>#N/A</v>
      </c>
      <c r="GP246" s="300"/>
      <c r="GQ2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6" s="300" t="s">
        <v>261</v>
      </c>
      <c r="GS246" s="300" t="s">
        <v>261</v>
      </c>
      <c r="GT246" s="324">
        <v>46155</v>
      </c>
      <c r="GU246" s="314" t="str">
        <f>IF(Table1[[#This Row],[Hydro Tes Actual
(tanggal)]]&lt;&gt;"","Sudah","Belum")</f>
        <v>Sudah</v>
      </c>
      <c r="GV246" s="300" t="s">
        <v>261</v>
      </c>
      <c r="GW246" s="300" t="s">
        <v>261</v>
      </c>
      <c r="GX246" s="301">
        <v>46167</v>
      </c>
      <c r="GY246" s="314" t="str">
        <f>IF(Table1[[#This Row],[Interkoneksi Actual
(tanggal)]]&lt;&gt;"","Sudah","Belum")</f>
        <v>Sudah</v>
      </c>
      <c r="GZ246" s="300" t="s">
        <v>261</v>
      </c>
      <c r="HA246" s="300" t="s">
        <v>261</v>
      </c>
      <c r="HB246" s="301"/>
      <c r="HC246" s="314" t="str">
        <f>IF(Table1[[#This Row],[Flushing Actual
(tanggal)]]&lt;&gt;"","Sudah","Belum")</f>
        <v>Belum</v>
      </c>
      <c r="HD246" s="300">
        <v>46069</v>
      </c>
      <c r="HE246" s="300" t="e">
        <v>#N/A</v>
      </c>
      <c r="HF246" s="300">
        <v>46082</v>
      </c>
      <c r="HG246" s="322"/>
      <c r="HH2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6" s="300" t="s">
        <v>261</v>
      </c>
      <c r="HJ246" s="300" t="s">
        <v>261</v>
      </c>
      <c r="HK246" s="301"/>
      <c r="HL246" s="286"/>
      <c r="HM246" s="300">
        <v>46101</v>
      </c>
      <c r="HN246" s="300">
        <v>46101</v>
      </c>
      <c r="HO246" s="300" t="e">
        <v>#N/A</v>
      </c>
      <c r="HP246" s="300"/>
      <c r="HQ246" s="301"/>
      <c r="HR24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6" s="300">
        <v>46108</v>
      </c>
      <c r="HT246" s="300"/>
      <c r="HU246" s="300">
        <v>46108</v>
      </c>
      <c r="HV246" s="300"/>
      <c r="HW246" s="301"/>
      <c r="HX24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6" s="42"/>
      <c r="HZ246" s="322"/>
      <c r="IA246" s="322"/>
      <c r="IC246" s="585">
        <f>IFERROR(ROUND((Table1[[#This Row],[PLAN TC
finish]]-Table1[[#This Row],[PLAN MC-0
start]])/30,2),"")</f>
        <v>6.5</v>
      </c>
      <c r="ID246">
        <f>DATEDIF(Table1[[#This Row],[PLAN MC-0
start]],Table1[[#This Row],[PLAN TC
finish]],"m")</f>
        <v>6</v>
      </c>
    </row>
    <row r="247" spans="2:238" s="4" customFormat="1" ht="15" customHeight="1" x14ac:dyDescent="0.25">
      <c r="B247" s="281">
        <f>SUBTOTAL(3,$D$5:D247)</f>
        <v>243</v>
      </c>
      <c r="C247" s="286">
        <v>243</v>
      </c>
      <c r="D247" s="308" t="s">
        <v>629</v>
      </c>
      <c r="E247" s="308" t="s">
        <v>1912</v>
      </c>
      <c r="F247" s="308" t="s">
        <v>1913</v>
      </c>
      <c r="G247" s="319">
        <v>46117</v>
      </c>
      <c r="H247" s="284" t="s">
        <v>247</v>
      </c>
      <c r="I247" s="308" t="s">
        <v>278</v>
      </c>
      <c r="J247" s="450" t="s">
        <v>1818</v>
      </c>
      <c r="K247" s="308" t="s">
        <v>915</v>
      </c>
      <c r="L247" s="286" t="s">
        <v>250</v>
      </c>
      <c r="M247" s="325" t="s">
        <v>269</v>
      </c>
      <c r="N247" s="94">
        <v>24088</v>
      </c>
      <c r="O247" s="113" t="s">
        <v>252</v>
      </c>
      <c r="P24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7" s="35">
        <v>0.90067551070952523</v>
      </c>
      <c r="S247" s="34">
        <v>1</v>
      </c>
      <c r="T247" s="34">
        <f>Table1[[#This Row],[Progres Total Aktual
(%)]]</f>
        <v>0.72433318776060585</v>
      </c>
      <c r="U247" s="85">
        <f>Table1[[#This Row],[Progres Aktual
(%)]]-Table1[[#This Row],[Target Progres
(%)]]</f>
        <v>-0.27566681223939415</v>
      </c>
      <c r="V247" s="75">
        <f>Table1[[#This Row],["Volume
BA MC-0"]]</f>
        <v>24336.3</v>
      </c>
      <c r="W247" s="41">
        <f>Table1[[#This Row],[Total Panjang Pipa Aktual
(Sum-&gt;)3]]</f>
        <v>19167</v>
      </c>
      <c r="X247" s="42"/>
      <c r="Y247" s="62" t="s">
        <v>1914</v>
      </c>
      <c r="Z247" s="62">
        <v>37542785600</v>
      </c>
      <c r="AA247" s="62">
        <f>ROUND((Table1[[#This Row],[Nilai RAB Jaringan
(Exclude Ppn)]]-Table1[[#This Row],[RAB Perizinan]])*1.11+Table1[[#This Row],[RAB Perizinan]],0)</f>
        <v>37542682765</v>
      </c>
      <c r="AB247" s="456">
        <f>SUM(Table1[[#This Row],[RAB Kegiatan Umum]:[RAB Perizinan]])</f>
        <v>33848188797</v>
      </c>
      <c r="AC247" s="406">
        <v>1963784785</v>
      </c>
      <c r="AD247" s="406">
        <v>24547309811</v>
      </c>
      <c r="AE247" s="406">
        <v>7075214201</v>
      </c>
      <c r="AF247" s="406">
        <v>261880000</v>
      </c>
      <c r="AG247" s="453">
        <v>8558790916</v>
      </c>
      <c r="AH247" s="33">
        <f>SUM(Table1[[#This Row],[Bobot Keg Umum]:[Bobot Perizinan]])</f>
        <v>1</v>
      </c>
      <c r="AI247" s="33">
        <f>Table1[[#This Row],[RAB Kegiatan Umum]]/Table1[[#This Row],[Nilai RAB Jaringan
(Exclude Ppn)]]</f>
        <v>5.8017425888798289E-2</v>
      </c>
      <c r="AJ247" s="33">
        <f>Table1[[#This Row],[RAB Pemasangan]]/Table1[[#This Row],[Nilai RAB Jaringan
(Exclude Ppn)]]</f>
        <v>0.72521782356566311</v>
      </c>
      <c r="AK247" s="33">
        <f>Table1[[#This Row],[RAB Pengadaan]]/Table1[[#This Row],[Nilai RAB Jaringan
(Exclude Ppn)]]</f>
        <v>0.20902785207895921</v>
      </c>
      <c r="AL247" s="33">
        <f>Table1[[#This Row],[RAB Perizinan]]/Table1[[#This Row],[Nilai RAB Jaringan
(Exclude Ppn)]]</f>
        <v>7.7368984665794199E-3</v>
      </c>
      <c r="AM247" s="42"/>
      <c r="AN247" s="256">
        <v>24336.3</v>
      </c>
      <c r="AO247" s="256">
        <f>SUM(Table1[[#This Row],[Pipa 63 mm]:[Pipa 1,800 mm]])</f>
        <v>24336.3</v>
      </c>
      <c r="AP247" s="256">
        <f>6139.5+7192.6</f>
        <v>13332.1</v>
      </c>
      <c r="AQ247" s="256">
        <f>2683+3339.3</f>
        <v>6022.3</v>
      </c>
      <c r="AR247" s="256">
        <f>1881.5+860.1</f>
        <v>2741.6</v>
      </c>
      <c r="AS247" s="256">
        <f>529+1240.3</f>
        <v>1769.3</v>
      </c>
      <c r="AT247" s="256">
        <f>112+38</f>
        <v>150</v>
      </c>
      <c r="AU247" s="256">
        <f>301+13</f>
        <v>314</v>
      </c>
      <c r="AV247" s="256">
        <f>7</f>
        <v>7</v>
      </c>
      <c r="AW247" s="256"/>
      <c r="AX247" s="256"/>
      <c r="AY247" s="256"/>
      <c r="AZ247" s="256"/>
      <c r="BA247" s="256"/>
      <c r="BB247" s="256"/>
      <c r="BC247" s="256"/>
      <c r="BD247" s="256"/>
      <c r="BE247" s="256"/>
      <c r="BF247" s="256"/>
      <c r="BG247" s="256"/>
      <c r="BH247" s="256"/>
      <c r="BI247" s="256"/>
      <c r="BJ247" s="36">
        <f>SUM(Table1[[#This Row],[Pipa 63 mm2]:[Pipa 1,800 mm21]])</f>
        <v>19167</v>
      </c>
      <c r="BK247" s="32">
        <v>8074</v>
      </c>
      <c r="BL247" s="32">
        <v>6303</v>
      </c>
      <c r="BM247" s="32">
        <v>2619</v>
      </c>
      <c r="BN247" s="32">
        <v>1701</v>
      </c>
      <c r="BO247" s="32">
        <v>154</v>
      </c>
      <c r="BP247" s="32">
        <v>316</v>
      </c>
      <c r="BQ247" s="32"/>
      <c r="BR247" s="32"/>
      <c r="BS247" s="32"/>
      <c r="BT247" s="32"/>
      <c r="BU247" s="32"/>
      <c r="BV247" s="32"/>
      <c r="BW247" s="32"/>
      <c r="BX247" s="32"/>
      <c r="BY247" s="32"/>
      <c r="BZ247" s="32"/>
      <c r="CA247" s="32"/>
      <c r="CB247" s="32"/>
      <c r="CC247" s="32"/>
      <c r="CD247" s="32"/>
      <c r="CE247" s="32">
        <v>0</v>
      </c>
      <c r="CF247" s="32"/>
      <c r="CG247" s="32"/>
      <c r="CH247" s="32"/>
      <c r="CI247" s="32">
        <f t="shared" si="12"/>
        <v>0</v>
      </c>
      <c r="CJ247" s="60">
        <f>IF((Table1[[#This Row],["Volume
BA MC-0"]]-Table1[[#This Row],[Total Panjang Pipa Aktual
(Sum-&gt;)3]]-Table1[[#This Row],[Total Volume
tidak dapat dipasang]])&gt;=0,Table1[[#This Row],["Volume
BA MC-0"]]-Table1[[#This Row],[Total Panjang Pipa Aktual
(Sum-&gt;)3]]-Table1[[#This Row],[Total Volume
tidak dapat dipasang]],0)</f>
        <v>5169.2999999999993</v>
      </c>
      <c r="CK247" s="42"/>
      <c r="CL247" s="454" t="s">
        <v>1821</v>
      </c>
      <c r="CM247" s="34" t="s">
        <v>1821</v>
      </c>
      <c r="CN247" s="454" t="s">
        <v>1821</v>
      </c>
      <c r="CO247" s="454" t="s">
        <v>1821</v>
      </c>
      <c r="CP2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0.72433318776060585</v>
      </c>
      <c r="CQ247" s="61">
        <f>IFERROR(Table1[[#This Row],[Progres Keg. Umum
(%)]]*Table1[[#This Row],[Nilai RAB Jaringan
(file pa aji)]],0)</f>
        <v>0</v>
      </c>
      <c r="CR247" s="61">
        <f>IFERROR(Table1[[#This Row],[Progres MOS
(%)]]*Table1[[#This Row],[Nilai RAB Jaringan
(file pa aji)]],0)</f>
        <v>0</v>
      </c>
      <c r="CS247" s="61">
        <f>IFERROR(Table1[[#This Row],[Progres Pemasangan
(%)]]*Table1[[#This Row],[Nilai RAB Jaringan
(file pa aji)]],0)</f>
        <v>0</v>
      </c>
      <c r="CT247" s="61">
        <f>IFERROR(Table1[[#This Row],[Progres Perizinan
(%)]]*Table1[[#This Row],[Nilai RAB Jaringan
(file pa aji)]],0)</f>
        <v>0</v>
      </c>
      <c r="CU247" s="789">
        <v>27193411084.257607</v>
      </c>
      <c r="CV247" s="299">
        <v>27193411084.257607</v>
      </c>
      <c r="CW247" s="552">
        <v>0</v>
      </c>
      <c r="CX247" s="789">
        <f>_xlfn.XLOOKUP(Table1[[#This Row],[Kode Program]],'[1]Breakdown VOWD Greenfield'!$E:$E,'[1]Breakdown VOWD Greenfield'!$AT:$AT)</f>
        <v>0</v>
      </c>
      <c r="CY247" s="42"/>
      <c r="CZ247" s="300">
        <v>45775</v>
      </c>
      <c r="DA247" s="300">
        <v>45802</v>
      </c>
      <c r="DB247" s="301">
        <v>45873</v>
      </c>
      <c r="DC247" s="286" t="s">
        <v>1915</v>
      </c>
      <c r="DD247" s="62">
        <v>37542785600</v>
      </c>
      <c r="DE2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7" s="301">
        <v>45884</v>
      </c>
      <c r="DG247" s="286" t="s">
        <v>1916</v>
      </c>
      <c r="DH247" s="62">
        <v>37542785600</v>
      </c>
      <c r="DI2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7" s="300">
        <v>45803</v>
      </c>
      <c r="DK247" s="300">
        <v>45872</v>
      </c>
      <c r="DL247" s="301">
        <v>45927</v>
      </c>
      <c r="DM247" s="286" t="s">
        <v>1917</v>
      </c>
      <c r="DN2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7" s="301">
        <v>45931</v>
      </c>
      <c r="DP247" s="286" t="s">
        <v>1918</v>
      </c>
      <c r="DQ247" s="308" t="s">
        <v>1919</v>
      </c>
      <c r="DR2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7" s="300">
        <v>45803</v>
      </c>
      <c r="DT247" s="300" t="e">
        <v>#N/A</v>
      </c>
      <c r="DU247" s="300">
        <v>45844</v>
      </c>
      <c r="DV247" s="300" t="e">
        <v>#N/A</v>
      </c>
      <c r="DW247" s="301">
        <v>45929</v>
      </c>
      <c r="DX247" s="454" t="s">
        <v>1920</v>
      </c>
      <c r="DY247" s="304">
        <v>167</v>
      </c>
      <c r="DZ247" s="304">
        <v>167</v>
      </c>
      <c r="EA2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7" s="301">
        <v>46120</v>
      </c>
      <c r="EC247" s="302">
        <v>161</v>
      </c>
      <c r="ED247" s="302">
        <v>161</v>
      </c>
      <c r="EE247" s="300"/>
      <c r="EF247" s="35">
        <v>0.9640718562874252</v>
      </c>
      <c r="EG247" s="35">
        <f>Table1[[#This Row],[Line PO (kolom  bantu)2]]/Table1[[#This Row],[Line PR]]</f>
        <v>0.9640718562874252</v>
      </c>
      <c r="EH247" s="286" t="str">
        <f>IF(Table1[[#This Row],[PO Material Aktual 
(%)]]&gt;=100%,"Selesai PO = 100%",IF(Table1[[#This Row],[PO Material Aktual 
(%)]]&gt;=50%,"Proses PO &gt; 100%",IF(Table1[[#This Row],[PO Material Aktual 
(%)]]&gt;0%,"Proses PO &gt; 50%",IF(Table1[[#This Row],[PO Material Aktual 
(%)]]=0,"Belum PO = 0%"))))</f>
        <v>Proses PO &gt; 100%</v>
      </c>
      <c r="EI24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7" s="300">
        <v>45845</v>
      </c>
      <c r="EK247" s="300" t="e">
        <v>#N/A</v>
      </c>
      <c r="EL247" s="300">
        <v>46019</v>
      </c>
      <c r="EM247" s="300" t="e">
        <v>#N/A</v>
      </c>
      <c r="EN247" s="301">
        <v>46120</v>
      </c>
      <c r="EO247" s="302">
        <v>159</v>
      </c>
      <c r="EP247" s="593">
        <v>159</v>
      </c>
      <c r="EQ247" s="35">
        <v>0.95209580838323349</v>
      </c>
      <c r="ER247" s="35">
        <f>Table1[[#This Row],[Line MOS]]/Table1[[#This Row],[Line PR]]</f>
        <v>0.95209580838323349</v>
      </c>
      <c r="ES247" s="286" t="str">
        <f>IF(Table1[[#This Row],[Progres MOS]]&gt;=100%,"Selesai MOS = 100%",IF(Table1[[#This Row],[Progres MOS]]&gt;=50%,"Proses MOS &gt; 100%",IF(Table1[[#This Row],[Progres MOS]]&gt;0%,"Proses MOS &gt; 50%",IF(Table1[[#This Row],[Progres MOS]]=0,"Belum MOS = 0%"))))</f>
        <v>Proses MOS &gt; 100%</v>
      </c>
      <c r="ET2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7" s="42"/>
      <c r="EV247" s="300">
        <v>45803</v>
      </c>
      <c r="EW247" s="300" t="e">
        <v>#N/A</v>
      </c>
      <c r="EX247" s="300">
        <v>45900</v>
      </c>
      <c r="EY247" s="300" t="e">
        <v>#N/A</v>
      </c>
      <c r="EZ247" s="322" t="s">
        <v>298</v>
      </c>
      <c r="FA247" s="306" t="s">
        <v>259</v>
      </c>
      <c r="FB247" s="300" t="s">
        <v>260</v>
      </c>
      <c r="FC247" s="300">
        <v>45918</v>
      </c>
      <c r="FD247" s="300" t="s">
        <v>260</v>
      </c>
      <c r="FE247" s="300">
        <v>45939</v>
      </c>
      <c r="FF247" s="300">
        <v>45935</v>
      </c>
      <c r="FG247" s="300" t="s">
        <v>260</v>
      </c>
      <c r="FH247" s="300" t="s">
        <v>260</v>
      </c>
      <c r="FI247" s="300">
        <v>46010</v>
      </c>
      <c r="FJ247" s="300" t="s">
        <v>260</v>
      </c>
      <c r="FK247" s="300">
        <v>46119</v>
      </c>
      <c r="FL247" s="306" t="s">
        <v>298</v>
      </c>
      <c r="FM247" s="322">
        <v>45918</v>
      </c>
      <c r="FN247" s="308">
        <f>IF(Table1[[#This Row],[Tanggal Pengajuan Dokumen]]="","",Table1[[#This Row],[PLAN PERMIT
start]]-Table1[[#This Row],[Tanggal Pengajuan Dokumen]])</f>
        <v>-115</v>
      </c>
      <c r="FO247" s="407">
        <v>46086</v>
      </c>
      <c r="FP247" s="286"/>
      <c r="FQ247" s="308"/>
      <c r="FR247" s="308"/>
      <c r="FS247" s="308" t="str">
        <f t="shared" si="11"/>
        <v>Sudah Terbit</v>
      </c>
      <c r="FT2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47" s="314">
        <f ca="1">IF(Table1[[#This Row],[Status Izin]]="Selesai",Table1[[#This Row],[PLAN PERMIT
finish]]-Table1[[#This Row],[Tanggal Terbit/ Target Izin Terbit]],ROUNDUP(Table1[[#This Row],[PLAN PERMIT
finish]]-NOW(),0))</f>
        <v>-186</v>
      </c>
      <c r="FV2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7" s="314"/>
      <c r="FX247" s="42"/>
      <c r="FY247" s="310"/>
      <c r="FZ247" s="311">
        <v>45903</v>
      </c>
      <c r="GA2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7" s="300">
        <v>45874</v>
      </c>
      <c r="GC247" s="322">
        <v>45917</v>
      </c>
      <c r="GD2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7" s="300">
        <v>45881</v>
      </c>
      <c r="GF247" s="322">
        <v>45912</v>
      </c>
      <c r="GG2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7" s="300">
        <v>45887</v>
      </c>
      <c r="GI247" s="300">
        <v>45893</v>
      </c>
      <c r="GJ247" s="322">
        <v>45951</v>
      </c>
      <c r="GK2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7" s="300">
        <v>45901</v>
      </c>
      <c r="GM247" s="300" t="e">
        <v>#N/A</v>
      </c>
      <c r="GN247" s="300">
        <v>46096</v>
      </c>
      <c r="GO247" s="300" t="e">
        <v>#N/A</v>
      </c>
      <c r="GP247" s="300"/>
      <c r="GQ2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7" s="300" t="s">
        <v>261</v>
      </c>
      <c r="GS247" s="300" t="s">
        <v>261</v>
      </c>
      <c r="GT247" s="324"/>
      <c r="GU247" s="314" t="str">
        <f>IF(Table1[[#This Row],[Hydro Tes Actual
(tanggal)]]&lt;&gt;"","Sudah","Belum")</f>
        <v>Belum</v>
      </c>
      <c r="GV247" s="300" t="s">
        <v>261</v>
      </c>
      <c r="GW247" s="300" t="s">
        <v>261</v>
      </c>
      <c r="GX247" s="301"/>
      <c r="GY247" s="314" t="str">
        <f>IF(Table1[[#This Row],[Interkoneksi Actual
(tanggal)]]&lt;&gt;"","Sudah","Belum")</f>
        <v>Belum</v>
      </c>
      <c r="GZ247" s="300" t="s">
        <v>261</v>
      </c>
      <c r="HA247" s="300" t="s">
        <v>261</v>
      </c>
      <c r="HB247" s="301"/>
      <c r="HC247" s="314" t="str">
        <f>IF(Table1[[#This Row],[Flushing Actual
(tanggal)]]&lt;&gt;"","Sudah","Belum")</f>
        <v>Belum</v>
      </c>
      <c r="HD247" s="300">
        <v>46069</v>
      </c>
      <c r="HE247" s="300" t="e">
        <v>#N/A</v>
      </c>
      <c r="HF247" s="300">
        <v>46082</v>
      </c>
      <c r="HG247" s="322"/>
      <c r="HH2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7" s="300" t="s">
        <v>261</v>
      </c>
      <c r="HJ247" s="300" t="s">
        <v>261</v>
      </c>
      <c r="HK247" s="301"/>
      <c r="HL247" s="286"/>
      <c r="HM247" s="300">
        <v>46101</v>
      </c>
      <c r="HN247" s="300">
        <v>46101</v>
      </c>
      <c r="HO247" s="300" t="e">
        <v>#N/A</v>
      </c>
      <c r="HP247" s="300"/>
      <c r="HQ247" s="301"/>
      <c r="HR24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7" s="300">
        <v>46108</v>
      </c>
      <c r="HT247" s="300"/>
      <c r="HU247" s="300">
        <v>46108</v>
      </c>
      <c r="HV247" s="300"/>
      <c r="HW247" s="301"/>
      <c r="HX24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7" s="42"/>
      <c r="HZ247" s="322"/>
      <c r="IA247" s="322"/>
      <c r="IC247" s="585">
        <f>IFERROR(ROUND((Table1[[#This Row],[PLAN TC
finish]]-Table1[[#This Row],[PLAN MC-0
start]])/30,2),"")</f>
        <v>6.5</v>
      </c>
      <c r="ID247">
        <f>DATEDIF(Table1[[#This Row],[PLAN MC-0
start]],Table1[[#This Row],[PLAN TC
finish]],"m")</f>
        <v>6</v>
      </c>
    </row>
    <row r="248" spans="2:238" s="4" customFormat="1" ht="15" customHeight="1" x14ac:dyDescent="0.25">
      <c r="B248" s="281">
        <f>SUBTOTAL(3,$D$5:D248)</f>
        <v>244</v>
      </c>
      <c r="C248" s="286">
        <v>244</v>
      </c>
      <c r="D248" s="308" t="s">
        <v>629</v>
      </c>
      <c r="E248" s="308" t="s">
        <v>1921</v>
      </c>
      <c r="F248" s="308" t="s">
        <v>1922</v>
      </c>
      <c r="G248" s="319">
        <v>46117</v>
      </c>
      <c r="H248" s="284" t="s">
        <v>247</v>
      </c>
      <c r="I248" s="308" t="s">
        <v>278</v>
      </c>
      <c r="J248" s="450" t="s">
        <v>1818</v>
      </c>
      <c r="K248" s="308" t="s">
        <v>915</v>
      </c>
      <c r="L248" s="286" t="s">
        <v>250</v>
      </c>
      <c r="M248" s="325" t="s">
        <v>269</v>
      </c>
      <c r="N248" s="94">
        <v>23680</v>
      </c>
      <c r="O248" s="113" t="s">
        <v>252</v>
      </c>
      <c r="P24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8" s="35">
        <v>0.9001010911310986</v>
      </c>
      <c r="S248" s="34">
        <v>1</v>
      </c>
      <c r="T248" s="34">
        <f>Table1[[#This Row],[Progres Total Aktual
(%)]]</f>
        <v>0.70405316543050367</v>
      </c>
      <c r="U248" s="85">
        <f>Table1[[#This Row],[Progres Aktual
(%)]]-Table1[[#This Row],[Target Progres
(%)]]</f>
        <v>-0.29594683456949633</v>
      </c>
      <c r="V248" s="75">
        <f>Table1[[#This Row],["Volume
BA MC-0"]]</f>
        <v>22700.06</v>
      </c>
      <c r="W248" s="41">
        <f>Table1[[#This Row],[Total Panjang Pipa Aktual
(Sum-&gt;)3]]</f>
        <v>19069</v>
      </c>
      <c r="X248" s="42"/>
      <c r="Y248" s="62" t="s">
        <v>1923</v>
      </c>
      <c r="Z248" s="62">
        <v>35732085802</v>
      </c>
      <c r="AA248" s="62">
        <f>ROUND((Table1[[#This Row],[Nilai RAB Jaringan
(Exclude Ppn)]]-Table1[[#This Row],[RAB Perizinan]])*1.11+Table1[[#This Row],[RAB Perizinan]],0)</f>
        <v>35732085802</v>
      </c>
      <c r="AB248" s="456">
        <f>SUM(Table1[[#This Row],[RAB Kegiatan Umum]:[RAB Perizinan]])</f>
        <v>32215922344</v>
      </c>
      <c r="AC248" s="406">
        <v>1901080250</v>
      </c>
      <c r="AD248" s="406">
        <v>23763503121</v>
      </c>
      <c r="AE248" s="406">
        <v>6300538973</v>
      </c>
      <c r="AF248" s="406">
        <v>250800000</v>
      </c>
      <c r="AG248" s="453">
        <v>6498107135</v>
      </c>
      <c r="AH248" s="33">
        <f>SUM(Table1[[#This Row],[Bobot Keg Umum]:[Bobot Perizinan]])</f>
        <v>1</v>
      </c>
      <c r="AI248" s="33">
        <f>Table1[[#This Row],[RAB Kegiatan Umum]]/Table1[[#This Row],[Nilai RAB Jaringan
(Exclude Ppn)]]</f>
        <v>5.9010579604096405E-2</v>
      </c>
      <c r="AJ248" s="33">
        <f>Table1[[#This Row],[RAB Pemasangan]]/Table1[[#This Row],[Nilai RAB Jaringan
(Exclude Ppn)]]</f>
        <v>0.73763224492704282</v>
      </c>
      <c r="AK248" s="33">
        <f>Table1[[#This Row],[RAB Pengadaan]]/Table1[[#This Row],[Nilai RAB Jaringan
(Exclude Ppn)]]</f>
        <v>0.19557220512649495</v>
      </c>
      <c r="AL248" s="33">
        <f>Table1[[#This Row],[RAB Perizinan]]/Table1[[#This Row],[Nilai RAB Jaringan
(Exclude Ppn)]]</f>
        <v>7.7849703423658089E-3</v>
      </c>
      <c r="AM248" s="42"/>
      <c r="AN248" s="256">
        <v>22700.06</v>
      </c>
      <c r="AO248" s="256">
        <f>SUM(Table1[[#This Row],[Pipa 63 mm]:[Pipa 1,800 mm]])</f>
        <v>22700.06</v>
      </c>
      <c r="AP248" s="256">
        <f>6023.3+8252.26</f>
        <v>14275.560000000001</v>
      </c>
      <c r="AQ248" s="256">
        <f>2582.7+2225</f>
        <v>4807.7</v>
      </c>
      <c r="AR248" s="256">
        <f>1178.3+891</f>
        <v>2069.3000000000002</v>
      </c>
      <c r="AS248" s="256">
        <f>636.5+650</f>
        <v>1286.5</v>
      </c>
      <c r="AT248" s="256">
        <f>235</f>
        <v>235</v>
      </c>
      <c r="AU248" s="256">
        <f>14+12</f>
        <v>26</v>
      </c>
      <c r="AV248" s="256"/>
      <c r="AW248" s="256"/>
      <c r="AX248" s="256"/>
      <c r="AY248" s="256"/>
      <c r="AZ248" s="256"/>
      <c r="BA248" s="256"/>
      <c r="BB248" s="256"/>
      <c r="BC248" s="256"/>
      <c r="BD248" s="256"/>
      <c r="BE248" s="256"/>
      <c r="BF248" s="256"/>
      <c r="BG248" s="256"/>
      <c r="BH248" s="256"/>
      <c r="BI248" s="256"/>
      <c r="BJ248" s="36">
        <f>SUM(Table1[[#This Row],[Pipa 63 mm2]:[Pipa 1,800 mm21]])</f>
        <v>19069</v>
      </c>
      <c r="BK248" s="32">
        <v>10662</v>
      </c>
      <c r="BL248" s="32">
        <v>4928</v>
      </c>
      <c r="BM248" s="32">
        <v>1964</v>
      </c>
      <c r="BN248" s="32">
        <v>1278</v>
      </c>
      <c r="BO248" s="32">
        <v>237</v>
      </c>
      <c r="BP248" s="32"/>
      <c r="BQ248" s="32"/>
      <c r="BR248" s="32"/>
      <c r="BS248" s="32"/>
      <c r="BT248" s="32"/>
      <c r="BU248" s="32"/>
      <c r="BV248" s="32"/>
      <c r="BW248" s="32"/>
      <c r="BX248" s="32"/>
      <c r="BY248" s="32"/>
      <c r="BZ248" s="32"/>
      <c r="CA248" s="32"/>
      <c r="CB248" s="32"/>
      <c r="CC248" s="32"/>
      <c r="CD248" s="32"/>
      <c r="CE248" s="32">
        <v>0</v>
      </c>
      <c r="CF248" s="32"/>
      <c r="CG248" s="32"/>
      <c r="CH248" s="32"/>
      <c r="CI248" s="32">
        <f t="shared" si="12"/>
        <v>0</v>
      </c>
      <c r="CJ248" s="60">
        <f>IF((Table1[[#This Row],["Volume
BA MC-0"]]-Table1[[#This Row],[Total Panjang Pipa Aktual
(Sum-&gt;)3]]-Table1[[#This Row],[Total Volume
tidak dapat dipasang]])&gt;=0,Table1[[#This Row],["Volume
BA MC-0"]]-Table1[[#This Row],[Total Panjang Pipa Aktual
(Sum-&gt;)3]]-Table1[[#This Row],[Total Volume
tidak dapat dipasang]],0)</f>
        <v>3631.0600000000013</v>
      </c>
      <c r="CK248" s="42"/>
      <c r="CL248" s="454" t="s">
        <v>1821</v>
      </c>
      <c r="CM248" s="34" t="s">
        <v>1821</v>
      </c>
      <c r="CN248" s="454" t="s">
        <v>1821</v>
      </c>
      <c r="CO248" s="454" t="s">
        <v>1821</v>
      </c>
      <c r="CP2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0.70405316543050367</v>
      </c>
      <c r="CQ248" s="61">
        <f>IFERROR(Table1[[#This Row],[Progres Keg. Umum
(%)]]*Table1[[#This Row],[Nilai RAB Jaringan
(file pa aji)]],0)</f>
        <v>0</v>
      </c>
      <c r="CR248" s="61">
        <f>IFERROR(Table1[[#This Row],[Progres MOS
(%)]]*Table1[[#This Row],[Nilai RAB Jaringan
(file pa aji)]],0)</f>
        <v>0</v>
      </c>
      <c r="CS248" s="61">
        <f>IFERROR(Table1[[#This Row],[Progres Pemasangan
(%)]]*Table1[[#This Row],[Nilai RAB Jaringan
(file pa aji)]],0)</f>
        <v>0</v>
      </c>
      <c r="CT248" s="61">
        <f>IFERROR(Table1[[#This Row],[Progres Perizinan
(%)]]*Table1[[#This Row],[Nilai RAB Jaringan
(file pa aji)]],0)</f>
        <v>0</v>
      </c>
      <c r="CU248" s="789">
        <v>25157288116.332458</v>
      </c>
      <c r="CV248" s="299">
        <v>25157288116.332458</v>
      </c>
      <c r="CW248" s="552">
        <v>0</v>
      </c>
      <c r="CX248" s="789">
        <f>_xlfn.XLOOKUP(Table1[[#This Row],[Kode Program]],'[1]Breakdown VOWD Greenfield'!$E:$E,'[1]Breakdown VOWD Greenfield'!$AT:$AT)</f>
        <v>0</v>
      </c>
      <c r="CY248" s="42"/>
      <c r="CZ248" s="300">
        <v>45775</v>
      </c>
      <c r="DA248" s="300">
        <v>45802</v>
      </c>
      <c r="DB248" s="301">
        <v>45855</v>
      </c>
      <c r="DC248" s="286" t="s">
        <v>1924</v>
      </c>
      <c r="DD248" s="62">
        <v>35732085802</v>
      </c>
      <c r="DE2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8" s="301">
        <v>45862</v>
      </c>
      <c r="DG248" s="286" t="s">
        <v>1925</v>
      </c>
      <c r="DH248" s="62">
        <v>35732085802</v>
      </c>
      <c r="DI2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8" s="300">
        <v>45803</v>
      </c>
      <c r="DK248" s="300">
        <v>45872</v>
      </c>
      <c r="DL248" s="301">
        <v>45924</v>
      </c>
      <c r="DM248" s="286" t="s">
        <v>1926</v>
      </c>
      <c r="DN2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8" s="301">
        <v>45957</v>
      </c>
      <c r="DP248" s="286" t="s">
        <v>1927</v>
      </c>
      <c r="DQ248" s="308" t="s">
        <v>275</v>
      </c>
      <c r="DR2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8" s="300">
        <v>45803</v>
      </c>
      <c r="DT248" s="300" t="e">
        <v>#N/A</v>
      </c>
      <c r="DU248" s="300">
        <v>45844</v>
      </c>
      <c r="DV248" s="300" t="e">
        <v>#N/A</v>
      </c>
      <c r="DW248" s="301">
        <v>45915</v>
      </c>
      <c r="DX248" s="286" t="s">
        <v>1928</v>
      </c>
      <c r="DY248" s="304">
        <v>171</v>
      </c>
      <c r="DZ248" s="304">
        <v>171</v>
      </c>
      <c r="EA2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8" s="301">
        <v>46085</v>
      </c>
      <c r="EC248" s="302">
        <v>169</v>
      </c>
      <c r="ED248" s="302">
        <v>169</v>
      </c>
      <c r="EE248" s="300" t="s">
        <v>1929</v>
      </c>
      <c r="EF248" s="35">
        <v>0.98830409356725146</v>
      </c>
      <c r="EG248" s="35">
        <f>Table1[[#This Row],[Line PO (kolom  bantu)2]]/Table1[[#This Row],[Line PR]]</f>
        <v>0.98830409356725146</v>
      </c>
      <c r="EH248" s="286" t="str">
        <f>IF(Table1[[#This Row],[PO Material Aktual 
(%)]]&gt;=100%,"Selesai PO = 100%",IF(Table1[[#This Row],[PO Material Aktual 
(%)]]&gt;=50%,"Proses PO &gt; 100%",IF(Table1[[#This Row],[PO Material Aktual 
(%)]]&gt;0%,"Proses PO &gt; 50%",IF(Table1[[#This Row],[PO Material Aktual 
(%)]]=0,"Belum PO = 0%"))))</f>
        <v>Proses PO &gt; 100%</v>
      </c>
      <c r="EI24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8" s="300">
        <v>45845</v>
      </c>
      <c r="EK248" s="300" t="e">
        <v>#N/A</v>
      </c>
      <c r="EL248" s="300">
        <v>46019</v>
      </c>
      <c r="EM248" s="300" t="e">
        <v>#N/A</v>
      </c>
      <c r="EN248" s="301">
        <v>46095</v>
      </c>
      <c r="EO248" s="302">
        <v>168</v>
      </c>
      <c r="EP248" s="593">
        <v>168</v>
      </c>
      <c r="EQ248" s="35">
        <v>0.98245614035087714</v>
      </c>
      <c r="ER248" s="35">
        <f>Table1[[#This Row],[Line MOS]]/Table1[[#This Row],[Line PR]]</f>
        <v>0.98245614035087714</v>
      </c>
      <c r="ES248" s="286" t="str">
        <f>IF(Table1[[#This Row],[Progres MOS]]&gt;=100%,"Selesai MOS = 100%",IF(Table1[[#This Row],[Progres MOS]]&gt;=50%,"Proses MOS &gt; 100%",IF(Table1[[#This Row],[Progres MOS]]&gt;0%,"Proses MOS &gt; 50%",IF(Table1[[#This Row],[Progres MOS]]=0,"Belum MOS = 0%"))))</f>
        <v>Proses MOS &gt; 100%</v>
      </c>
      <c r="ET2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8" s="42"/>
      <c r="EV248" s="300">
        <v>45803</v>
      </c>
      <c r="EW248" s="300" t="e">
        <v>#N/A</v>
      </c>
      <c r="EX248" s="300">
        <v>45900</v>
      </c>
      <c r="EY248" s="300" t="e">
        <v>#N/A</v>
      </c>
      <c r="EZ248" s="322" t="s">
        <v>298</v>
      </c>
      <c r="FA248" s="306" t="s">
        <v>298</v>
      </c>
      <c r="FB248" s="300" t="s">
        <v>260</v>
      </c>
      <c r="FC248" s="300">
        <v>45918</v>
      </c>
      <c r="FD248" s="300" t="s">
        <v>260</v>
      </c>
      <c r="FE248" s="300">
        <v>45939</v>
      </c>
      <c r="FF248" s="300">
        <v>45935</v>
      </c>
      <c r="FG248" s="300" t="s">
        <v>260</v>
      </c>
      <c r="FH248" s="300" t="s">
        <v>260</v>
      </c>
      <c r="FI248" s="300">
        <v>46010</v>
      </c>
      <c r="FJ248" s="300" t="s">
        <v>260</v>
      </c>
      <c r="FK248" s="300"/>
      <c r="FL248" s="306" t="s">
        <v>298</v>
      </c>
      <c r="FM248" s="322">
        <v>45918</v>
      </c>
      <c r="FN248" s="308">
        <f>IF(Table1[[#This Row],[Tanggal Pengajuan Dokumen]]="","",Table1[[#This Row],[PLAN PERMIT
start]]-Table1[[#This Row],[Tanggal Pengajuan Dokumen]])</f>
        <v>-115</v>
      </c>
      <c r="FO248" s="407">
        <v>46086</v>
      </c>
      <c r="FP248" s="286"/>
      <c r="FQ248" s="308"/>
      <c r="FR248" s="308"/>
      <c r="FS248" s="308" t="str">
        <f t="shared" si="11"/>
        <v>On Going</v>
      </c>
      <c r="FT2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8" s="314">
        <f ca="1">IF(Table1[[#This Row],[Status Izin]]="Selesai",Table1[[#This Row],[PLAN PERMIT
finish]]-Table1[[#This Row],[Tanggal Terbit/ Target Izin Terbit]],ROUNDUP(Table1[[#This Row],[PLAN PERMIT
finish]]-NOW(),0))</f>
        <v>-304</v>
      </c>
      <c r="FV2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8" s="314"/>
      <c r="FX248" s="42"/>
      <c r="FY248" s="310"/>
      <c r="FZ248" s="311">
        <v>45903</v>
      </c>
      <c r="GA2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8" s="300">
        <v>45874</v>
      </c>
      <c r="GC248" s="322">
        <v>45917</v>
      </c>
      <c r="GD2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8" s="300">
        <v>45881</v>
      </c>
      <c r="GF248" s="322">
        <v>45912</v>
      </c>
      <c r="GG2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8" s="300">
        <v>45887</v>
      </c>
      <c r="GI248" s="300">
        <v>45893</v>
      </c>
      <c r="GJ248" s="322">
        <v>45958</v>
      </c>
      <c r="GK2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8" s="300">
        <v>45901</v>
      </c>
      <c r="GM248" s="300" t="e">
        <v>#N/A</v>
      </c>
      <c r="GN248" s="300">
        <v>46096</v>
      </c>
      <c r="GO248" s="300" t="e">
        <v>#N/A</v>
      </c>
      <c r="GP248" s="300"/>
      <c r="GQ2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8" s="300" t="s">
        <v>261</v>
      </c>
      <c r="GS248" s="300" t="s">
        <v>261</v>
      </c>
      <c r="GT248" s="324"/>
      <c r="GU248" s="314" t="str">
        <f>IF(Table1[[#This Row],[Hydro Tes Actual
(tanggal)]]&lt;&gt;"","Sudah","Belum")</f>
        <v>Belum</v>
      </c>
      <c r="GV248" s="300" t="s">
        <v>261</v>
      </c>
      <c r="GW248" s="300" t="s">
        <v>261</v>
      </c>
      <c r="GX248" s="301"/>
      <c r="GY248" s="314" t="str">
        <f>IF(Table1[[#This Row],[Interkoneksi Actual
(tanggal)]]&lt;&gt;"","Sudah","Belum")</f>
        <v>Belum</v>
      </c>
      <c r="GZ248" s="300" t="s">
        <v>261</v>
      </c>
      <c r="HA248" s="300" t="s">
        <v>261</v>
      </c>
      <c r="HB248" s="301"/>
      <c r="HC248" s="314" t="str">
        <f>IF(Table1[[#This Row],[Flushing Actual
(tanggal)]]&lt;&gt;"","Sudah","Belum")</f>
        <v>Belum</v>
      </c>
      <c r="HD248" s="300">
        <v>46069</v>
      </c>
      <c r="HE248" s="300" t="e">
        <v>#N/A</v>
      </c>
      <c r="HF248" s="300">
        <v>46082</v>
      </c>
      <c r="HG248" s="322"/>
      <c r="HH2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8" s="300" t="s">
        <v>261</v>
      </c>
      <c r="HJ248" s="300" t="s">
        <v>261</v>
      </c>
      <c r="HK248" s="301"/>
      <c r="HL248" s="286"/>
      <c r="HM248" s="300">
        <v>46101</v>
      </c>
      <c r="HN248" s="300">
        <v>46101</v>
      </c>
      <c r="HO248" s="300" t="e">
        <v>#N/A</v>
      </c>
      <c r="HP248" s="300"/>
      <c r="HQ248" s="301"/>
      <c r="HR24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8" s="300">
        <v>46108</v>
      </c>
      <c r="HT248" s="300"/>
      <c r="HU248" s="300">
        <v>46108</v>
      </c>
      <c r="HV248" s="300"/>
      <c r="HW248" s="301"/>
      <c r="HX24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8" s="42"/>
      <c r="HZ248" s="322"/>
      <c r="IA248" s="322"/>
      <c r="IC248" s="585">
        <f>IFERROR(ROUND((Table1[[#This Row],[PLAN TC
finish]]-Table1[[#This Row],[PLAN MC-0
start]])/30,2),"")</f>
        <v>6.5</v>
      </c>
      <c r="ID248">
        <f>DATEDIF(Table1[[#This Row],[PLAN MC-0
start]],Table1[[#This Row],[PLAN TC
finish]],"m")</f>
        <v>6</v>
      </c>
    </row>
    <row r="249" spans="2:238" s="4" customFormat="1" ht="15" customHeight="1" x14ac:dyDescent="0.25">
      <c r="B249" s="281">
        <f>SUBTOTAL(3,$D$5:D249)</f>
        <v>245</v>
      </c>
      <c r="C249" s="286">
        <v>245</v>
      </c>
      <c r="D249" s="308" t="s">
        <v>629</v>
      </c>
      <c r="E249" s="308" t="s">
        <v>1930</v>
      </c>
      <c r="F249" s="308" t="s">
        <v>1931</v>
      </c>
      <c r="G249" s="319">
        <v>46117</v>
      </c>
      <c r="H249" s="284" t="s">
        <v>247</v>
      </c>
      <c r="I249" s="308" t="s">
        <v>278</v>
      </c>
      <c r="J249" s="450" t="s">
        <v>1818</v>
      </c>
      <c r="K249" s="308" t="s">
        <v>915</v>
      </c>
      <c r="L249" s="286" t="s">
        <v>250</v>
      </c>
      <c r="M249" s="325" t="s">
        <v>269</v>
      </c>
      <c r="N249" s="94">
        <v>13581</v>
      </c>
      <c r="O249" s="113" t="s">
        <v>252</v>
      </c>
      <c r="P24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49" s="35">
        <v>0.90164611892758784</v>
      </c>
      <c r="S249" s="34">
        <v>1</v>
      </c>
      <c r="T249" s="34">
        <f>Table1[[#This Row],[Progres Total Aktual
(%)]]</f>
        <v>0.41699246878259938</v>
      </c>
      <c r="U249" s="85">
        <f>Table1[[#This Row],[Progres Aktual
(%)]]-Table1[[#This Row],[Target Progres
(%)]]</f>
        <v>-0.58300753121740057</v>
      </c>
      <c r="V249" s="75">
        <f>Table1[[#This Row],["Volume
BA MC-0"]]</f>
        <v>10300</v>
      </c>
      <c r="W249" s="41">
        <f>Table1[[#This Row],[Total Panjang Pipa Aktual
(Sum-&gt;)3]]</f>
        <v>6819</v>
      </c>
      <c r="X249" s="42"/>
      <c r="Y249" s="62" t="s">
        <v>1932</v>
      </c>
      <c r="Z249" s="62">
        <v>23629084417</v>
      </c>
      <c r="AA249" s="62">
        <f>ROUND((Table1[[#This Row],[Nilai RAB Jaringan
(Exclude Ppn)]]-Table1[[#This Row],[RAB Perizinan]])*1.11+Table1[[#This Row],[RAB Perizinan]],0)</f>
        <v>23629084416</v>
      </c>
      <c r="AB249" s="456">
        <f>SUM(Table1[[#This Row],[RAB Kegiatan Umum]:[RAB Perizinan]])</f>
        <v>21301742627</v>
      </c>
      <c r="AC249" s="406">
        <v>1455696595</v>
      </c>
      <c r="AD249" s="406">
        <v>14556965951</v>
      </c>
      <c r="AE249" s="406">
        <v>5144990081</v>
      </c>
      <c r="AF249" s="406">
        <v>144090000</v>
      </c>
      <c r="AG249" s="453">
        <v>4650234257</v>
      </c>
      <c r="AH249" s="33">
        <f>SUM(Table1[[#This Row],[Bobot Keg Umum]:[Bobot Perizinan]])</f>
        <v>1</v>
      </c>
      <c r="AI249" s="33">
        <f>Table1[[#This Row],[RAB Kegiatan Umum]]/Table1[[#This Row],[Nilai RAB Jaringan
(Exclude Ppn)]]</f>
        <v>6.8336972260424442E-2</v>
      </c>
      <c r="AJ249" s="33">
        <f>Table1[[#This Row],[RAB Pemasangan]]/Table1[[#This Row],[Nilai RAB Jaringan
(Exclude Ppn)]]</f>
        <v>0.683369722651189</v>
      </c>
      <c r="AK249" s="33">
        <f>Table1[[#This Row],[RAB Pengadaan]]/Table1[[#This Row],[Nilai RAB Jaringan
(Exclude Ppn)]]</f>
        <v>0.24152906976158445</v>
      </c>
      <c r="AL249" s="33">
        <f>Table1[[#This Row],[RAB Perizinan]]/Table1[[#This Row],[Nilai RAB Jaringan
(Exclude Ppn)]]</f>
        <v>6.7642353268021205E-3</v>
      </c>
      <c r="AM249" s="42"/>
      <c r="AN249" s="457">
        <v>10300</v>
      </c>
      <c r="AO249" s="457">
        <f>SUM(Table1[[#This Row],[Pipa 63 mm]:[Pipa 1,800 mm]])</f>
        <v>10300</v>
      </c>
      <c r="AP249" s="457">
        <v>6299</v>
      </c>
      <c r="AQ249" s="457">
        <v>1459</v>
      </c>
      <c r="AR249" s="457">
        <v>1151</v>
      </c>
      <c r="AS249" s="457">
        <v>333</v>
      </c>
      <c r="AT249" s="457">
        <v>652</v>
      </c>
      <c r="AU249" s="457">
        <v>3</v>
      </c>
      <c r="AV249" s="457">
        <v>403</v>
      </c>
      <c r="AW249" s="457"/>
      <c r="AX249" s="457"/>
      <c r="AY249" s="457"/>
      <c r="AZ249" s="457"/>
      <c r="BA249" s="457"/>
      <c r="BB249" s="457"/>
      <c r="BC249" s="457"/>
      <c r="BD249" s="457"/>
      <c r="BE249" s="457"/>
      <c r="BF249" s="457"/>
      <c r="BG249" s="457"/>
      <c r="BH249" s="457"/>
      <c r="BI249" s="457"/>
      <c r="BJ249" s="36">
        <f>SUM(Table1[[#This Row],[Pipa 63 mm2]:[Pipa 1,800 mm21]])</f>
        <v>6819</v>
      </c>
      <c r="BK249" s="32">
        <v>3588</v>
      </c>
      <c r="BL249" s="32">
        <v>1129</v>
      </c>
      <c r="BM249" s="32">
        <v>1025</v>
      </c>
      <c r="BN249" s="32">
        <v>348</v>
      </c>
      <c r="BO249" s="32">
        <v>677</v>
      </c>
      <c r="BP249" s="32"/>
      <c r="BQ249" s="32"/>
      <c r="BR249" s="32">
        <v>52</v>
      </c>
      <c r="BS249" s="32"/>
      <c r="BT249" s="32"/>
      <c r="BU249" s="32"/>
      <c r="BV249" s="32"/>
      <c r="BW249" s="32"/>
      <c r="BX249" s="32"/>
      <c r="BY249" s="32"/>
      <c r="BZ249" s="32"/>
      <c r="CA249" s="32"/>
      <c r="CB249" s="32"/>
      <c r="CC249" s="32"/>
      <c r="CD249" s="32"/>
      <c r="CE249" s="32">
        <v>0</v>
      </c>
      <c r="CF249" s="32"/>
      <c r="CG249" s="32"/>
      <c r="CH249" s="32"/>
      <c r="CI249" s="32">
        <f t="shared" si="12"/>
        <v>0</v>
      </c>
      <c r="CJ249" s="60">
        <f>IF((Table1[[#This Row],["Volume
BA MC-0"]]-Table1[[#This Row],[Total Panjang Pipa Aktual
(Sum-&gt;)3]]-Table1[[#This Row],[Total Volume
tidak dapat dipasang]])&gt;=0,Table1[[#This Row],["Volume
BA MC-0"]]-Table1[[#This Row],[Total Panjang Pipa Aktual
(Sum-&gt;)3]]-Table1[[#This Row],[Total Volume
tidak dapat dipasang]],0)</f>
        <v>3481</v>
      </c>
      <c r="CK249" s="42"/>
      <c r="CL249" s="454" t="s">
        <v>1821</v>
      </c>
      <c r="CM249" s="34" t="s">
        <v>1821</v>
      </c>
      <c r="CN249" s="454" t="s">
        <v>1821</v>
      </c>
      <c r="CO249" s="454" t="s">
        <v>1821</v>
      </c>
      <c r="CP2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0.41699246878259938</v>
      </c>
      <c r="CQ249" s="61">
        <f>IFERROR(Table1[[#This Row],[Progres Keg. Umum
(%)]]*Table1[[#This Row],[Nilai RAB Jaringan
(file pa aji)]],0)</f>
        <v>0</v>
      </c>
      <c r="CR249" s="61">
        <f>IFERROR(Table1[[#This Row],[Progres MOS
(%)]]*Table1[[#This Row],[Nilai RAB Jaringan
(file pa aji)]],0)</f>
        <v>0</v>
      </c>
      <c r="CS249" s="61">
        <f>IFERROR(Table1[[#This Row],[Progres Pemasangan
(%)]]*Table1[[#This Row],[Nilai RAB Jaringan
(file pa aji)]],0)</f>
        <v>0</v>
      </c>
      <c r="CT249" s="61">
        <f>IFERROR(Table1[[#This Row],[Progres Perizinan
(%)]]*Table1[[#This Row],[Nilai RAB Jaringan
(file pa aji)]],0)</f>
        <v>0</v>
      </c>
      <c r="CU249" s="789">
        <v>9853150245.700285</v>
      </c>
      <c r="CV249" s="299">
        <v>9853150245.700285</v>
      </c>
      <c r="CW249" s="552">
        <v>0</v>
      </c>
      <c r="CX249" s="789">
        <f>_xlfn.XLOOKUP(Table1[[#This Row],[Kode Program]],'[1]Breakdown VOWD Greenfield'!$E:$E,'[1]Breakdown VOWD Greenfield'!$AT:$AT)</f>
        <v>0</v>
      </c>
      <c r="CY249" s="42"/>
      <c r="CZ249" s="300">
        <v>45775</v>
      </c>
      <c r="DA249" s="300">
        <v>45802</v>
      </c>
      <c r="DB249" s="301">
        <v>45873</v>
      </c>
      <c r="DC249" s="286" t="s">
        <v>1933</v>
      </c>
      <c r="DD249" s="62">
        <v>26163678274</v>
      </c>
      <c r="DE2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49" s="301">
        <v>45884</v>
      </c>
      <c r="DG249" s="286" t="s">
        <v>1934</v>
      </c>
      <c r="DH249" s="62">
        <v>26163678274</v>
      </c>
      <c r="DI2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49" s="300">
        <v>45803</v>
      </c>
      <c r="DK249" s="300">
        <v>45872</v>
      </c>
      <c r="DL249" s="301">
        <v>45922</v>
      </c>
      <c r="DM249" s="286" t="s">
        <v>1935</v>
      </c>
      <c r="DN2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49" s="301">
        <v>45923</v>
      </c>
      <c r="DP249" s="286" t="s">
        <v>1936</v>
      </c>
      <c r="DQ249" s="308" t="s">
        <v>1937</v>
      </c>
      <c r="DR2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49" s="300">
        <v>45803</v>
      </c>
      <c r="DT249" s="300" t="e">
        <v>#N/A</v>
      </c>
      <c r="DU249" s="300">
        <v>45844</v>
      </c>
      <c r="DV249" s="300" t="e">
        <v>#N/A</v>
      </c>
      <c r="DW249" s="301">
        <v>45917</v>
      </c>
      <c r="DX249" s="286" t="s">
        <v>1938</v>
      </c>
      <c r="DY249" s="304">
        <v>111</v>
      </c>
      <c r="DZ249" s="304">
        <v>111</v>
      </c>
      <c r="EA2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49" s="301">
        <v>46114</v>
      </c>
      <c r="EC249" s="302">
        <v>111</v>
      </c>
      <c r="ED249" s="302">
        <v>111</v>
      </c>
      <c r="EE249" s="300"/>
      <c r="EF249" s="35">
        <v>1</v>
      </c>
      <c r="EG249" s="35">
        <f>Table1[[#This Row],[Line PO (kolom  bantu)2]]/Table1[[#This Row],[Line PR]]</f>
        <v>1</v>
      </c>
      <c r="EH249" s="286" t="str">
        <f>IF(Table1[[#This Row],[PO Material Aktual 
(%)]]&gt;=100%,"Selesai PO = 100%",IF(Table1[[#This Row],[PO Material Aktual 
(%)]]&gt;=50%,"Proses PO &gt; 100%",IF(Table1[[#This Row],[PO Material Aktual 
(%)]]&gt;0%,"Proses PO &gt; 50%",IF(Table1[[#This Row],[PO Material Aktual 
(%)]]=0,"Belum PO = 0%"))))</f>
        <v>Selesai PO = 100%</v>
      </c>
      <c r="EI24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49" s="300">
        <v>45845</v>
      </c>
      <c r="EK249" s="300" t="e">
        <v>#N/A</v>
      </c>
      <c r="EL249" s="300">
        <v>46019</v>
      </c>
      <c r="EM249" s="300" t="e">
        <v>#N/A</v>
      </c>
      <c r="EN249" s="301">
        <v>46091</v>
      </c>
      <c r="EO249" s="302">
        <v>111</v>
      </c>
      <c r="EP249" s="286">
        <v>111</v>
      </c>
      <c r="EQ249" s="35">
        <v>1</v>
      </c>
      <c r="ER249" s="35">
        <f>Table1[[#This Row],[Line MOS]]/Table1[[#This Row],[Line PR]]</f>
        <v>1</v>
      </c>
      <c r="ES249" s="286" t="str">
        <f>IF(Table1[[#This Row],[Progres MOS]]&gt;=100%,"Selesai MOS = 100%",IF(Table1[[#This Row],[Progres MOS]]&gt;=50%,"Proses MOS &gt; 100%",IF(Table1[[#This Row],[Progres MOS]]&gt;0%,"Proses MOS &gt; 50%",IF(Table1[[#This Row],[Progres MOS]]=0,"Belum MOS = 0%"))))</f>
        <v>Selesai MOS = 100%</v>
      </c>
      <c r="ET2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49" s="42"/>
      <c r="EV249" s="300">
        <v>45803</v>
      </c>
      <c r="EW249" s="300" t="e">
        <v>#N/A</v>
      </c>
      <c r="EX249" s="300">
        <v>45900</v>
      </c>
      <c r="EY249" s="300" t="e">
        <v>#N/A</v>
      </c>
      <c r="EZ249" s="322" t="s">
        <v>298</v>
      </c>
      <c r="FA249" s="306" t="s">
        <v>298</v>
      </c>
      <c r="FB249" s="300" t="s">
        <v>260</v>
      </c>
      <c r="FC249" s="300">
        <v>45918</v>
      </c>
      <c r="FD249" s="300" t="s">
        <v>260</v>
      </c>
      <c r="FE249" s="300">
        <v>45939</v>
      </c>
      <c r="FF249" s="300">
        <v>45935</v>
      </c>
      <c r="FG249" s="300" t="s">
        <v>260</v>
      </c>
      <c r="FH249" s="300" t="s">
        <v>260</v>
      </c>
      <c r="FI249" s="300">
        <v>46010</v>
      </c>
      <c r="FJ249" s="300" t="s">
        <v>260</v>
      </c>
      <c r="FK249" s="300"/>
      <c r="FL249" s="306" t="s">
        <v>298</v>
      </c>
      <c r="FM249" s="322">
        <v>45918</v>
      </c>
      <c r="FN249" s="308">
        <f>IF(Table1[[#This Row],[Tanggal Pengajuan Dokumen]]="","",Table1[[#This Row],[PLAN PERMIT
start]]-Table1[[#This Row],[Tanggal Pengajuan Dokumen]])</f>
        <v>-115</v>
      </c>
      <c r="FO249" s="407">
        <v>46086</v>
      </c>
      <c r="FP249" s="286"/>
      <c r="FQ249" s="308"/>
      <c r="FR249" s="308"/>
      <c r="FS249" s="308" t="str">
        <f t="shared" si="11"/>
        <v>On Going</v>
      </c>
      <c r="FT2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49" s="314">
        <f ca="1">IF(Table1[[#This Row],[Status Izin]]="Selesai",Table1[[#This Row],[PLAN PERMIT
finish]]-Table1[[#This Row],[Tanggal Terbit/ Target Izin Terbit]],ROUNDUP(Table1[[#This Row],[PLAN PERMIT
finish]]-NOW(),0))</f>
        <v>-304</v>
      </c>
      <c r="FV2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49" s="314"/>
      <c r="FX249" s="42"/>
      <c r="FY249" s="310"/>
      <c r="FZ249" s="311">
        <v>45903</v>
      </c>
      <c r="GA2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49" s="300">
        <v>45874</v>
      </c>
      <c r="GC249" s="322">
        <v>45917</v>
      </c>
      <c r="GD2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49" s="300">
        <v>45881</v>
      </c>
      <c r="GF249" s="322">
        <v>45912</v>
      </c>
      <c r="GG2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49" s="300">
        <v>45887</v>
      </c>
      <c r="GI249" s="300">
        <v>45893</v>
      </c>
      <c r="GJ249" s="322">
        <v>45966</v>
      </c>
      <c r="GK2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49" s="300">
        <v>45901</v>
      </c>
      <c r="GM249" s="300" t="e">
        <v>#N/A</v>
      </c>
      <c r="GN249" s="300">
        <v>46096</v>
      </c>
      <c r="GO249" s="300" t="e">
        <v>#N/A</v>
      </c>
      <c r="GP249" s="300"/>
      <c r="GQ2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49" s="300" t="s">
        <v>261</v>
      </c>
      <c r="GS249" s="300" t="s">
        <v>261</v>
      </c>
      <c r="GT249" s="324"/>
      <c r="GU249" s="314" t="str">
        <f>IF(Table1[[#This Row],[Hydro Tes Actual
(tanggal)]]&lt;&gt;"","Sudah","Belum")</f>
        <v>Belum</v>
      </c>
      <c r="GV249" s="300" t="s">
        <v>261</v>
      </c>
      <c r="GW249" s="300" t="s">
        <v>261</v>
      </c>
      <c r="GX249" s="301"/>
      <c r="GY249" s="314" t="str">
        <f>IF(Table1[[#This Row],[Interkoneksi Actual
(tanggal)]]&lt;&gt;"","Sudah","Belum")</f>
        <v>Belum</v>
      </c>
      <c r="GZ249" s="300" t="s">
        <v>261</v>
      </c>
      <c r="HA249" s="300" t="s">
        <v>261</v>
      </c>
      <c r="HB249" s="301"/>
      <c r="HC249" s="314" t="str">
        <f>IF(Table1[[#This Row],[Flushing Actual
(tanggal)]]&lt;&gt;"","Sudah","Belum")</f>
        <v>Belum</v>
      </c>
      <c r="HD249" s="300">
        <v>46069</v>
      </c>
      <c r="HE249" s="300" t="e">
        <v>#N/A</v>
      </c>
      <c r="HF249" s="300">
        <v>46082</v>
      </c>
      <c r="HG249" s="322"/>
      <c r="HH2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49" s="300" t="s">
        <v>261</v>
      </c>
      <c r="HJ249" s="300" t="s">
        <v>261</v>
      </c>
      <c r="HK249" s="301"/>
      <c r="HL249" s="286"/>
      <c r="HM249" s="300">
        <v>46101</v>
      </c>
      <c r="HN249" s="300">
        <v>46101</v>
      </c>
      <c r="HO249" s="300" t="e">
        <v>#N/A</v>
      </c>
      <c r="HP249" s="300"/>
      <c r="HQ249" s="301"/>
      <c r="HR24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49" s="300">
        <v>46108</v>
      </c>
      <c r="HT249" s="300"/>
      <c r="HU249" s="300">
        <v>46108</v>
      </c>
      <c r="HV249" s="300"/>
      <c r="HW249" s="301"/>
      <c r="HX24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49" s="42"/>
      <c r="HZ249" s="322"/>
      <c r="IA249" s="322"/>
      <c r="IC249" s="585">
        <f>IFERROR(ROUND((Table1[[#This Row],[PLAN TC
finish]]-Table1[[#This Row],[PLAN MC-0
start]])/30,2),"")</f>
        <v>6.5</v>
      </c>
      <c r="ID249">
        <f>DATEDIF(Table1[[#This Row],[PLAN MC-0
start]],Table1[[#This Row],[PLAN TC
finish]],"m")</f>
        <v>6</v>
      </c>
    </row>
    <row r="250" spans="2:238" s="4" customFormat="1" ht="15" customHeight="1" x14ac:dyDescent="0.25">
      <c r="B250" s="281">
        <f>SUBTOTAL(3,$D$5:D250)</f>
        <v>246</v>
      </c>
      <c r="C250" s="286">
        <v>246</v>
      </c>
      <c r="D250" s="308" t="s">
        <v>629</v>
      </c>
      <c r="E250" s="308" t="s">
        <v>1939</v>
      </c>
      <c r="F250" s="308" t="s">
        <v>1940</v>
      </c>
      <c r="G250" s="319">
        <v>46117</v>
      </c>
      <c r="H250" s="284" t="s">
        <v>247</v>
      </c>
      <c r="I250" s="308" t="s">
        <v>278</v>
      </c>
      <c r="J250" s="450" t="s">
        <v>1818</v>
      </c>
      <c r="K250" s="308" t="s">
        <v>915</v>
      </c>
      <c r="L250" s="286" t="s">
        <v>250</v>
      </c>
      <c r="M250" s="325" t="s">
        <v>269</v>
      </c>
      <c r="N250" s="94">
        <v>22917</v>
      </c>
      <c r="O250" s="113" t="s">
        <v>252</v>
      </c>
      <c r="P25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0" s="35">
        <v>0.90113691169782673</v>
      </c>
      <c r="S250" s="34">
        <v>1</v>
      </c>
      <c r="T250" s="34">
        <f>Table1[[#This Row],[Progres Total Aktual
(%)]]</f>
        <v>0.66511025778987187</v>
      </c>
      <c r="U250" s="85">
        <f>Table1[[#This Row],[Progres Aktual
(%)]]-Table1[[#This Row],[Target Progres
(%)]]</f>
        <v>-0.33488974221012813</v>
      </c>
      <c r="V250" s="75">
        <f>Table1[[#This Row],["Volume
BA MC-0"]]</f>
        <v>18935.2</v>
      </c>
      <c r="W250" s="41">
        <f>Table1[[#This Row],[Total Panjang Pipa Aktual
(Sum-&gt;)3]]</f>
        <v>16945</v>
      </c>
      <c r="X250" s="42"/>
      <c r="Y250" s="62" t="s">
        <v>1941</v>
      </c>
      <c r="Z250" s="62">
        <v>35968629075</v>
      </c>
      <c r="AA250" s="62">
        <f>ROUND((Table1[[#This Row],[Nilai RAB Jaringan
(Exclude Ppn)]]-Table1[[#This Row],[RAB Perizinan]])*1.11+Table1[[#This Row],[RAB Perizinan]],0)</f>
        <v>35968629075</v>
      </c>
      <c r="AB250" s="456">
        <f>SUM(Table1[[#This Row],[RAB Kegiatan Umum]:[RAB Perizinan]])</f>
        <v>32426880878</v>
      </c>
      <c r="AC250" s="406">
        <v>1853472441</v>
      </c>
      <c r="AD250" s="406">
        <v>23168405514</v>
      </c>
      <c r="AE250" s="406">
        <v>7175832923</v>
      </c>
      <c r="AF250" s="406">
        <v>229170000</v>
      </c>
      <c r="AG250" s="453">
        <v>6281082157</v>
      </c>
      <c r="AH250" s="33">
        <f>SUM(Table1[[#This Row],[Bobot Keg Umum]:[Bobot Perizinan]])</f>
        <v>1</v>
      </c>
      <c r="AI250" s="33">
        <f>Table1[[#This Row],[RAB Kegiatan Umum]]/Table1[[#This Row],[Nilai RAB Jaringan
(Exclude Ppn)]]</f>
        <v>5.715851758833479E-2</v>
      </c>
      <c r="AJ250" s="33">
        <f>Table1[[#This Row],[RAB Pemasangan]]/Table1[[#This Row],[Nilai RAB Jaringan
(Exclude Ppn)]]</f>
        <v>0.71448146990044281</v>
      </c>
      <c r="AK250" s="33">
        <f>Table1[[#This Row],[RAB Pengadaan]]/Table1[[#This Row],[Nilai RAB Jaringan
(Exclude Ppn)]]</f>
        <v>0.22129272778340023</v>
      </c>
      <c r="AL250" s="33">
        <f>Table1[[#This Row],[RAB Perizinan]]/Table1[[#This Row],[Nilai RAB Jaringan
(Exclude Ppn)]]</f>
        <v>7.067284727822227E-3</v>
      </c>
      <c r="AM250" s="42"/>
      <c r="AN250" s="457">
        <v>18935.2</v>
      </c>
      <c r="AO250" s="457">
        <f>SUM(Table1[[#This Row],[Pipa 63 mm]:[Pipa 1,800 mm]])</f>
        <v>18935.2</v>
      </c>
      <c r="AP250" s="457">
        <v>9212</v>
      </c>
      <c r="AQ250" s="457">
        <v>5166.6000000000004</v>
      </c>
      <c r="AR250" s="457">
        <v>2267.1</v>
      </c>
      <c r="AS250" s="457">
        <v>1452</v>
      </c>
      <c r="AT250" s="457">
        <v>821.5</v>
      </c>
      <c r="AU250" s="457">
        <v>16</v>
      </c>
      <c r="AV250" s="457"/>
      <c r="AW250" s="457"/>
      <c r="AX250" s="457"/>
      <c r="AY250" s="457"/>
      <c r="AZ250" s="457"/>
      <c r="BA250" s="457"/>
      <c r="BB250" s="457"/>
      <c r="BC250" s="457"/>
      <c r="BD250" s="457"/>
      <c r="BE250" s="457"/>
      <c r="BF250" s="457"/>
      <c r="BG250" s="457"/>
      <c r="BH250" s="457"/>
      <c r="BI250" s="457"/>
      <c r="BJ250" s="36">
        <f>SUM(Table1[[#This Row],[Pipa 63 mm2]:[Pipa 1,800 mm21]])</f>
        <v>16945</v>
      </c>
      <c r="BK250" s="32">
        <v>4536</v>
      </c>
      <c r="BL250" s="32">
        <v>7122</v>
      </c>
      <c r="BM250" s="32">
        <v>2860</v>
      </c>
      <c r="BN250" s="32">
        <v>1670</v>
      </c>
      <c r="BO250" s="32">
        <v>757</v>
      </c>
      <c r="BP250" s="32"/>
      <c r="BQ250" s="32"/>
      <c r="BR250" s="32"/>
      <c r="BS250" s="32"/>
      <c r="BT250" s="32"/>
      <c r="BU250" s="32"/>
      <c r="BV250" s="32"/>
      <c r="BW250" s="32"/>
      <c r="BX250" s="32"/>
      <c r="BY250" s="32"/>
      <c r="BZ250" s="32"/>
      <c r="CA250" s="32"/>
      <c r="CB250" s="32"/>
      <c r="CC250" s="32"/>
      <c r="CD250" s="32"/>
      <c r="CE250" s="32">
        <v>0</v>
      </c>
      <c r="CF250" s="32"/>
      <c r="CG250" s="32"/>
      <c r="CH250" s="32"/>
      <c r="CI250" s="32">
        <f t="shared" si="12"/>
        <v>0</v>
      </c>
      <c r="CJ250" s="60">
        <f>IF((Table1[[#This Row],["Volume
BA MC-0"]]-Table1[[#This Row],[Total Panjang Pipa Aktual
(Sum-&gt;)3]]-Table1[[#This Row],[Total Volume
tidak dapat dipasang]])&gt;=0,Table1[[#This Row],["Volume
BA MC-0"]]-Table1[[#This Row],[Total Panjang Pipa Aktual
(Sum-&gt;)3]]-Table1[[#This Row],[Total Volume
tidak dapat dipasang]],0)</f>
        <v>1990.2000000000007</v>
      </c>
      <c r="CK250" s="42"/>
      <c r="CL250" s="454" t="s">
        <v>1821</v>
      </c>
      <c r="CM250" s="34" t="s">
        <v>1821</v>
      </c>
      <c r="CN250" s="454" t="s">
        <v>1821</v>
      </c>
      <c r="CO250" s="454" t="s">
        <v>1821</v>
      </c>
      <c r="CP2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0.66511025778987187</v>
      </c>
      <c r="CQ250" s="61">
        <f>IFERROR(Table1[[#This Row],[Progres Keg. Umum
(%)]]*Table1[[#This Row],[Nilai RAB Jaringan
(file pa aji)]],0)</f>
        <v>0</v>
      </c>
      <c r="CR250" s="61">
        <f>IFERROR(Table1[[#This Row],[Progres MOS
(%)]]*Table1[[#This Row],[Nilai RAB Jaringan
(file pa aji)]],0)</f>
        <v>0</v>
      </c>
      <c r="CS250" s="61">
        <f>IFERROR(Table1[[#This Row],[Progres Pemasangan
(%)]]*Table1[[#This Row],[Nilai RAB Jaringan
(file pa aji)]],0)</f>
        <v>0</v>
      </c>
      <c r="CT250" s="61">
        <f>IFERROR(Table1[[#This Row],[Progres Perizinan
(%)]]*Table1[[#This Row],[Nilai RAB Jaringan
(file pa aji)]],0)</f>
        <v>0</v>
      </c>
      <c r="CU250" s="789">
        <v>23923104156.421532</v>
      </c>
      <c r="CV250" s="299">
        <v>23923104156.421532</v>
      </c>
      <c r="CW250" s="552">
        <v>0</v>
      </c>
      <c r="CX250" s="789">
        <f>_xlfn.XLOOKUP(Table1[[#This Row],[Kode Program]],'[1]Breakdown VOWD Greenfield'!$E:$E,'[1]Breakdown VOWD Greenfield'!$AT:$AT)</f>
        <v>0</v>
      </c>
      <c r="CY250" s="42"/>
      <c r="CZ250" s="300">
        <v>45775</v>
      </c>
      <c r="DA250" s="300">
        <v>45802</v>
      </c>
      <c r="DB250" s="301">
        <v>45825</v>
      </c>
      <c r="DC250" s="286" t="s">
        <v>1942</v>
      </c>
      <c r="DD250" s="62">
        <v>39965885717</v>
      </c>
      <c r="DE2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0" s="301">
        <v>45838</v>
      </c>
      <c r="DG250" s="286" t="s">
        <v>1943</v>
      </c>
      <c r="DH250" s="62">
        <v>39965885717</v>
      </c>
      <c r="DI2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0" s="300">
        <v>45803</v>
      </c>
      <c r="DK250" s="300">
        <v>45872</v>
      </c>
      <c r="DL250" s="301">
        <v>45909</v>
      </c>
      <c r="DM250" s="286" t="s">
        <v>1944</v>
      </c>
      <c r="DN2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0" s="301">
        <v>45929</v>
      </c>
      <c r="DP250" s="286" t="s">
        <v>1945</v>
      </c>
      <c r="DQ250" s="308" t="s">
        <v>1910</v>
      </c>
      <c r="DR2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0" s="300">
        <v>45803</v>
      </c>
      <c r="DT250" s="300" t="e">
        <v>#N/A</v>
      </c>
      <c r="DU250" s="300">
        <v>45844</v>
      </c>
      <c r="DV250" s="300" t="e">
        <v>#N/A</v>
      </c>
      <c r="DW250" s="301">
        <v>45910</v>
      </c>
      <c r="DX250" s="286" t="s">
        <v>1946</v>
      </c>
      <c r="DY250" s="304">
        <v>131</v>
      </c>
      <c r="DZ250" s="304">
        <v>131</v>
      </c>
      <c r="EA2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0" s="301">
        <v>46127</v>
      </c>
      <c r="EC250" s="302">
        <v>126</v>
      </c>
      <c r="ED250" s="302">
        <v>126</v>
      </c>
      <c r="EE250" s="300"/>
      <c r="EF250" s="35">
        <v>0.96183206106870234</v>
      </c>
      <c r="EG250" s="35">
        <f>Table1[[#This Row],[Line PO (kolom  bantu)2]]/Table1[[#This Row],[Line PR]]</f>
        <v>0.96183206106870234</v>
      </c>
      <c r="EH250" s="286" t="str">
        <f>IF(Table1[[#This Row],[PO Material Aktual 
(%)]]&gt;=100%,"Selesai PO = 100%",IF(Table1[[#This Row],[PO Material Aktual 
(%)]]&gt;=50%,"Proses PO &gt; 100%",IF(Table1[[#This Row],[PO Material Aktual 
(%)]]&gt;0%,"Proses PO &gt; 50%",IF(Table1[[#This Row],[PO Material Aktual 
(%)]]=0,"Belum PO = 0%"))))</f>
        <v>Proses PO &gt; 100%</v>
      </c>
      <c r="EI25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0" s="300">
        <v>45845</v>
      </c>
      <c r="EK250" s="300" t="e">
        <v>#N/A</v>
      </c>
      <c r="EL250" s="300">
        <v>46019</v>
      </c>
      <c r="EM250" s="300" t="e">
        <v>#N/A</v>
      </c>
      <c r="EN250" s="301">
        <v>46121</v>
      </c>
      <c r="EO250" s="302">
        <v>126</v>
      </c>
      <c r="EP250" s="286">
        <v>126</v>
      </c>
      <c r="EQ250" s="35">
        <v>0.96183206106870234</v>
      </c>
      <c r="ER250" s="35">
        <f>Table1[[#This Row],[Line MOS]]/Table1[[#This Row],[Line PR]]</f>
        <v>0.96183206106870234</v>
      </c>
      <c r="ES250" s="286" t="str">
        <f>IF(Table1[[#This Row],[Progres MOS]]&gt;=100%,"Selesai MOS = 100%",IF(Table1[[#This Row],[Progres MOS]]&gt;=50%,"Proses MOS &gt; 100%",IF(Table1[[#This Row],[Progres MOS]]&gt;0%,"Proses MOS &gt; 50%",IF(Table1[[#This Row],[Progres MOS]]=0,"Belum MOS = 0%"))))</f>
        <v>Proses MOS &gt; 100%</v>
      </c>
      <c r="ET2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0" s="42"/>
      <c r="EV250" s="300">
        <v>45803</v>
      </c>
      <c r="EW250" s="300" t="e">
        <v>#N/A</v>
      </c>
      <c r="EX250" s="300">
        <v>45900</v>
      </c>
      <c r="EY250" s="300" t="e">
        <v>#N/A</v>
      </c>
      <c r="EZ250" s="322" t="s">
        <v>298</v>
      </c>
      <c r="FA250" s="306" t="s">
        <v>298</v>
      </c>
      <c r="FB250" s="300" t="s">
        <v>260</v>
      </c>
      <c r="FC250" s="300">
        <v>45909</v>
      </c>
      <c r="FD250" s="300" t="s">
        <v>260</v>
      </c>
      <c r="FE250" s="300">
        <v>45939</v>
      </c>
      <c r="FF250" s="300">
        <v>45935</v>
      </c>
      <c r="FG250" s="300" t="s">
        <v>260</v>
      </c>
      <c r="FH250" s="300" t="s">
        <v>260</v>
      </c>
      <c r="FI250" s="300">
        <v>46006</v>
      </c>
      <c r="FJ250" s="300" t="s">
        <v>260</v>
      </c>
      <c r="FK250" s="300"/>
      <c r="FL250" s="306" t="s">
        <v>298</v>
      </c>
      <c r="FM250" s="322">
        <v>45909</v>
      </c>
      <c r="FN250" s="308">
        <f>IF(Table1[[#This Row],[Tanggal Pengajuan Dokumen]]="","",Table1[[#This Row],[PLAN PERMIT
start]]-Table1[[#This Row],[Tanggal Pengajuan Dokumen]])</f>
        <v>-106</v>
      </c>
      <c r="FO250" s="407">
        <v>46086</v>
      </c>
      <c r="FP250" s="286"/>
      <c r="FQ250" s="308"/>
      <c r="FR250" s="308"/>
      <c r="FS250" s="308" t="str">
        <f t="shared" si="11"/>
        <v>On Going</v>
      </c>
      <c r="FT2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0" s="314">
        <f ca="1">IF(Table1[[#This Row],[Status Izin]]="Selesai",Table1[[#This Row],[PLAN PERMIT
finish]]-Table1[[#This Row],[Tanggal Terbit/ Target Izin Terbit]],ROUNDUP(Table1[[#This Row],[PLAN PERMIT
finish]]-NOW(),0))</f>
        <v>-304</v>
      </c>
      <c r="FV2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0" s="314"/>
      <c r="FX250" s="42"/>
      <c r="FY250" s="310"/>
      <c r="FZ250" s="311">
        <v>45903</v>
      </c>
      <c r="GA2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0" s="300">
        <v>45874</v>
      </c>
      <c r="GC250" s="322">
        <v>45917</v>
      </c>
      <c r="GD2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0" s="300">
        <v>45881</v>
      </c>
      <c r="GF250" s="322">
        <v>45912</v>
      </c>
      <c r="GG2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0" s="300">
        <v>45887</v>
      </c>
      <c r="GI250" s="300">
        <v>45893</v>
      </c>
      <c r="GJ250" s="322">
        <v>45978</v>
      </c>
      <c r="GK2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0" s="300">
        <v>45901</v>
      </c>
      <c r="GM250" s="300" t="e">
        <v>#N/A</v>
      </c>
      <c r="GN250" s="300">
        <v>46096</v>
      </c>
      <c r="GO250" s="300" t="e">
        <v>#N/A</v>
      </c>
      <c r="GP250" s="300"/>
      <c r="GQ2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0" s="300" t="s">
        <v>261</v>
      </c>
      <c r="GS250" s="300" t="s">
        <v>261</v>
      </c>
      <c r="GT250" s="324"/>
      <c r="GU250" s="314" t="str">
        <f>IF(Table1[[#This Row],[Hydro Tes Actual
(tanggal)]]&lt;&gt;"","Sudah","Belum")</f>
        <v>Belum</v>
      </c>
      <c r="GV250" s="300" t="s">
        <v>261</v>
      </c>
      <c r="GW250" s="300" t="s">
        <v>261</v>
      </c>
      <c r="GX250" s="301"/>
      <c r="GY250" s="314" t="str">
        <f>IF(Table1[[#This Row],[Interkoneksi Actual
(tanggal)]]&lt;&gt;"","Sudah","Belum")</f>
        <v>Belum</v>
      </c>
      <c r="GZ250" s="300" t="s">
        <v>261</v>
      </c>
      <c r="HA250" s="300" t="s">
        <v>261</v>
      </c>
      <c r="HB250" s="301"/>
      <c r="HC250" s="314" t="str">
        <f>IF(Table1[[#This Row],[Flushing Actual
(tanggal)]]&lt;&gt;"","Sudah","Belum")</f>
        <v>Belum</v>
      </c>
      <c r="HD250" s="300">
        <v>46069</v>
      </c>
      <c r="HE250" s="300" t="e">
        <v>#N/A</v>
      </c>
      <c r="HF250" s="300">
        <v>46082</v>
      </c>
      <c r="HG250" s="322"/>
      <c r="HH2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0" s="300" t="s">
        <v>261</v>
      </c>
      <c r="HJ250" s="300" t="s">
        <v>261</v>
      </c>
      <c r="HK250" s="301"/>
      <c r="HL250" s="286"/>
      <c r="HM250" s="300">
        <v>46101</v>
      </c>
      <c r="HN250" s="300">
        <v>46101</v>
      </c>
      <c r="HO250" s="300" t="e">
        <v>#N/A</v>
      </c>
      <c r="HP250" s="300"/>
      <c r="HQ250" s="301"/>
      <c r="HR25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0" s="300">
        <v>46108</v>
      </c>
      <c r="HT250" s="300"/>
      <c r="HU250" s="300">
        <v>46108</v>
      </c>
      <c r="HV250" s="300"/>
      <c r="HW250" s="301"/>
      <c r="HX25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0" s="42"/>
      <c r="HZ250" s="322"/>
      <c r="IA250" s="322"/>
      <c r="IC250" s="585">
        <f>IFERROR(ROUND((Table1[[#This Row],[PLAN TC
finish]]-Table1[[#This Row],[PLAN MC-0
start]])/30,2),"")</f>
        <v>6.5</v>
      </c>
      <c r="ID250">
        <f>DATEDIF(Table1[[#This Row],[PLAN MC-0
start]],Table1[[#This Row],[PLAN TC
finish]],"m")</f>
        <v>6</v>
      </c>
    </row>
    <row r="251" spans="2:238" s="4" customFormat="1" ht="15" customHeight="1" x14ac:dyDescent="0.25">
      <c r="B251" s="281">
        <f>SUBTOTAL(3,$D$5:D251)</f>
        <v>247</v>
      </c>
      <c r="C251" s="286">
        <v>247</v>
      </c>
      <c r="D251" s="308" t="s">
        <v>629</v>
      </c>
      <c r="E251" s="308" t="s">
        <v>1947</v>
      </c>
      <c r="F251" s="308" t="s">
        <v>1948</v>
      </c>
      <c r="G251" s="319">
        <v>46117</v>
      </c>
      <c r="H251" s="284" t="s">
        <v>247</v>
      </c>
      <c r="I251" s="308" t="s">
        <v>278</v>
      </c>
      <c r="J251" s="450" t="s">
        <v>1818</v>
      </c>
      <c r="K251" s="308" t="s">
        <v>915</v>
      </c>
      <c r="L251" s="286" t="s">
        <v>250</v>
      </c>
      <c r="M251" s="325" t="s">
        <v>269</v>
      </c>
      <c r="N251" s="94">
        <v>12786</v>
      </c>
      <c r="O251" s="113" t="s">
        <v>252</v>
      </c>
      <c r="P25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1" s="35">
        <v>0.90055553743615979</v>
      </c>
      <c r="S251" s="34">
        <v>1</v>
      </c>
      <c r="T251" s="34">
        <f>Table1[[#This Row],[Progres Total Aktual
(%)]]</f>
        <v>0.45620846679265092</v>
      </c>
      <c r="U251" s="85">
        <f>Table1[[#This Row],[Progres Aktual
(%)]]-Table1[[#This Row],[Target Progres
(%)]]</f>
        <v>-0.54379153320734908</v>
      </c>
      <c r="V251" s="75">
        <f>Table1[[#This Row],["Volume
BA MC-0"]]</f>
        <v>8957.9</v>
      </c>
      <c r="W251" s="41">
        <f>Table1[[#This Row],[Total Panjang Pipa Aktual
(Sum-&gt;)3]]</f>
        <v>5835</v>
      </c>
      <c r="X251" s="42"/>
      <c r="Y251" s="62" t="s">
        <v>1949</v>
      </c>
      <c r="Z251" s="62">
        <v>19140073715</v>
      </c>
      <c r="AA251" s="62">
        <f>ROUND((Table1[[#This Row],[Nilai RAB Jaringan
(Exclude Ppn)]]-Table1[[#This Row],[RAB Perizinan]])*1.11+Table1[[#This Row],[RAB Perizinan]],0)</f>
        <v>19140073715</v>
      </c>
      <c r="AB251" s="456">
        <f>SUM(Table1[[#This Row],[RAB Kegiatan Umum]:[RAB Perizinan]])</f>
        <v>17256674158</v>
      </c>
      <c r="AC251" s="406">
        <v>1220748966</v>
      </c>
      <c r="AD251" s="406">
        <v>12207489657</v>
      </c>
      <c r="AE251" s="406">
        <v>3693575535</v>
      </c>
      <c r="AF251" s="406">
        <v>134860000</v>
      </c>
      <c r="AG251" s="453">
        <v>3925412968</v>
      </c>
      <c r="AH251" s="33">
        <f>SUM(Table1[[#This Row],[Bobot Keg Umum]:[Bobot Perizinan]])</f>
        <v>1</v>
      </c>
      <c r="AI251" s="33">
        <f>Table1[[#This Row],[RAB Kegiatan Umum]]/Table1[[#This Row],[Nilai RAB Jaringan
(Exclude Ppn)]]</f>
        <v>7.0740685883210849E-2</v>
      </c>
      <c r="AJ251" s="33">
        <f>Table1[[#This Row],[RAB Pemasangan]]/Table1[[#This Row],[Nilai RAB Jaringan
(Exclude Ppn)]]</f>
        <v>0.70740685865826269</v>
      </c>
      <c r="AK251" s="33">
        <f>Table1[[#This Row],[RAB Pengadaan]]/Table1[[#This Row],[Nilai RAB Jaringan
(Exclude Ppn)]]</f>
        <v>0.21403750810741826</v>
      </c>
      <c r="AL251" s="33">
        <f>Table1[[#This Row],[RAB Perizinan]]/Table1[[#This Row],[Nilai RAB Jaringan
(Exclude Ppn)]]</f>
        <v>7.8149473511082337E-3</v>
      </c>
      <c r="AM251" s="42"/>
      <c r="AN251" s="256">
        <v>8957.9</v>
      </c>
      <c r="AO251" s="256">
        <f>SUM(Table1[[#This Row],[Pipa 63 mm]:[Pipa 1,800 mm]])</f>
        <v>8957.9</v>
      </c>
      <c r="AP251" s="256">
        <v>5991.4</v>
      </c>
      <c r="AQ251" s="256">
        <v>2544.5</v>
      </c>
      <c r="AR251" s="256">
        <v>183</v>
      </c>
      <c r="AS251" s="256">
        <v>221</v>
      </c>
      <c r="AT251" s="256"/>
      <c r="AU251" s="256">
        <v>18</v>
      </c>
      <c r="AV251" s="256"/>
      <c r="AW251" s="256"/>
      <c r="AX251" s="256"/>
      <c r="AY251" s="256"/>
      <c r="AZ251" s="256"/>
      <c r="BA251" s="256"/>
      <c r="BB251" s="256"/>
      <c r="BC251" s="256"/>
      <c r="BD251" s="256"/>
      <c r="BE251" s="256"/>
      <c r="BF251" s="256"/>
      <c r="BG251" s="256"/>
      <c r="BH251" s="256"/>
      <c r="BI251" s="256"/>
      <c r="BJ251" s="36">
        <f>SUM(Table1[[#This Row],[Pipa 63 mm2]:[Pipa 1,800 mm21]])</f>
        <v>5835</v>
      </c>
      <c r="BK251" s="32">
        <v>3786</v>
      </c>
      <c r="BL251" s="32">
        <v>1615</v>
      </c>
      <c r="BM251" s="32">
        <v>192</v>
      </c>
      <c r="BN251" s="32">
        <v>242</v>
      </c>
      <c r="BO251" s="32"/>
      <c r="BP251" s="32"/>
      <c r="BQ251" s="32"/>
      <c r="BR251" s="32"/>
      <c r="BS251" s="32"/>
      <c r="BT251" s="32"/>
      <c r="BU251" s="32"/>
      <c r="BV251" s="32"/>
      <c r="BW251" s="32"/>
      <c r="BX251" s="32"/>
      <c r="BY251" s="32"/>
      <c r="BZ251" s="32"/>
      <c r="CA251" s="32"/>
      <c r="CB251" s="32"/>
      <c r="CC251" s="32"/>
      <c r="CD251" s="32"/>
      <c r="CE251" s="32">
        <v>0</v>
      </c>
      <c r="CF251" s="32"/>
      <c r="CG251" s="32"/>
      <c r="CH251" s="32"/>
      <c r="CI251" s="32">
        <f t="shared" si="12"/>
        <v>0</v>
      </c>
      <c r="CJ251" s="60">
        <f>IF((Table1[[#This Row],["Volume
BA MC-0"]]-Table1[[#This Row],[Total Panjang Pipa Aktual
(Sum-&gt;)3]]-Table1[[#This Row],[Total Volume
tidak dapat dipasang]])&gt;=0,Table1[[#This Row],["Volume
BA MC-0"]]-Table1[[#This Row],[Total Panjang Pipa Aktual
(Sum-&gt;)3]]-Table1[[#This Row],[Total Volume
tidak dapat dipasang]],0)</f>
        <v>3122.8999999999996</v>
      </c>
      <c r="CK251" s="42"/>
      <c r="CL251" s="454" t="s">
        <v>1821</v>
      </c>
      <c r="CM251" s="34" t="s">
        <v>1821</v>
      </c>
      <c r="CN251" s="454" t="s">
        <v>1821</v>
      </c>
      <c r="CO251" s="454" t="s">
        <v>1821</v>
      </c>
      <c r="CP2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0.45620846679265092</v>
      </c>
      <c r="CQ251" s="61">
        <f>IFERROR(Table1[[#This Row],[Progres Keg. Umum
(%)]]*Table1[[#This Row],[Nilai RAB Jaringan
(file pa aji)]],0)</f>
        <v>0</v>
      </c>
      <c r="CR251" s="61">
        <f>IFERROR(Table1[[#This Row],[Progres MOS
(%)]]*Table1[[#This Row],[Nilai RAB Jaringan
(file pa aji)]],0)</f>
        <v>0</v>
      </c>
      <c r="CS251" s="61">
        <f>IFERROR(Table1[[#This Row],[Progres Pemasangan
(%)]]*Table1[[#This Row],[Nilai RAB Jaringan
(file pa aji)]],0)</f>
        <v>0</v>
      </c>
      <c r="CT251" s="61">
        <f>IFERROR(Table1[[#This Row],[Progres Perizinan
(%)]]*Table1[[#This Row],[Nilai RAB Jaringan
(file pa aji)]],0)</f>
        <v>0</v>
      </c>
      <c r="CU251" s="789">
        <v>8731863683.8184681</v>
      </c>
      <c r="CV251" s="299">
        <v>8731863683.8184681</v>
      </c>
      <c r="CW251" s="552">
        <v>0</v>
      </c>
      <c r="CX251" s="789">
        <f>_xlfn.XLOOKUP(Table1[[#This Row],[Kode Program]],'[1]Breakdown VOWD Greenfield'!$E:$E,'[1]Breakdown VOWD Greenfield'!$AT:$AT)</f>
        <v>0</v>
      </c>
      <c r="CY251" s="42"/>
      <c r="CZ251" s="300">
        <v>45775</v>
      </c>
      <c r="DA251" s="300">
        <v>45802</v>
      </c>
      <c r="DB251" s="301">
        <v>45820</v>
      </c>
      <c r="DC251" s="286" t="s">
        <v>1950</v>
      </c>
      <c r="DD251" s="62">
        <v>20859354660</v>
      </c>
      <c r="DE2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1" s="301">
        <v>45831</v>
      </c>
      <c r="DG251" s="286" t="s">
        <v>1951</v>
      </c>
      <c r="DH251" s="62">
        <v>20859354660</v>
      </c>
      <c r="DI2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1" s="300">
        <v>45803</v>
      </c>
      <c r="DK251" s="300">
        <v>45872</v>
      </c>
      <c r="DL251" s="301">
        <v>45922</v>
      </c>
      <c r="DM251" s="286" t="s">
        <v>1952</v>
      </c>
      <c r="DN2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1" s="301">
        <v>45936</v>
      </c>
      <c r="DP251" s="286" t="s">
        <v>1953</v>
      </c>
      <c r="DQ251" s="308" t="s">
        <v>1954</v>
      </c>
      <c r="DR2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1" s="300">
        <v>45803</v>
      </c>
      <c r="DT251" s="300" t="e">
        <v>#N/A</v>
      </c>
      <c r="DU251" s="300">
        <v>45844</v>
      </c>
      <c r="DV251" s="300" t="e">
        <v>#N/A</v>
      </c>
      <c r="DW251" s="301">
        <v>45917</v>
      </c>
      <c r="DX251" s="286" t="s">
        <v>1955</v>
      </c>
      <c r="DY251" s="304">
        <v>81</v>
      </c>
      <c r="DZ251" s="304">
        <v>81</v>
      </c>
      <c r="EA2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1" s="301">
        <v>46127</v>
      </c>
      <c r="EC251" s="302">
        <v>80</v>
      </c>
      <c r="ED251" s="302">
        <v>80</v>
      </c>
      <c r="EE251" s="300"/>
      <c r="EF251" s="35">
        <v>0.98765432098765427</v>
      </c>
      <c r="EG251" s="35">
        <f>Table1[[#This Row],[Line PO (kolom  bantu)2]]/Table1[[#This Row],[Line PR]]</f>
        <v>0.98765432098765427</v>
      </c>
      <c r="EH251" s="286" t="str">
        <f>IF(Table1[[#This Row],[PO Material Aktual 
(%)]]&gt;=100%,"Selesai PO = 100%",IF(Table1[[#This Row],[PO Material Aktual 
(%)]]&gt;=50%,"Proses PO &gt; 100%",IF(Table1[[#This Row],[PO Material Aktual 
(%)]]&gt;0%,"Proses PO &gt; 50%",IF(Table1[[#This Row],[PO Material Aktual 
(%)]]=0,"Belum PO = 0%"))))</f>
        <v>Proses PO &gt; 100%</v>
      </c>
      <c r="EI25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1" s="300">
        <v>45845</v>
      </c>
      <c r="EK251" s="300" t="e">
        <v>#N/A</v>
      </c>
      <c r="EL251" s="300">
        <v>46019</v>
      </c>
      <c r="EM251" s="300" t="e">
        <v>#N/A</v>
      </c>
      <c r="EN251" s="301">
        <v>46119</v>
      </c>
      <c r="EO251" s="302">
        <v>79</v>
      </c>
      <c r="EP251" s="593">
        <v>79</v>
      </c>
      <c r="EQ251" s="35">
        <v>0.97530864197530864</v>
      </c>
      <c r="ER251" s="35">
        <f>Table1[[#This Row],[Line MOS]]/Table1[[#This Row],[Line PR]]</f>
        <v>0.97530864197530864</v>
      </c>
      <c r="ES251" s="286" t="str">
        <f>IF(Table1[[#This Row],[Progres MOS]]&gt;=100%,"Selesai MOS = 100%",IF(Table1[[#This Row],[Progres MOS]]&gt;=50%,"Proses MOS &gt; 100%",IF(Table1[[#This Row],[Progres MOS]]&gt;0%,"Proses MOS &gt; 50%",IF(Table1[[#This Row],[Progres MOS]]=0,"Belum MOS = 0%"))))</f>
        <v>Proses MOS &gt; 100%</v>
      </c>
      <c r="ET2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1" s="42"/>
      <c r="EV251" s="300">
        <v>45803</v>
      </c>
      <c r="EW251" s="300" t="e">
        <v>#N/A</v>
      </c>
      <c r="EX251" s="300">
        <v>45900</v>
      </c>
      <c r="EY251" s="300" t="e">
        <v>#N/A</v>
      </c>
      <c r="EZ251" s="322" t="s">
        <v>298</v>
      </c>
      <c r="FA251" s="306" t="s">
        <v>259</v>
      </c>
      <c r="FB251" s="300" t="s">
        <v>260</v>
      </c>
      <c r="FC251" s="300">
        <v>45877</v>
      </c>
      <c r="FD251" s="300" t="s">
        <v>260</v>
      </c>
      <c r="FE251" s="300">
        <v>45939</v>
      </c>
      <c r="FF251" s="300">
        <v>45935</v>
      </c>
      <c r="FG251" s="300" t="s">
        <v>260</v>
      </c>
      <c r="FH251" s="300" t="s">
        <v>260</v>
      </c>
      <c r="FI251" s="300">
        <v>46008</v>
      </c>
      <c r="FJ251" s="300" t="s">
        <v>260</v>
      </c>
      <c r="FK251" s="300">
        <v>46107</v>
      </c>
      <c r="FL251" s="306" t="s">
        <v>298</v>
      </c>
      <c r="FM251" s="322">
        <v>45877</v>
      </c>
      <c r="FN251" s="308">
        <f>IF(Table1[[#This Row],[Tanggal Pengajuan Dokumen]]="","",Table1[[#This Row],[PLAN PERMIT
start]]-Table1[[#This Row],[Tanggal Pengajuan Dokumen]])</f>
        <v>-74</v>
      </c>
      <c r="FO251" s="407">
        <v>46086</v>
      </c>
      <c r="FP251" s="286"/>
      <c r="FQ251" s="308"/>
      <c r="FR251" s="308"/>
      <c r="FS251" s="308" t="str">
        <f t="shared" si="11"/>
        <v>Sudah Terbit</v>
      </c>
      <c r="FT2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1" s="314">
        <f ca="1">IF(Table1[[#This Row],[Status Izin]]="Selesai",Table1[[#This Row],[PLAN PERMIT
finish]]-Table1[[#This Row],[Tanggal Terbit/ Target Izin Terbit]],ROUNDUP(Table1[[#This Row],[PLAN PERMIT
finish]]-NOW(),0))</f>
        <v>-186</v>
      </c>
      <c r="FV2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1" s="314"/>
      <c r="FX251" s="42"/>
      <c r="FY251" s="310"/>
      <c r="FZ251" s="311">
        <v>45903</v>
      </c>
      <c r="GA2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1" s="300">
        <v>45874</v>
      </c>
      <c r="GC251" s="322">
        <v>45917</v>
      </c>
      <c r="GD2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1" s="300">
        <v>45881</v>
      </c>
      <c r="GF251" s="322">
        <v>45912</v>
      </c>
      <c r="GG2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1" s="300">
        <v>45887</v>
      </c>
      <c r="GI251" s="300">
        <v>45893</v>
      </c>
      <c r="GJ251" s="322">
        <v>45979</v>
      </c>
      <c r="GK2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1" s="300">
        <v>45901</v>
      </c>
      <c r="GM251" s="300" t="e">
        <v>#N/A</v>
      </c>
      <c r="GN251" s="300">
        <v>46096</v>
      </c>
      <c r="GO251" s="300" t="e">
        <v>#N/A</v>
      </c>
      <c r="GP251" s="300"/>
      <c r="GQ2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1" s="300" t="s">
        <v>261</v>
      </c>
      <c r="GS251" s="300" t="s">
        <v>261</v>
      </c>
      <c r="GT251" s="324"/>
      <c r="GU251" s="314" t="str">
        <f>IF(Table1[[#This Row],[Hydro Tes Actual
(tanggal)]]&lt;&gt;"","Sudah","Belum")</f>
        <v>Belum</v>
      </c>
      <c r="GV251" s="300" t="s">
        <v>261</v>
      </c>
      <c r="GW251" s="300" t="s">
        <v>261</v>
      </c>
      <c r="GX251" s="301"/>
      <c r="GY251" s="314" t="str">
        <f>IF(Table1[[#This Row],[Interkoneksi Actual
(tanggal)]]&lt;&gt;"","Sudah","Belum")</f>
        <v>Belum</v>
      </c>
      <c r="GZ251" s="300" t="s">
        <v>261</v>
      </c>
      <c r="HA251" s="300" t="s">
        <v>261</v>
      </c>
      <c r="HB251" s="301"/>
      <c r="HC251" s="314" t="str">
        <f>IF(Table1[[#This Row],[Flushing Actual
(tanggal)]]&lt;&gt;"","Sudah","Belum")</f>
        <v>Belum</v>
      </c>
      <c r="HD251" s="300">
        <v>46069</v>
      </c>
      <c r="HE251" s="300" t="e">
        <v>#N/A</v>
      </c>
      <c r="HF251" s="300">
        <v>46082</v>
      </c>
      <c r="HG251" s="322"/>
      <c r="HH2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1" s="300" t="s">
        <v>261</v>
      </c>
      <c r="HJ251" s="300" t="s">
        <v>261</v>
      </c>
      <c r="HK251" s="301"/>
      <c r="HL251" s="286"/>
      <c r="HM251" s="300">
        <v>46101</v>
      </c>
      <c r="HN251" s="300">
        <v>46101</v>
      </c>
      <c r="HO251" s="300" t="e">
        <v>#N/A</v>
      </c>
      <c r="HP251" s="300"/>
      <c r="HQ251" s="301"/>
      <c r="HR25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1" s="300">
        <v>46108</v>
      </c>
      <c r="HT251" s="300"/>
      <c r="HU251" s="300">
        <v>46108</v>
      </c>
      <c r="HV251" s="300"/>
      <c r="HW251" s="301"/>
      <c r="HX25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1" s="42"/>
      <c r="HZ251" s="322"/>
      <c r="IA251" s="322"/>
      <c r="IC251" s="585">
        <f>IFERROR(ROUND((Table1[[#This Row],[PLAN TC
finish]]-Table1[[#This Row],[PLAN MC-0
start]])/30,2),"")</f>
        <v>6.5</v>
      </c>
      <c r="ID251">
        <f>DATEDIF(Table1[[#This Row],[PLAN MC-0
start]],Table1[[#This Row],[PLAN TC
finish]],"m")</f>
        <v>6</v>
      </c>
    </row>
    <row r="252" spans="2:238" s="4" customFormat="1" ht="15" customHeight="1" x14ac:dyDescent="0.25">
      <c r="B252" s="281">
        <f>SUBTOTAL(3,$D$5:D252)</f>
        <v>248</v>
      </c>
      <c r="C252" s="286">
        <v>248</v>
      </c>
      <c r="D252" s="308" t="s">
        <v>629</v>
      </c>
      <c r="E252" s="308" t="s">
        <v>1956</v>
      </c>
      <c r="F252" s="308" t="s">
        <v>1957</v>
      </c>
      <c r="G252" s="319">
        <v>46117</v>
      </c>
      <c r="H252" s="284" t="s">
        <v>247</v>
      </c>
      <c r="I252" s="308" t="s">
        <v>278</v>
      </c>
      <c r="J252" s="450" t="s">
        <v>1818</v>
      </c>
      <c r="K252" s="308" t="s">
        <v>915</v>
      </c>
      <c r="L252" s="286" t="s">
        <v>250</v>
      </c>
      <c r="M252" s="325" t="s">
        <v>269</v>
      </c>
      <c r="N252" s="94">
        <v>18889</v>
      </c>
      <c r="O252" s="113" t="s">
        <v>252</v>
      </c>
      <c r="P25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2" s="35">
        <v>0.90047308679264693</v>
      </c>
      <c r="S252" s="34">
        <v>1</v>
      </c>
      <c r="T252" s="34">
        <f>Table1[[#This Row],[Progres Total Aktual
(%)]]</f>
        <v>0.59757721901616456</v>
      </c>
      <c r="U252" s="85">
        <f>Table1[[#This Row],[Progres Aktual
(%)]]-Table1[[#This Row],[Target Progres
(%)]]</f>
        <v>-0.40242278098383544</v>
      </c>
      <c r="V252" s="75">
        <f>Table1[[#This Row],["Volume
BA MC-0"]]</f>
        <v>14464.3</v>
      </c>
      <c r="W252" s="41">
        <f>Table1[[#This Row],[Total Panjang Pipa Aktual
(Sum-&gt;)3]]</f>
        <v>10600</v>
      </c>
      <c r="X252" s="42"/>
      <c r="Y252" s="62" t="s">
        <v>1958</v>
      </c>
      <c r="Z252" s="62">
        <v>30185151719</v>
      </c>
      <c r="AA252" s="62">
        <f>ROUND((Table1[[#This Row],[Nilai RAB Jaringan
(Exclude Ppn)]]-Table1[[#This Row],[RAB Perizinan]])*1.11+Table1[[#This Row],[RAB Perizinan]],0)</f>
        <v>30185151719</v>
      </c>
      <c r="AB252" s="456">
        <f>SUM(Table1[[#This Row],[RAB Kegiatan Umum]:[RAB Perizinan]])</f>
        <v>27212549206</v>
      </c>
      <c r="AC252" s="406">
        <v>1926929092</v>
      </c>
      <c r="AD252" s="406">
        <v>19269290921</v>
      </c>
      <c r="AE252" s="406">
        <v>5827439193</v>
      </c>
      <c r="AF252" s="406">
        <v>188890000</v>
      </c>
      <c r="AG252" s="453">
        <v>5604722756</v>
      </c>
      <c r="AH252" s="33">
        <f>SUM(Table1[[#This Row],[Bobot Keg Umum]:[Bobot Perizinan]])</f>
        <v>1</v>
      </c>
      <c r="AI252" s="33">
        <f>Table1[[#This Row],[RAB Kegiatan Umum]]/Table1[[#This Row],[Nilai RAB Jaringan
(Exclude Ppn)]]</f>
        <v>7.0810311721003272E-2</v>
      </c>
      <c r="AJ252" s="33">
        <f>Table1[[#This Row],[RAB Pemasangan]]/Table1[[#This Row],[Nilai RAB Jaringan
(Exclude Ppn)]]</f>
        <v>0.70810311724678043</v>
      </c>
      <c r="AK252" s="33">
        <f>Table1[[#This Row],[RAB Pengadaan]]/Table1[[#This Row],[Nilai RAB Jaringan
(Exclude Ppn)]]</f>
        <v>0.21414528822294709</v>
      </c>
      <c r="AL252" s="33">
        <f>Table1[[#This Row],[RAB Perizinan]]/Table1[[#This Row],[Nilai RAB Jaringan
(Exclude Ppn)]]</f>
        <v>6.9412828092691994E-3</v>
      </c>
      <c r="AM252" s="42"/>
      <c r="AN252" s="256">
        <v>14464.3</v>
      </c>
      <c r="AO252" s="256">
        <f>SUM(Table1[[#This Row],[Pipa 63 mm]:[Pipa 1,800 mm]])</f>
        <v>14464.3</v>
      </c>
      <c r="AP252" s="256">
        <f>4273.3+1897+1186.2</f>
        <v>7356.5</v>
      </c>
      <c r="AQ252" s="256">
        <f>2521.8+584.5</f>
        <v>3106.3</v>
      </c>
      <c r="AR252" s="256">
        <f>722+520.2+213</f>
        <v>1455.2</v>
      </c>
      <c r="AS252" s="256">
        <f>661.2+1468.2</f>
        <v>2129.4</v>
      </c>
      <c r="AT252" s="256">
        <v>101.3</v>
      </c>
      <c r="AU252" s="256">
        <v>315.60000000000002</v>
      </c>
      <c r="AV252" s="256"/>
      <c r="AW252" s="256"/>
      <c r="AX252" s="256"/>
      <c r="AY252" s="256"/>
      <c r="AZ252" s="256"/>
      <c r="BA252" s="256"/>
      <c r="BB252" s="256"/>
      <c r="BC252" s="256"/>
      <c r="BD252" s="256"/>
      <c r="BE252" s="256"/>
      <c r="BF252" s="256"/>
      <c r="BG252" s="256"/>
      <c r="BH252" s="256"/>
      <c r="BI252" s="256"/>
      <c r="BJ252" s="36">
        <f>SUM(Table1[[#This Row],[Pipa 63 mm2]:[Pipa 1,800 mm21]])</f>
        <v>10600</v>
      </c>
      <c r="BK252" s="32">
        <v>4789.5</v>
      </c>
      <c r="BL252" s="32">
        <v>2175.1999999999998</v>
      </c>
      <c r="BM252" s="32">
        <v>1336.2</v>
      </c>
      <c r="BN252" s="32">
        <v>1885.2</v>
      </c>
      <c r="BO252" s="32">
        <v>101.1</v>
      </c>
      <c r="BP252" s="32">
        <v>312.8</v>
      </c>
      <c r="BQ252" s="32"/>
      <c r="BR252" s="32"/>
      <c r="BS252" s="32"/>
      <c r="BT252" s="32"/>
      <c r="BU252" s="32"/>
      <c r="BV252" s="32"/>
      <c r="BW252" s="32"/>
      <c r="BX252" s="32"/>
      <c r="BY252" s="32"/>
      <c r="BZ252" s="32"/>
      <c r="CA252" s="32"/>
      <c r="CB252" s="32"/>
      <c r="CC252" s="32"/>
      <c r="CD252" s="32"/>
      <c r="CE252" s="32">
        <v>0</v>
      </c>
      <c r="CF252" s="32"/>
      <c r="CG252" s="32"/>
      <c r="CH252" s="32"/>
      <c r="CI252" s="32">
        <f t="shared" si="12"/>
        <v>0</v>
      </c>
      <c r="CJ252" s="60">
        <f>IF((Table1[[#This Row],["Volume
BA MC-0"]]-Table1[[#This Row],[Total Panjang Pipa Aktual
(Sum-&gt;)3]]-Table1[[#This Row],[Total Volume
tidak dapat dipasang]])&gt;=0,Table1[[#This Row],["Volume
BA MC-0"]]-Table1[[#This Row],[Total Panjang Pipa Aktual
(Sum-&gt;)3]]-Table1[[#This Row],[Total Volume
tidak dapat dipasang]],0)</f>
        <v>3864.2999999999993</v>
      </c>
      <c r="CK252" s="42"/>
      <c r="CL252" s="454" t="s">
        <v>1821</v>
      </c>
      <c r="CM252" s="34" t="s">
        <v>1821</v>
      </c>
      <c r="CN252" s="454" t="s">
        <v>1821</v>
      </c>
      <c r="CO252" s="454" t="s">
        <v>1821</v>
      </c>
      <c r="CP2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0.59757721901616456</v>
      </c>
      <c r="CQ252" s="61">
        <f>IFERROR(Table1[[#This Row],[Progres Keg. Umum
(%)]]*Table1[[#This Row],[Nilai RAB Jaringan
(file pa aji)]],0)</f>
        <v>0</v>
      </c>
      <c r="CR252" s="61">
        <f>IFERROR(Table1[[#This Row],[Progres MOS
(%)]]*Table1[[#This Row],[Nilai RAB Jaringan
(file pa aji)]],0)</f>
        <v>0</v>
      </c>
      <c r="CS252" s="61">
        <f>IFERROR(Table1[[#This Row],[Progres Pemasangan
(%)]]*Table1[[#This Row],[Nilai RAB Jaringan
(file pa aji)]],0)</f>
        <v>0</v>
      </c>
      <c r="CT252" s="61">
        <f>IFERROR(Table1[[#This Row],[Progres Perizinan
(%)]]*Table1[[#This Row],[Nilai RAB Jaringan
(file pa aji)]],0)</f>
        <v>0</v>
      </c>
      <c r="CU252" s="789">
        <v>18037959019.821018</v>
      </c>
      <c r="CV252" s="299">
        <v>18037959019.821018</v>
      </c>
      <c r="CW252" s="552">
        <v>0</v>
      </c>
      <c r="CX252" s="789">
        <f>_xlfn.XLOOKUP(Table1[[#This Row],[Kode Program]],'[1]Breakdown VOWD Greenfield'!$E:$E,'[1]Breakdown VOWD Greenfield'!$AT:$AT)</f>
        <v>0</v>
      </c>
      <c r="CY252" s="42"/>
      <c r="CZ252" s="300">
        <v>45775</v>
      </c>
      <c r="DA252" s="300">
        <v>45802</v>
      </c>
      <c r="DB252" s="301">
        <v>45873</v>
      </c>
      <c r="DC252" s="286" t="s">
        <v>1959</v>
      </c>
      <c r="DD252" s="62">
        <v>32722678567</v>
      </c>
      <c r="DE2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2" s="301">
        <v>45884</v>
      </c>
      <c r="DG252" s="286" t="s">
        <v>1960</v>
      </c>
      <c r="DH252" s="62">
        <v>32722678567</v>
      </c>
      <c r="DI2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2" s="300">
        <v>45803</v>
      </c>
      <c r="DK252" s="300">
        <v>45872</v>
      </c>
      <c r="DL252" s="301">
        <v>45909</v>
      </c>
      <c r="DM252" s="286" t="s">
        <v>1961</v>
      </c>
      <c r="DN2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2" s="301">
        <v>45923</v>
      </c>
      <c r="DP252" s="286" t="s">
        <v>1962</v>
      </c>
      <c r="DQ252" s="308" t="s">
        <v>371</v>
      </c>
      <c r="DR2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2" s="300">
        <v>45803</v>
      </c>
      <c r="DT252" s="300" t="e">
        <v>#N/A</v>
      </c>
      <c r="DU252" s="300">
        <v>45844</v>
      </c>
      <c r="DV252" s="300" t="e">
        <v>#N/A</v>
      </c>
      <c r="DW252" s="301">
        <v>45951</v>
      </c>
      <c r="DX252" s="454" t="s">
        <v>1963</v>
      </c>
      <c r="DY252" s="304">
        <v>132</v>
      </c>
      <c r="DZ252" s="304">
        <v>132</v>
      </c>
      <c r="EA2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2" s="301">
        <v>46127</v>
      </c>
      <c r="EC252" s="302">
        <v>132</v>
      </c>
      <c r="ED252" s="302">
        <v>132</v>
      </c>
      <c r="EE252" s="300"/>
      <c r="EF252" s="35">
        <v>1</v>
      </c>
      <c r="EG252" s="35">
        <f>Table1[[#This Row],[Line PO (kolom  bantu)2]]/Table1[[#This Row],[Line PR]]</f>
        <v>1</v>
      </c>
      <c r="EH252" s="286" t="str">
        <f>IF(Table1[[#This Row],[PO Material Aktual 
(%)]]&gt;=100%,"Selesai PO = 100%",IF(Table1[[#This Row],[PO Material Aktual 
(%)]]&gt;=50%,"Proses PO &gt; 100%",IF(Table1[[#This Row],[PO Material Aktual 
(%)]]&gt;0%,"Proses PO &gt; 50%",IF(Table1[[#This Row],[PO Material Aktual 
(%)]]=0,"Belum PO = 0%"))))</f>
        <v>Selesai PO = 100%</v>
      </c>
      <c r="EI25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2" s="300">
        <v>45845</v>
      </c>
      <c r="EK252" s="300" t="e">
        <v>#N/A</v>
      </c>
      <c r="EL252" s="300">
        <v>46019</v>
      </c>
      <c r="EM252" s="300" t="e">
        <v>#N/A</v>
      </c>
      <c r="EN252" s="301">
        <v>46121</v>
      </c>
      <c r="EO252" s="302">
        <v>131</v>
      </c>
      <c r="EP252" s="286">
        <v>131</v>
      </c>
      <c r="EQ252" s="35">
        <v>0.99242424242424243</v>
      </c>
      <c r="ER252" s="35">
        <f>Table1[[#This Row],[Line MOS]]/Table1[[#This Row],[Line PR]]</f>
        <v>0.99242424242424243</v>
      </c>
      <c r="ES252" s="286" t="str">
        <f>IF(Table1[[#This Row],[Progres MOS]]&gt;=100%,"Selesai MOS = 100%",IF(Table1[[#This Row],[Progres MOS]]&gt;=50%,"Proses MOS &gt; 100%",IF(Table1[[#This Row],[Progres MOS]]&gt;0%,"Proses MOS &gt; 50%",IF(Table1[[#This Row],[Progres MOS]]=0,"Belum MOS = 0%"))))</f>
        <v>Proses MOS &gt; 100%</v>
      </c>
      <c r="ET2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2" s="42"/>
      <c r="EV252" s="300">
        <v>45803</v>
      </c>
      <c r="EW252" s="300" t="e">
        <v>#N/A</v>
      </c>
      <c r="EX252" s="300">
        <v>45900</v>
      </c>
      <c r="EY252" s="300" t="e">
        <v>#N/A</v>
      </c>
      <c r="EZ252" s="322" t="s">
        <v>298</v>
      </c>
      <c r="FA252" s="306" t="s">
        <v>298</v>
      </c>
      <c r="FB252" s="300" t="s">
        <v>260</v>
      </c>
      <c r="FC252" s="300">
        <v>45918</v>
      </c>
      <c r="FD252" s="300" t="s">
        <v>260</v>
      </c>
      <c r="FE252" s="300">
        <v>45931</v>
      </c>
      <c r="FF252" s="300">
        <v>45937</v>
      </c>
      <c r="FG252" s="300" t="s">
        <v>260</v>
      </c>
      <c r="FH252" s="300" t="s">
        <v>260</v>
      </c>
      <c r="FI252" s="300">
        <v>46000</v>
      </c>
      <c r="FJ252" s="300" t="s">
        <v>260</v>
      </c>
      <c r="FK252" s="300"/>
      <c r="FL252" s="306" t="s">
        <v>298</v>
      </c>
      <c r="FM252" s="322">
        <v>45918</v>
      </c>
      <c r="FN252" s="308">
        <f>IF(Table1[[#This Row],[Tanggal Pengajuan Dokumen]]="","",Table1[[#This Row],[PLAN PERMIT
start]]-Table1[[#This Row],[Tanggal Pengajuan Dokumen]])</f>
        <v>-115</v>
      </c>
      <c r="FO252" s="407">
        <v>46086</v>
      </c>
      <c r="FP252" s="286"/>
      <c r="FQ252" s="308"/>
      <c r="FR252" s="308"/>
      <c r="FS252" s="308" t="str">
        <f t="shared" si="11"/>
        <v>On Going</v>
      </c>
      <c r="FT2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2" s="314">
        <f ca="1">IF(Table1[[#This Row],[Status Izin]]="Selesai",Table1[[#This Row],[PLAN PERMIT
finish]]-Table1[[#This Row],[Tanggal Terbit/ Target Izin Terbit]],ROUNDUP(Table1[[#This Row],[PLAN PERMIT
finish]]-NOW(),0))</f>
        <v>-304</v>
      </c>
      <c r="FV2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2" s="314"/>
      <c r="FX252" s="42"/>
      <c r="FY252" s="310"/>
      <c r="FZ252" s="311">
        <v>45903</v>
      </c>
      <c r="GA2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2" s="300">
        <v>45874</v>
      </c>
      <c r="GC252" s="322">
        <v>45917</v>
      </c>
      <c r="GD2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2" s="300">
        <v>45881</v>
      </c>
      <c r="GF252" s="322">
        <v>45912</v>
      </c>
      <c r="GG2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2" s="300">
        <v>45887</v>
      </c>
      <c r="GI252" s="300">
        <v>45893</v>
      </c>
      <c r="GJ252" s="322">
        <v>45987</v>
      </c>
      <c r="GK2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2" s="300">
        <v>45901</v>
      </c>
      <c r="GM252" s="300" t="e">
        <v>#N/A</v>
      </c>
      <c r="GN252" s="300">
        <v>46096</v>
      </c>
      <c r="GO252" s="300" t="e">
        <v>#N/A</v>
      </c>
      <c r="GP252" s="300"/>
      <c r="GQ2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2" s="300" t="s">
        <v>261</v>
      </c>
      <c r="GS252" s="300" t="s">
        <v>261</v>
      </c>
      <c r="GT252" s="324"/>
      <c r="GU252" s="314" t="str">
        <f>IF(Table1[[#This Row],[Hydro Tes Actual
(tanggal)]]&lt;&gt;"","Sudah","Belum")</f>
        <v>Belum</v>
      </c>
      <c r="GV252" s="300" t="s">
        <v>261</v>
      </c>
      <c r="GW252" s="300" t="s">
        <v>261</v>
      </c>
      <c r="GX252" s="301"/>
      <c r="GY252" s="314" t="str">
        <f>IF(Table1[[#This Row],[Interkoneksi Actual
(tanggal)]]&lt;&gt;"","Sudah","Belum")</f>
        <v>Belum</v>
      </c>
      <c r="GZ252" s="300" t="s">
        <v>261</v>
      </c>
      <c r="HA252" s="300" t="s">
        <v>261</v>
      </c>
      <c r="HB252" s="301"/>
      <c r="HC252" s="314" t="str">
        <f>IF(Table1[[#This Row],[Flushing Actual
(tanggal)]]&lt;&gt;"","Sudah","Belum")</f>
        <v>Belum</v>
      </c>
      <c r="HD252" s="300">
        <v>46069</v>
      </c>
      <c r="HE252" s="300" t="e">
        <v>#N/A</v>
      </c>
      <c r="HF252" s="300">
        <v>46082</v>
      </c>
      <c r="HG252" s="322"/>
      <c r="HH2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2" s="300" t="s">
        <v>261</v>
      </c>
      <c r="HJ252" s="300" t="s">
        <v>261</v>
      </c>
      <c r="HK252" s="301"/>
      <c r="HL252" s="286"/>
      <c r="HM252" s="300">
        <v>46101</v>
      </c>
      <c r="HN252" s="300">
        <v>46101</v>
      </c>
      <c r="HO252" s="300" t="e">
        <v>#N/A</v>
      </c>
      <c r="HP252" s="300"/>
      <c r="HQ252" s="301"/>
      <c r="HR25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2" s="300">
        <v>46108</v>
      </c>
      <c r="HT252" s="300"/>
      <c r="HU252" s="300">
        <v>46108</v>
      </c>
      <c r="HV252" s="300"/>
      <c r="HW252" s="301"/>
      <c r="HX25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2" s="42"/>
      <c r="HZ252" s="322"/>
      <c r="IA252" s="322"/>
      <c r="IC252" s="585">
        <f>IFERROR(ROUND((Table1[[#This Row],[PLAN TC
finish]]-Table1[[#This Row],[PLAN MC-0
start]])/30,2),"")</f>
        <v>6.5</v>
      </c>
      <c r="ID252">
        <f>DATEDIF(Table1[[#This Row],[PLAN MC-0
start]],Table1[[#This Row],[PLAN TC
finish]],"m")</f>
        <v>6</v>
      </c>
    </row>
    <row r="253" spans="2:238" s="4" customFormat="1" ht="15" customHeight="1" x14ac:dyDescent="0.25">
      <c r="B253" s="281">
        <f>SUBTOTAL(3,$D$5:D253)</f>
        <v>249</v>
      </c>
      <c r="C253" s="286">
        <v>249</v>
      </c>
      <c r="D253" s="308" t="s">
        <v>629</v>
      </c>
      <c r="E253" s="308" t="s">
        <v>1964</v>
      </c>
      <c r="F253" s="308" t="s">
        <v>1965</v>
      </c>
      <c r="G253" s="319">
        <v>46117</v>
      </c>
      <c r="H253" s="284" t="s">
        <v>247</v>
      </c>
      <c r="I253" s="308" t="s">
        <v>278</v>
      </c>
      <c r="J253" s="450" t="s">
        <v>1818</v>
      </c>
      <c r="K253" s="308" t="s">
        <v>915</v>
      </c>
      <c r="L253" s="286" t="s">
        <v>250</v>
      </c>
      <c r="M253" s="325" t="s">
        <v>269</v>
      </c>
      <c r="N253" s="94">
        <v>8837</v>
      </c>
      <c r="O253" s="113" t="s">
        <v>252</v>
      </c>
      <c r="P25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3" s="35">
        <v>0.91045427269889967</v>
      </c>
      <c r="S253" s="34">
        <v>1</v>
      </c>
      <c r="T253" s="34">
        <f>Table1[[#This Row],[Progres Total Aktual
(%)]]</f>
        <v>0.35417403931521119</v>
      </c>
      <c r="U253" s="85">
        <f>Table1[[#This Row],[Progres Aktual
(%)]]-Table1[[#This Row],[Target Progres
(%)]]</f>
        <v>-0.64582596068478881</v>
      </c>
      <c r="V253" s="75">
        <f>Table1[[#This Row],["Volume
BA MC-0"]]</f>
        <v>8749</v>
      </c>
      <c r="W253" s="41">
        <f>Table1[[#This Row],[Total Panjang Pipa Aktual
(Sum-&gt;)3]]</f>
        <v>4653</v>
      </c>
      <c r="X253" s="42"/>
      <c r="Y253" s="62" t="s">
        <v>1966</v>
      </c>
      <c r="Z253" s="62">
        <v>110942814797</v>
      </c>
      <c r="AA253" s="62">
        <f>ROUND((Table1[[#This Row],[Nilai RAB Jaringan
(Exclude Ppn)]]-Table1[[#This Row],[RAB Perizinan]])*1.11+Table1[[#This Row],[RAB Perizinan]],0)</f>
        <v>110942814796</v>
      </c>
      <c r="AB253" s="456">
        <f>SUM(Table1[[#This Row],[RAB Kegiatan Umum]:[RAB Perizinan]])</f>
        <v>99972935611</v>
      </c>
      <c r="AC253" s="406">
        <v>3140401103</v>
      </c>
      <c r="AD253" s="406">
        <v>52340018374</v>
      </c>
      <c r="AE253" s="406">
        <v>44245754934</v>
      </c>
      <c r="AF253" s="406">
        <v>246761200</v>
      </c>
      <c r="AG253" s="453">
        <v>0</v>
      </c>
      <c r="AH253" s="33">
        <f>SUM(Table1[[#This Row],[Bobot Keg Umum]:[Bobot Perizinan]])</f>
        <v>0.99999999999999989</v>
      </c>
      <c r="AI253" s="33">
        <f>Table1[[#This Row],[RAB Kegiatan Umum]]/Table1[[#This Row],[Nilai RAB Jaringan
(Exclude Ppn)]]</f>
        <v>3.1412512634614108E-2</v>
      </c>
      <c r="AJ253" s="33">
        <f>Table1[[#This Row],[RAB Pemasangan]]/Table1[[#This Row],[Nilai RAB Jaringan
(Exclude Ppn)]]</f>
        <v>0.52354187715020983</v>
      </c>
      <c r="AK253" s="33">
        <f>Table1[[#This Row],[RAB Pengadaan]]/Table1[[#This Row],[Nilai RAB Jaringan
(Exclude Ppn)]]</f>
        <v>0.44257733019026851</v>
      </c>
      <c r="AL253" s="33">
        <f>Table1[[#This Row],[RAB Perizinan]]/Table1[[#This Row],[Nilai RAB Jaringan
(Exclude Ppn)]]</f>
        <v>2.4682800249075502E-3</v>
      </c>
      <c r="AM253" s="42"/>
      <c r="AN253" s="256">
        <v>8749</v>
      </c>
      <c r="AO253" s="256">
        <f>SUM(Table1[[#This Row],[Pipa 63 mm]:[Pipa 1,800 mm]])</f>
        <v>8749</v>
      </c>
      <c r="AP253" s="256"/>
      <c r="AQ253" s="256"/>
      <c r="AR253" s="256"/>
      <c r="AS253" s="256"/>
      <c r="AT253" s="256"/>
      <c r="AU253" s="256"/>
      <c r="AV253" s="256"/>
      <c r="AW253" s="256"/>
      <c r="AX253" s="256">
        <f>2754+110</f>
        <v>2864</v>
      </c>
      <c r="AY253" s="256">
        <f>5803+29</f>
        <v>5832</v>
      </c>
      <c r="AZ253" s="256">
        <v>53</v>
      </c>
      <c r="BA253" s="256"/>
      <c r="BB253" s="256"/>
      <c r="BC253" s="256"/>
      <c r="BD253" s="256"/>
      <c r="BE253" s="256"/>
      <c r="BF253" s="256"/>
      <c r="BG253" s="256"/>
      <c r="BH253" s="256"/>
      <c r="BI253" s="256"/>
      <c r="BJ253" s="36">
        <f>SUM(Table1[[#This Row],[Pipa 63 mm2]:[Pipa 1,800 mm21]])</f>
        <v>4653</v>
      </c>
      <c r="BK253" s="32"/>
      <c r="BL253" s="32"/>
      <c r="BM253" s="32"/>
      <c r="BN253" s="32"/>
      <c r="BO253" s="32"/>
      <c r="BP253" s="32"/>
      <c r="BQ253" s="32"/>
      <c r="BR253" s="32"/>
      <c r="BS253" s="32">
        <v>2593</v>
      </c>
      <c r="BT253" s="32">
        <v>2060</v>
      </c>
      <c r="BU253" s="32"/>
      <c r="BV253" s="32"/>
      <c r="BW253" s="32"/>
      <c r="BX253" s="32"/>
      <c r="BY253" s="32"/>
      <c r="BZ253" s="32"/>
      <c r="CA253" s="32"/>
      <c r="CB253" s="32"/>
      <c r="CC253" s="32"/>
      <c r="CD253" s="32"/>
      <c r="CE253" s="32">
        <v>0</v>
      </c>
      <c r="CF253" s="32"/>
      <c r="CG253" s="32"/>
      <c r="CH253" s="32"/>
      <c r="CI253" s="32">
        <f t="shared" si="12"/>
        <v>0</v>
      </c>
      <c r="CJ253" s="60">
        <f>IF((Table1[[#This Row],["Volume
BA MC-0"]]-Table1[[#This Row],[Total Panjang Pipa Aktual
(Sum-&gt;)3]]-Table1[[#This Row],[Total Volume
tidak dapat dipasang]])&gt;=0,Table1[[#This Row],["Volume
BA MC-0"]]-Table1[[#This Row],[Total Panjang Pipa Aktual
(Sum-&gt;)3]]-Table1[[#This Row],[Total Volume
tidak dapat dipasang]],0)</f>
        <v>4096</v>
      </c>
      <c r="CK253" s="42"/>
      <c r="CL253" s="454" t="s">
        <v>1821</v>
      </c>
      <c r="CM253" s="34" t="s">
        <v>1821</v>
      </c>
      <c r="CN253" s="454" t="s">
        <v>1821</v>
      </c>
      <c r="CO253" s="454" t="s">
        <v>1821</v>
      </c>
      <c r="CP2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0.35417403931521119</v>
      </c>
      <c r="CQ253" s="61">
        <f>IFERROR(Table1[[#This Row],[Progres Keg. Umum
(%)]]*Table1[[#This Row],[Nilai RAB Jaringan
(file pa aji)]],0)</f>
        <v>0</v>
      </c>
      <c r="CR253" s="61">
        <f>IFERROR(Table1[[#This Row],[Progres MOS
(%)]]*Table1[[#This Row],[Nilai RAB Jaringan
(file pa aji)]],0)</f>
        <v>0</v>
      </c>
      <c r="CS253" s="61">
        <f>IFERROR(Table1[[#This Row],[Progres Pemasangan
(%)]]*Table1[[#This Row],[Nilai RAB Jaringan
(file pa aji)]],0)</f>
        <v>0</v>
      </c>
      <c r="CT253" s="61">
        <f>IFERROR(Table1[[#This Row],[Progres Perizinan
(%)]]*Table1[[#This Row],[Nilai RAB Jaringan
(file pa aji)]],0)</f>
        <v>0</v>
      </c>
      <c r="CU253" s="789">
        <v>39293064849.298698</v>
      </c>
      <c r="CV253" s="299">
        <v>39293064849.298698</v>
      </c>
      <c r="CW253" s="552">
        <v>0</v>
      </c>
      <c r="CX253" s="789">
        <f>_xlfn.XLOOKUP(Table1[[#This Row],[Kode Program]],'[1]Breakdown VOWD Greenfield'!$E:$E,'[1]Breakdown VOWD Greenfield'!$AT:$AT)</f>
        <v>0</v>
      </c>
      <c r="CY253" s="42"/>
      <c r="CZ253" s="300">
        <v>45775</v>
      </c>
      <c r="DA253" s="300">
        <v>45802</v>
      </c>
      <c r="DB253" s="301">
        <v>45891</v>
      </c>
      <c r="DC253" s="286" t="s">
        <v>1967</v>
      </c>
      <c r="DD253" s="62">
        <v>110942814797</v>
      </c>
      <c r="DE2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3" s="301">
        <v>45698</v>
      </c>
      <c r="DG253" s="286" t="s">
        <v>1968</v>
      </c>
      <c r="DH253" s="62">
        <v>110942814797</v>
      </c>
      <c r="DI2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3" s="300">
        <v>45803</v>
      </c>
      <c r="DK253" s="300">
        <v>45872</v>
      </c>
      <c r="DL253" s="301">
        <v>45945</v>
      </c>
      <c r="DM253" s="286" t="s">
        <v>1969</v>
      </c>
      <c r="DN2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253" s="301">
        <v>45960</v>
      </c>
      <c r="DP253" s="286" t="s">
        <v>1970</v>
      </c>
      <c r="DQ253" s="308" t="s">
        <v>1826</v>
      </c>
      <c r="DR2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3" s="300">
        <v>45803</v>
      </c>
      <c r="DT253" s="300" t="e">
        <v>#N/A</v>
      </c>
      <c r="DU253" s="300">
        <v>45844</v>
      </c>
      <c r="DV253" s="300" t="e">
        <v>#N/A</v>
      </c>
      <c r="DW253" s="301">
        <v>45934</v>
      </c>
      <c r="DX253" s="286" t="s">
        <v>1971</v>
      </c>
      <c r="DY253" s="304">
        <v>212</v>
      </c>
      <c r="DZ253" s="304">
        <v>212</v>
      </c>
      <c r="EA2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3" s="301">
        <v>46125</v>
      </c>
      <c r="EC253" s="302">
        <v>191</v>
      </c>
      <c r="ED253" s="302">
        <v>191</v>
      </c>
      <c r="EE253" s="300"/>
      <c r="EF253" s="35">
        <v>0.90094339622641506</v>
      </c>
      <c r="EG253" s="35">
        <f>Table1[[#This Row],[Line PO (kolom  bantu)2]]/Table1[[#This Row],[Line PR]]</f>
        <v>0.90094339622641506</v>
      </c>
      <c r="EH253" s="286" t="str">
        <f>IF(Table1[[#This Row],[PO Material Aktual 
(%)]]&gt;=100%,"Selesai PO = 100%",IF(Table1[[#This Row],[PO Material Aktual 
(%)]]&gt;=50%,"Proses PO &gt; 100%",IF(Table1[[#This Row],[PO Material Aktual 
(%)]]&gt;0%,"Proses PO &gt; 50%",IF(Table1[[#This Row],[PO Material Aktual 
(%)]]=0,"Belum PO = 0%"))))</f>
        <v>Proses PO &gt; 100%</v>
      </c>
      <c r="EI25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3" s="300">
        <v>45845</v>
      </c>
      <c r="EK253" s="300" t="e">
        <v>#N/A</v>
      </c>
      <c r="EL253" s="300">
        <v>46019</v>
      </c>
      <c r="EM253" s="300" t="e">
        <v>#N/A</v>
      </c>
      <c r="EN253" s="301">
        <v>46121</v>
      </c>
      <c r="EO253" s="302">
        <v>183</v>
      </c>
      <c r="EP253" s="286">
        <v>183</v>
      </c>
      <c r="EQ253" s="35">
        <v>0.8632075471698113</v>
      </c>
      <c r="ER253" s="35">
        <f>Table1[[#This Row],[Line MOS]]/Table1[[#This Row],[Line PR]]</f>
        <v>0.8632075471698113</v>
      </c>
      <c r="ES253" s="286" t="str">
        <f>IF(Table1[[#This Row],[Progres MOS]]&gt;=100%,"Selesai MOS = 100%",IF(Table1[[#This Row],[Progres MOS]]&gt;=50%,"Proses MOS &gt; 100%",IF(Table1[[#This Row],[Progres MOS]]&gt;0%,"Proses MOS &gt; 50%",IF(Table1[[#This Row],[Progres MOS]]=0,"Belum MOS = 0%"))))</f>
        <v>Proses MOS &gt; 100%</v>
      </c>
      <c r="ET2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3" s="42"/>
      <c r="EV253" s="300">
        <v>45803</v>
      </c>
      <c r="EW253" s="300" t="e">
        <v>#N/A</v>
      </c>
      <c r="EX253" s="300">
        <v>45900</v>
      </c>
      <c r="EY253" s="300" t="e">
        <v>#N/A</v>
      </c>
      <c r="EZ253" s="322" t="s">
        <v>259</v>
      </c>
      <c r="FA253" s="306" t="s">
        <v>259</v>
      </c>
      <c r="FB253" s="300" t="s">
        <v>260</v>
      </c>
      <c r="FC253" s="300">
        <v>45918</v>
      </c>
      <c r="FD253" s="300" t="s">
        <v>260</v>
      </c>
      <c r="FE253" s="300">
        <v>45931</v>
      </c>
      <c r="FF253" s="300">
        <v>45937</v>
      </c>
      <c r="FG253" s="300" t="s">
        <v>260</v>
      </c>
      <c r="FH253" s="300" t="s">
        <v>260</v>
      </c>
      <c r="FI253" s="300">
        <v>46006</v>
      </c>
      <c r="FJ253" s="300" t="s">
        <v>260</v>
      </c>
      <c r="FK253" s="300">
        <v>46066</v>
      </c>
      <c r="FL253" s="306" t="s">
        <v>259</v>
      </c>
      <c r="FM253" s="322">
        <v>45918</v>
      </c>
      <c r="FN253" s="308">
        <f>IF(Table1[[#This Row],[Tanggal Pengajuan Dokumen]]="","",Table1[[#This Row],[PLAN PERMIT
start]]-Table1[[#This Row],[Tanggal Pengajuan Dokumen]])</f>
        <v>-115</v>
      </c>
      <c r="FO253" s="407">
        <v>46086</v>
      </c>
      <c r="FP253" s="286"/>
      <c r="FQ253" s="308"/>
      <c r="FR253" s="308"/>
      <c r="FS253" s="308" t="str">
        <f t="shared" si="11"/>
        <v>Sudah Terbit</v>
      </c>
      <c r="FT2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3" s="314">
        <f ca="1">IF(Table1[[#This Row],[Status Izin]]="Selesai",Table1[[#This Row],[PLAN PERMIT
finish]]-Table1[[#This Row],[Tanggal Terbit/ Target Izin Terbit]],ROUNDUP(Table1[[#This Row],[PLAN PERMIT
finish]]-NOW(),0))</f>
        <v>-186</v>
      </c>
      <c r="FV2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3" s="314"/>
      <c r="FX253" s="42"/>
      <c r="FY253" s="310"/>
      <c r="FZ253" s="311">
        <v>45903</v>
      </c>
      <c r="GA2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3" s="300">
        <v>45874</v>
      </c>
      <c r="GC253" s="322">
        <v>45917</v>
      </c>
      <c r="GD2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53" s="300">
        <v>45881</v>
      </c>
      <c r="GF253" s="322">
        <v>45912</v>
      </c>
      <c r="GG2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53" s="300">
        <v>45887</v>
      </c>
      <c r="GI253" s="300">
        <v>45893</v>
      </c>
      <c r="GJ253" s="322">
        <v>45943</v>
      </c>
      <c r="GK2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53" s="300">
        <v>45901</v>
      </c>
      <c r="GM253" s="300" t="e">
        <v>#N/A</v>
      </c>
      <c r="GN253" s="300">
        <v>46096</v>
      </c>
      <c r="GO253" s="300" t="e">
        <v>#N/A</v>
      </c>
      <c r="GP253" s="300"/>
      <c r="GQ2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3" s="300" t="s">
        <v>261</v>
      </c>
      <c r="GS253" s="300" t="s">
        <v>261</v>
      </c>
      <c r="GT253" s="324"/>
      <c r="GU253" s="314" t="str">
        <f>IF(Table1[[#This Row],[Hydro Tes Actual
(tanggal)]]&lt;&gt;"","Sudah","Belum")</f>
        <v>Belum</v>
      </c>
      <c r="GV253" s="300" t="s">
        <v>261</v>
      </c>
      <c r="GW253" s="300" t="s">
        <v>261</v>
      </c>
      <c r="GX253" s="301"/>
      <c r="GY253" s="314" t="str">
        <f>IF(Table1[[#This Row],[Interkoneksi Actual
(tanggal)]]&lt;&gt;"","Sudah","Belum")</f>
        <v>Belum</v>
      </c>
      <c r="GZ253" s="300" t="s">
        <v>261</v>
      </c>
      <c r="HA253" s="300" t="s">
        <v>261</v>
      </c>
      <c r="HB253" s="301"/>
      <c r="HC253" s="314" t="str">
        <f>IF(Table1[[#This Row],[Flushing Actual
(tanggal)]]&lt;&gt;"","Sudah","Belum")</f>
        <v>Belum</v>
      </c>
      <c r="HD253" s="300">
        <v>46069</v>
      </c>
      <c r="HE253" s="300" t="e">
        <v>#N/A</v>
      </c>
      <c r="HF253" s="300">
        <v>46082</v>
      </c>
      <c r="HG253" s="322"/>
      <c r="HH2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3" s="300" t="s">
        <v>261</v>
      </c>
      <c r="HJ253" s="300" t="s">
        <v>261</v>
      </c>
      <c r="HK253" s="301"/>
      <c r="HL253" s="286"/>
      <c r="HM253" s="300">
        <v>46101</v>
      </c>
      <c r="HN253" s="300">
        <v>46101</v>
      </c>
      <c r="HO253" s="300" t="e">
        <v>#N/A</v>
      </c>
      <c r="HP253" s="300"/>
      <c r="HQ253" s="301"/>
      <c r="HR25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3" s="300">
        <v>46108</v>
      </c>
      <c r="HT253" s="300"/>
      <c r="HU253" s="300">
        <v>46108</v>
      </c>
      <c r="HV253" s="300"/>
      <c r="HW253" s="301"/>
      <c r="HX25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3" s="42"/>
      <c r="HZ253" s="322"/>
      <c r="IA253" s="322"/>
      <c r="IC253" s="585">
        <f>IFERROR(ROUND((Table1[[#This Row],[PLAN TC
finish]]-Table1[[#This Row],[PLAN MC-0
start]])/30,2),"")</f>
        <v>6.5</v>
      </c>
      <c r="ID253">
        <f>DATEDIF(Table1[[#This Row],[PLAN MC-0
start]],Table1[[#This Row],[PLAN TC
finish]],"m")</f>
        <v>6</v>
      </c>
    </row>
    <row r="254" spans="2:238" s="4" customFormat="1" ht="15" customHeight="1" x14ac:dyDescent="0.25">
      <c r="B254" s="281">
        <f>SUBTOTAL(3,$D$5:D254)</f>
        <v>250</v>
      </c>
      <c r="C254" s="286">
        <v>250</v>
      </c>
      <c r="D254" s="308" t="s">
        <v>629</v>
      </c>
      <c r="E254" s="308" t="s">
        <v>1972</v>
      </c>
      <c r="F254" s="308" t="s">
        <v>1973</v>
      </c>
      <c r="G254" s="319">
        <v>46117</v>
      </c>
      <c r="H254" s="308" t="s">
        <v>681</v>
      </c>
      <c r="I254" s="308" t="s">
        <v>278</v>
      </c>
      <c r="J254" s="450" t="s">
        <v>1830</v>
      </c>
      <c r="K254" s="308"/>
      <c r="L254" s="286" t="s">
        <v>250</v>
      </c>
      <c r="M254" s="325" t="s">
        <v>269</v>
      </c>
      <c r="N254" s="94">
        <v>591</v>
      </c>
      <c r="O254" s="113" t="s">
        <v>252</v>
      </c>
      <c r="P25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4" s="35">
        <v>1</v>
      </c>
      <c r="S254" s="34">
        <v>1</v>
      </c>
      <c r="T254" s="34">
        <f>Table1[[#This Row],[Progres Total Aktual
(%)]]</f>
        <v>1</v>
      </c>
      <c r="U254" s="85">
        <f>Table1[[#This Row],[Progres Aktual
(%)]]-Table1[[#This Row],[Target Progres
(%)]]</f>
        <v>0</v>
      </c>
      <c r="V254" s="75">
        <f>Table1[[#This Row],["Volume
BA MC-0"]]</f>
        <v>640</v>
      </c>
      <c r="W254" s="41">
        <f>Table1[[#This Row],[Total Panjang Pipa Aktual
(Sum-&gt;)3]]</f>
        <v>634.5</v>
      </c>
      <c r="X254" s="42"/>
      <c r="Y254" s="62" t="s">
        <v>1974</v>
      </c>
      <c r="Z254" s="62">
        <v>781549297</v>
      </c>
      <c r="AA254" s="62">
        <f>ROUND((Table1[[#This Row],[Nilai RAB Jaringan
(Exclude Ppn)]]-Table1[[#This Row],[RAB Perizinan]])*1.11+Table1[[#This Row],[RAB Perizinan]],0)</f>
        <v>781549297</v>
      </c>
      <c r="AB254" s="456">
        <f>SUM(Table1[[#This Row],[RAB Kegiatan Umum]:[RAB Perizinan]])</f>
        <v>704684141</v>
      </c>
      <c r="AC254" s="406">
        <v>50214239</v>
      </c>
      <c r="AD254" s="406">
        <v>502142387</v>
      </c>
      <c r="AE254" s="406">
        <v>146417515</v>
      </c>
      <c r="AF254" s="406">
        <v>5910000</v>
      </c>
      <c r="AG254" s="453"/>
      <c r="AH254" s="33">
        <f>SUM(Table1[[#This Row],[Bobot Keg Umum]:[Bobot Perizinan]])</f>
        <v>0.99999999999999989</v>
      </c>
      <c r="AI254" s="33">
        <f>Table1[[#This Row],[RAB Kegiatan Umum]]/Table1[[#This Row],[Nilai RAB Jaringan
(Exclude Ppn)]]</f>
        <v>7.1257796335166851E-2</v>
      </c>
      <c r="AJ254" s="33">
        <f>Table1[[#This Row],[RAB Pemasangan]]/Table1[[#This Row],[Nilai RAB Jaringan
(Exclude Ppn)]]</f>
        <v>0.71257795909444199</v>
      </c>
      <c r="AK254" s="33">
        <f>Table1[[#This Row],[RAB Pengadaan]]/Table1[[#This Row],[Nilai RAB Jaringan
(Exclude Ppn)]]</f>
        <v>0.20777750836314052</v>
      </c>
      <c r="AL254" s="33">
        <f>Table1[[#This Row],[RAB Perizinan]]/Table1[[#This Row],[Nilai RAB Jaringan
(Exclude Ppn)]]</f>
        <v>8.3867362072506182E-3</v>
      </c>
      <c r="AM254" s="42"/>
      <c r="AN254" s="256">
        <v>640</v>
      </c>
      <c r="AO254" s="256">
        <f>SUM(Table1[[#This Row],[Pipa 63 mm]:[Pipa 1,800 mm]])</f>
        <v>595</v>
      </c>
      <c r="AP254" s="256">
        <f>562+33</f>
        <v>595</v>
      </c>
      <c r="AQ254" s="256"/>
      <c r="AR254" s="256"/>
      <c r="AS254" s="256"/>
      <c r="AT254" s="256"/>
      <c r="AU254" s="256"/>
      <c r="AV254" s="256"/>
      <c r="AW254" s="256"/>
      <c r="AX254" s="256"/>
      <c r="AY254" s="256"/>
      <c r="AZ254" s="256"/>
      <c r="BA254" s="256"/>
      <c r="BB254" s="256"/>
      <c r="BC254" s="256"/>
      <c r="BD254" s="256"/>
      <c r="BE254" s="256"/>
      <c r="BF254" s="256"/>
      <c r="BG254" s="256"/>
      <c r="BH254" s="256"/>
      <c r="BI254" s="256"/>
      <c r="BJ254" s="36">
        <f>SUM(Table1[[#This Row],[Pipa 63 mm2]:[Pipa 1,800 mm21]])</f>
        <v>634.5</v>
      </c>
      <c r="BK254" s="32">
        <v>634.5</v>
      </c>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60">
        <f>IF((Table1[[#This Row],["Volume
BA MC-0"]]-Table1[[#This Row],[Total Panjang Pipa Aktual
(Sum-&gt;)3]]-Table1[[#This Row],[Total Volume
tidak dapat dipasang]])&gt;=0,Table1[[#This Row],["Volume
BA MC-0"]]-Table1[[#This Row],[Total Panjang Pipa Aktual
(Sum-&gt;)3]]-Table1[[#This Row],[Total Volume
tidak dapat dipasang]],0)</f>
        <v>5.5</v>
      </c>
      <c r="CK254" s="42"/>
      <c r="CL254" s="454" t="s">
        <v>1821</v>
      </c>
      <c r="CM254" s="34" t="s">
        <v>1821</v>
      </c>
      <c r="CN254" s="454" t="s">
        <v>1821</v>
      </c>
      <c r="CO254" s="454" t="s">
        <v>1821</v>
      </c>
      <c r="CP2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4" s="61">
        <f>IFERROR(Table1[[#This Row],[Progres Keg. Umum
(%)]]*Table1[[#This Row],[Nilai RAB Jaringan
(file pa aji)]],0)</f>
        <v>0</v>
      </c>
      <c r="CR254" s="61">
        <f>IFERROR(Table1[[#This Row],[Progres MOS
(%)]]*Table1[[#This Row],[Nilai RAB Jaringan
(file pa aji)]],0)</f>
        <v>0</v>
      </c>
      <c r="CS254" s="61">
        <f>IFERROR(Table1[[#This Row],[Progres Pemasangan
(%)]]*Table1[[#This Row],[Nilai RAB Jaringan
(file pa aji)]],0)</f>
        <v>0</v>
      </c>
      <c r="CT254" s="61">
        <f>IFERROR(Table1[[#This Row],[Progres Perizinan
(%)]]*Table1[[#This Row],[Nilai RAB Jaringan
(file pa aji)]],0)</f>
        <v>0</v>
      </c>
      <c r="CU254" s="789">
        <v>735246552</v>
      </c>
      <c r="CV254" s="299">
        <v>735246552</v>
      </c>
      <c r="CW254" s="552">
        <v>735246552</v>
      </c>
      <c r="CX254" s="789">
        <f>_xlfn.XLOOKUP(Table1[[#This Row],[Kode Program]],'[1]Breakdown VOWD Greenfield'!$E:$E,'[1]Breakdown VOWD Greenfield'!$AT:$AT)</f>
        <v>735246552</v>
      </c>
      <c r="CY254" s="42"/>
      <c r="CZ254" s="300">
        <v>45901</v>
      </c>
      <c r="DA254" s="300">
        <v>45928</v>
      </c>
      <c r="DB254" s="301">
        <v>45902</v>
      </c>
      <c r="DC254" s="286" t="s">
        <v>1975</v>
      </c>
      <c r="DD254" s="62">
        <v>781549296.50999999</v>
      </c>
      <c r="DE2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4" s="301">
        <v>45915</v>
      </c>
      <c r="DG254" s="286" t="s">
        <v>1976</v>
      </c>
      <c r="DH254" s="62">
        <v>781549296.50999999</v>
      </c>
      <c r="DI2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4" s="300">
        <v>45929</v>
      </c>
      <c r="DK254" s="300">
        <v>45991</v>
      </c>
      <c r="DL254" s="301">
        <v>45918</v>
      </c>
      <c r="DM254" s="286" t="s">
        <v>1977</v>
      </c>
      <c r="DN2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4" s="301">
        <v>45923</v>
      </c>
      <c r="DP254" s="286" t="s">
        <v>1978</v>
      </c>
      <c r="DQ254" s="308" t="s">
        <v>1979</v>
      </c>
      <c r="DR2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4" s="300">
        <v>45929</v>
      </c>
      <c r="DT254" s="300" t="e">
        <v>#N/A</v>
      </c>
      <c r="DU254" s="300">
        <v>45970</v>
      </c>
      <c r="DV254" s="300" t="e">
        <v>#N/A</v>
      </c>
      <c r="DW254" s="301">
        <v>45918</v>
      </c>
      <c r="DX254" s="286" t="s">
        <v>1980</v>
      </c>
      <c r="DY254" s="302">
        <v>24</v>
      </c>
      <c r="DZ254" s="304">
        <v>24</v>
      </c>
      <c r="EA2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4" s="301">
        <v>46002</v>
      </c>
      <c r="EC254" s="302">
        <v>22</v>
      </c>
      <c r="ED254" s="302">
        <v>22</v>
      </c>
      <c r="EE254" s="395" t="s">
        <v>1981</v>
      </c>
      <c r="EF254" s="35">
        <v>1</v>
      </c>
      <c r="EG254" s="307">
        <v>1</v>
      </c>
      <c r="EH254" s="286" t="str">
        <f>IF(Table1[[#This Row],[PO Material Aktual 
(%)]]&gt;=100%,"Selesai PO = 100%",IF(Table1[[#This Row],[PO Material Aktual 
(%)]]&gt;=50%,"Proses PO &gt; 100%",IF(Table1[[#This Row],[PO Material Aktual 
(%)]]&gt;0%,"Proses PO &gt; 50%",IF(Table1[[#This Row],[PO Material Aktual 
(%)]]=0,"Belum PO = 0%"))))</f>
        <v>Selesai PO = 100%</v>
      </c>
      <c r="EI25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4" s="300">
        <v>45971</v>
      </c>
      <c r="EK254" s="300" t="e">
        <v>#N/A</v>
      </c>
      <c r="EL254" s="300">
        <v>46026</v>
      </c>
      <c r="EM254" s="300" t="e">
        <v>#N/A</v>
      </c>
      <c r="EN254" s="301">
        <v>46091</v>
      </c>
      <c r="EO254" s="302">
        <v>21</v>
      </c>
      <c r="EP254" s="286">
        <v>21</v>
      </c>
      <c r="EQ254" s="35">
        <v>0.875</v>
      </c>
      <c r="ER254" s="35">
        <f>Table1[[#This Row],[Line MOS]]/Table1[[#This Row],[Line PR]]</f>
        <v>0.875</v>
      </c>
      <c r="ES254" s="286" t="str">
        <f>IF(Table1[[#This Row],[Progres MOS]]&gt;=100%,"Selesai MOS = 100%",IF(Table1[[#This Row],[Progres MOS]]&gt;=50%,"Proses MOS &gt; 100%",IF(Table1[[#This Row],[Progres MOS]]&gt;0%,"Proses MOS &gt; 50%",IF(Table1[[#This Row],[Progres MOS]]=0,"Belum MOS = 0%"))))</f>
        <v>Proses MOS &gt; 100%</v>
      </c>
      <c r="ET2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4" s="42"/>
      <c r="EV254" s="300">
        <v>45929</v>
      </c>
      <c r="EW254" s="300" t="e">
        <v>#N/A</v>
      </c>
      <c r="EX254" s="300">
        <v>46019</v>
      </c>
      <c r="EY254" s="300" t="e">
        <v>#N/A</v>
      </c>
      <c r="EZ254" s="322" t="s">
        <v>298</v>
      </c>
      <c r="FA254" s="306" t="s">
        <v>259</v>
      </c>
      <c r="FB254" s="300" t="s">
        <v>260</v>
      </c>
      <c r="FC254" s="300">
        <v>45936</v>
      </c>
      <c r="FD254" s="300" t="s">
        <v>260</v>
      </c>
      <c r="FE254" s="300">
        <v>45936</v>
      </c>
      <c r="FF254" s="300">
        <v>45966</v>
      </c>
      <c r="FG254" s="300" t="s">
        <v>260</v>
      </c>
      <c r="FH254" s="300" t="s">
        <v>260</v>
      </c>
      <c r="FI254" s="300">
        <v>46013</v>
      </c>
      <c r="FJ254" s="300" t="s">
        <v>260</v>
      </c>
      <c r="FK254" s="300">
        <v>46142</v>
      </c>
      <c r="FL254" s="306" t="s">
        <v>298</v>
      </c>
      <c r="FM254" s="322">
        <v>45936</v>
      </c>
      <c r="FN254" s="308">
        <f>IF(Table1[[#This Row],[Tanggal Pengajuan Dokumen]]="","",Table1[[#This Row],[PLAN PERMIT
start]]-Table1[[#This Row],[Tanggal Pengajuan Dokumen]])</f>
        <v>-7</v>
      </c>
      <c r="FO254" s="407">
        <v>46097</v>
      </c>
      <c r="FP254" s="286"/>
      <c r="FQ254" s="308"/>
      <c r="FR254" s="308"/>
      <c r="FS254" s="308" t="str">
        <f t="shared" si="11"/>
        <v>Sudah Terbit</v>
      </c>
      <c r="FT2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4" s="314">
        <f ca="1">IF(Table1[[#This Row],[Status Izin]]="Selesai",Table1[[#This Row],[PLAN PERMIT
finish]]-Table1[[#This Row],[Tanggal Terbit/ Target Izin Terbit]],ROUNDUP(Table1[[#This Row],[PLAN PERMIT
finish]]-NOW(),0))</f>
        <v>-78</v>
      </c>
      <c r="FV2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4" s="314"/>
      <c r="FX254" s="42"/>
      <c r="FY254" s="310"/>
      <c r="FZ254" s="311">
        <v>45911</v>
      </c>
      <c r="GA2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4" s="300">
        <v>45993</v>
      </c>
      <c r="GC254" s="322">
        <v>45917</v>
      </c>
      <c r="GD2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4" s="300">
        <v>46000</v>
      </c>
      <c r="GF254" s="322">
        <v>45912</v>
      </c>
      <c r="GG2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4" s="300">
        <v>46006</v>
      </c>
      <c r="GI254" s="300">
        <v>46012</v>
      </c>
      <c r="GJ254" s="322">
        <v>45915</v>
      </c>
      <c r="GK2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4" s="300">
        <v>46020</v>
      </c>
      <c r="GM254" s="300" t="e">
        <v>#N/A</v>
      </c>
      <c r="GN254" s="300">
        <v>46061</v>
      </c>
      <c r="GO254" s="300" t="e">
        <v>#N/A</v>
      </c>
      <c r="GP254" s="300">
        <v>45951</v>
      </c>
      <c r="GQ2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4" s="300" t="s">
        <v>261</v>
      </c>
      <c r="GS254" s="300" t="s">
        <v>261</v>
      </c>
      <c r="GT254" s="324">
        <v>45945</v>
      </c>
      <c r="GU254" s="314" t="str">
        <f>IF(Table1[[#This Row],[Hydro Tes Actual
(tanggal)]]&lt;&gt;"","Sudah","Belum")</f>
        <v>Sudah</v>
      </c>
      <c r="GV254" s="300" t="s">
        <v>261</v>
      </c>
      <c r="GW254" s="300" t="s">
        <v>261</v>
      </c>
      <c r="GX254" s="301">
        <v>45945</v>
      </c>
      <c r="GY254" s="314" t="str">
        <f>IF(Table1[[#This Row],[Interkoneksi Actual
(tanggal)]]&lt;&gt;"","Sudah","Belum")</f>
        <v>Sudah</v>
      </c>
      <c r="GZ254" s="300" t="s">
        <v>261</v>
      </c>
      <c r="HA254" s="300" t="s">
        <v>261</v>
      </c>
      <c r="HB254" s="301">
        <v>45947</v>
      </c>
      <c r="HC254" s="314" t="str">
        <f>IF(Table1[[#This Row],[Flushing Actual
(tanggal)]]&lt;&gt;"","Sudah","Belum")</f>
        <v>Sudah</v>
      </c>
      <c r="HD254" s="300">
        <v>46041</v>
      </c>
      <c r="HE254" s="300" t="e">
        <v>#N/A</v>
      </c>
      <c r="HF254" s="300">
        <v>46054</v>
      </c>
      <c r="HG254" s="408">
        <v>45951</v>
      </c>
      <c r="HH2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4" s="300" t="s">
        <v>261</v>
      </c>
      <c r="HJ254" s="300" t="s">
        <v>261</v>
      </c>
      <c r="HK254" s="301"/>
      <c r="HL254" s="286"/>
      <c r="HM254" s="300">
        <v>46066</v>
      </c>
      <c r="HN254" s="300">
        <v>46066</v>
      </c>
      <c r="HO254" s="300" t="e">
        <v>#N/A</v>
      </c>
      <c r="HP254" s="300"/>
      <c r="HQ254" s="301">
        <v>45954</v>
      </c>
      <c r="HR25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254" s="300">
        <v>46073</v>
      </c>
      <c r="HT254" s="300"/>
      <c r="HU254" s="300">
        <v>46073</v>
      </c>
      <c r="HV254" s="300"/>
      <c r="HW254" s="301">
        <v>46056</v>
      </c>
      <c r="HX25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254" s="42"/>
      <c r="HZ254" s="322" t="s">
        <v>1982</v>
      </c>
      <c r="IA254" s="322"/>
      <c r="IC254" s="585">
        <f>IFERROR(ROUND((Table1[[#This Row],[PLAN TC
finish]]-Table1[[#This Row],[PLAN MC-0
start]])/30,2),"")</f>
        <v>1.6</v>
      </c>
      <c r="ID254">
        <f>DATEDIF(Table1[[#This Row],[PLAN MC-0
start]],Table1[[#This Row],[PLAN TC
finish]],"m")</f>
        <v>1</v>
      </c>
    </row>
    <row r="255" spans="2:238" s="4" customFormat="1" ht="15" customHeight="1" x14ac:dyDescent="0.25">
      <c r="B255" s="281">
        <f>SUBTOTAL(3,$D$5:D255)</f>
        <v>251</v>
      </c>
      <c r="C255" s="286">
        <v>251</v>
      </c>
      <c r="D255" s="308" t="s">
        <v>629</v>
      </c>
      <c r="E255" s="308" t="s">
        <v>1983</v>
      </c>
      <c r="F255" s="308" t="s">
        <v>1984</v>
      </c>
      <c r="G255" s="319">
        <v>46117</v>
      </c>
      <c r="H255" s="308" t="s">
        <v>681</v>
      </c>
      <c r="I255" s="308" t="s">
        <v>278</v>
      </c>
      <c r="J255" s="450" t="s">
        <v>1830</v>
      </c>
      <c r="K255" s="308" t="s">
        <v>915</v>
      </c>
      <c r="L255" s="286" t="s">
        <v>250</v>
      </c>
      <c r="M255" s="325" t="s">
        <v>269</v>
      </c>
      <c r="N255" s="94">
        <v>533</v>
      </c>
      <c r="O255" s="31" t="s">
        <v>252</v>
      </c>
      <c r="P25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5" s="35">
        <v>1</v>
      </c>
      <c r="S255" s="34">
        <v>1</v>
      </c>
      <c r="T255" s="34">
        <f>Table1[[#This Row],[Progres Total Aktual
(%)]]</f>
        <v>1</v>
      </c>
      <c r="U255" s="85">
        <f>Table1[[#This Row],[Progres Aktual
(%)]]-Table1[[#This Row],[Target Progres
(%)]]</f>
        <v>0</v>
      </c>
      <c r="V255" s="75">
        <f>Table1[[#This Row],["Volume
BA MC-0"]]</f>
        <v>533</v>
      </c>
      <c r="W255" s="41">
        <f>Table1[[#This Row],[Total Panjang Pipa Aktual
(Sum-&gt;)3]]</f>
        <v>546</v>
      </c>
      <c r="X255" s="42"/>
      <c r="Y255" s="62" t="s">
        <v>1985</v>
      </c>
      <c r="Z255" s="62">
        <v>815088047</v>
      </c>
      <c r="AA255" s="62">
        <f>ROUND((Table1[[#This Row],[Nilai RAB Jaringan
(Exclude Ppn)]]-Table1[[#This Row],[RAB Perizinan]])*1.11+Table1[[#This Row],[RAB Perizinan]],0)</f>
        <v>815088047</v>
      </c>
      <c r="AB255" s="456">
        <f>SUM(Table1[[#This Row],[RAB Kegiatan Umum]:[RAB Perizinan]])</f>
        <v>734841754</v>
      </c>
      <c r="AC255" s="406">
        <v>53897425</v>
      </c>
      <c r="AD255" s="406">
        <v>538974241</v>
      </c>
      <c r="AE255" s="406">
        <v>136640088</v>
      </c>
      <c r="AF255" s="406">
        <v>5330000</v>
      </c>
      <c r="AG255" s="453">
        <v>105351932</v>
      </c>
      <c r="AH255" s="33">
        <f>SUM(Table1[[#This Row],[Bobot Keg Umum]:[Bobot Perizinan]])</f>
        <v>1</v>
      </c>
      <c r="AI255" s="33">
        <f>Table1[[#This Row],[RAB Kegiatan Umum]]/Table1[[#This Row],[Nilai RAB Jaringan
(Exclude Ppn)]]</f>
        <v>7.3345621294132399E-2</v>
      </c>
      <c r="AJ255" s="33">
        <f>Table1[[#This Row],[RAB Pemasangan]]/Table1[[#This Row],[Nilai RAB Jaringan
(Exclude Ppn)]]</f>
        <v>0.73345620069378914</v>
      </c>
      <c r="AK255" s="33">
        <f>Table1[[#This Row],[RAB Pengadaan]]/Table1[[#This Row],[Nilai RAB Jaringan
(Exclude Ppn)]]</f>
        <v>0.18594491569949631</v>
      </c>
      <c r="AL255" s="33">
        <f>Table1[[#This Row],[RAB Perizinan]]/Table1[[#This Row],[Nilai RAB Jaringan
(Exclude Ppn)]]</f>
        <v>7.2532623125821996E-3</v>
      </c>
      <c r="AM255" s="42"/>
      <c r="AN255" s="256">
        <v>533</v>
      </c>
      <c r="AO255" s="256">
        <f>SUM(Table1[[#This Row],[Pipa 63 mm]:[Pipa 1,800 mm]])</f>
        <v>534</v>
      </c>
      <c r="AP255" s="256">
        <v>534</v>
      </c>
      <c r="AQ255" s="256"/>
      <c r="AR255" s="256"/>
      <c r="AS255" s="256"/>
      <c r="AT255" s="256"/>
      <c r="AU255" s="256"/>
      <c r="AV255" s="256"/>
      <c r="AW255" s="256"/>
      <c r="AX255" s="256"/>
      <c r="AY255" s="256"/>
      <c r="AZ255" s="256"/>
      <c r="BA255" s="256"/>
      <c r="BB255" s="256"/>
      <c r="BC255" s="256"/>
      <c r="BD255" s="256"/>
      <c r="BE255" s="256"/>
      <c r="BF255" s="256"/>
      <c r="BG255" s="256"/>
      <c r="BH255" s="256"/>
      <c r="BI255" s="256"/>
      <c r="BJ255" s="36">
        <f>SUM(Table1[[#This Row],[Pipa 63 mm2]:[Pipa 1,800 mm21]])</f>
        <v>546</v>
      </c>
      <c r="BK255" s="32">
        <v>546</v>
      </c>
      <c r="BL255" s="32"/>
      <c r="BM255" s="32"/>
      <c r="BN255" s="32"/>
      <c r="BO255" s="32"/>
      <c r="BP255" s="32"/>
      <c r="BQ255" s="32"/>
      <c r="BR255" s="32"/>
      <c r="BS255" s="32"/>
      <c r="BT255" s="32"/>
      <c r="BU255" s="32"/>
      <c r="BV255" s="32"/>
      <c r="BW255" s="32"/>
      <c r="BX255" s="32"/>
      <c r="BY255" s="32"/>
      <c r="BZ255" s="32"/>
      <c r="CA255" s="32"/>
      <c r="CB255" s="32"/>
      <c r="CC255" s="32"/>
      <c r="CD255" s="32"/>
      <c r="CE255" s="32">
        <v>0</v>
      </c>
      <c r="CF255" s="32"/>
      <c r="CG255" s="32"/>
      <c r="CH255" s="32"/>
      <c r="CI255" s="32">
        <f t="shared" ref="CI255:CI286" si="13">SUM(CE255:CH255)</f>
        <v>0</v>
      </c>
      <c r="CJ255" s="60">
        <f>IF((Table1[[#This Row],["Volume
BA MC-0"]]-Table1[[#This Row],[Total Panjang Pipa Aktual
(Sum-&gt;)3]]-Table1[[#This Row],[Total Volume
tidak dapat dipasang]])&gt;=0,Table1[[#This Row],["Volume
BA MC-0"]]-Table1[[#This Row],[Total Panjang Pipa Aktual
(Sum-&gt;)3]]-Table1[[#This Row],[Total Volume
tidak dapat dipasang]],0)</f>
        <v>0</v>
      </c>
      <c r="CK255" s="42"/>
      <c r="CL255" s="454" t="s">
        <v>1821</v>
      </c>
      <c r="CM255" s="34" t="s">
        <v>1821</v>
      </c>
      <c r="CN255" s="454" t="s">
        <v>1821</v>
      </c>
      <c r="CO255" s="454" t="s">
        <v>1821</v>
      </c>
      <c r="CP2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5" s="61">
        <f>IFERROR(Table1[[#This Row],[Progres Keg. Umum
(%)]]*Table1[[#This Row],[Nilai RAB Jaringan
(file pa aji)]],0)</f>
        <v>0</v>
      </c>
      <c r="CR255" s="61">
        <f>IFERROR(Table1[[#This Row],[Progres MOS
(%)]]*Table1[[#This Row],[Nilai RAB Jaringan
(file pa aji)]],0)</f>
        <v>0</v>
      </c>
      <c r="CS255" s="61">
        <f>IFERROR(Table1[[#This Row],[Progres Pemasangan
(%)]]*Table1[[#This Row],[Nilai RAB Jaringan
(file pa aji)]],0)</f>
        <v>0</v>
      </c>
      <c r="CT255" s="61">
        <f>IFERROR(Table1[[#This Row],[Progres Perizinan
(%)]]*Table1[[#This Row],[Nilai RAB Jaringan
(file pa aji)]],0)</f>
        <v>0</v>
      </c>
      <c r="CU255" s="789">
        <v>691644951</v>
      </c>
      <c r="CV255" s="299">
        <v>691644951</v>
      </c>
      <c r="CW255" s="552">
        <v>691644951</v>
      </c>
      <c r="CX255" s="789">
        <f>_xlfn.XLOOKUP(Table1[[#This Row],[Kode Program]],'[1]Breakdown VOWD Greenfield'!$E:$E,'[1]Breakdown VOWD Greenfield'!$AT:$AT)</f>
        <v>691644951</v>
      </c>
      <c r="CY255" s="42"/>
      <c r="CZ255" s="300">
        <v>45775</v>
      </c>
      <c r="DA255" s="300">
        <v>45802</v>
      </c>
      <c r="DB255" s="301">
        <v>45784</v>
      </c>
      <c r="DC255" s="286" t="s">
        <v>1986</v>
      </c>
      <c r="DD255" s="62">
        <v>815088048</v>
      </c>
      <c r="DE2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5" s="301">
        <v>45798</v>
      </c>
      <c r="DG255" s="286" t="s">
        <v>1987</v>
      </c>
      <c r="DH255" s="62">
        <v>815088048</v>
      </c>
      <c r="DI2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5" s="300">
        <v>45803</v>
      </c>
      <c r="DK255" s="300">
        <v>45872</v>
      </c>
      <c r="DL255" s="301">
        <v>45855</v>
      </c>
      <c r="DM255" s="286" t="s">
        <v>1988</v>
      </c>
      <c r="DN2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5" s="301">
        <v>45880</v>
      </c>
      <c r="DP255" s="286" t="s">
        <v>1989</v>
      </c>
      <c r="DQ255" s="308" t="s">
        <v>1937</v>
      </c>
      <c r="DR2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5" s="300">
        <v>45803</v>
      </c>
      <c r="DT255" s="300" t="e">
        <v>#N/A</v>
      </c>
      <c r="DU255" s="300">
        <v>45844</v>
      </c>
      <c r="DV255" s="300" t="e">
        <v>#N/A</v>
      </c>
      <c r="DW255" s="301">
        <v>45855</v>
      </c>
      <c r="DX255" s="286" t="s">
        <v>1990</v>
      </c>
      <c r="DY255" s="302">
        <v>26</v>
      </c>
      <c r="DZ255" s="304">
        <v>26</v>
      </c>
      <c r="EA2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5" s="301">
        <v>46006</v>
      </c>
      <c r="EC255" s="302">
        <v>24</v>
      </c>
      <c r="ED255" s="302">
        <v>24</v>
      </c>
      <c r="EE255" s="300" t="s">
        <v>1991</v>
      </c>
      <c r="EF255" s="35">
        <v>0.92307692307692313</v>
      </c>
      <c r="EG255" s="35">
        <f>Table1[[#This Row],[Line PO (kolom  bantu)2]]/Table1[[#This Row],[Line PR]]</f>
        <v>0.92307692307692313</v>
      </c>
      <c r="EH255" s="286" t="str">
        <f>IF(Table1[[#This Row],[PO Material Aktual 
(%)]]&gt;=100%,"Selesai PO = 100%",IF(Table1[[#This Row],[PO Material Aktual 
(%)]]&gt;=50%,"Proses PO &gt; 100%",IF(Table1[[#This Row],[PO Material Aktual 
(%)]]&gt;0%,"Proses PO &gt; 50%",IF(Table1[[#This Row],[PO Material Aktual 
(%)]]=0,"Belum PO = 0%"))))</f>
        <v>Proses PO &gt; 100%</v>
      </c>
      <c r="EI25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5" s="300">
        <v>45845</v>
      </c>
      <c r="EK255" s="300" t="e">
        <v>#N/A</v>
      </c>
      <c r="EL255" s="300">
        <v>45900</v>
      </c>
      <c r="EM255" s="300" t="e">
        <v>#N/A</v>
      </c>
      <c r="EN255" s="301">
        <v>46151</v>
      </c>
      <c r="EO255" s="302">
        <v>23</v>
      </c>
      <c r="EP255" s="286">
        <v>23</v>
      </c>
      <c r="EQ255" s="35">
        <v>0.88461538461538458</v>
      </c>
      <c r="ER255" s="35">
        <f>Table1[[#This Row],[Line MOS]]/Table1[[#This Row],[Line PR]]</f>
        <v>0.88461538461538458</v>
      </c>
      <c r="ES255" s="286" t="str">
        <f>IF(Table1[[#This Row],[Progres MOS]]&gt;=100%,"Selesai MOS = 100%",IF(Table1[[#This Row],[Progres MOS]]&gt;=50%,"Proses MOS &gt; 100%",IF(Table1[[#This Row],[Progres MOS]]&gt;0%,"Proses MOS &gt; 50%",IF(Table1[[#This Row],[Progres MOS]]=0,"Belum MOS = 0%"))))</f>
        <v>Proses MOS &gt; 100%</v>
      </c>
      <c r="ET2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5" s="42"/>
      <c r="EV255" s="300">
        <v>45803</v>
      </c>
      <c r="EW255" s="300" t="e">
        <v>#N/A</v>
      </c>
      <c r="EX255" s="300">
        <v>45900</v>
      </c>
      <c r="EY255" s="300" t="e">
        <v>#N/A</v>
      </c>
      <c r="EZ255" s="322" t="s">
        <v>298</v>
      </c>
      <c r="FA255" s="306" t="s">
        <v>259</v>
      </c>
      <c r="FB255" s="300" t="s">
        <v>260</v>
      </c>
      <c r="FC255" s="300">
        <v>45839</v>
      </c>
      <c r="FD255" s="300" t="s">
        <v>260</v>
      </c>
      <c r="FE255" s="300">
        <v>45922</v>
      </c>
      <c r="FF255" s="300">
        <v>45937</v>
      </c>
      <c r="FG255" s="300" t="s">
        <v>260</v>
      </c>
      <c r="FH255" s="300" t="s">
        <v>260</v>
      </c>
      <c r="FI255" s="300">
        <v>46003</v>
      </c>
      <c r="FJ255" s="300" t="s">
        <v>260</v>
      </c>
      <c r="FK255" s="300">
        <v>46098</v>
      </c>
      <c r="FL255" s="306" t="s">
        <v>298</v>
      </c>
      <c r="FM255" s="322">
        <v>45839</v>
      </c>
      <c r="FN255" s="308">
        <f>IF(Table1[[#This Row],[Tanggal Pengajuan Dokumen]]="","",Table1[[#This Row],[PLAN PERMIT
start]]-Table1[[#This Row],[Tanggal Pengajuan Dokumen]])</f>
        <v>-36</v>
      </c>
      <c r="FO255" s="407">
        <v>46086</v>
      </c>
      <c r="FP255" s="286"/>
      <c r="FQ255" s="308"/>
      <c r="FR255" s="308"/>
      <c r="FS255" s="308" t="str">
        <f t="shared" si="11"/>
        <v>Sudah Terbit</v>
      </c>
      <c r="FT2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5" s="314">
        <f ca="1">IF(Table1[[#This Row],[Status Izin]]="Selesai",Table1[[#This Row],[PLAN PERMIT
finish]]-Table1[[#This Row],[Tanggal Terbit/ Target Izin Terbit]],ROUNDUP(Table1[[#This Row],[PLAN PERMIT
finish]]-NOW(),0))</f>
        <v>-186</v>
      </c>
      <c r="FV2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5" s="314"/>
      <c r="FX255" s="42"/>
      <c r="FY255" s="310"/>
      <c r="FZ255" s="311">
        <v>45884</v>
      </c>
      <c r="GA2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5" s="300">
        <v>45874</v>
      </c>
      <c r="GC255" s="322">
        <v>45665</v>
      </c>
      <c r="GD2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5" s="300">
        <v>45881</v>
      </c>
      <c r="GF255" s="322">
        <v>45665</v>
      </c>
      <c r="GG2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5" s="300">
        <v>45887</v>
      </c>
      <c r="GI255" s="300">
        <v>45893</v>
      </c>
      <c r="GJ255" s="322">
        <v>45877</v>
      </c>
      <c r="GK2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5" s="300">
        <v>45901</v>
      </c>
      <c r="GM255" s="300" t="e">
        <v>#N/A</v>
      </c>
      <c r="GN255" s="300">
        <v>45942</v>
      </c>
      <c r="GO255" s="300" t="e">
        <v>#N/A</v>
      </c>
      <c r="GP255" s="300">
        <v>45959</v>
      </c>
      <c r="GQ2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Delay</v>
      </c>
      <c r="GR255" s="300" t="s">
        <v>261</v>
      </c>
      <c r="GS255" s="300" t="s">
        <v>261</v>
      </c>
      <c r="GT255" s="324">
        <v>45915</v>
      </c>
      <c r="GU255" s="314" t="str">
        <f>IF(Table1[[#This Row],[Hydro Tes Actual
(tanggal)]]&lt;&gt;"","Sudah","Belum")</f>
        <v>Sudah</v>
      </c>
      <c r="GV255" s="300" t="s">
        <v>261</v>
      </c>
      <c r="GW255" s="300" t="s">
        <v>261</v>
      </c>
      <c r="GX255" s="301">
        <v>45953</v>
      </c>
      <c r="GY255" s="314" t="str">
        <f>IF(Table1[[#This Row],[Interkoneksi Actual
(tanggal)]]&lt;&gt;"","Sudah","Belum")</f>
        <v>Sudah</v>
      </c>
      <c r="GZ255" s="300" t="s">
        <v>261</v>
      </c>
      <c r="HA255" s="300" t="s">
        <v>261</v>
      </c>
      <c r="HB255" s="301">
        <v>45938</v>
      </c>
      <c r="HC255" s="314" t="str">
        <f>IF(Table1[[#This Row],[Flushing Actual
(tanggal)]]&lt;&gt;"","Sudah","Belum")</f>
        <v>Sudah</v>
      </c>
      <c r="HD255" s="300">
        <v>45922</v>
      </c>
      <c r="HE255" s="300" t="e">
        <v>#N/A</v>
      </c>
      <c r="HF255" s="300">
        <v>45935</v>
      </c>
      <c r="HG255" s="322">
        <v>45959</v>
      </c>
      <c r="HH2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5" s="300" t="s">
        <v>261</v>
      </c>
      <c r="HJ255" s="300" t="s">
        <v>261</v>
      </c>
      <c r="HK255" s="301"/>
      <c r="HL255" s="286"/>
      <c r="HM255" s="300">
        <v>45947</v>
      </c>
      <c r="HN255" s="300">
        <v>45947</v>
      </c>
      <c r="HO255" s="300" t="e">
        <v>#N/A</v>
      </c>
      <c r="HP255" s="300"/>
      <c r="HQ255" s="301">
        <v>45973</v>
      </c>
      <c r="HR25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5" s="300">
        <v>45954</v>
      </c>
      <c r="HT255" s="300"/>
      <c r="HU255" s="300">
        <v>45954</v>
      </c>
      <c r="HV255" s="300"/>
      <c r="HW255" s="301">
        <v>46056</v>
      </c>
      <c r="HX25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5" s="42"/>
      <c r="HZ255" s="322"/>
      <c r="IA255" s="322"/>
      <c r="IC255" s="585">
        <f>IFERROR(ROUND((Table1[[#This Row],[PLAN TC
finish]]-Table1[[#This Row],[PLAN MC-0
start]])/30,2),"")</f>
        <v>1.6</v>
      </c>
      <c r="ID255">
        <f>DATEDIF(Table1[[#This Row],[PLAN MC-0
start]],Table1[[#This Row],[PLAN TC
finish]],"m")</f>
        <v>1</v>
      </c>
    </row>
    <row r="256" spans="2:238" s="4" customFormat="1" ht="15" customHeight="1" x14ac:dyDescent="0.25">
      <c r="B256" s="281">
        <f>SUBTOTAL(3,$D$5:D256)</f>
        <v>252</v>
      </c>
      <c r="C256" s="286">
        <v>252</v>
      </c>
      <c r="D256" s="308" t="s">
        <v>629</v>
      </c>
      <c r="E256" s="308" t="s">
        <v>1992</v>
      </c>
      <c r="F256" s="308" t="s">
        <v>1993</v>
      </c>
      <c r="G256" s="319">
        <v>46117</v>
      </c>
      <c r="H256" s="308" t="s">
        <v>681</v>
      </c>
      <c r="I256" s="308" t="s">
        <v>278</v>
      </c>
      <c r="J256" s="450" t="s">
        <v>1830</v>
      </c>
      <c r="K256" s="308" t="s">
        <v>915</v>
      </c>
      <c r="L256" s="286" t="s">
        <v>250</v>
      </c>
      <c r="M256" s="325" t="s">
        <v>269</v>
      </c>
      <c r="N256" s="94">
        <v>1084</v>
      </c>
      <c r="O256" s="31" t="s">
        <v>252</v>
      </c>
      <c r="P25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6" s="35">
        <v>0.99999999999999978</v>
      </c>
      <c r="S256" s="34">
        <v>1</v>
      </c>
      <c r="T256" s="34">
        <f>Table1[[#This Row],[Progres Total Aktual
(%)]]</f>
        <v>1</v>
      </c>
      <c r="U256" s="85">
        <f>Table1[[#This Row],[Progres Aktual
(%)]]-Table1[[#This Row],[Target Progres
(%)]]</f>
        <v>0</v>
      </c>
      <c r="V256" s="75">
        <f>Table1[[#This Row],["Volume
BA MC-0"]]</f>
        <v>1084</v>
      </c>
      <c r="W256" s="41">
        <f>Table1[[#This Row],[Total Panjang Pipa Aktual
(Sum-&gt;)3]]</f>
        <v>978.9</v>
      </c>
      <c r="X256" s="42"/>
      <c r="Y256" s="62" t="s">
        <v>1994</v>
      </c>
      <c r="Z256" s="62">
        <v>1276087245</v>
      </c>
      <c r="AA256" s="62">
        <f>ROUND((Table1[[#This Row],[Nilai RAB Jaringan
(Exclude Ppn)]]-Table1[[#This Row],[RAB Perizinan]])*1.11+Table1[[#This Row],[RAB Perizinan]],0)</f>
        <v>1276087244</v>
      </c>
      <c r="AB256" s="456">
        <f>SUM(Table1[[#This Row],[RAB Kegiatan Umum]:[RAB Perizinan]])</f>
        <v>1150708328</v>
      </c>
      <c r="AC256" s="406">
        <v>86209779</v>
      </c>
      <c r="AD256" s="406">
        <v>862097789</v>
      </c>
      <c r="AE256" s="406">
        <v>191500760</v>
      </c>
      <c r="AF256" s="406">
        <v>10900000</v>
      </c>
      <c r="AG256" s="453">
        <v>105351932</v>
      </c>
      <c r="AH256" s="33">
        <f>SUM(Table1[[#This Row],[Bobot Keg Umum]:[Bobot Perizinan]])</f>
        <v>1</v>
      </c>
      <c r="AI256" s="33">
        <f>Table1[[#This Row],[RAB Kegiatan Umum]]/Table1[[#This Row],[Nilai RAB Jaringan
(Exclude Ppn)]]</f>
        <v>7.4918879877959824E-2</v>
      </c>
      <c r="AJ256" s="33">
        <f>Table1[[#This Row],[RAB Pemasangan]]/Table1[[#This Row],[Nilai RAB Jaringan
(Exclude Ppn)]]</f>
        <v>0.74918879791056836</v>
      </c>
      <c r="AK256" s="33">
        <f>Table1[[#This Row],[RAB Pengadaan]]/Table1[[#This Row],[Nilai RAB Jaringan
(Exclude Ppn)]]</f>
        <v>0.16641989576354227</v>
      </c>
      <c r="AL256" s="33">
        <f>Table1[[#This Row],[RAB Perizinan]]/Table1[[#This Row],[Nilai RAB Jaringan
(Exclude Ppn)]]</f>
        <v>9.4724264479295571E-3</v>
      </c>
      <c r="AM256" s="42"/>
      <c r="AN256" s="256">
        <v>1084</v>
      </c>
      <c r="AO256" s="256">
        <f>SUM(Table1[[#This Row],[Pipa 63 mm]:[Pipa 1,800 mm]])</f>
        <v>1095</v>
      </c>
      <c r="AP256" s="256">
        <v>494</v>
      </c>
      <c r="AQ256" s="256"/>
      <c r="AR256" s="256">
        <v>601</v>
      </c>
      <c r="AS256" s="256"/>
      <c r="AT256" s="256"/>
      <c r="AU256" s="256"/>
      <c r="AV256" s="256"/>
      <c r="AW256" s="256"/>
      <c r="AX256" s="256"/>
      <c r="AY256" s="256"/>
      <c r="AZ256" s="256"/>
      <c r="BA256" s="256"/>
      <c r="BB256" s="256"/>
      <c r="BC256" s="256"/>
      <c r="BD256" s="256"/>
      <c r="BE256" s="256"/>
      <c r="BF256" s="256"/>
      <c r="BG256" s="256"/>
      <c r="BH256" s="256"/>
      <c r="BI256" s="256"/>
      <c r="BJ256" s="36">
        <f>SUM(Table1[[#This Row],[Pipa 63 mm2]:[Pipa 1,800 mm21]])</f>
        <v>978.9</v>
      </c>
      <c r="BK256" s="32">
        <v>337.4</v>
      </c>
      <c r="BL256" s="32">
        <v>641.5</v>
      </c>
      <c r="BM256" s="32"/>
      <c r="BN256" s="32"/>
      <c r="BO256" s="32"/>
      <c r="BP256" s="32"/>
      <c r="BQ256" s="32"/>
      <c r="BR256" s="32"/>
      <c r="BS256" s="32"/>
      <c r="BT256" s="32"/>
      <c r="BU256" s="32"/>
      <c r="BV256" s="32"/>
      <c r="BW256" s="32"/>
      <c r="BX256" s="32"/>
      <c r="BY256" s="32"/>
      <c r="BZ256" s="32"/>
      <c r="CA256" s="32"/>
      <c r="CB256" s="32"/>
      <c r="CC256" s="32"/>
      <c r="CD256" s="32"/>
      <c r="CE256" s="32">
        <v>0</v>
      </c>
      <c r="CF256" s="32"/>
      <c r="CG256" s="32"/>
      <c r="CH256" s="32"/>
      <c r="CI256" s="32">
        <f t="shared" si="13"/>
        <v>0</v>
      </c>
      <c r="CJ256" s="60">
        <f>IF((Table1[[#This Row],["Volume
BA MC-0"]]-Table1[[#This Row],[Total Panjang Pipa Aktual
(Sum-&gt;)3]]-Table1[[#This Row],[Total Volume
tidak dapat dipasang]])&gt;=0,Table1[[#This Row],["Volume
BA MC-0"]]-Table1[[#This Row],[Total Panjang Pipa Aktual
(Sum-&gt;)3]]-Table1[[#This Row],[Total Volume
tidak dapat dipasang]],0)</f>
        <v>105.10000000000002</v>
      </c>
      <c r="CK256" s="42"/>
      <c r="CL256" s="454" t="s">
        <v>1821</v>
      </c>
      <c r="CM256" s="34" t="s">
        <v>1821</v>
      </c>
      <c r="CN256" s="454" t="s">
        <v>1821</v>
      </c>
      <c r="CO256" s="454" t="s">
        <v>1821</v>
      </c>
      <c r="CP2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6" s="61">
        <f>IFERROR(Table1[[#This Row],[Progres Keg. Umum
(%)]]*Table1[[#This Row],[Nilai RAB Jaringan
(file pa aji)]],0)</f>
        <v>0</v>
      </c>
      <c r="CR256" s="61">
        <f>IFERROR(Table1[[#This Row],[Progres MOS
(%)]]*Table1[[#This Row],[Nilai RAB Jaringan
(file pa aji)]],0)</f>
        <v>0</v>
      </c>
      <c r="CS256" s="61">
        <f>IFERROR(Table1[[#This Row],[Progres Pemasangan
(%)]]*Table1[[#This Row],[Nilai RAB Jaringan
(file pa aji)]],0)</f>
        <v>0</v>
      </c>
      <c r="CT256" s="61">
        <f>IFERROR(Table1[[#This Row],[Progres Perizinan
(%)]]*Table1[[#This Row],[Nilai RAB Jaringan
(file pa aji)]],0)</f>
        <v>0</v>
      </c>
      <c r="CU256" s="789">
        <v>1244656384</v>
      </c>
      <c r="CV256" s="299">
        <v>1244656384</v>
      </c>
      <c r="CW256" s="299">
        <v>1244656384</v>
      </c>
      <c r="CX256" s="789">
        <f>_xlfn.XLOOKUP(Table1[[#This Row],[Kode Program]],'[1]Breakdown VOWD Greenfield'!$E:$E,'[1]Breakdown VOWD Greenfield'!$AT:$AT)</f>
        <v>1244656384</v>
      </c>
      <c r="CY256" s="42"/>
      <c r="CZ256" s="300">
        <v>45775</v>
      </c>
      <c r="DA256" s="300">
        <v>45802</v>
      </c>
      <c r="DB256" s="301">
        <v>45923</v>
      </c>
      <c r="DC256" s="286" t="s">
        <v>1995</v>
      </c>
      <c r="DD256" s="62">
        <v>1265187245</v>
      </c>
      <c r="DE2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56" s="301">
        <v>45940</v>
      </c>
      <c r="DG256" s="286" t="s">
        <v>1996</v>
      </c>
      <c r="DH256" s="62">
        <v>1265187245</v>
      </c>
      <c r="DI2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256" s="300">
        <v>45803</v>
      </c>
      <c r="DK256" s="300">
        <v>45872</v>
      </c>
      <c r="DL256" s="301">
        <v>45866</v>
      </c>
      <c r="DM256" s="286" t="s">
        <v>1997</v>
      </c>
      <c r="DN2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6" s="301">
        <v>45880</v>
      </c>
      <c r="DP256" s="286" t="s">
        <v>1998</v>
      </c>
      <c r="DQ256" s="308" t="s">
        <v>1937</v>
      </c>
      <c r="DR2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6" s="300">
        <v>45803</v>
      </c>
      <c r="DT256" s="300" t="e">
        <v>#N/A</v>
      </c>
      <c r="DU256" s="300">
        <v>45844</v>
      </c>
      <c r="DV256" s="300" t="e">
        <v>#N/A</v>
      </c>
      <c r="DW256" s="301">
        <v>45867</v>
      </c>
      <c r="DX256" s="286" t="s">
        <v>1999</v>
      </c>
      <c r="DY256" s="302">
        <v>37</v>
      </c>
      <c r="DZ256" s="304">
        <v>37</v>
      </c>
      <c r="EA2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6" s="301">
        <v>46006</v>
      </c>
      <c r="EC256" s="302">
        <v>29</v>
      </c>
      <c r="ED256" s="302">
        <v>29</v>
      </c>
      <c r="EE256" s="117" t="s">
        <v>2000</v>
      </c>
      <c r="EF256" s="35">
        <v>1</v>
      </c>
      <c r="EG256" s="307">
        <v>1</v>
      </c>
      <c r="EH256" s="286" t="str">
        <f>IF(Table1[[#This Row],[PO Material Aktual 
(%)]]&gt;=100%,"Selesai PO = 100%",IF(Table1[[#This Row],[PO Material Aktual 
(%)]]&gt;=50%,"Proses PO &gt; 100%",IF(Table1[[#This Row],[PO Material Aktual 
(%)]]&gt;0%,"Proses PO &gt; 50%",IF(Table1[[#This Row],[PO Material Aktual 
(%)]]=0,"Belum PO = 0%"))))</f>
        <v>Selesai PO = 100%</v>
      </c>
      <c r="EI25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6" s="300">
        <v>45845</v>
      </c>
      <c r="EK256" s="300" t="e">
        <v>#N/A</v>
      </c>
      <c r="EL256" s="300">
        <v>45900</v>
      </c>
      <c r="EM256" s="300" t="e">
        <v>#N/A</v>
      </c>
      <c r="EN256" s="301">
        <v>46093</v>
      </c>
      <c r="EO256" s="302">
        <v>27</v>
      </c>
      <c r="EP256" s="286">
        <v>27</v>
      </c>
      <c r="EQ256" s="35">
        <v>0.72972972972972971</v>
      </c>
      <c r="ER256" s="35">
        <f>Table1[[#This Row],[Line MOS]]/Table1[[#This Row],[Line PR]]</f>
        <v>0.72972972972972971</v>
      </c>
      <c r="ES256" s="286" t="str">
        <f>IF(Table1[[#This Row],[Progres MOS]]&gt;=100%,"Selesai MOS = 100%",IF(Table1[[#This Row],[Progres MOS]]&gt;=50%,"Proses MOS &gt; 100%",IF(Table1[[#This Row],[Progres MOS]]&gt;0%,"Proses MOS &gt; 50%",IF(Table1[[#This Row],[Progres MOS]]=0,"Belum MOS = 0%"))))</f>
        <v>Proses MOS &gt; 100%</v>
      </c>
      <c r="ET2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6" s="42"/>
      <c r="EV256" s="300">
        <v>45803</v>
      </c>
      <c r="EW256" s="300" t="e">
        <v>#N/A</v>
      </c>
      <c r="EX256" s="300">
        <v>45900</v>
      </c>
      <c r="EY256" s="300" t="e">
        <v>#N/A</v>
      </c>
      <c r="EZ256" s="322" t="s">
        <v>298</v>
      </c>
      <c r="FA256" s="306" t="s">
        <v>259</v>
      </c>
      <c r="FB256" s="300" t="s">
        <v>260</v>
      </c>
      <c r="FC256" s="300">
        <v>45839</v>
      </c>
      <c r="FD256" s="300" t="s">
        <v>260</v>
      </c>
      <c r="FE256" s="300">
        <v>45922</v>
      </c>
      <c r="FF256" s="300">
        <v>45937</v>
      </c>
      <c r="FG256" s="300" t="s">
        <v>260</v>
      </c>
      <c r="FH256" s="300" t="s">
        <v>260</v>
      </c>
      <c r="FI256" s="300">
        <v>46022</v>
      </c>
      <c r="FJ256" s="300" t="s">
        <v>260</v>
      </c>
      <c r="FK256" s="300">
        <v>46098</v>
      </c>
      <c r="FL256" s="306" t="s">
        <v>298</v>
      </c>
      <c r="FM256" s="322">
        <v>45839</v>
      </c>
      <c r="FN256" s="308">
        <f>IF(Table1[[#This Row],[Tanggal Pengajuan Dokumen]]="","",Table1[[#This Row],[PLAN PERMIT
start]]-Table1[[#This Row],[Tanggal Pengajuan Dokumen]])</f>
        <v>-36</v>
      </c>
      <c r="FO256" s="407">
        <v>46086</v>
      </c>
      <c r="FP256" s="286"/>
      <c r="FQ256" s="308"/>
      <c r="FR256" s="308"/>
      <c r="FS256" s="308" t="str">
        <f t="shared" si="11"/>
        <v>Sudah Terbit</v>
      </c>
      <c r="FT2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6" s="314">
        <f ca="1">IF(Table1[[#This Row],[Status Izin]]="Selesai",Table1[[#This Row],[PLAN PERMIT
finish]]-Table1[[#This Row],[Tanggal Terbit/ Target Izin Terbit]],ROUNDUP(Table1[[#This Row],[PLAN PERMIT
finish]]-NOW(),0))</f>
        <v>-186</v>
      </c>
      <c r="FV2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6" s="314"/>
      <c r="FX256" s="42"/>
      <c r="FY256" s="310"/>
      <c r="FZ256" s="311">
        <v>45884</v>
      </c>
      <c r="GA2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6" s="300">
        <v>45874</v>
      </c>
      <c r="GC256" s="322">
        <v>45665</v>
      </c>
      <c r="GD2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6" s="300">
        <v>45881</v>
      </c>
      <c r="GF256" s="322">
        <v>45665</v>
      </c>
      <c r="GG2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6" s="300">
        <v>45887</v>
      </c>
      <c r="GI256" s="300">
        <v>45893</v>
      </c>
      <c r="GJ256" s="322">
        <v>45877</v>
      </c>
      <c r="GK2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6" s="300">
        <v>45901</v>
      </c>
      <c r="GM256" s="300" t="e">
        <v>#N/A</v>
      </c>
      <c r="GN256" s="300">
        <v>45942</v>
      </c>
      <c r="GO256" s="300" t="e">
        <v>#N/A</v>
      </c>
      <c r="GP256" s="300"/>
      <c r="GQ2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6" s="300" t="s">
        <v>261</v>
      </c>
      <c r="GS256" s="300" t="s">
        <v>261</v>
      </c>
      <c r="GT256" s="324">
        <v>45965</v>
      </c>
      <c r="GU256" s="314" t="str">
        <f>IF(Table1[[#This Row],[Hydro Tes Actual
(tanggal)]]&lt;&gt;"","Sudah","Belum")</f>
        <v>Sudah</v>
      </c>
      <c r="GV256" s="300" t="s">
        <v>261</v>
      </c>
      <c r="GW256" s="300" t="s">
        <v>261</v>
      </c>
      <c r="GX256" s="301">
        <v>45967</v>
      </c>
      <c r="GY256" s="314" t="str">
        <f>IF(Table1[[#This Row],[Interkoneksi Actual
(tanggal)]]&lt;&gt;"","Sudah","Belum")</f>
        <v>Sudah</v>
      </c>
      <c r="GZ256" s="300" t="s">
        <v>261</v>
      </c>
      <c r="HA256" s="300" t="s">
        <v>261</v>
      </c>
      <c r="HB256" s="301">
        <v>45971</v>
      </c>
      <c r="HC256" s="314" t="str">
        <f>IF(Table1[[#This Row],[Flushing Actual
(tanggal)]]&lt;&gt;"","Sudah","Belum")</f>
        <v>Sudah</v>
      </c>
      <c r="HD256" s="300">
        <v>45922</v>
      </c>
      <c r="HE256" s="300" t="e">
        <v>#N/A</v>
      </c>
      <c r="HF256" s="300">
        <v>45935</v>
      </c>
      <c r="HG256" s="322">
        <v>45985</v>
      </c>
      <c r="HH2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6" s="300" t="s">
        <v>261</v>
      </c>
      <c r="HJ256" s="300" t="s">
        <v>261</v>
      </c>
      <c r="HK256" s="301"/>
      <c r="HL256" s="286"/>
      <c r="HM256" s="300">
        <v>45947</v>
      </c>
      <c r="HN256" s="300">
        <v>45947</v>
      </c>
      <c r="HO256" s="300" t="e">
        <v>#N/A</v>
      </c>
      <c r="HP256" s="300"/>
      <c r="HQ256" s="301">
        <v>46066</v>
      </c>
      <c r="HR25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6" s="300">
        <v>45954</v>
      </c>
      <c r="HT256" s="300"/>
      <c r="HU256" s="300">
        <v>45954</v>
      </c>
      <c r="HV256" s="300"/>
      <c r="HW256" s="301">
        <v>46078</v>
      </c>
      <c r="HX25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6" s="42"/>
      <c r="HZ256" s="322"/>
      <c r="IA256" s="322"/>
      <c r="IC256" s="585">
        <f>IFERROR(ROUND((Table1[[#This Row],[PLAN TC
finish]]-Table1[[#This Row],[PLAN MC-0
start]])/30,2),"")</f>
        <v>1.6</v>
      </c>
      <c r="ID256">
        <f>DATEDIF(Table1[[#This Row],[PLAN MC-0
start]],Table1[[#This Row],[PLAN TC
finish]],"m")</f>
        <v>1</v>
      </c>
    </row>
    <row r="257" spans="1:238" s="4" customFormat="1" ht="15" customHeight="1" x14ac:dyDescent="0.25">
      <c r="B257" s="281">
        <f>SUBTOTAL(3,$D$5:D257)</f>
        <v>253</v>
      </c>
      <c r="C257" s="286">
        <v>253</v>
      </c>
      <c r="D257" s="308" t="s">
        <v>629</v>
      </c>
      <c r="E257" s="308" t="s">
        <v>2001</v>
      </c>
      <c r="F257" s="308" t="s">
        <v>2002</v>
      </c>
      <c r="G257" s="319">
        <v>46117</v>
      </c>
      <c r="H257" s="308" t="s">
        <v>681</v>
      </c>
      <c r="I257" s="308" t="s">
        <v>278</v>
      </c>
      <c r="J257" s="450" t="s">
        <v>1830</v>
      </c>
      <c r="K257" s="308"/>
      <c r="L257" s="286" t="s">
        <v>250</v>
      </c>
      <c r="M257" s="325" t="s">
        <v>269</v>
      </c>
      <c r="N257" s="94">
        <v>575</v>
      </c>
      <c r="O257" s="31" t="s">
        <v>252</v>
      </c>
      <c r="P25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7" s="35">
        <v>1</v>
      </c>
      <c r="S257" s="34">
        <v>1</v>
      </c>
      <c r="T257" s="34">
        <f>Table1[[#This Row],[Progres Total Aktual
(%)]]</f>
        <v>1</v>
      </c>
      <c r="U257" s="85">
        <f>Table1[[#This Row],[Progres Aktual
(%)]]-Table1[[#This Row],[Target Progres
(%)]]</f>
        <v>0</v>
      </c>
      <c r="V257" s="75">
        <f>Table1[[#This Row],["Volume
BA MC-0"]]</f>
        <v>575</v>
      </c>
      <c r="W257" s="41">
        <f>Table1[[#This Row],[Total Panjang Pipa Aktual
(Sum-&gt;)3]]</f>
        <v>484.8</v>
      </c>
      <c r="X257" s="42"/>
      <c r="Y257" s="62" t="s">
        <v>2003</v>
      </c>
      <c r="Z257" s="62">
        <v>1118265561</v>
      </c>
      <c r="AA257" s="62">
        <f>ROUND((Table1[[#This Row],[Nilai RAB Jaringan
(Exclude Ppn)]]-Table1[[#This Row],[RAB Perizinan]])*1.11+Table1[[#This Row],[RAB Perizinan]],0)</f>
        <v>1105855560</v>
      </c>
      <c r="AB257" s="456">
        <f>SUM(Table1[[#This Row],[RAB Kegiatan Umum]:[RAB Perizinan]])</f>
        <v>996299963.70000005</v>
      </c>
      <c r="AC257" s="406">
        <v>74352274</v>
      </c>
      <c r="AD257" s="406">
        <v>743522737.70000005</v>
      </c>
      <c r="AE257" s="406">
        <v>178084952</v>
      </c>
      <c r="AF257" s="406">
        <v>340000</v>
      </c>
      <c r="AG257" s="453">
        <v>71639314</v>
      </c>
      <c r="AH257" s="33">
        <f>SUM(Table1[[#This Row],[Bobot Keg Umum]:[Bobot Perizinan]])</f>
        <v>0.99999999999999989</v>
      </c>
      <c r="AI257" s="33">
        <f>Table1[[#This Row],[RAB Kegiatan Umum]]/Table1[[#This Row],[Nilai RAB Jaringan
(Exclude Ppn)]]</f>
        <v>7.46284017956549E-2</v>
      </c>
      <c r="AJ257" s="33">
        <f>Table1[[#This Row],[RAB Pemasangan]]/Table1[[#This Row],[Nilai RAB Jaringan
(Exclude Ppn)]]</f>
        <v>0.74628401564800739</v>
      </c>
      <c r="AK257" s="33">
        <f>Table1[[#This Row],[RAB Pengadaan]]/Table1[[#This Row],[Nilai RAB Jaringan
(Exclude Ppn)]]</f>
        <v>0.17874631987201786</v>
      </c>
      <c r="AL257" s="33">
        <f>Table1[[#This Row],[RAB Perizinan]]/Table1[[#This Row],[Nilai RAB Jaringan
(Exclude Ppn)]]</f>
        <v>3.4126268431981875E-4</v>
      </c>
      <c r="AM257" s="42"/>
      <c r="AN257" s="256">
        <v>575</v>
      </c>
      <c r="AO257" s="256">
        <f>SUM(Table1[[#This Row],[Pipa 63 mm]:[Pipa 1,800 mm]])</f>
        <v>586</v>
      </c>
      <c r="AP257" s="256">
        <f>96+134</f>
        <v>230</v>
      </c>
      <c r="AQ257" s="256"/>
      <c r="AR257" s="256">
        <v>356</v>
      </c>
      <c r="AS257" s="256"/>
      <c r="AT257" s="256"/>
      <c r="AU257" s="256"/>
      <c r="AV257" s="256"/>
      <c r="AW257" s="256"/>
      <c r="AX257" s="256"/>
      <c r="AY257" s="256"/>
      <c r="AZ257" s="256"/>
      <c r="BA257" s="256"/>
      <c r="BB257" s="256"/>
      <c r="BC257" s="256"/>
      <c r="BD257" s="256"/>
      <c r="BE257" s="256"/>
      <c r="BF257" s="256"/>
      <c r="BG257" s="256"/>
      <c r="BH257" s="256"/>
      <c r="BI257" s="256"/>
      <c r="BJ257" s="36">
        <f>SUM(Table1[[#This Row],[Pipa 63 mm2]:[Pipa 1,800 mm21]])</f>
        <v>484.8</v>
      </c>
      <c r="BK257" s="32">
        <v>131</v>
      </c>
      <c r="BL257" s="32">
        <v>353.8</v>
      </c>
      <c r="BM257" s="32"/>
      <c r="BN257" s="32"/>
      <c r="BO257" s="32"/>
      <c r="BP257" s="32"/>
      <c r="BQ257" s="32"/>
      <c r="BR257" s="32"/>
      <c r="BS257" s="32"/>
      <c r="BT257" s="32"/>
      <c r="BU257" s="32"/>
      <c r="BV257" s="32"/>
      <c r="BW257" s="32"/>
      <c r="BX257" s="32"/>
      <c r="BY257" s="32"/>
      <c r="BZ257" s="32"/>
      <c r="CA257" s="32"/>
      <c r="CB257" s="32"/>
      <c r="CC257" s="32"/>
      <c r="CD257" s="32"/>
      <c r="CE257" s="32">
        <v>0</v>
      </c>
      <c r="CF257" s="32"/>
      <c r="CG257" s="32"/>
      <c r="CH257" s="32"/>
      <c r="CI257" s="32">
        <f t="shared" si="13"/>
        <v>0</v>
      </c>
      <c r="CJ257" s="60">
        <f>IF((Table1[[#This Row],["Volume
BA MC-0"]]-Table1[[#This Row],[Total Panjang Pipa Aktual
(Sum-&gt;)3]]-Table1[[#This Row],[Total Volume
tidak dapat dipasang]])&gt;=0,Table1[[#This Row],["Volume
BA MC-0"]]-Table1[[#This Row],[Total Panjang Pipa Aktual
(Sum-&gt;)3]]-Table1[[#This Row],[Total Volume
tidak dapat dipasang]],0)</f>
        <v>90.199999999999989</v>
      </c>
      <c r="CK257" s="42"/>
      <c r="CL257" s="454" t="s">
        <v>1821</v>
      </c>
      <c r="CM257" s="34" t="s">
        <v>1821</v>
      </c>
      <c r="CN257" s="454" t="s">
        <v>1821</v>
      </c>
      <c r="CO257" s="454" t="s">
        <v>1821</v>
      </c>
      <c r="CP2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7" s="61">
        <f>IFERROR(Table1[[#This Row],[Progres Keg. Umum
(%)]]*Table1[[#This Row],[Nilai RAB Jaringan
(file pa aji)]],0)</f>
        <v>0</v>
      </c>
      <c r="CR257" s="61">
        <f>IFERROR(Table1[[#This Row],[Progres MOS
(%)]]*Table1[[#This Row],[Nilai RAB Jaringan
(file pa aji)]],0)</f>
        <v>0</v>
      </c>
      <c r="CS257" s="61">
        <f>IFERROR(Table1[[#This Row],[Progres Pemasangan
(%)]]*Table1[[#This Row],[Nilai RAB Jaringan
(file pa aji)]],0)</f>
        <v>0</v>
      </c>
      <c r="CT257" s="61">
        <f>IFERROR(Table1[[#This Row],[Progres Perizinan
(%)]]*Table1[[#This Row],[Nilai RAB Jaringan
(file pa aji)]],0)</f>
        <v>0</v>
      </c>
      <c r="CU257" s="789">
        <v>772568145</v>
      </c>
      <c r="CV257" s="299">
        <v>772568145</v>
      </c>
      <c r="CW257" s="552">
        <v>772568145</v>
      </c>
      <c r="CX257" s="789">
        <f>_xlfn.XLOOKUP(Table1[[#This Row],[Kode Program]],'[1]Breakdown VOWD Greenfield'!$E:$E,'[1]Breakdown VOWD Greenfield'!$AT:$AT)</f>
        <v>772568145</v>
      </c>
      <c r="CY257" s="42"/>
      <c r="CZ257" s="300">
        <v>45775</v>
      </c>
      <c r="DA257" s="300">
        <v>45802</v>
      </c>
      <c r="DB257" s="301">
        <v>45784</v>
      </c>
      <c r="DC257" s="286" t="s">
        <v>2004</v>
      </c>
      <c r="DD257" s="62">
        <v>1118265561</v>
      </c>
      <c r="DE2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7" s="301">
        <v>45799</v>
      </c>
      <c r="DG257" s="286" t="s">
        <v>2005</v>
      </c>
      <c r="DH257" s="62">
        <v>1118265561</v>
      </c>
      <c r="DI2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7" s="300">
        <v>45803</v>
      </c>
      <c r="DK257" s="300">
        <v>45872</v>
      </c>
      <c r="DL257" s="301">
        <v>45866</v>
      </c>
      <c r="DM257" s="286" t="s">
        <v>2006</v>
      </c>
      <c r="DN2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7" s="301">
        <v>45880</v>
      </c>
      <c r="DP257" s="286" t="s">
        <v>2007</v>
      </c>
      <c r="DQ257" s="308" t="s">
        <v>1937</v>
      </c>
      <c r="DR2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7" s="300">
        <v>45803</v>
      </c>
      <c r="DT257" s="300" t="e">
        <v>#N/A</v>
      </c>
      <c r="DU257" s="300">
        <v>45844</v>
      </c>
      <c r="DV257" s="300" t="e">
        <v>#N/A</v>
      </c>
      <c r="DW257" s="301">
        <v>45862</v>
      </c>
      <c r="DX257" s="286" t="s">
        <v>2008</v>
      </c>
      <c r="DY257" s="302">
        <v>50</v>
      </c>
      <c r="DZ257" s="304">
        <v>50</v>
      </c>
      <c r="EA2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7" s="301">
        <v>46038</v>
      </c>
      <c r="EC257" s="302">
        <v>44</v>
      </c>
      <c r="ED257" s="302">
        <v>44</v>
      </c>
      <c r="EE257" s="395" t="s">
        <v>2009</v>
      </c>
      <c r="EF257" s="35">
        <v>1</v>
      </c>
      <c r="EG257" s="307">
        <v>1</v>
      </c>
      <c r="EH257" s="286" t="str">
        <f>IF(Table1[[#This Row],[PO Material Aktual 
(%)]]&gt;=100%,"Selesai PO = 100%",IF(Table1[[#This Row],[PO Material Aktual 
(%)]]&gt;=50%,"Proses PO &gt; 100%",IF(Table1[[#This Row],[PO Material Aktual 
(%)]]&gt;0%,"Proses PO &gt; 50%",IF(Table1[[#This Row],[PO Material Aktual 
(%)]]=0,"Belum PO = 0%"))))</f>
        <v>Selesai PO = 100%</v>
      </c>
      <c r="EI25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7" s="300">
        <v>45845</v>
      </c>
      <c r="EK257" s="300" t="e">
        <v>#N/A</v>
      </c>
      <c r="EL257" s="300">
        <v>45900</v>
      </c>
      <c r="EM257" s="300" t="e">
        <v>#N/A</v>
      </c>
      <c r="EN257" s="301">
        <v>46121</v>
      </c>
      <c r="EO257" s="302">
        <v>42</v>
      </c>
      <c r="EP257" s="286">
        <v>42</v>
      </c>
      <c r="EQ257" s="35">
        <v>0.84</v>
      </c>
      <c r="ER257" s="35">
        <f>Table1[[#This Row],[Line MOS]]/Table1[[#This Row],[Line PR]]</f>
        <v>0.84</v>
      </c>
      <c r="ES257" s="286" t="str">
        <f>IF(Table1[[#This Row],[Progres MOS]]&gt;=100%,"Selesai MOS = 100%",IF(Table1[[#This Row],[Progres MOS]]&gt;=50%,"Proses MOS &gt; 100%",IF(Table1[[#This Row],[Progres MOS]]&gt;0%,"Proses MOS &gt; 50%",IF(Table1[[#This Row],[Progres MOS]]=0,"Belum MOS = 0%"))))</f>
        <v>Proses MOS &gt; 100%</v>
      </c>
      <c r="ET2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7" s="42"/>
      <c r="EV257" s="300">
        <v>45803</v>
      </c>
      <c r="EW257" s="300" t="e">
        <v>#N/A</v>
      </c>
      <c r="EX257" s="300">
        <v>45900</v>
      </c>
      <c r="EY257" s="300" t="e">
        <v>#N/A</v>
      </c>
      <c r="EZ257" s="322" t="s">
        <v>298</v>
      </c>
      <c r="FA257" s="306" t="s">
        <v>259</v>
      </c>
      <c r="FB257" s="300" t="s">
        <v>260</v>
      </c>
      <c r="FC257" s="300">
        <v>45839</v>
      </c>
      <c r="FD257" s="300" t="s">
        <v>260</v>
      </c>
      <c r="FE257" s="300">
        <v>45922</v>
      </c>
      <c r="FF257" s="300">
        <v>45937</v>
      </c>
      <c r="FG257" s="300" t="s">
        <v>260</v>
      </c>
      <c r="FH257" s="300" t="s">
        <v>260</v>
      </c>
      <c r="FI257" s="300">
        <v>46022</v>
      </c>
      <c r="FJ257" s="300" t="s">
        <v>260</v>
      </c>
      <c r="FK257" s="300">
        <v>46098</v>
      </c>
      <c r="FL257" s="306" t="s">
        <v>298</v>
      </c>
      <c r="FM257" s="322">
        <v>45839</v>
      </c>
      <c r="FN257" s="308">
        <f>IF(Table1[[#This Row],[Tanggal Pengajuan Dokumen]]="","",Table1[[#This Row],[PLAN PERMIT
start]]-Table1[[#This Row],[Tanggal Pengajuan Dokumen]])</f>
        <v>-36</v>
      </c>
      <c r="FO257" s="407">
        <v>46086</v>
      </c>
      <c r="FP257" s="286"/>
      <c r="FQ257" s="308"/>
      <c r="FR257" s="308"/>
      <c r="FS257" s="308" t="str">
        <f t="shared" ref="FS257:FS320" si="14">IF(AND(COUNTIF(EZ257:FR257,"*terbit*")&gt;=1,COUNTBLANK(FP257:FR257)=3),"Sudah Terbit",IF(COUNTIF(EZ257:FR257,"*terbit*")=COUNTA(EZ257:FR257),"Sudah Terbit","On Going"))</f>
        <v>Sudah Terbit</v>
      </c>
      <c r="FT2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7" s="314">
        <f ca="1">IF(Table1[[#This Row],[Status Izin]]="Selesai",Table1[[#This Row],[PLAN PERMIT
finish]]-Table1[[#This Row],[Tanggal Terbit/ Target Izin Terbit]],ROUNDUP(Table1[[#This Row],[PLAN PERMIT
finish]]-NOW(),0))</f>
        <v>-186</v>
      </c>
      <c r="FV2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7" s="314"/>
      <c r="FX257" s="42"/>
      <c r="FY257" s="310"/>
      <c r="FZ257" s="311">
        <v>45884</v>
      </c>
      <c r="GA2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7" s="300">
        <v>45874</v>
      </c>
      <c r="GC257" s="322">
        <v>45665</v>
      </c>
      <c r="GD2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7" s="300">
        <v>45881</v>
      </c>
      <c r="GF257" s="322">
        <v>45665</v>
      </c>
      <c r="GG2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7" s="300">
        <v>45887</v>
      </c>
      <c r="GI257" s="300">
        <v>45893</v>
      </c>
      <c r="GJ257" s="322">
        <v>45875</v>
      </c>
      <c r="GK2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7" s="300">
        <v>45901</v>
      </c>
      <c r="GM257" s="300" t="e">
        <v>#N/A</v>
      </c>
      <c r="GN257" s="300">
        <v>45942</v>
      </c>
      <c r="GO257" s="300" t="e">
        <v>#N/A</v>
      </c>
      <c r="GP257" s="300">
        <v>45941</v>
      </c>
      <c r="GQ2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57" s="300" t="s">
        <v>261</v>
      </c>
      <c r="GS257" s="300" t="s">
        <v>261</v>
      </c>
      <c r="GT257" s="324">
        <v>45950</v>
      </c>
      <c r="GU257" s="314" t="str">
        <f>IF(Table1[[#This Row],[Hydro Tes Actual
(tanggal)]]&lt;&gt;"","Sudah","Belum")</f>
        <v>Sudah</v>
      </c>
      <c r="GV257" s="300" t="s">
        <v>261</v>
      </c>
      <c r="GW257" s="300" t="s">
        <v>261</v>
      </c>
      <c r="GX257" s="301">
        <v>45957</v>
      </c>
      <c r="GY257" s="314" t="str">
        <f>IF(Table1[[#This Row],[Interkoneksi Actual
(tanggal)]]&lt;&gt;"","Sudah","Belum")</f>
        <v>Sudah</v>
      </c>
      <c r="GZ257" s="300" t="s">
        <v>261</v>
      </c>
      <c r="HA257" s="300" t="s">
        <v>261</v>
      </c>
      <c r="HB257" s="301">
        <v>45959</v>
      </c>
      <c r="HC257" s="314" t="str">
        <f>IF(Table1[[#This Row],[Flushing Actual
(tanggal)]]&lt;&gt;"","Sudah","Belum")</f>
        <v>Sudah</v>
      </c>
      <c r="HD257" s="300">
        <v>45922</v>
      </c>
      <c r="HE257" s="300" t="e">
        <v>#N/A</v>
      </c>
      <c r="HF257" s="300">
        <v>45935</v>
      </c>
      <c r="HG257" s="322">
        <v>45971</v>
      </c>
      <c r="HH2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57" s="300" t="s">
        <v>261</v>
      </c>
      <c r="HJ257" s="300" t="s">
        <v>261</v>
      </c>
      <c r="HK257" s="301"/>
      <c r="HL257" s="286"/>
      <c r="HM257" s="300">
        <v>45947</v>
      </c>
      <c r="HN257" s="300">
        <v>45947</v>
      </c>
      <c r="HO257" s="300" t="e">
        <v>#N/A</v>
      </c>
      <c r="HP257" s="300"/>
      <c r="HQ257" s="301">
        <v>45993</v>
      </c>
      <c r="HR25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7" s="300">
        <v>45954</v>
      </c>
      <c r="HT257" s="300"/>
      <c r="HU257" s="300">
        <v>45954</v>
      </c>
      <c r="HV257" s="300"/>
      <c r="HW257" s="301">
        <v>46056</v>
      </c>
      <c r="HX25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7" s="42"/>
      <c r="HZ257" s="322">
        <v>45667</v>
      </c>
      <c r="IA257" s="322"/>
      <c r="IC257" s="585">
        <f>IFERROR(ROUND((Table1[[#This Row],[PLAN TC
finish]]-Table1[[#This Row],[PLAN MC-0
start]])/30,2),"")</f>
        <v>1.6</v>
      </c>
      <c r="ID257">
        <f>DATEDIF(Table1[[#This Row],[PLAN MC-0
start]],Table1[[#This Row],[PLAN TC
finish]],"m")</f>
        <v>1</v>
      </c>
    </row>
    <row r="258" spans="1:238" s="4" customFormat="1" ht="15" customHeight="1" x14ac:dyDescent="0.25">
      <c r="B258" s="281">
        <f>SUBTOTAL(3,$D$5:D258)</f>
        <v>254</v>
      </c>
      <c r="C258" s="286">
        <v>254</v>
      </c>
      <c r="D258" s="308" t="s">
        <v>629</v>
      </c>
      <c r="E258" s="308" t="s">
        <v>2010</v>
      </c>
      <c r="F258" s="308" t="s">
        <v>2011</v>
      </c>
      <c r="G258" s="319">
        <v>46117</v>
      </c>
      <c r="H258" s="308" t="s">
        <v>681</v>
      </c>
      <c r="I258" s="308" t="s">
        <v>278</v>
      </c>
      <c r="J258" s="450" t="s">
        <v>1818</v>
      </c>
      <c r="K258" s="308" t="s">
        <v>915</v>
      </c>
      <c r="L258" s="286" t="s">
        <v>250</v>
      </c>
      <c r="M258" s="325" t="s">
        <v>269</v>
      </c>
      <c r="N258" s="94">
        <v>14692</v>
      </c>
      <c r="O258" s="31" t="s">
        <v>252</v>
      </c>
      <c r="P25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58" s="35">
        <v>1.0000000000000002</v>
      </c>
      <c r="S258" s="34">
        <v>1</v>
      </c>
      <c r="T258" s="34">
        <f>Table1[[#This Row],[Progres Total Aktual
(%)]]</f>
        <v>0.61657319094327101</v>
      </c>
      <c r="U258" s="85">
        <f>Table1[[#This Row],[Progres Aktual
(%)]]-Table1[[#This Row],[Target Progres
(%)]]</f>
        <v>-0.38342680905672899</v>
      </c>
      <c r="V258" s="75">
        <f>Table1[[#This Row],["Volume
BA MC-0"]]</f>
        <v>14682</v>
      </c>
      <c r="W258" s="41">
        <f>Table1[[#This Row],[Total Panjang Pipa Aktual
(Sum-&gt;)3]]</f>
        <v>9898</v>
      </c>
      <c r="X258" s="42"/>
      <c r="Y258" s="62" t="s">
        <v>2012</v>
      </c>
      <c r="Z258" s="62">
        <v>21199168948</v>
      </c>
      <c r="AA258" s="62">
        <f>ROUND((Table1[[#This Row],[Nilai RAB Jaringan
(Exclude Ppn)]]-Table1[[#This Row],[RAB Perizinan]])*1.11+Table1[[#This Row],[RAB Perizinan]],0)</f>
        <v>21045498947</v>
      </c>
      <c r="AB258" s="456">
        <f>SUM(Table1[[#This Row],[RAB Kegiatan Umum]:[RAB Perizinan]])</f>
        <v>18960627430</v>
      </c>
      <c r="AC258" s="406">
        <v>1465274153</v>
      </c>
      <c r="AD258" s="406">
        <v>14652741520</v>
      </c>
      <c r="AE258" s="406">
        <v>2835361757</v>
      </c>
      <c r="AF258" s="406">
        <v>7250000</v>
      </c>
      <c r="AG258" s="453">
        <v>1527603007</v>
      </c>
      <c r="AH258" s="33">
        <f>SUM(Table1[[#This Row],[Bobot Keg Umum]:[Bobot Perizinan]])</f>
        <v>1</v>
      </c>
      <c r="AI258" s="33">
        <f>Table1[[#This Row],[RAB Kegiatan Umum]]/Table1[[#This Row],[Nilai RAB Jaringan
(Exclude Ppn)]]</f>
        <v>7.7279834668424793E-2</v>
      </c>
      <c r="AJ258" s="33">
        <f>Table1[[#This Row],[RAB Pemasangan]]/Table1[[#This Row],[Nilai RAB Jaringan
(Exclude Ppn)]]</f>
        <v>0.77279834615683918</v>
      </c>
      <c r="AK258" s="33">
        <f>Table1[[#This Row],[RAB Pengadaan]]/Table1[[#This Row],[Nilai RAB Jaringan
(Exclude Ppn)]]</f>
        <v>0.14953944786203735</v>
      </c>
      <c r="AL258" s="33">
        <f>Table1[[#This Row],[RAB Perizinan]]/Table1[[#This Row],[Nilai RAB Jaringan
(Exclude Ppn)]]</f>
        <v>3.8237131269869588E-4</v>
      </c>
      <c r="AM258" s="42"/>
      <c r="AN258" s="256">
        <v>14682</v>
      </c>
      <c r="AO258" s="256">
        <f>SUM(Table1[[#This Row],[Pipa 63 mm]:[Pipa 1,800 mm]])</f>
        <v>14749</v>
      </c>
      <c r="AP258" s="256">
        <f>163+10024+238</f>
        <v>10425</v>
      </c>
      <c r="AQ258" s="256">
        <f>2450+102</f>
        <v>2552</v>
      </c>
      <c r="AR258" s="256">
        <v>1130</v>
      </c>
      <c r="AS258" s="256">
        <v>634</v>
      </c>
      <c r="AT258" s="256">
        <v>8</v>
      </c>
      <c r="AU258" s="256"/>
      <c r="AV258" s="256"/>
      <c r="AW258" s="256"/>
      <c r="AX258" s="256"/>
      <c r="AY258" s="256"/>
      <c r="AZ258" s="256"/>
      <c r="BA258" s="256"/>
      <c r="BB258" s="256"/>
      <c r="BC258" s="256"/>
      <c r="BD258" s="256"/>
      <c r="BE258" s="256"/>
      <c r="BF258" s="256"/>
      <c r="BG258" s="256"/>
      <c r="BH258" s="256"/>
      <c r="BI258" s="256"/>
      <c r="BJ258" s="36">
        <f>SUM(Table1[[#This Row],[Pipa 63 mm2]:[Pipa 1,800 mm21]])</f>
        <v>9898</v>
      </c>
      <c r="BK258" s="32">
        <v>7273</v>
      </c>
      <c r="BL258" s="32">
        <v>1899</v>
      </c>
      <c r="BM258" s="32">
        <v>726</v>
      </c>
      <c r="BN258" s="32"/>
      <c r="BO258" s="32"/>
      <c r="BP258" s="32"/>
      <c r="BQ258" s="32"/>
      <c r="BR258" s="32"/>
      <c r="BS258" s="32"/>
      <c r="BT258" s="32"/>
      <c r="BU258" s="32"/>
      <c r="BV258" s="32"/>
      <c r="BW258" s="32"/>
      <c r="BX258" s="32"/>
      <c r="BY258" s="32"/>
      <c r="BZ258" s="32"/>
      <c r="CA258" s="32"/>
      <c r="CB258" s="32"/>
      <c r="CC258" s="32"/>
      <c r="CD258" s="32"/>
      <c r="CE258" s="32">
        <v>0</v>
      </c>
      <c r="CF258" s="32"/>
      <c r="CG258" s="32"/>
      <c r="CH258" s="32"/>
      <c r="CI258" s="32">
        <f t="shared" si="13"/>
        <v>0</v>
      </c>
      <c r="CJ258" s="60">
        <f>IF((Table1[[#This Row],["Volume
BA MC-0"]]-Table1[[#This Row],[Total Panjang Pipa Aktual
(Sum-&gt;)3]]-Table1[[#This Row],[Total Volume
tidak dapat dipasang]])&gt;=0,Table1[[#This Row],["Volume
BA MC-0"]]-Table1[[#This Row],[Total Panjang Pipa Aktual
(Sum-&gt;)3]]-Table1[[#This Row],[Total Volume
tidak dapat dipasang]],0)</f>
        <v>4784</v>
      </c>
      <c r="CK258" s="42"/>
      <c r="CL258" s="454" t="s">
        <v>1821</v>
      </c>
      <c r="CM258" s="34" t="s">
        <v>1821</v>
      </c>
      <c r="CN258" s="454" t="s">
        <v>1821</v>
      </c>
      <c r="CO258" s="454" t="s">
        <v>1821</v>
      </c>
      <c r="CP2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0.61657319094327101</v>
      </c>
      <c r="CQ258" s="61">
        <f>IFERROR(Table1[[#This Row],[Progres Keg. Umum
(%)]]*Table1[[#This Row],[Nilai RAB Jaringan
(file pa aji)]],0)</f>
        <v>0</v>
      </c>
      <c r="CR258" s="61">
        <f>IFERROR(Table1[[#This Row],[Progres MOS
(%)]]*Table1[[#This Row],[Nilai RAB Jaringan
(file pa aji)]],0)</f>
        <v>0</v>
      </c>
      <c r="CS258" s="61">
        <f>IFERROR(Table1[[#This Row],[Progres Pemasangan
(%)]]*Table1[[#This Row],[Nilai RAB Jaringan
(file pa aji)]],0)</f>
        <v>0</v>
      </c>
      <c r="CT258" s="61">
        <f>IFERROR(Table1[[#This Row],[Progres Perizinan
(%)]]*Table1[[#This Row],[Nilai RAB Jaringan
(file pa aji)]],0)</f>
        <v>0</v>
      </c>
      <c r="CU258" s="789">
        <v>12976090440.745041</v>
      </c>
      <c r="CV258" s="299">
        <v>12976090440.745041</v>
      </c>
      <c r="CW258" s="552">
        <v>0</v>
      </c>
      <c r="CX258" s="789">
        <f>_xlfn.XLOOKUP(Table1[[#This Row],[Kode Program]],'[1]Breakdown VOWD Greenfield'!$E:$E,'[1]Breakdown VOWD Greenfield'!$AT:$AT)</f>
        <v>0</v>
      </c>
      <c r="CY258" s="42"/>
      <c r="CZ258" s="300">
        <v>45775</v>
      </c>
      <c r="DA258" s="300">
        <v>45802</v>
      </c>
      <c r="DB258" s="301">
        <v>45784</v>
      </c>
      <c r="DC258" s="286" t="s">
        <v>2013</v>
      </c>
      <c r="DD258" s="62">
        <v>21158030446</v>
      </c>
      <c r="DE2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8" s="301">
        <v>45798</v>
      </c>
      <c r="DG258" s="286" t="s">
        <v>2014</v>
      </c>
      <c r="DH258" s="62">
        <v>21158030446</v>
      </c>
      <c r="DI2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8" s="300">
        <v>45803</v>
      </c>
      <c r="DK258" s="300">
        <v>45872</v>
      </c>
      <c r="DL258" s="301">
        <v>45860</v>
      </c>
      <c r="DM258" s="286" t="s">
        <v>2015</v>
      </c>
      <c r="DN2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8" s="301">
        <v>45880</v>
      </c>
      <c r="DP258" s="286" t="s">
        <v>2016</v>
      </c>
      <c r="DQ258" s="308" t="s">
        <v>1937</v>
      </c>
      <c r="DR2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58" s="300">
        <v>45803</v>
      </c>
      <c r="DT258" s="300" t="e">
        <v>#N/A</v>
      </c>
      <c r="DU258" s="300">
        <v>45844</v>
      </c>
      <c r="DV258" s="300" t="e">
        <v>#N/A</v>
      </c>
      <c r="DW258" s="301">
        <v>45859</v>
      </c>
      <c r="DX258" s="286" t="s">
        <v>2017</v>
      </c>
      <c r="DY258" s="304">
        <v>127</v>
      </c>
      <c r="DZ258" s="304">
        <v>127</v>
      </c>
      <c r="EA2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58" s="301">
        <v>46127</v>
      </c>
      <c r="EC258" s="302">
        <v>108</v>
      </c>
      <c r="ED258" s="302">
        <v>108</v>
      </c>
      <c r="EE258" s="300"/>
      <c r="EF258" s="35">
        <v>0.85039370078740162</v>
      </c>
      <c r="EG258" s="35">
        <f>Table1[[#This Row],[Line PO (kolom  bantu)2]]/Table1[[#This Row],[Line PR]]</f>
        <v>0.85039370078740162</v>
      </c>
      <c r="EH258" s="286" t="str">
        <f>IF(Table1[[#This Row],[PO Material Aktual 
(%)]]&gt;=100%,"Selesai PO = 100%",IF(Table1[[#This Row],[PO Material Aktual 
(%)]]&gt;=50%,"Proses PO &gt; 100%",IF(Table1[[#This Row],[PO Material Aktual 
(%)]]&gt;0%,"Proses PO &gt; 50%",IF(Table1[[#This Row],[PO Material Aktual 
(%)]]=0,"Belum PO = 0%"))))</f>
        <v>Proses PO &gt; 100%</v>
      </c>
      <c r="EI25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8" s="300">
        <v>45845</v>
      </c>
      <c r="EK258" s="300" t="e">
        <v>#N/A</v>
      </c>
      <c r="EL258" s="300">
        <v>45970</v>
      </c>
      <c r="EM258" s="300" t="e">
        <v>#N/A</v>
      </c>
      <c r="EN258" s="301">
        <v>46120</v>
      </c>
      <c r="EO258" s="302">
        <v>107</v>
      </c>
      <c r="EP258" s="286">
        <v>107</v>
      </c>
      <c r="EQ258" s="35">
        <v>0.84251968503937003</v>
      </c>
      <c r="ER258" s="35">
        <f>Table1[[#This Row],[Line MOS]]/Table1[[#This Row],[Line PR]]</f>
        <v>0.84251968503937003</v>
      </c>
      <c r="ES258" s="286" t="str">
        <f>IF(Table1[[#This Row],[Progres MOS]]&gt;=100%,"Selesai MOS = 100%",IF(Table1[[#This Row],[Progres MOS]]&gt;=50%,"Proses MOS &gt; 100%",IF(Table1[[#This Row],[Progres MOS]]&gt;0%,"Proses MOS &gt; 50%",IF(Table1[[#This Row],[Progres MOS]]=0,"Belum MOS = 0%"))))</f>
        <v>Proses MOS &gt; 100%</v>
      </c>
      <c r="ET2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8" s="42"/>
      <c r="EV258" s="300">
        <v>45803</v>
      </c>
      <c r="EW258" s="300" t="e">
        <v>#N/A</v>
      </c>
      <c r="EX258" s="300">
        <v>45900</v>
      </c>
      <c r="EY258" s="300" t="e">
        <v>#N/A</v>
      </c>
      <c r="EZ258" s="322" t="s">
        <v>298</v>
      </c>
      <c r="FA258" s="306" t="s">
        <v>298</v>
      </c>
      <c r="FB258" s="300" t="s">
        <v>260</v>
      </c>
      <c r="FC258" s="300">
        <v>45839</v>
      </c>
      <c r="FD258" s="300" t="s">
        <v>260</v>
      </c>
      <c r="FE258" s="300">
        <v>45922</v>
      </c>
      <c r="FF258" s="300">
        <v>45937</v>
      </c>
      <c r="FG258" s="300" t="s">
        <v>260</v>
      </c>
      <c r="FH258" s="300" t="s">
        <v>260</v>
      </c>
      <c r="FI258" s="300">
        <v>46006</v>
      </c>
      <c r="FJ258" s="300" t="s">
        <v>260</v>
      </c>
      <c r="FK258" s="300"/>
      <c r="FL258" s="306" t="s">
        <v>298</v>
      </c>
      <c r="FM258" s="322">
        <v>45839</v>
      </c>
      <c r="FN258" s="308">
        <f>IF(Table1[[#This Row],[Tanggal Pengajuan Dokumen]]="","",Table1[[#This Row],[PLAN PERMIT
start]]-Table1[[#This Row],[Tanggal Pengajuan Dokumen]])</f>
        <v>-36</v>
      </c>
      <c r="FO258" s="407">
        <v>46086</v>
      </c>
      <c r="FP258" s="286"/>
      <c r="FQ258" s="308"/>
      <c r="FR258" s="308"/>
      <c r="FS258" s="308" t="str">
        <f t="shared" si="14"/>
        <v>On Going</v>
      </c>
      <c r="FT2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58" s="314">
        <f ca="1">IF(Table1[[#This Row],[Status Izin]]="Selesai",Table1[[#This Row],[PLAN PERMIT
finish]]-Table1[[#This Row],[Tanggal Terbit/ Target Izin Terbit]],ROUNDUP(Table1[[#This Row],[PLAN PERMIT
finish]]-NOW(),0))</f>
        <v>-304</v>
      </c>
      <c r="FV2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8" s="314"/>
      <c r="FX258" s="42"/>
      <c r="FY258" s="310"/>
      <c r="FZ258" s="311">
        <v>45903</v>
      </c>
      <c r="GA2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8" s="300">
        <v>45874</v>
      </c>
      <c r="GC258" s="322">
        <v>45665</v>
      </c>
      <c r="GD2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8" s="300">
        <v>45881</v>
      </c>
      <c r="GF258" s="322">
        <v>45665</v>
      </c>
      <c r="GG2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8" s="300">
        <v>45887</v>
      </c>
      <c r="GI258" s="300">
        <v>45893</v>
      </c>
      <c r="GJ258" s="322">
        <v>45884</v>
      </c>
      <c r="GK2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8" s="300">
        <v>45901</v>
      </c>
      <c r="GM258" s="300" t="e">
        <v>#N/A</v>
      </c>
      <c r="GN258" s="300">
        <v>46061</v>
      </c>
      <c r="GO258" s="300" t="e">
        <v>#N/A</v>
      </c>
      <c r="GP258" s="300"/>
      <c r="GQ2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8" s="300" t="s">
        <v>261</v>
      </c>
      <c r="GS258" s="300" t="s">
        <v>261</v>
      </c>
      <c r="GT258" s="324"/>
      <c r="GU258" s="314" t="str">
        <f>IF(Table1[[#This Row],[Hydro Tes Actual
(tanggal)]]&lt;&gt;"","Sudah","Belum")</f>
        <v>Belum</v>
      </c>
      <c r="GV258" s="300" t="s">
        <v>261</v>
      </c>
      <c r="GW258" s="300" t="s">
        <v>261</v>
      </c>
      <c r="GX258" s="301"/>
      <c r="GY258" s="314" t="str">
        <f>IF(Table1[[#This Row],[Interkoneksi Actual
(tanggal)]]&lt;&gt;"","Sudah","Belum")</f>
        <v>Belum</v>
      </c>
      <c r="GZ258" s="300" t="s">
        <v>261</v>
      </c>
      <c r="HA258" s="300" t="s">
        <v>261</v>
      </c>
      <c r="HB258" s="301"/>
      <c r="HC258" s="314" t="str">
        <f>IF(Table1[[#This Row],[Flushing Actual
(tanggal)]]&lt;&gt;"","Sudah","Belum")</f>
        <v>Belum</v>
      </c>
      <c r="HD258" s="300">
        <v>46034</v>
      </c>
      <c r="HE258" s="300" t="e">
        <v>#N/A</v>
      </c>
      <c r="HF258" s="300">
        <v>46047</v>
      </c>
      <c r="HG258" s="322"/>
      <c r="HH2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58" s="300" t="s">
        <v>261</v>
      </c>
      <c r="HJ258" s="300" t="s">
        <v>261</v>
      </c>
      <c r="HK258" s="301"/>
      <c r="HL258" s="286"/>
      <c r="HM258" s="300">
        <v>46066</v>
      </c>
      <c r="HN258" s="300">
        <v>46066</v>
      </c>
      <c r="HO258" s="300" t="e">
        <v>#N/A</v>
      </c>
      <c r="HP258" s="300"/>
      <c r="HQ258" s="301"/>
      <c r="HR25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58" s="300">
        <v>46073</v>
      </c>
      <c r="HT258" s="300"/>
      <c r="HU258" s="300">
        <v>46073</v>
      </c>
      <c r="HV258" s="300"/>
      <c r="HW258" s="301"/>
      <c r="HX25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58" s="42"/>
      <c r="HZ258" s="322"/>
      <c r="IA258" s="322"/>
      <c r="IC258" s="585">
        <f>IFERROR(ROUND((Table1[[#This Row],[PLAN TC
finish]]-Table1[[#This Row],[PLAN MC-0
start]])/30,2),"")</f>
        <v>5.33</v>
      </c>
      <c r="ID258">
        <f>DATEDIF(Table1[[#This Row],[PLAN MC-0
start]],Table1[[#This Row],[PLAN TC
finish]],"m")</f>
        <v>5</v>
      </c>
    </row>
    <row r="259" spans="1:238" s="4" customFormat="1" ht="15" customHeight="1" x14ac:dyDescent="0.25">
      <c r="B259" s="281">
        <f>SUBTOTAL(3,$D$5:D259)</f>
        <v>255</v>
      </c>
      <c r="C259" s="286">
        <v>255</v>
      </c>
      <c r="D259" s="308" t="s">
        <v>629</v>
      </c>
      <c r="E259" s="308" t="s">
        <v>2018</v>
      </c>
      <c r="F259" s="308" t="s">
        <v>2019</v>
      </c>
      <c r="G259" s="319">
        <v>46117</v>
      </c>
      <c r="H259" s="308" t="s">
        <v>681</v>
      </c>
      <c r="I259" s="308" t="s">
        <v>278</v>
      </c>
      <c r="J259" s="450" t="s">
        <v>1830</v>
      </c>
      <c r="K259" s="308" t="s">
        <v>915</v>
      </c>
      <c r="L259" s="286" t="s">
        <v>250</v>
      </c>
      <c r="M259" s="325" t="s">
        <v>269</v>
      </c>
      <c r="N259" s="94">
        <v>703</v>
      </c>
      <c r="O259" s="31" t="s">
        <v>252</v>
      </c>
      <c r="P25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59" s="35">
        <v>0.99999999999999989</v>
      </c>
      <c r="S259" s="34">
        <v>1</v>
      </c>
      <c r="T259" s="34">
        <f>Table1[[#This Row],[Progres Total Aktual
(%)]]</f>
        <v>1</v>
      </c>
      <c r="U259" s="85">
        <f>Table1[[#This Row],[Progres Aktual
(%)]]-Table1[[#This Row],[Target Progres
(%)]]</f>
        <v>0</v>
      </c>
      <c r="V259" s="75">
        <f>Table1[[#This Row],["Volume
BA MC-0"]]</f>
        <v>851</v>
      </c>
      <c r="W259" s="41">
        <f>Table1[[#This Row],[Total Panjang Pipa Aktual
(Sum-&gt;)3]]</f>
        <v>823</v>
      </c>
      <c r="X259" s="42"/>
      <c r="Y259" s="62" t="s">
        <v>2020</v>
      </c>
      <c r="Z259" s="62">
        <v>1208135926</v>
      </c>
      <c r="AA259" s="62">
        <f>ROUND((Table1[[#This Row],[Nilai RAB Jaringan
(Exclude Ppn)]]-Table1[[#This Row],[RAB Perizinan]])*1.11+Table1[[#This Row],[RAB Perizinan]],0)</f>
        <v>1208135925</v>
      </c>
      <c r="AB259" s="456">
        <f>SUM(Table1[[#This Row],[RAB Kegiatan Umum]:[RAB Perizinan]])</f>
        <v>1089107410</v>
      </c>
      <c r="AC259" s="406">
        <v>79051321</v>
      </c>
      <c r="AD259" s="406">
        <v>790513201</v>
      </c>
      <c r="AE259" s="406">
        <v>212512888</v>
      </c>
      <c r="AF259" s="406">
        <v>7030000</v>
      </c>
      <c r="AG259" s="453">
        <v>92234174</v>
      </c>
      <c r="AH259" s="33">
        <f>SUM(Table1[[#This Row],[Bobot Keg Umum]:[Bobot Perizinan]])</f>
        <v>1</v>
      </c>
      <c r="AI259" s="33">
        <f>Table1[[#This Row],[RAB Kegiatan Umum]]/Table1[[#This Row],[Nilai RAB Jaringan
(Exclude Ppn)]]</f>
        <v>7.2583585672234108E-2</v>
      </c>
      <c r="AJ259" s="33">
        <f>Table1[[#This Row],[RAB Pemasangan]]/Table1[[#This Row],[Nilai RAB Jaringan
(Exclude Ppn)]]</f>
        <v>0.72583584845869331</v>
      </c>
      <c r="AK259" s="33">
        <f>Table1[[#This Row],[RAB Pengadaan]]/Table1[[#This Row],[Nilai RAB Jaringan
(Exclude Ppn)]]</f>
        <v>0.19512573879191586</v>
      </c>
      <c r="AL259" s="33">
        <f>Table1[[#This Row],[RAB Perizinan]]/Table1[[#This Row],[Nilai RAB Jaringan
(Exclude Ppn)]]</f>
        <v>6.4548270771566966E-3</v>
      </c>
      <c r="AM259" s="42"/>
      <c r="AN259" s="256">
        <v>851</v>
      </c>
      <c r="AO259" s="256">
        <f>SUM(Table1[[#This Row],[Pipa 63 mm]:[Pipa 1,800 mm]])</f>
        <v>851</v>
      </c>
      <c r="AP259" s="256">
        <v>851</v>
      </c>
      <c r="AQ259" s="256"/>
      <c r="AR259" s="256"/>
      <c r="AS259" s="256"/>
      <c r="AT259" s="256"/>
      <c r="AU259" s="256"/>
      <c r="AV259" s="256"/>
      <c r="AW259" s="256"/>
      <c r="AX259" s="256"/>
      <c r="AY259" s="256"/>
      <c r="AZ259" s="256"/>
      <c r="BA259" s="256"/>
      <c r="BB259" s="256"/>
      <c r="BC259" s="256"/>
      <c r="BD259" s="256"/>
      <c r="BE259" s="256"/>
      <c r="BF259" s="256"/>
      <c r="BG259" s="256"/>
      <c r="BH259" s="256"/>
      <c r="BI259" s="256"/>
      <c r="BJ259" s="36">
        <f>SUM(Table1[[#This Row],[Pipa 63 mm2]:[Pipa 1,800 mm21]])</f>
        <v>823</v>
      </c>
      <c r="BK259" s="32">
        <v>823</v>
      </c>
      <c r="BL259" s="32"/>
      <c r="BM259" s="32"/>
      <c r="BN259" s="32"/>
      <c r="BO259" s="32"/>
      <c r="BP259" s="32"/>
      <c r="BQ259" s="32"/>
      <c r="BR259" s="32"/>
      <c r="BS259" s="32"/>
      <c r="BT259" s="32"/>
      <c r="BU259" s="32"/>
      <c r="BV259" s="32"/>
      <c r="BW259" s="32"/>
      <c r="BX259" s="32"/>
      <c r="BY259" s="32"/>
      <c r="BZ259" s="32"/>
      <c r="CA259" s="32"/>
      <c r="CB259" s="32"/>
      <c r="CC259" s="32"/>
      <c r="CD259" s="32"/>
      <c r="CE259" s="32">
        <v>0</v>
      </c>
      <c r="CF259" s="32"/>
      <c r="CG259" s="32"/>
      <c r="CH259" s="32"/>
      <c r="CI259" s="32">
        <f t="shared" si="13"/>
        <v>0</v>
      </c>
      <c r="CJ259" s="60">
        <f>IF((Table1[[#This Row],["Volume
BA MC-0"]]-Table1[[#This Row],[Total Panjang Pipa Aktual
(Sum-&gt;)3]]-Table1[[#This Row],[Total Volume
tidak dapat dipasang]])&gt;=0,Table1[[#This Row],["Volume
BA MC-0"]]-Table1[[#This Row],[Total Panjang Pipa Aktual
(Sum-&gt;)3]]-Table1[[#This Row],[Total Volume
tidak dapat dipasang]],0)</f>
        <v>28</v>
      </c>
      <c r="CK259" s="42"/>
      <c r="CL259" s="454" t="s">
        <v>1821</v>
      </c>
      <c r="CM259" s="34" t="s">
        <v>1821</v>
      </c>
      <c r="CN259" s="454" t="s">
        <v>1821</v>
      </c>
      <c r="CO259" s="454" t="s">
        <v>1821</v>
      </c>
      <c r="CP2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59" s="61">
        <f>IFERROR(Table1[[#This Row],[Progres Keg. Umum
(%)]]*Table1[[#This Row],[Nilai RAB Jaringan
(file pa aji)]],0)</f>
        <v>0</v>
      </c>
      <c r="CR259" s="61">
        <f>IFERROR(Table1[[#This Row],[Progres MOS
(%)]]*Table1[[#This Row],[Nilai RAB Jaringan
(file pa aji)]],0)</f>
        <v>0</v>
      </c>
      <c r="CS259" s="61">
        <f>IFERROR(Table1[[#This Row],[Progres Pemasangan
(%)]]*Table1[[#This Row],[Nilai RAB Jaringan
(file pa aji)]],0)</f>
        <v>0</v>
      </c>
      <c r="CT259" s="61">
        <f>IFERROR(Table1[[#This Row],[Progres Perizinan
(%)]]*Table1[[#This Row],[Nilai RAB Jaringan
(file pa aji)]],0)</f>
        <v>0</v>
      </c>
      <c r="CU259" s="789">
        <v>1319216105</v>
      </c>
      <c r="CV259" s="299">
        <v>1319216105</v>
      </c>
      <c r="CW259" s="552">
        <v>1319216105</v>
      </c>
      <c r="CX259" s="789">
        <f>_xlfn.XLOOKUP(Table1[[#This Row],[Kode Program]],'[1]Breakdown VOWD Greenfield'!$E:$E,'[1]Breakdown VOWD Greenfield'!$AT:$AT)</f>
        <v>1319216105</v>
      </c>
      <c r="CY259" s="42"/>
      <c r="CZ259" s="300">
        <v>45866</v>
      </c>
      <c r="DA259" s="300">
        <v>45893</v>
      </c>
      <c r="DB259" s="301">
        <v>45881</v>
      </c>
      <c r="DC259" s="286" t="s">
        <v>2021</v>
      </c>
      <c r="DD259" s="62">
        <v>1208135926</v>
      </c>
      <c r="DE2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59" s="301">
        <v>45889</v>
      </c>
      <c r="DG259" s="286" t="s">
        <v>2022</v>
      </c>
      <c r="DH259" s="62">
        <v>1208135926</v>
      </c>
      <c r="DI2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59" s="300">
        <v>45894</v>
      </c>
      <c r="DK259" s="300">
        <v>45963</v>
      </c>
      <c r="DL259" s="301">
        <v>45924</v>
      </c>
      <c r="DM259" s="286" t="s">
        <v>671</v>
      </c>
      <c r="DN2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59" s="301">
        <v>45929</v>
      </c>
      <c r="DP259" s="286" t="s">
        <v>672</v>
      </c>
      <c r="DQ259" s="308" t="s">
        <v>1937</v>
      </c>
      <c r="DR2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59" s="300">
        <v>45894</v>
      </c>
      <c r="DT259" s="300" t="e">
        <v>#N/A</v>
      </c>
      <c r="DU259" s="300">
        <v>45935</v>
      </c>
      <c r="DV259" s="300" t="e">
        <v>#N/A</v>
      </c>
      <c r="DW259" s="301">
        <v>45924</v>
      </c>
      <c r="DX259" s="286" t="s">
        <v>2023</v>
      </c>
      <c r="DY259" s="302">
        <v>28</v>
      </c>
      <c r="DZ259" s="304">
        <v>28</v>
      </c>
      <c r="EA2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59" s="301">
        <v>46161</v>
      </c>
      <c r="EC259" s="302">
        <v>27</v>
      </c>
      <c r="ED259" s="302">
        <v>27</v>
      </c>
      <c r="EE259" s="395" t="s">
        <v>2024</v>
      </c>
      <c r="EF259" s="35">
        <v>1</v>
      </c>
      <c r="EG259" s="307">
        <v>1</v>
      </c>
      <c r="EH259" s="286" t="str">
        <f>IF(Table1[[#This Row],[PO Material Aktual 
(%)]]&gt;=100%,"Selesai PO = 100%",IF(Table1[[#This Row],[PO Material Aktual 
(%)]]&gt;=50%,"Proses PO &gt; 100%",IF(Table1[[#This Row],[PO Material Aktual 
(%)]]&gt;0%,"Proses PO &gt; 50%",IF(Table1[[#This Row],[PO Material Aktual 
(%)]]=0,"Belum PO = 0%"))))</f>
        <v>Selesai PO = 100%</v>
      </c>
      <c r="EI25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59" s="300">
        <v>45936</v>
      </c>
      <c r="EK259" s="300" t="e">
        <v>#N/A</v>
      </c>
      <c r="EL259" s="300">
        <v>45991</v>
      </c>
      <c r="EM259" s="300" t="e">
        <v>#N/A</v>
      </c>
      <c r="EN259" s="301">
        <v>46156</v>
      </c>
      <c r="EO259" s="302">
        <v>27</v>
      </c>
      <c r="EP259" s="286">
        <v>27</v>
      </c>
      <c r="EQ259" s="35">
        <v>0.9642857142857143</v>
      </c>
      <c r="ER259" s="35">
        <f>Table1[[#This Row],[Line MOS]]/Table1[[#This Row],[Line PR]]</f>
        <v>0.9642857142857143</v>
      </c>
      <c r="ES259" s="286" t="str">
        <f>IF(Table1[[#This Row],[Progres MOS]]&gt;=100%,"Selesai MOS = 100%",IF(Table1[[#This Row],[Progres MOS]]&gt;=50%,"Proses MOS &gt; 100%",IF(Table1[[#This Row],[Progres MOS]]&gt;0%,"Proses MOS &gt; 50%",IF(Table1[[#This Row],[Progres MOS]]=0,"Belum MOS = 0%"))))</f>
        <v>Proses MOS &gt; 100%</v>
      </c>
      <c r="ET2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59" s="42"/>
      <c r="EV259" s="300">
        <v>45894</v>
      </c>
      <c r="EW259" s="300" t="e">
        <v>#N/A</v>
      </c>
      <c r="EX259" s="300">
        <v>45991</v>
      </c>
      <c r="EY259" s="300" t="e">
        <v>#N/A</v>
      </c>
      <c r="EZ259" s="322" t="s">
        <v>298</v>
      </c>
      <c r="FA259" s="306" t="s">
        <v>259</v>
      </c>
      <c r="FB259" s="300" t="s">
        <v>260</v>
      </c>
      <c r="FC259" s="300">
        <v>45936</v>
      </c>
      <c r="FD259" s="300" t="s">
        <v>260</v>
      </c>
      <c r="FE259" s="300">
        <v>45966</v>
      </c>
      <c r="FF259" s="300">
        <v>45995</v>
      </c>
      <c r="FG259" s="300" t="s">
        <v>260</v>
      </c>
      <c r="FH259" s="300" t="s">
        <v>260</v>
      </c>
      <c r="FI259" s="300">
        <v>46013</v>
      </c>
      <c r="FJ259" s="300" t="s">
        <v>260</v>
      </c>
      <c r="FK259" s="300">
        <v>46142</v>
      </c>
      <c r="FL259" s="306" t="s">
        <v>298</v>
      </c>
      <c r="FM259" s="322">
        <v>45936</v>
      </c>
      <c r="FN259" s="308">
        <f>IF(Table1[[#This Row],[Tanggal Pengajuan Dokumen]]="","",Table1[[#This Row],[PLAN PERMIT
start]]-Table1[[#This Row],[Tanggal Pengajuan Dokumen]])</f>
        <v>-42</v>
      </c>
      <c r="FO259" s="407">
        <v>46097</v>
      </c>
      <c r="FP259" s="286"/>
      <c r="FQ259" s="308"/>
      <c r="FR259" s="308"/>
      <c r="FS259" s="308" t="str">
        <f t="shared" si="14"/>
        <v>Sudah Terbit</v>
      </c>
      <c r="FT2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59" s="314">
        <f ca="1">IF(Table1[[#This Row],[Status Izin]]="Selesai",Table1[[#This Row],[PLAN PERMIT
finish]]-Table1[[#This Row],[Tanggal Terbit/ Target Izin Terbit]],ROUNDUP(Table1[[#This Row],[PLAN PERMIT
finish]]-NOW(),0))</f>
        <v>-106</v>
      </c>
      <c r="FV2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59" s="314"/>
      <c r="FX259" s="42"/>
      <c r="FY259" s="310"/>
      <c r="FZ259" s="311">
        <v>45911</v>
      </c>
      <c r="GA2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59" s="300">
        <v>45965</v>
      </c>
      <c r="GC259" s="322">
        <v>45917</v>
      </c>
      <c r="GD2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59" s="300">
        <v>45972</v>
      </c>
      <c r="GF259" s="322">
        <v>45912</v>
      </c>
      <c r="GG2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59" s="300">
        <v>45978</v>
      </c>
      <c r="GI259" s="300">
        <v>45984</v>
      </c>
      <c r="GJ259" s="322">
        <v>45915</v>
      </c>
      <c r="GK2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59" s="300">
        <v>45992</v>
      </c>
      <c r="GM259" s="300" t="e">
        <v>#N/A</v>
      </c>
      <c r="GN259" s="300">
        <v>46033</v>
      </c>
      <c r="GO259" s="300" t="e">
        <v>#N/A</v>
      </c>
      <c r="GP259" s="300"/>
      <c r="GQ2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59" s="300" t="s">
        <v>261</v>
      </c>
      <c r="GS259" s="300" t="s">
        <v>261</v>
      </c>
      <c r="GT259" s="324">
        <v>45940</v>
      </c>
      <c r="GU259" s="314" t="str">
        <f>IF(Table1[[#This Row],[Hydro Tes Actual
(tanggal)]]&lt;&gt;"","Sudah","Belum")</f>
        <v>Sudah</v>
      </c>
      <c r="GV259" s="300" t="s">
        <v>261</v>
      </c>
      <c r="GW259" s="300" t="s">
        <v>261</v>
      </c>
      <c r="GX259" s="301">
        <v>45973</v>
      </c>
      <c r="GY259" s="314" t="str">
        <f>IF(Table1[[#This Row],[Interkoneksi Actual
(tanggal)]]&lt;&gt;"","Sudah","Belum")</f>
        <v>Sudah</v>
      </c>
      <c r="GZ259" s="300" t="s">
        <v>261</v>
      </c>
      <c r="HA259" s="300" t="s">
        <v>261</v>
      </c>
      <c r="HB259" s="301">
        <v>45958</v>
      </c>
      <c r="HC259" s="314" t="str">
        <f>IF(Table1[[#This Row],[Flushing Actual
(tanggal)]]&lt;&gt;"","Sudah","Belum")</f>
        <v>Sudah</v>
      </c>
      <c r="HD259" s="300">
        <v>46013</v>
      </c>
      <c r="HE259" s="300" t="e">
        <v>#N/A</v>
      </c>
      <c r="HF259" s="300">
        <v>46026</v>
      </c>
      <c r="HG259" s="322">
        <v>45973</v>
      </c>
      <c r="HH2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59" s="300" t="s">
        <v>261</v>
      </c>
      <c r="HJ259" s="300" t="s">
        <v>261</v>
      </c>
      <c r="HK259" s="301"/>
      <c r="HL259" s="286"/>
      <c r="HM259" s="300">
        <v>46038</v>
      </c>
      <c r="HN259" s="300">
        <v>46038</v>
      </c>
      <c r="HO259" s="300" t="e">
        <v>#N/A</v>
      </c>
      <c r="HP259" s="300"/>
      <c r="HQ259" s="301">
        <v>46106</v>
      </c>
      <c r="HR25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59" s="300">
        <v>46045</v>
      </c>
      <c r="HT259" s="300"/>
      <c r="HU259" s="300">
        <v>46045</v>
      </c>
      <c r="HV259" s="300"/>
      <c r="HW259" s="301">
        <v>46107</v>
      </c>
      <c r="HX25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59" s="42"/>
      <c r="HZ259" s="322"/>
      <c r="IA259" s="322"/>
      <c r="IC259" s="585">
        <f>IFERROR(ROUND((Table1[[#This Row],[PLAN TC
finish]]-Table1[[#This Row],[PLAN MC-0
start]])/30,2),"")</f>
        <v>1.6</v>
      </c>
      <c r="ID259">
        <f>DATEDIF(Table1[[#This Row],[PLAN MC-0
start]],Table1[[#This Row],[PLAN TC
finish]],"m")</f>
        <v>1</v>
      </c>
    </row>
    <row r="260" spans="1:238" s="4" customFormat="1" ht="15" customHeight="1" x14ac:dyDescent="0.25">
      <c r="B260" s="281">
        <f>SUBTOTAL(3,$D$5:D260)</f>
        <v>256</v>
      </c>
      <c r="C260" s="286">
        <v>256</v>
      </c>
      <c r="D260" s="308" t="s">
        <v>629</v>
      </c>
      <c r="E260" s="308" t="s">
        <v>2025</v>
      </c>
      <c r="F260" s="308" t="s">
        <v>2026</v>
      </c>
      <c r="G260" s="319">
        <v>46117</v>
      </c>
      <c r="H260" s="308" t="s">
        <v>681</v>
      </c>
      <c r="I260" s="308" t="s">
        <v>278</v>
      </c>
      <c r="J260" s="450" t="s">
        <v>1830</v>
      </c>
      <c r="K260" s="308" t="s">
        <v>915</v>
      </c>
      <c r="L260" s="286" t="s">
        <v>250</v>
      </c>
      <c r="M260" s="325" t="s">
        <v>269</v>
      </c>
      <c r="N260" s="94">
        <v>106</v>
      </c>
      <c r="O260" s="31" t="s">
        <v>252</v>
      </c>
      <c r="P26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0" s="35">
        <v>0.99999999999999989</v>
      </c>
      <c r="S260" s="34">
        <v>1</v>
      </c>
      <c r="T260" s="34">
        <f>Table1[[#This Row],[Progres Total Aktual
(%)]]</f>
        <v>1</v>
      </c>
      <c r="U260" s="85">
        <f>Table1[[#This Row],[Progres Aktual
(%)]]-Table1[[#This Row],[Target Progres
(%)]]</f>
        <v>0</v>
      </c>
      <c r="V260" s="75">
        <v>115</v>
      </c>
      <c r="W260" s="41">
        <f>Table1[[#This Row],[Total Panjang Pipa Aktual
(Sum-&gt;)3]]</f>
        <v>102</v>
      </c>
      <c r="X260" s="42"/>
      <c r="Y260" s="62" t="s">
        <v>2027</v>
      </c>
      <c r="Z260" s="62">
        <v>211312451</v>
      </c>
      <c r="AA260" s="62">
        <f>ROUND((Table1[[#This Row],[Nilai RAB Jaringan
(Exclude Ppn)]]-Table1[[#This Row],[RAB Perizinan]])*1.11+Table1[[#This Row],[RAB Perizinan]],0)</f>
        <v>211312450</v>
      </c>
      <c r="AB260" s="456">
        <f>SUM(Table1[[#This Row],[RAB Kegiatan Umum]:[RAB Perizinan]])</f>
        <v>190476622</v>
      </c>
      <c r="AC260" s="406">
        <v>12372597</v>
      </c>
      <c r="AD260" s="406">
        <v>123725967</v>
      </c>
      <c r="AE260" s="406">
        <v>53318058</v>
      </c>
      <c r="AF260" s="406">
        <v>1060000</v>
      </c>
      <c r="AG260" s="453">
        <v>12642232</v>
      </c>
      <c r="AH260" s="33">
        <f>SUM(Table1[[#This Row],[Bobot Keg Umum]:[Bobot Perizinan]])</f>
        <v>1</v>
      </c>
      <c r="AI260" s="33">
        <f>Table1[[#This Row],[RAB Kegiatan Umum]]/Table1[[#This Row],[Nilai RAB Jaringan
(Exclude Ppn)]]</f>
        <v>6.4955987092211245E-2</v>
      </c>
      <c r="AJ260" s="33">
        <f>Table1[[#This Row],[RAB Pemasangan]]/Table1[[#This Row],[Nilai RAB Jaringan
(Exclude Ppn)]]</f>
        <v>0.64955985517214809</v>
      </c>
      <c r="AK260" s="33">
        <f>Table1[[#This Row],[RAB Pengadaan]]/Table1[[#This Row],[Nilai RAB Jaringan
(Exclude Ppn)]]</f>
        <v>0.27991917034311958</v>
      </c>
      <c r="AL260" s="33">
        <f>Table1[[#This Row],[RAB Perizinan]]/Table1[[#This Row],[Nilai RAB Jaringan
(Exclude Ppn)]]</f>
        <v>5.5649873925210621E-3</v>
      </c>
      <c r="AM260" s="42"/>
      <c r="AN260" s="256">
        <v>106</v>
      </c>
      <c r="AO260" s="256">
        <f>SUM(Table1[[#This Row],[Pipa 63 mm]:[Pipa 1,800 mm]])</f>
        <v>115</v>
      </c>
      <c r="AP260" s="256">
        <v>115</v>
      </c>
      <c r="AQ260" s="256"/>
      <c r="AR260" s="256"/>
      <c r="AS260" s="256"/>
      <c r="AT260" s="256"/>
      <c r="AU260" s="256"/>
      <c r="AV260" s="256"/>
      <c r="AW260" s="256"/>
      <c r="AX260" s="256"/>
      <c r="AY260" s="256"/>
      <c r="AZ260" s="256"/>
      <c r="BA260" s="256"/>
      <c r="BB260" s="256"/>
      <c r="BC260" s="256"/>
      <c r="BD260" s="256"/>
      <c r="BE260" s="256"/>
      <c r="BF260" s="256"/>
      <c r="BG260" s="256"/>
      <c r="BH260" s="256"/>
      <c r="BI260" s="256"/>
      <c r="BJ260" s="36">
        <f>SUM(Table1[[#This Row],[Pipa 63 mm2]:[Pipa 1,800 mm21]])</f>
        <v>102</v>
      </c>
      <c r="BK260" s="32">
        <v>102</v>
      </c>
      <c r="BL260" s="32"/>
      <c r="BM260" s="32"/>
      <c r="BN260" s="32"/>
      <c r="BO260" s="32"/>
      <c r="BP260" s="32"/>
      <c r="BQ260" s="32"/>
      <c r="BR260" s="32"/>
      <c r="BS260" s="32"/>
      <c r="BT260" s="32"/>
      <c r="BU260" s="32"/>
      <c r="BV260" s="32"/>
      <c r="BW260" s="32"/>
      <c r="BX260" s="32"/>
      <c r="BY260" s="32"/>
      <c r="BZ260" s="32"/>
      <c r="CA260" s="32"/>
      <c r="CB260" s="32"/>
      <c r="CC260" s="32"/>
      <c r="CD260" s="32"/>
      <c r="CE260" s="32">
        <v>0</v>
      </c>
      <c r="CF260" s="32"/>
      <c r="CG260" s="32"/>
      <c r="CH260" s="32"/>
      <c r="CI260" s="32">
        <f t="shared" si="13"/>
        <v>0</v>
      </c>
      <c r="CJ260" s="60">
        <f>IF((Table1[[#This Row],["Volume
BA MC-0"]]-Table1[[#This Row],[Total Panjang Pipa Aktual
(Sum-&gt;)3]]-Table1[[#This Row],[Total Volume
tidak dapat dipasang]])&gt;=0,Table1[[#This Row],["Volume
BA MC-0"]]-Table1[[#This Row],[Total Panjang Pipa Aktual
(Sum-&gt;)3]]-Table1[[#This Row],[Total Volume
tidak dapat dipasang]],0)</f>
        <v>4</v>
      </c>
      <c r="CK260" s="42"/>
      <c r="CL260" s="454" t="s">
        <v>1821</v>
      </c>
      <c r="CM260" s="34" t="s">
        <v>1821</v>
      </c>
      <c r="CN260" s="454" t="s">
        <v>1821</v>
      </c>
      <c r="CO260" s="454" t="s">
        <v>1821</v>
      </c>
      <c r="CP2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0" s="61">
        <f>IFERROR(Table1[[#This Row],[Progres Keg. Umum
(%)]]*Table1[[#This Row],[Nilai RAB Jaringan
(file pa aji)]],0)</f>
        <v>0</v>
      </c>
      <c r="CR260" s="61">
        <f>IFERROR(Table1[[#This Row],[Progres MOS
(%)]]*Table1[[#This Row],[Nilai RAB Jaringan
(file pa aji)]],0)</f>
        <v>0</v>
      </c>
      <c r="CS260" s="61">
        <f>IFERROR(Table1[[#This Row],[Progres Pemasangan
(%)]]*Table1[[#This Row],[Nilai RAB Jaringan
(file pa aji)]],0)</f>
        <v>0</v>
      </c>
      <c r="CT260" s="61">
        <f>IFERROR(Table1[[#This Row],[Progres Perizinan
(%)]]*Table1[[#This Row],[Nilai RAB Jaringan
(file pa aji)]],0)</f>
        <v>0</v>
      </c>
      <c r="CU260" s="789">
        <v>194897121</v>
      </c>
      <c r="CV260" s="299">
        <v>194897121</v>
      </c>
      <c r="CW260" s="299">
        <v>194897121</v>
      </c>
      <c r="CX260" s="789">
        <f>_xlfn.XLOOKUP(Table1[[#This Row],[Kode Program]],'[1]Breakdown VOWD Greenfield'!$E:$E,'[1]Breakdown VOWD Greenfield'!$AT:$AT)</f>
        <v>194897121</v>
      </c>
      <c r="CY260" s="42"/>
      <c r="CZ260" s="300">
        <v>45866</v>
      </c>
      <c r="DA260" s="300">
        <v>45893</v>
      </c>
      <c r="DB260" s="301">
        <v>45880</v>
      </c>
      <c r="DC260" s="286" t="s">
        <v>2028</v>
      </c>
      <c r="DD260" s="62">
        <v>211312450</v>
      </c>
      <c r="DE2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0" s="301">
        <v>45698</v>
      </c>
      <c r="DG260" s="286" t="s">
        <v>2029</v>
      </c>
      <c r="DH260" s="62">
        <v>211312450</v>
      </c>
      <c r="DI2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0" s="300">
        <v>45894</v>
      </c>
      <c r="DK260" s="300">
        <v>45963</v>
      </c>
      <c r="DL260" s="301">
        <v>45936</v>
      </c>
      <c r="DM260" s="286" t="s">
        <v>2030</v>
      </c>
      <c r="DN2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0" s="301">
        <v>45940</v>
      </c>
      <c r="DP260" s="286" t="s">
        <v>2031</v>
      </c>
      <c r="DQ260" s="308" t="s">
        <v>1979</v>
      </c>
      <c r="DR2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0" s="300">
        <v>45894</v>
      </c>
      <c r="DT260" s="300" t="e">
        <v>#N/A</v>
      </c>
      <c r="DU260" s="300">
        <v>45935</v>
      </c>
      <c r="DV260" s="300" t="e">
        <v>#N/A</v>
      </c>
      <c r="DW260" s="301">
        <v>45934</v>
      </c>
      <c r="DX260" s="454" t="s">
        <v>2032</v>
      </c>
      <c r="DY260" s="302">
        <v>31</v>
      </c>
      <c r="DZ260" s="304">
        <v>31</v>
      </c>
      <c r="EA2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0" s="301">
        <v>46008</v>
      </c>
      <c r="EC260" s="302">
        <v>28</v>
      </c>
      <c r="ED260" s="302">
        <v>28</v>
      </c>
      <c r="EE260" s="395" t="s">
        <v>2033</v>
      </c>
      <c r="EF260" s="35">
        <v>1</v>
      </c>
      <c r="EG260" s="307">
        <v>1</v>
      </c>
      <c r="EH260" s="286" t="str">
        <f>IF(Table1[[#This Row],[PO Material Aktual 
(%)]]&gt;=100%,"Selesai PO = 100%",IF(Table1[[#This Row],[PO Material Aktual 
(%)]]&gt;=50%,"Proses PO &gt; 100%",IF(Table1[[#This Row],[PO Material Aktual 
(%)]]&gt;0%,"Proses PO &gt; 50%",IF(Table1[[#This Row],[PO Material Aktual 
(%)]]=0,"Belum PO = 0%"))))</f>
        <v>Selesai PO = 100%</v>
      </c>
      <c r="EI26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0" s="300">
        <v>45936</v>
      </c>
      <c r="EK260" s="300" t="e">
        <v>#N/A</v>
      </c>
      <c r="EL260" s="300">
        <v>45991</v>
      </c>
      <c r="EM260" s="300" t="e">
        <v>#N/A</v>
      </c>
      <c r="EN260" s="301">
        <v>46091</v>
      </c>
      <c r="EO260" s="302">
        <v>28</v>
      </c>
      <c r="EP260" s="286">
        <v>28</v>
      </c>
      <c r="EQ260" s="35">
        <v>0.90322580645161288</v>
      </c>
      <c r="ER260" s="35">
        <f>Table1[[#This Row],[Line MOS]]/Table1[[#This Row],[Line PR]]</f>
        <v>0.90322580645161288</v>
      </c>
      <c r="ES260" s="286" t="str">
        <f>IF(Table1[[#This Row],[Progres MOS]]&gt;=100%,"Selesai MOS = 100%",IF(Table1[[#This Row],[Progres MOS]]&gt;=50%,"Proses MOS &gt; 100%",IF(Table1[[#This Row],[Progres MOS]]&gt;0%,"Proses MOS &gt; 50%",IF(Table1[[#This Row],[Progres MOS]]=0,"Belum MOS = 0%"))))</f>
        <v>Proses MOS &gt; 100%</v>
      </c>
      <c r="ET2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0" s="42"/>
      <c r="EV260" s="300">
        <v>45894</v>
      </c>
      <c r="EW260" s="300" t="e">
        <v>#N/A</v>
      </c>
      <c r="EX260" s="300">
        <v>45991</v>
      </c>
      <c r="EY260" s="300" t="e">
        <v>#N/A</v>
      </c>
      <c r="EZ260" s="322" t="s">
        <v>298</v>
      </c>
      <c r="FA260" s="306" t="s">
        <v>259</v>
      </c>
      <c r="FB260" s="300" t="s">
        <v>260</v>
      </c>
      <c r="FC260" s="300">
        <v>45936</v>
      </c>
      <c r="FD260" s="300" t="s">
        <v>260</v>
      </c>
      <c r="FE260" s="300">
        <v>45966</v>
      </c>
      <c r="FF260" s="300">
        <v>45995</v>
      </c>
      <c r="FG260" s="300" t="s">
        <v>260</v>
      </c>
      <c r="FH260" s="300" t="s">
        <v>260</v>
      </c>
      <c r="FI260" s="300">
        <v>46013</v>
      </c>
      <c r="FJ260" s="300" t="s">
        <v>260</v>
      </c>
      <c r="FK260" s="300">
        <v>46142</v>
      </c>
      <c r="FL260" s="306" t="s">
        <v>298</v>
      </c>
      <c r="FM260" s="322">
        <v>45936</v>
      </c>
      <c r="FN260" s="308">
        <f>IF(Table1[[#This Row],[Tanggal Pengajuan Dokumen]]="","",Table1[[#This Row],[PLAN PERMIT
start]]-Table1[[#This Row],[Tanggal Pengajuan Dokumen]])</f>
        <v>-42</v>
      </c>
      <c r="FO260" s="407">
        <v>46097</v>
      </c>
      <c r="FP260" s="286"/>
      <c r="FQ260" s="308"/>
      <c r="FR260" s="308"/>
      <c r="FS260" s="308" t="str">
        <f t="shared" si="14"/>
        <v>Sudah Terbit</v>
      </c>
      <c r="FT2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0" s="314">
        <f ca="1">IF(Table1[[#This Row],[Status Izin]]="Selesai",Table1[[#This Row],[PLAN PERMIT
finish]]-Table1[[#This Row],[Tanggal Terbit/ Target Izin Terbit]],ROUNDUP(Table1[[#This Row],[PLAN PERMIT
finish]]-NOW(),0))</f>
        <v>-106</v>
      </c>
      <c r="FV2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0" s="314"/>
      <c r="FX260" s="42"/>
      <c r="FY260" s="310"/>
      <c r="FZ260" s="311">
        <v>45946</v>
      </c>
      <c r="GA2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0" s="300">
        <v>45965</v>
      </c>
      <c r="GC260" s="322">
        <v>45917</v>
      </c>
      <c r="GD2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0" s="300">
        <v>45972</v>
      </c>
      <c r="GF260" s="322">
        <v>45912</v>
      </c>
      <c r="GG2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0" s="300">
        <v>45978</v>
      </c>
      <c r="GI260" s="300">
        <v>45984</v>
      </c>
      <c r="GJ260" s="322">
        <v>45915</v>
      </c>
      <c r="GK2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0" s="300">
        <v>45992</v>
      </c>
      <c r="GM260" s="300" t="e">
        <v>#N/A</v>
      </c>
      <c r="GN260" s="300">
        <v>46005</v>
      </c>
      <c r="GO260" s="300" t="e">
        <v>#N/A</v>
      </c>
      <c r="GP260" s="300"/>
      <c r="GQ2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0" s="300" t="s">
        <v>261</v>
      </c>
      <c r="GS260" s="300" t="s">
        <v>261</v>
      </c>
      <c r="GT260" s="324">
        <v>46029</v>
      </c>
      <c r="GU260" s="314" t="str">
        <f>IF(Table1[[#This Row],[Hydro Tes Actual
(tanggal)]]&lt;&gt;"","Sudah","Belum")</f>
        <v>Sudah</v>
      </c>
      <c r="GV260" s="300" t="s">
        <v>261</v>
      </c>
      <c r="GW260" s="300" t="s">
        <v>261</v>
      </c>
      <c r="GX260" s="301">
        <v>46029</v>
      </c>
      <c r="GY260" s="314" t="str">
        <f>IF(Table1[[#This Row],[Interkoneksi Actual
(tanggal)]]&lt;&gt;"","Sudah","Belum")</f>
        <v>Sudah</v>
      </c>
      <c r="GZ260" s="300" t="s">
        <v>261</v>
      </c>
      <c r="HA260" s="300" t="s">
        <v>261</v>
      </c>
      <c r="HB260" s="301">
        <v>46031</v>
      </c>
      <c r="HC260" s="314" t="str">
        <f>IF(Table1[[#This Row],[Flushing Actual
(tanggal)]]&lt;&gt;"","Sudah","Belum")</f>
        <v>Sudah</v>
      </c>
      <c r="HD260" s="300">
        <v>45996</v>
      </c>
      <c r="HE260" s="300" t="e">
        <v>#N/A</v>
      </c>
      <c r="HF260" s="300">
        <v>46005</v>
      </c>
      <c r="HG260" s="322">
        <v>46043</v>
      </c>
      <c r="HH2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0" s="300" t="s">
        <v>261</v>
      </c>
      <c r="HJ260" s="300" t="s">
        <v>261</v>
      </c>
      <c r="HK260" s="301"/>
      <c r="HL260" s="286"/>
      <c r="HM260" s="300">
        <v>46010</v>
      </c>
      <c r="HN260" s="300">
        <v>46010</v>
      </c>
      <c r="HO260" s="300" t="e">
        <v>#N/A</v>
      </c>
      <c r="HP260" s="300"/>
      <c r="HQ260" s="301">
        <v>46066</v>
      </c>
      <c r="HR26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0" s="300">
        <v>46017</v>
      </c>
      <c r="HT260" s="300"/>
      <c r="HU260" s="300">
        <v>46017</v>
      </c>
      <c r="HV260" s="300"/>
      <c r="HW260" s="301">
        <v>46078</v>
      </c>
      <c r="HX26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0" s="42"/>
      <c r="HZ260" s="322"/>
      <c r="IA260" s="322"/>
      <c r="IC260" s="585">
        <f>IFERROR(ROUND((Table1[[#This Row],[PLAN TC
finish]]-Table1[[#This Row],[PLAN MC-0
start]])/30,2),"")</f>
        <v>0.9</v>
      </c>
      <c r="ID260">
        <f>DATEDIF(Table1[[#This Row],[PLAN MC-0
start]],Table1[[#This Row],[PLAN TC
finish]],"m")</f>
        <v>0</v>
      </c>
    </row>
    <row r="261" spans="1:238" s="4" customFormat="1" ht="15" customHeight="1" x14ac:dyDescent="0.25">
      <c r="B261" s="281">
        <f>SUBTOTAL(3,$D$5:D261)</f>
        <v>257</v>
      </c>
      <c r="C261" s="286">
        <v>257</v>
      </c>
      <c r="D261" s="308" t="s">
        <v>244</v>
      </c>
      <c r="E261" s="308" t="s">
        <v>2034</v>
      </c>
      <c r="F261" s="308" t="s">
        <v>2035</v>
      </c>
      <c r="G261" s="319">
        <v>46117</v>
      </c>
      <c r="H261" s="308" t="s">
        <v>681</v>
      </c>
      <c r="I261" s="308" t="s">
        <v>248</v>
      </c>
      <c r="J261" s="450" t="s">
        <v>1830</v>
      </c>
      <c r="K261" s="308" t="s">
        <v>249</v>
      </c>
      <c r="L261" s="286" t="s">
        <v>250</v>
      </c>
      <c r="M261" s="325" t="s">
        <v>251</v>
      </c>
      <c r="N261" s="94">
        <v>32</v>
      </c>
      <c r="O261" s="31" t="s">
        <v>252</v>
      </c>
      <c r="P26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61" s="35">
        <v>1</v>
      </c>
      <c r="S261" s="34">
        <v>1</v>
      </c>
      <c r="T261" s="34">
        <f>Table1[[#This Row],[Progres Total Aktual
(%)]]</f>
        <v>1</v>
      </c>
      <c r="U261" s="85">
        <f>Table1[[#This Row],[Progres Aktual
(%)]]-Table1[[#This Row],[Target Progres
(%)]]</f>
        <v>0</v>
      </c>
      <c r="V261" s="75">
        <f>Table1[[#This Row],["Volume
BA MC-0"]]</f>
        <v>43.8</v>
      </c>
      <c r="W261" s="41">
        <f>Table1[[#This Row],[Total Panjang Pipa Aktual
(Sum-&gt;)3]]</f>
        <v>33.799999999999997</v>
      </c>
      <c r="X261" s="42"/>
      <c r="Y261" s="62" t="s">
        <v>2036</v>
      </c>
      <c r="Z261" s="62">
        <v>5120326172</v>
      </c>
      <c r="AA261" s="62">
        <f>ROUND((Table1[[#This Row],[Nilai RAB Jaringan
(Exclude Ppn)]]-Table1[[#This Row],[RAB Perizinan]])*1.11+Table1[[#This Row],[RAB Perizinan]],0)</f>
        <v>5120326172</v>
      </c>
      <c r="AB261" s="456">
        <f>SUM(Table1[[#This Row],[RAB Kegiatan Umum]:[RAB Perizinan]])</f>
        <v>4620744562</v>
      </c>
      <c r="AC261" s="406">
        <v>207258108</v>
      </c>
      <c r="AD261" s="406">
        <v>2072581078</v>
      </c>
      <c r="AE261" s="406">
        <v>2261811812</v>
      </c>
      <c r="AF261" s="406">
        <v>79093564</v>
      </c>
      <c r="AG261" s="453">
        <v>0</v>
      </c>
      <c r="AH261" s="33">
        <f>SUM(Table1[[#This Row],[Bobot Keg Umum]:[Bobot Perizinan]])</f>
        <v>0.99999999999999989</v>
      </c>
      <c r="AI261" s="33">
        <f>Table1[[#This Row],[RAB Kegiatan Umum]]/Table1[[#This Row],[Nilai RAB Jaringan
(Exclude Ppn)]]</f>
        <v>4.4853833666644478E-2</v>
      </c>
      <c r="AJ261" s="33">
        <f>Table1[[#This Row],[RAB Pemasangan]]/Table1[[#This Row],[Nilai RAB Jaringan
(Exclude Ppn)]]</f>
        <v>0.44853833623361411</v>
      </c>
      <c r="AK261" s="33">
        <f>Table1[[#This Row],[RAB Pengadaan]]/Table1[[#This Row],[Nilai RAB Jaringan
(Exclude Ppn)]]</f>
        <v>0.48949076964795873</v>
      </c>
      <c r="AL261" s="33">
        <f>Table1[[#This Row],[RAB Perizinan]]/Table1[[#This Row],[Nilai RAB Jaringan
(Exclude Ppn)]]</f>
        <v>1.7117060451782663E-2</v>
      </c>
      <c r="AM261" s="42"/>
      <c r="AN261" s="256">
        <v>43.8</v>
      </c>
      <c r="AO261" s="256">
        <f>SUM(Table1[[#This Row],[Pipa 63 mm]:[Pipa 1,800 mm]])</f>
        <v>0</v>
      </c>
      <c r="AP261" s="256"/>
      <c r="AQ261" s="256"/>
      <c r="AR261" s="256"/>
      <c r="AS261" s="256"/>
      <c r="AT261" s="256"/>
      <c r="AU261" s="256"/>
      <c r="AV261" s="256"/>
      <c r="AW261" s="256"/>
      <c r="AX261" s="256"/>
      <c r="AY261" s="256"/>
      <c r="AZ261" s="256"/>
      <c r="BA261" s="256"/>
      <c r="BB261" s="256"/>
      <c r="BC261" s="256"/>
      <c r="BD261" s="256"/>
      <c r="BE261" s="256"/>
      <c r="BF261" s="256"/>
      <c r="BG261" s="256"/>
      <c r="BH261" s="256"/>
      <c r="BI261" s="256"/>
      <c r="BJ261" s="36">
        <f>SUM(Table1[[#This Row],[Pipa 63 mm2]:[Pipa 1,800 mm21]])</f>
        <v>33.799999999999997</v>
      </c>
      <c r="BK261" s="32"/>
      <c r="BL261" s="32"/>
      <c r="BM261" s="32"/>
      <c r="BN261" s="32"/>
      <c r="BO261" s="32"/>
      <c r="BP261" s="32"/>
      <c r="BQ261" s="32"/>
      <c r="BR261" s="32"/>
      <c r="BS261" s="32"/>
      <c r="BT261" s="32"/>
      <c r="BU261" s="32"/>
      <c r="BV261" s="32"/>
      <c r="BW261" s="32">
        <v>33.799999999999997</v>
      </c>
      <c r="BX261" s="32"/>
      <c r="BY261" s="32"/>
      <c r="BZ261" s="32"/>
      <c r="CA261" s="32"/>
      <c r="CB261" s="32"/>
      <c r="CC261" s="32"/>
      <c r="CD261" s="32"/>
      <c r="CE261" s="32">
        <v>0</v>
      </c>
      <c r="CF261" s="32"/>
      <c r="CG261" s="32"/>
      <c r="CH261" s="32"/>
      <c r="CI261" s="32">
        <f t="shared" si="13"/>
        <v>0</v>
      </c>
      <c r="CJ261" s="60">
        <f>IF((Table1[[#This Row],["Volume
BA MC-0"]]-Table1[[#This Row],[Total Panjang Pipa Aktual
(Sum-&gt;)3]]-Table1[[#This Row],[Total Volume
tidak dapat dipasang]])&gt;=0,Table1[[#This Row],["Volume
BA MC-0"]]-Table1[[#This Row],[Total Panjang Pipa Aktual
(Sum-&gt;)3]]-Table1[[#This Row],[Total Volume
tidak dapat dipasang]],0)</f>
        <v>10</v>
      </c>
      <c r="CK261" s="42"/>
      <c r="CL261" s="297"/>
      <c r="CM261" s="34"/>
      <c r="CN261" s="297"/>
      <c r="CO261" s="297"/>
      <c r="CP2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61" s="61">
        <f>IFERROR(Table1[[#This Row],[Progres Keg. Umum
(%)]]*Table1[[#This Row],[Nilai RAB Jaringan
(file pa aji)]],0)</f>
        <v>0</v>
      </c>
      <c r="CR261" s="61">
        <f>IFERROR(Table1[[#This Row],[Progres MOS
(%)]]*Table1[[#This Row],[Nilai RAB Jaringan
(file pa aji)]],0)</f>
        <v>0</v>
      </c>
      <c r="CS261" s="61">
        <f>IFERROR(Table1[[#This Row],[Progres Pemasangan
(%)]]*Table1[[#This Row],[Nilai RAB Jaringan
(file pa aji)]],0)</f>
        <v>0</v>
      </c>
      <c r="CT261" s="61">
        <f>IFERROR(Table1[[#This Row],[Progres Perizinan
(%)]]*Table1[[#This Row],[Nilai RAB Jaringan
(file pa aji)]],0)</f>
        <v>0</v>
      </c>
      <c r="CU261" s="789">
        <v>5873391286</v>
      </c>
      <c r="CV261" s="299">
        <v>5873391286</v>
      </c>
      <c r="CW261" s="552">
        <v>5873391286</v>
      </c>
      <c r="CX261" s="789">
        <f>_xlfn.XLOOKUP(Table1[[#This Row],[Kode Program]],'[1]Breakdown VOWD Greenfield'!$E:$E,'[1]Breakdown VOWD Greenfield'!$AT:$AT)</f>
        <v>5873391286</v>
      </c>
      <c r="CY261" s="42"/>
      <c r="CZ261" s="300">
        <v>45866</v>
      </c>
      <c r="DA261" s="300">
        <v>45893</v>
      </c>
      <c r="DB261" s="301">
        <v>45859</v>
      </c>
      <c r="DC261" s="286" t="s">
        <v>2037</v>
      </c>
      <c r="DD261" s="62">
        <v>5120326172</v>
      </c>
      <c r="DE2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1" s="301">
        <v>45867</v>
      </c>
      <c r="DG261" s="286" t="s">
        <v>2038</v>
      </c>
      <c r="DH261" s="62">
        <v>5120326172</v>
      </c>
      <c r="DI2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1" s="300">
        <v>45894</v>
      </c>
      <c r="DK261" s="300">
        <v>45956</v>
      </c>
      <c r="DL261" s="301">
        <v>45875</v>
      </c>
      <c r="DM261" s="286" t="s">
        <v>2039</v>
      </c>
      <c r="DN2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1" s="301">
        <v>45908</v>
      </c>
      <c r="DP261" s="286" t="s">
        <v>2040</v>
      </c>
      <c r="DQ261" s="308" t="s">
        <v>2041</v>
      </c>
      <c r="DR2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1" s="300">
        <v>45894</v>
      </c>
      <c r="DT261" s="300" t="e">
        <v>#N/A</v>
      </c>
      <c r="DU261" s="300">
        <v>45935</v>
      </c>
      <c r="DV261" s="300" t="e">
        <v>#N/A</v>
      </c>
      <c r="DW261" s="301">
        <v>45876</v>
      </c>
      <c r="DX261" s="286" t="s">
        <v>2042</v>
      </c>
      <c r="DY261" s="304">
        <v>30</v>
      </c>
      <c r="DZ261" s="304">
        <v>30</v>
      </c>
      <c r="EA2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1" s="301">
        <v>45986</v>
      </c>
      <c r="EC261" s="302">
        <v>26</v>
      </c>
      <c r="ED261" s="302">
        <v>26</v>
      </c>
      <c r="EE261" s="300" t="s">
        <v>2043</v>
      </c>
      <c r="EF261" s="35">
        <v>1</v>
      </c>
      <c r="EG261" s="35">
        <v>1</v>
      </c>
      <c r="EH261" s="286" t="str">
        <f>IF(Table1[[#This Row],[PO Material Aktual 
(%)]]&gt;=100%,"Selesai PO = 100%",IF(Table1[[#This Row],[PO Material Aktual 
(%)]]&gt;=50%,"Proses PO &gt; 100%",IF(Table1[[#This Row],[PO Material Aktual 
(%)]]&gt;0%,"Proses PO &gt; 50%",IF(Table1[[#This Row],[PO Material Aktual 
(%)]]=0,"Belum PO = 0%"))))</f>
        <v>Selesai PO = 100%</v>
      </c>
      <c r="EI26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1" s="300">
        <v>45936</v>
      </c>
      <c r="EK261" s="300" t="e">
        <v>#N/A</v>
      </c>
      <c r="EL261" s="300">
        <v>45984</v>
      </c>
      <c r="EM261" s="300" t="e">
        <v>#N/A</v>
      </c>
      <c r="EN261" s="301">
        <v>46008</v>
      </c>
      <c r="EO261" s="302">
        <v>26</v>
      </c>
      <c r="EP261" s="286">
        <v>26</v>
      </c>
      <c r="EQ261" s="35">
        <v>0.8666666666666667</v>
      </c>
      <c r="ER261" s="35">
        <f>Table1[[#This Row],[Line MOS]]/Table1[[#This Row],[Line PR]]</f>
        <v>0.8666666666666667</v>
      </c>
      <c r="ES261" s="286" t="str">
        <f>IF(Table1[[#This Row],[Progres MOS]]&gt;=100%,"Selesai MOS = 100%",IF(Table1[[#This Row],[Progres MOS]]&gt;=50%,"Proses MOS &gt; 100%",IF(Table1[[#This Row],[Progres MOS]]&gt;0%,"Proses MOS &gt; 50%",IF(Table1[[#This Row],[Progres MOS]]=0,"Belum MOS = 0%"))))</f>
        <v>Proses MOS &gt; 100%</v>
      </c>
      <c r="ET2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1" s="42"/>
      <c r="EV261" s="300">
        <v>45894</v>
      </c>
      <c r="EW261" s="300" t="e">
        <v>#N/A</v>
      </c>
      <c r="EX261" s="300">
        <v>45984</v>
      </c>
      <c r="EY261" s="300" t="e">
        <v>#N/A</v>
      </c>
      <c r="EZ261" s="322" t="s">
        <v>298</v>
      </c>
      <c r="FA261" s="306" t="s">
        <v>259</v>
      </c>
      <c r="FB261" s="300" t="s">
        <v>260</v>
      </c>
      <c r="FC261" s="300">
        <v>45909</v>
      </c>
      <c r="FD261" s="300" t="s">
        <v>260</v>
      </c>
      <c r="FE261" s="300">
        <v>45966</v>
      </c>
      <c r="FF261" s="300">
        <v>45993</v>
      </c>
      <c r="FG261" s="300" t="s">
        <v>260</v>
      </c>
      <c r="FH261" s="300" t="s">
        <v>260</v>
      </c>
      <c r="FI261" s="300"/>
      <c r="FJ261" s="300" t="s">
        <v>260</v>
      </c>
      <c r="FK261" s="300">
        <v>46114</v>
      </c>
      <c r="FL261" s="306" t="s">
        <v>298</v>
      </c>
      <c r="FM261" s="322">
        <v>45909</v>
      </c>
      <c r="FN261" s="308">
        <f>IF(Table1[[#This Row],[Tanggal Pengajuan Dokumen]]="","",Table1[[#This Row],[PLAN PERMIT
start]]-Table1[[#This Row],[Tanggal Pengajuan Dokumen]])</f>
        <v>-15</v>
      </c>
      <c r="FO261" s="407">
        <v>46097</v>
      </c>
      <c r="FP261" s="286"/>
      <c r="FQ261" s="308"/>
      <c r="FR261" s="308"/>
      <c r="FS261" s="308" t="str">
        <f t="shared" si="14"/>
        <v>Sudah Terbit</v>
      </c>
      <c r="FT2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1" s="314">
        <f ca="1">IF(Table1[[#This Row],[Status Izin]]="Selesai",Table1[[#This Row],[PLAN PERMIT
finish]]-Table1[[#This Row],[Tanggal Terbit/ Target Izin Terbit]],ROUNDUP(Table1[[#This Row],[PLAN PERMIT
finish]]-NOW(),0))</f>
        <v>-113</v>
      </c>
      <c r="FV2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1" s="314"/>
      <c r="FX261" s="42"/>
      <c r="FY261" s="310"/>
      <c r="FZ261" s="311"/>
      <c r="GA2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1" s="300">
        <v>45958</v>
      </c>
      <c r="GC261" s="322">
        <v>45909</v>
      </c>
      <c r="GD2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1" s="300">
        <v>45965</v>
      </c>
      <c r="GF261" s="322">
        <v>45909</v>
      </c>
      <c r="GG2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1" s="300">
        <v>45971</v>
      </c>
      <c r="GI261" s="300">
        <v>45977</v>
      </c>
      <c r="GJ261" s="322">
        <v>45951</v>
      </c>
      <c r="GK2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61" s="300">
        <v>45985</v>
      </c>
      <c r="GM261" s="300" t="e">
        <v>#N/A</v>
      </c>
      <c r="GN261" s="300">
        <v>46005</v>
      </c>
      <c r="GO261" s="300" t="e">
        <v>#N/A</v>
      </c>
      <c r="GP261" s="300"/>
      <c r="GQ2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1" s="300" t="s">
        <v>261</v>
      </c>
      <c r="GS261" s="300" t="s">
        <v>261</v>
      </c>
      <c r="GT261" s="324" t="s">
        <v>2044</v>
      </c>
      <c r="GU261" s="314" t="str">
        <f>IF(Table1[[#This Row],[Hydro Tes Actual
(tanggal)]]&lt;&gt;"","Sudah","Belum")</f>
        <v>Sudah</v>
      </c>
      <c r="GV261" s="300" t="s">
        <v>261</v>
      </c>
      <c r="GW261" s="300" t="s">
        <v>261</v>
      </c>
      <c r="GX261" s="301">
        <v>46107</v>
      </c>
      <c r="GY261" s="314" t="str">
        <f>IF(Table1[[#This Row],[Interkoneksi Actual
(tanggal)]]&lt;&gt;"","Sudah","Belum")</f>
        <v>Sudah</v>
      </c>
      <c r="GZ261" s="300" t="s">
        <v>261</v>
      </c>
      <c r="HA261" s="300" t="s">
        <v>261</v>
      </c>
      <c r="HB261" s="301">
        <v>46020</v>
      </c>
      <c r="HC261" s="314" t="str">
        <f>IF(Table1[[#This Row],[Flushing Actual
(tanggal)]]&lt;&gt;"","Sudah","Belum")</f>
        <v>Sudah</v>
      </c>
      <c r="HD261" s="300">
        <v>45992</v>
      </c>
      <c r="HE261" s="300" t="e">
        <v>#N/A</v>
      </c>
      <c r="HF261" s="300">
        <v>46005</v>
      </c>
      <c r="HG261" s="322">
        <v>46112</v>
      </c>
      <c r="HH2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61" s="300" t="s">
        <v>261</v>
      </c>
      <c r="HJ261" s="300" t="s">
        <v>261</v>
      </c>
      <c r="HK261" s="301"/>
      <c r="HL261" s="286"/>
      <c r="HM261" s="300">
        <v>46010</v>
      </c>
      <c r="HN261" s="300">
        <v>46010</v>
      </c>
      <c r="HO261" s="300" t="e">
        <v>#N/A</v>
      </c>
      <c r="HP261" s="300"/>
      <c r="HQ261" s="301">
        <v>46114</v>
      </c>
      <c r="HR26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61" s="300">
        <v>46017</v>
      </c>
      <c r="HT261" s="300"/>
      <c r="HU261" s="300">
        <v>46017</v>
      </c>
      <c r="HV261" s="300"/>
      <c r="HW261" s="301">
        <v>46115</v>
      </c>
      <c r="HX26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61" s="42"/>
      <c r="HZ261" s="322"/>
      <c r="IA261" s="322"/>
      <c r="IC261" s="585">
        <f>IFERROR(ROUND((Table1[[#This Row],[PLAN TC
finish]]-Table1[[#This Row],[PLAN MC-0
start]])/30,2),"")</f>
        <v>1.1299999999999999</v>
      </c>
      <c r="ID261">
        <f>DATEDIF(Table1[[#This Row],[PLAN MC-0
start]],Table1[[#This Row],[PLAN TC
finish]],"m")</f>
        <v>1</v>
      </c>
    </row>
    <row r="262" spans="1:238" s="4" customFormat="1" ht="15" customHeight="1" x14ac:dyDescent="0.25">
      <c r="B262" s="281">
        <f>SUBTOTAL(3,$D$5:D262)</f>
        <v>258</v>
      </c>
      <c r="C262" s="286">
        <v>258</v>
      </c>
      <c r="D262" s="308" t="s">
        <v>244</v>
      </c>
      <c r="E262" s="308" t="s">
        <v>2045</v>
      </c>
      <c r="F262" s="308" t="s">
        <v>2046</v>
      </c>
      <c r="G262" s="319">
        <v>46117</v>
      </c>
      <c r="H262" s="284" t="s">
        <v>681</v>
      </c>
      <c r="I262" s="308" t="s">
        <v>278</v>
      </c>
      <c r="J262" s="450" t="s">
        <v>1818</v>
      </c>
      <c r="K262" s="308" t="s">
        <v>1165</v>
      </c>
      <c r="L262" s="286" t="s">
        <v>250</v>
      </c>
      <c r="M262" s="325" t="s">
        <v>269</v>
      </c>
      <c r="N262" s="94">
        <v>3780</v>
      </c>
      <c r="O262" s="113" t="s">
        <v>252</v>
      </c>
      <c r="P26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2" s="35">
        <v>0.99999999999999967</v>
      </c>
      <c r="S262" s="34">
        <v>1</v>
      </c>
      <c r="T262" s="34">
        <f>Table1[[#This Row],[Progres Total Aktual
(%)]]</f>
        <v>0.67666848803465707</v>
      </c>
      <c r="U262" s="85">
        <f>Table1[[#This Row],[Progres Aktual
(%)]]-Table1[[#This Row],[Target Progres
(%)]]</f>
        <v>-0.32333151196534293</v>
      </c>
      <c r="V262" s="75">
        <f>Table1[[#This Row],["Volume
BA MC-0"]]</f>
        <v>3780</v>
      </c>
      <c r="W262" s="41">
        <f>Table1[[#This Row],[Total Panjang Pipa Aktual
(Sum-&gt;)3]]</f>
        <v>3954</v>
      </c>
      <c r="X262" s="42"/>
      <c r="Y262" s="62" t="s">
        <v>2047</v>
      </c>
      <c r="Z262" s="62">
        <v>47547203012</v>
      </c>
      <c r="AA262" s="62">
        <f>ROUND((Table1[[#This Row],[Nilai RAB Jaringan
(Exclude Ppn)]]-Table1[[#This Row],[RAB Perizinan]])*1.11+Table1[[#This Row],[RAB Perizinan]],0)</f>
        <v>47547203011</v>
      </c>
      <c r="AB262" s="456">
        <f>SUM(Table1[[#This Row],[RAB Kegiatan Umum]:[RAB Perizinan]])</f>
        <v>42844122546.990654</v>
      </c>
      <c r="AC262" s="406">
        <v>1919267926</v>
      </c>
      <c r="AD262" s="406">
        <v>23990849074.930653</v>
      </c>
      <c r="AE262" s="406">
        <v>16845159946.059999</v>
      </c>
      <c r="AF262" s="406">
        <v>88845600</v>
      </c>
      <c r="AG262" s="453">
        <v>0</v>
      </c>
      <c r="AH262" s="33">
        <f>SUM(Table1[[#This Row],[Bobot Keg Umum]:[Bobot Perizinan]])</f>
        <v>0.99999999999999989</v>
      </c>
      <c r="AI262" s="33">
        <f>Table1[[#This Row],[RAB Kegiatan Umum]]/Table1[[#This Row],[Nilai RAB Jaringan
(Exclude Ppn)]]</f>
        <v>4.4796527782661015E-2</v>
      </c>
      <c r="AJ262" s="33">
        <f>Table1[[#This Row],[RAB Pemasangan]]/Table1[[#This Row],[Nilai RAB Jaringan
(Exclude Ppn)]]</f>
        <v>0.55995659728164404</v>
      </c>
      <c r="AK262" s="33">
        <f>Table1[[#This Row],[RAB Pengadaan]]/Table1[[#This Row],[Nilai RAB Jaringan
(Exclude Ppn)]]</f>
        <v>0.39317318093244957</v>
      </c>
      <c r="AL262" s="33">
        <f>Table1[[#This Row],[RAB Perizinan]]/Table1[[#This Row],[Nilai RAB Jaringan
(Exclude Ppn)]]</f>
        <v>2.0736940032452704E-3</v>
      </c>
      <c r="AM262" s="42"/>
      <c r="AN262" s="256">
        <v>3780</v>
      </c>
      <c r="AO262" s="256">
        <f>SUM(Table1[[#This Row],[Pipa 63 mm]:[Pipa 1,800 mm]])</f>
        <v>0</v>
      </c>
      <c r="AP262" s="256"/>
      <c r="AQ262" s="256"/>
      <c r="AR262" s="256"/>
      <c r="AS262" s="256"/>
      <c r="AT262" s="256"/>
      <c r="AU262" s="256"/>
      <c r="AV262" s="256"/>
      <c r="AW262" s="256"/>
      <c r="AX262" s="256"/>
      <c r="AY262" s="256"/>
      <c r="AZ262" s="256"/>
      <c r="BA262" s="256"/>
      <c r="BB262" s="256"/>
      <c r="BC262" s="256"/>
      <c r="BD262" s="256"/>
      <c r="BE262" s="256"/>
      <c r="BF262" s="256"/>
      <c r="BG262" s="256"/>
      <c r="BH262" s="256"/>
      <c r="BI262" s="256"/>
      <c r="BJ262" s="36">
        <f>SUM(Table1[[#This Row],[Pipa 63 mm2]:[Pipa 1,800 mm21]])</f>
        <v>3954</v>
      </c>
      <c r="BK262" s="32"/>
      <c r="BL262" s="32"/>
      <c r="BM262" s="32"/>
      <c r="BN262" s="32"/>
      <c r="BO262" s="32">
        <v>1470</v>
      </c>
      <c r="BP262" s="32"/>
      <c r="BQ262" s="32">
        <v>258</v>
      </c>
      <c r="BR262" s="32"/>
      <c r="BS262" s="32">
        <v>219</v>
      </c>
      <c r="BT262" s="32"/>
      <c r="BU262" s="32">
        <v>2007</v>
      </c>
      <c r="BV262" s="32"/>
      <c r="BW262" s="32"/>
      <c r="BX262" s="32"/>
      <c r="BY262" s="32"/>
      <c r="BZ262" s="32"/>
      <c r="CA262" s="32"/>
      <c r="CB262" s="32"/>
      <c r="CC262" s="32"/>
      <c r="CD262" s="32"/>
      <c r="CE262" s="32">
        <v>0</v>
      </c>
      <c r="CF262" s="32"/>
      <c r="CG262" s="32"/>
      <c r="CH262" s="32"/>
      <c r="CI262" s="32">
        <f t="shared" si="13"/>
        <v>0</v>
      </c>
      <c r="CJ262" s="60">
        <f>IF((Table1[[#This Row],["Volume
BA MC-0"]]-Table1[[#This Row],[Total Panjang Pipa Aktual
(Sum-&gt;)3]]-Table1[[#This Row],[Total Volume
tidak dapat dipasang]])&gt;=0,Table1[[#This Row],["Volume
BA MC-0"]]-Table1[[#This Row],[Total Panjang Pipa Aktual
(Sum-&gt;)3]]-Table1[[#This Row],[Total Volume
tidak dapat dipasang]],0)</f>
        <v>0</v>
      </c>
      <c r="CK262" s="42"/>
      <c r="CL262" s="454" t="s">
        <v>1821</v>
      </c>
      <c r="CM262" s="34" t="s">
        <v>1821</v>
      </c>
      <c r="CN262" s="454" t="s">
        <v>1821</v>
      </c>
      <c r="CO262" s="454" t="s">
        <v>1821</v>
      </c>
      <c r="CP2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0.67666848803465707</v>
      </c>
      <c r="CQ262" s="61">
        <f>IFERROR(Table1[[#This Row],[Progres Keg. Umum
(%)]]*Table1[[#This Row],[Nilai RAB Jaringan
(file pa aji)]],0)</f>
        <v>0</v>
      </c>
      <c r="CR262" s="61">
        <f>IFERROR(Table1[[#This Row],[Progres MOS
(%)]]*Table1[[#This Row],[Nilai RAB Jaringan
(file pa aji)]],0)</f>
        <v>0</v>
      </c>
      <c r="CS262" s="61">
        <f>IFERROR(Table1[[#This Row],[Progres Pemasangan
(%)]]*Table1[[#This Row],[Nilai RAB Jaringan
(file pa aji)]],0)</f>
        <v>0</v>
      </c>
      <c r="CT262" s="61">
        <f>IFERROR(Table1[[#This Row],[Progres Perizinan
(%)]]*Table1[[#This Row],[Nilai RAB Jaringan
(file pa aji)]],0)</f>
        <v>0</v>
      </c>
      <c r="CU262" s="789">
        <v>32173693971.730263</v>
      </c>
      <c r="CV262" s="299">
        <v>32173693971.730263</v>
      </c>
      <c r="CW262" s="552">
        <v>0</v>
      </c>
      <c r="CX262" s="789">
        <f>_xlfn.XLOOKUP(Table1[[#This Row],[Kode Program]],'[1]Breakdown VOWD Greenfield'!$E:$E,'[1]Breakdown VOWD Greenfield'!$AT:$AT)</f>
        <v>0</v>
      </c>
      <c r="CY262" s="42"/>
      <c r="CZ262" s="300">
        <v>45747</v>
      </c>
      <c r="DA262" s="300">
        <v>45774</v>
      </c>
      <c r="DB262" s="301">
        <v>45722</v>
      </c>
      <c r="DC262" s="286" t="s">
        <v>2048</v>
      </c>
      <c r="DD262" s="62">
        <v>47547203012</v>
      </c>
      <c r="DE2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2" s="301">
        <v>45734</v>
      </c>
      <c r="DG262" s="286" t="s">
        <v>2049</v>
      </c>
      <c r="DH262" s="62">
        <v>47547203012</v>
      </c>
      <c r="DI2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2" s="300">
        <v>45775</v>
      </c>
      <c r="DK262" s="300">
        <v>45816</v>
      </c>
      <c r="DL262" s="301">
        <v>45771</v>
      </c>
      <c r="DM262" s="286" t="s">
        <v>2050</v>
      </c>
      <c r="DN2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2" s="301">
        <v>45884</v>
      </c>
      <c r="DP262" s="286" t="s">
        <v>2051</v>
      </c>
      <c r="DQ262" s="308" t="s">
        <v>275</v>
      </c>
      <c r="DR2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2" s="300">
        <v>45775</v>
      </c>
      <c r="DT262" s="300" t="e">
        <v>#N/A</v>
      </c>
      <c r="DU262" s="300">
        <v>45816</v>
      </c>
      <c r="DV262" s="300" t="e">
        <v>#N/A</v>
      </c>
      <c r="DW262" s="301">
        <v>45771</v>
      </c>
      <c r="DX262" s="286" t="s">
        <v>2052</v>
      </c>
      <c r="DY262" s="302">
        <v>166</v>
      </c>
      <c r="DZ262" s="304">
        <v>166</v>
      </c>
      <c r="EA2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2" s="301">
        <v>46123</v>
      </c>
      <c r="EC262" s="302">
        <v>159</v>
      </c>
      <c r="ED262" s="302">
        <v>159</v>
      </c>
      <c r="EE262" s="300"/>
      <c r="EF262" s="35">
        <v>0.95783132530120485</v>
      </c>
      <c r="EG262" s="35">
        <f>Table1[[#This Row],[Line PO (kolom  bantu)2]]/Table1[[#This Row],[Line PR]]</f>
        <v>0.95783132530120485</v>
      </c>
      <c r="EH262" s="286" t="str">
        <f>IF(Table1[[#This Row],[PO Material Aktual 
(%)]]&gt;=100%,"Selesai PO = 100%",IF(Table1[[#This Row],[PO Material Aktual 
(%)]]&gt;=50%,"Proses PO &gt; 100%",IF(Table1[[#This Row],[PO Material Aktual 
(%)]]&gt;0%,"Proses PO &gt; 50%",IF(Table1[[#This Row],[PO Material Aktual 
(%)]]=0,"Belum PO = 0%"))))</f>
        <v>Proses PO &gt; 100%</v>
      </c>
      <c r="EI26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2" s="300">
        <v>45817</v>
      </c>
      <c r="EK262" s="300" t="e">
        <v>#N/A</v>
      </c>
      <c r="EL262" s="300">
        <v>45928</v>
      </c>
      <c r="EM262" s="300" t="e">
        <v>#N/A</v>
      </c>
      <c r="EN262" s="301">
        <v>46115</v>
      </c>
      <c r="EO262" s="302">
        <v>154</v>
      </c>
      <c r="EP262" s="593">
        <v>154</v>
      </c>
      <c r="EQ262" s="35">
        <v>0.92771084337349397</v>
      </c>
      <c r="ER262" s="35">
        <f>Table1[[#This Row],[Line MOS]]/Table1[[#This Row],[Line PR]]</f>
        <v>0.92771084337349397</v>
      </c>
      <c r="ES262" s="286" t="str">
        <f>IF(Table1[[#This Row],[Progres MOS]]&gt;=100%,"Selesai MOS = 100%",IF(Table1[[#This Row],[Progres MOS]]&gt;=50%,"Proses MOS &gt; 100%",IF(Table1[[#This Row],[Progres MOS]]&gt;0%,"Proses MOS &gt; 50%",IF(Table1[[#This Row],[Progres MOS]]=0,"Belum MOS = 0%"))))</f>
        <v>Proses MOS &gt; 100%</v>
      </c>
      <c r="ET2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2" s="42"/>
      <c r="EV262" s="300">
        <v>45775</v>
      </c>
      <c r="EW262" s="300" t="e">
        <v>#N/A</v>
      </c>
      <c r="EX262" s="300">
        <v>45865</v>
      </c>
      <c r="EY262" s="300" t="e">
        <v>#N/A</v>
      </c>
      <c r="EZ262" s="322" t="s">
        <v>298</v>
      </c>
      <c r="FA262" s="306" t="s">
        <v>259</v>
      </c>
      <c r="FB262" s="300" t="s">
        <v>260</v>
      </c>
      <c r="FC262" s="300">
        <v>45796</v>
      </c>
      <c r="FD262" s="300" t="s">
        <v>260</v>
      </c>
      <c r="FE262" s="300">
        <v>45895</v>
      </c>
      <c r="FF262" s="300">
        <v>45916</v>
      </c>
      <c r="FG262" s="300" t="s">
        <v>260</v>
      </c>
      <c r="FH262" s="300" t="s">
        <v>260</v>
      </c>
      <c r="FI262" s="300">
        <v>46013</v>
      </c>
      <c r="FJ262" s="300" t="s">
        <v>260</v>
      </c>
      <c r="FK262" s="300">
        <v>46098</v>
      </c>
      <c r="FL262" s="306" t="s">
        <v>298</v>
      </c>
      <c r="FM262" s="322">
        <v>45796</v>
      </c>
      <c r="FN262" s="308">
        <f>IF(Table1[[#This Row],[Tanggal Pengajuan Dokumen]]="","",Table1[[#This Row],[PLAN PERMIT
start]]-Table1[[#This Row],[Tanggal Pengajuan Dokumen]])</f>
        <v>-21</v>
      </c>
      <c r="FO262" s="407">
        <v>46086</v>
      </c>
      <c r="FP262" s="286"/>
      <c r="FQ262" s="308" t="s">
        <v>923</v>
      </c>
      <c r="FR262" s="308"/>
      <c r="FS262" s="308" t="str">
        <f t="shared" si="14"/>
        <v>On Going</v>
      </c>
      <c r="FT2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2" s="314">
        <f ca="1">IF(Table1[[#This Row],[Status Izin]]="Selesai",Table1[[#This Row],[PLAN PERMIT
finish]]-Table1[[#This Row],[Tanggal Terbit/ Target Izin Terbit]],ROUNDUP(Table1[[#This Row],[PLAN PERMIT
finish]]-NOW(),0))</f>
        <v>-339</v>
      </c>
      <c r="FV2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2" s="314"/>
      <c r="FX262" s="42"/>
      <c r="FY262" s="310"/>
      <c r="FZ262" s="311"/>
      <c r="GA2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2" s="300">
        <v>45839</v>
      </c>
      <c r="GC262" s="322">
        <v>45874</v>
      </c>
      <c r="GD2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2" s="300">
        <v>45846</v>
      </c>
      <c r="GF262" s="322">
        <v>45874</v>
      </c>
      <c r="GG2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2" s="300">
        <v>45852</v>
      </c>
      <c r="GI262" s="300">
        <v>45858</v>
      </c>
      <c r="GJ262" s="322">
        <v>45882</v>
      </c>
      <c r="GK2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2" s="300">
        <v>45866</v>
      </c>
      <c r="GM262" s="300" t="e">
        <v>#N/A</v>
      </c>
      <c r="GN262" s="300">
        <v>46005</v>
      </c>
      <c r="GO262" s="300" t="e">
        <v>#N/A</v>
      </c>
      <c r="GP262" s="300"/>
      <c r="GQ2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2" s="300" t="s">
        <v>261</v>
      </c>
      <c r="GS262" s="300" t="s">
        <v>261</v>
      </c>
      <c r="GT262" s="458" t="s">
        <v>2053</v>
      </c>
      <c r="GU262" s="314" t="str">
        <f>IF(Table1[[#This Row],[Hydro Tes Actual
(tanggal)]]&lt;&gt;"","Sudah","Belum")</f>
        <v>Sudah</v>
      </c>
      <c r="GV262" s="300" t="s">
        <v>261</v>
      </c>
      <c r="GW262" s="300" t="s">
        <v>261</v>
      </c>
      <c r="GX262" s="301"/>
      <c r="GY262" s="314" t="str">
        <f>IF(Table1[[#This Row],[Interkoneksi Actual
(tanggal)]]&lt;&gt;"","Sudah","Belum")</f>
        <v>Belum</v>
      </c>
      <c r="GZ262" s="300" t="s">
        <v>261</v>
      </c>
      <c r="HA262" s="300" t="s">
        <v>261</v>
      </c>
      <c r="HB262" s="301"/>
      <c r="HC262" s="314" t="str">
        <f>IF(Table1[[#This Row],[Flushing Actual
(tanggal)]]&lt;&gt;"","Sudah","Belum")</f>
        <v>Belum</v>
      </c>
      <c r="HD262" s="300">
        <v>45978</v>
      </c>
      <c r="HE262" s="300" t="e">
        <v>#N/A</v>
      </c>
      <c r="HF262" s="300">
        <v>45991</v>
      </c>
      <c r="HG262" s="322"/>
      <c r="HH2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2" s="300" t="s">
        <v>261</v>
      </c>
      <c r="HJ262" s="300" t="s">
        <v>261</v>
      </c>
      <c r="HK262" s="301"/>
      <c r="HL262" s="286"/>
      <c r="HM262" s="300">
        <v>46010</v>
      </c>
      <c r="HN262" s="300">
        <v>46010</v>
      </c>
      <c r="HO262" s="300" t="e">
        <v>#N/A</v>
      </c>
      <c r="HP262" s="300"/>
      <c r="HQ262" s="301"/>
      <c r="HR26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2" s="300">
        <v>46026</v>
      </c>
      <c r="HT262" s="300"/>
      <c r="HU262" s="300">
        <v>46026</v>
      </c>
      <c r="HV262" s="300"/>
      <c r="HW262" s="301"/>
      <c r="HX26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2" s="42"/>
      <c r="HZ262" s="322"/>
      <c r="IA262" s="322" t="s">
        <v>2054</v>
      </c>
      <c r="IC262" s="585">
        <f>IFERROR(ROUND((Table1[[#This Row],[PLAN TC
finish]]-Table1[[#This Row],[PLAN MC-0
start]])/30,2),"")</f>
        <v>4.63</v>
      </c>
      <c r="ID262">
        <f>DATEDIF(Table1[[#This Row],[PLAN MC-0
start]],Table1[[#This Row],[PLAN TC
finish]],"m")</f>
        <v>4</v>
      </c>
    </row>
    <row r="263" spans="1:238" s="4" customFormat="1" ht="15" customHeight="1" x14ac:dyDescent="0.25">
      <c r="B263" s="281">
        <f>SUBTOTAL(3,$D$5:D263)</f>
        <v>259</v>
      </c>
      <c r="C263" s="286">
        <v>259</v>
      </c>
      <c r="D263" s="308" t="s">
        <v>244</v>
      </c>
      <c r="E263" s="308" t="s">
        <v>2055</v>
      </c>
      <c r="F263" s="308" t="s">
        <v>2056</v>
      </c>
      <c r="G263" s="319">
        <v>46117</v>
      </c>
      <c r="H263" s="284" t="s">
        <v>681</v>
      </c>
      <c r="I263" s="308" t="s">
        <v>278</v>
      </c>
      <c r="J263" s="450" t="s">
        <v>1818</v>
      </c>
      <c r="K263" s="308" t="s">
        <v>1165</v>
      </c>
      <c r="L263" s="286" t="s">
        <v>250</v>
      </c>
      <c r="M263" s="325" t="s">
        <v>269</v>
      </c>
      <c r="N263" s="94">
        <v>1162</v>
      </c>
      <c r="O263" s="113" t="s">
        <v>252</v>
      </c>
      <c r="P26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3" s="35">
        <v>0.99999999999999967</v>
      </c>
      <c r="S263" s="34">
        <v>1</v>
      </c>
      <c r="T263" s="34">
        <f>Table1[[#This Row],[Progres Total Aktual
(%)]]</f>
        <v>0.57361410544195968</v>
      </c>
      <c r="U263" s="85">
        <f>Table1[[#This Row],[Progres Aktual
(%)]]-Table1[[#This Row],[Target Progres
(%)]]</f>
        <v>-0.42638589455804032</v>
      </c>
      <c r="V263" s="75">
        <f>Table1[[#This Row],["Volume
BA MC-0"]]</f>
        <v>1162</v>
      </c>
      <c r="W263" s="41">
        <f>Table1[[#This Row],[Total Panjang Pipa Aktual
(Sum-&gt;)3]]</f>
        <v>590</v>
      </c>
      <c r="X263" s="42"/>
      <c r="Y263" s="62" t="s">
        <v>2057</v>
      </c>
      <c r="Z263" s="62">
        <v>17702853748</v>
      </c>
      <c r="AA263" s="62">
        <f>ROUND((Table1[[#This Row],[Nilai RAB Jaringan
(Exclude Ppn)]]-Table1[[#This Row],[RAB Perizinan]])*1.11+Table1[[#This Row],[RAB Perizinan]],0)</f>
        <v>17702853748</v>
      </c>
      <c r="AB263" s="456">
        <f>SUM(Table1[[#This Row],[RAB Kegiatan Umum]:[RAB Perizinan]])</f>
        <v>15951371340.479988</v>
      </c>
      <c r="AC263" s="406">
        <v>867193543</v>
      </c>
      <c r="AD263" s="406">
        <v>8671935424.6799889</v>
      </c>
      <c r="AE263" s="406">
        <v>6383438372.8000002</v>
      </c>
      <c r="AF263" s="406">
        <v>28804000</v>
      </c>
      <c r="AG263" s="453">
        <v>0</v>
      </c>
      <c r="AH263" s="33">
        <f>SUM(Table1[[#This Row],[Bobot Keg Umum]:[Bobot Perizinan]])</f>
        <v>1</v>
      </c>
      <c r="AI263" s="33">
        <f>Table1[[#This Row],[RAB Kegiatan Umum]]/Table1[[#This Row],[Nilai RAB Jaringan
(Exclude Ppn)]]</f>
        <v>5.436482697881357E-2</v>
      </c>
      <c r="AJ263" s="33">
        <f>Table1[[#This Row],[RAB Pemasangan]]/Table1[[#This Row],[Nilai RAB Jaringan
(Exclude Ppn)]]</f>
        <v>0.5436482694546213</v>
      </c>
      <c r="AK263" s="33">
        <f>Table1[[#This Row],[RAB Pengadaan]]/Table1[[#This Row],[Nilai RAB Jaringan
(Exclude Ppn)]]</f>
        <v>0.40018116540241727</v>
      </c>
      <c r="AL263" s="33">
        <f>Table1[[#This Row],[RAB Perizinan]]/Table1[[#This Row],[Nilai RAB Jaringan
(Exclude Ppn)]]</f>
        <v>1.805738164147915E-3</v>
      </c>
      <c r="AM263" s="42"/>
      <c r="AN263" s="256">
        <v>1162</v>
      </c>
      <c r="AO263" s="256">
        <f>SUM(Table1[[#This Row],[Pipa 63 mm]:[Pipa 1,800 mm]])</f>
        <v>0</v>
      </c>
      <c r="AP263" s="256"/>
      <c r="AQ263" s="256"/>
      <c r="AR263" s="256"/>
      <c r="AS263" s="256"/>
      <c r="AT263" s="256"/>
      <c r="AU263" s="256"/>
      <c r="AV263" s="256"/>
      <c r="AW263" s="256"/>
      <c r="AX263" s="256"/>
      <c r="AY263" s="256"/>
      <c r="AZ263" s="256"/>
      <c r="BA263" s="256"/>
      <c r="BB263" s="256"/>
      <c r="BC263" s="256"/>
      <c r="BD263" s="256"/>
      <c r="BE263" s="256"/>
      <c r="BF263" s="256"/>
      <c r="BG263" s="256"/>
      <c r="BH263" s="256"/>
      <c r="BI263" s="256"/>
      <c r="BJ263" s="36">
        <f>SUM(Table1[[#This Row],[Pipa 63 mm2]:[Pipa 1,800 mm21]])</f>
        <v>590</v>
      </c>
      <c r="BK263" s="32"/>
      <c r="BL263" s="32"/>
      <c r="BM263" s="32"/>
      <c r="BN263" s="32"/>
      <c r="BO263" s="32"/>
      <c r="BP263" s="32"/>
      <c r="BQ263" s="32">
        <v>102</v>
      </c>
      <c r="BR263" s="32"/>
      <c r="BS263" s="32"/>
      <c r="BT263" s="32">
        <v>488</v>
      </c>
      <c r="BU263" s="32"/>
      <c r="BV263" s="32"/>
      <c r="BW263" s="32"/>
      <c r="BX263" s="32"/>
      <c r="BY263" s="32"/>
      <c r="BZ263" s="32"/>
      <c r="CA263" s="32"/>
      <c r="CB263" s="32"/>
      <c r="CC263" s="32"/>
      <c r="CD263" s="32"/>
      <c r="CE263" s="32">
        <v>0</v>
      </c>
      <c r="CF263" s="32"/>
      <c r="CG263" s="32"/>
      <c r="CH263" s="32"/>
      <c r="CI263" s="32">
        <f t="shared" si="13"/>
        <v>0</v>
      </c>
      <c r="CJ263" s="60">
        <f>IF((Table1[[#This Row],["Volume
BA MC-0"]]-Table1[[#This Row],[Total Panjang Pipa Aktual
(Sum-&gt;)3]]-Table1[[#This Row],[Total Volume
tidak dapat dipasang]])&gt;=0,Table1[[#This Row],["Volume
BA MC-0"]]-Table1[[#This Row],[Total Panjang Pipa Aktual
(Sum-&gt;)3]]-Table1[[#This Row],[Total Volume
tidak dapat dipasang]],0)</f>
        <v>572</v>
      </c>
      <c r="CK263" s="42"/>
      <c r="CL263" s="35" t="s">
        <v>1821</v>
      </c>
      <c r="CM263" s="35" t="s">
        <v>1821</v>
      </c>
      <c r="CN263" s="35" t="s">
        <v>1821</v>
      </c>
      <c r="CO263" s="35" t="s">
        <v>1821</v>
      </c>
      <c r="CP2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0.57361410544195968</v>
      </c>
      <c r="CQ263" s="61">
        <f>IFERROR(Table1[[#This Row],[Progres Keg. Umum
(%)]]*Table1[[#This Row],[Nilai RAB Jaringan
(file pa aji)]],0)</f>
        <v>0</v>
      </c>
      <c r="CR263" s="61">
        <f>IFERROR(Table1[[#This Row],[Progres MOS
(%)]]*Table1[[#This Row],[Nilai RAB Jaringan
(file pa aji)]],0)</f>
        <v>0</v>
      </c>
      <c r="CS263" s="61">
        <f>IFERROR(Table1[[#This Row],[Progres Pemasangan
(%)]]*Table1[[#This Row],[Nilai RAB Jaringan
(file pa aji)]],0)</f>
        <v>0</v>
      </c>
      <c r="CT263" s="61">
        <f>IFERROR(Table1[[#This Row],[Progres Perizinan
(%)]]*Table1[[#This Row],[Nilai RAB Jaringan
(file pa aji)]],0)</f>
        <v>0</v>
      </c>
      <c r="CU263" s="789">
        <v>10154606616.428864</v>
      </c>
      <c r="CV263" s="299">
        <v>10154606616.428864</v>
      </c>
      <c r="CW263" s="552">
        <v>0</v>
      </c>
      <c r="CX263" s="789">
        <f>_xlfn.XLOOKUP(Table1[[#This Row],[Kode Program]],'[1]Breakdown VOWD Greenfield'!$E:$E,'[1]Breakdown VOWD Greenfield'!$AT:$AT)</f>
        <v>0</v>
      </c>
      <c r="CY263" s="42"/>
      <c r="CZ263" s="300">
        <v>45747</v>
      </c>
      <c r="DA263" s="300">
        <v>45774</v>
      </c>
      <c r="DB263" s="301">
        <v>45722</v>
      </c>
      <c r="DC263" s="286" t="s">
        <v>2058</v>
      </c>
      <c r="DD263" s="62">
        <v>17702853748</v>
      </c>
      <c r="DE2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3" s="301">
        <v>45734</v>
      </c>
      <c r="DG263" s="286" t="s">
        <v>2059</v>
      </c>
      <c r="DH263" s="62">
        <v>17702853748</v>
      </c>
      <c r="DI2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3" s="300">
        <v>45775</v>
      </c>
      <c r="DK263" s="300">
        <v>45816</v>
      </c>
      <c r="DL263" s="301">
        <v>45772</v>
      </c>
      <c r="DM263" s="286" t="s">
        <v>2060</v>
      </c>
      <c r="DN2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3" s="301">
        <v>45845</v>
      </c>
      <c r="DP263" s="286" t="s">
        <v>2061</v>
      </c>
      <c r="DQ263" s="308" t="s">
        <v>371</v>
      </c>
      <c r="DR2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3" s="300">
        <v>45775</v>
      </c>
      <c r="DT263" s="300" t="e">
        <v>#N/A</v>
      </c>
      <c r="DU263" s="300">
        <v>45816</v>
      </c>
      <c r="DV263" s="300" t="e">
        <v>#N/A</v>
      </c>
      <c r="DW263" s="301">
        <v>45772</v>
      </c>
      <c r="DX263" s="286" t="s">
        <v>2062</v>
      </c>
      <c r="DY263" s="302">
        <v>77</v>
      </c>
      <c r="DZ263" s="304">
        <v>77</v>
      </c>
      <c r="EA2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3" s="301">
        <v>46098</v>
      </c>
      <c r="EC263" s="302">
        <v>72</v>
      </c>
      <c r="ED263" s="302">
        <v>72</v>
      </c>
      <c r="EE263" s="300"/>
      <c r="EF263" s="35">
        <v>0.93506493506493504</v>
      </c>
      <c r="EG263" s="35">
        <f>Table1[[#This Row],[Line PO (kolom  bantu)2]]/Table1[[#This Row],[Line PR]]</f>
        <v>0.93506493506493504</v>
      </c>
      <c r="EH263" s="286" t="str">
        <f>IF(Table1[[#This Row],[PO Material Aktual 
(%)]]&gt;=100%,"Selesai PO = 100%",IF(Table1[[#This Row],[PO Material Aktual 
(%)]]&gt;=50%,"Proses PO &gt; 100%",IF(Table1[[#This Row],[PO Material Aktual 
(%)]]&gt;0%,"Proses PO &gt; 50%",IF(Table1[[#This Row],[PO Material Aktual 
(%)]]=0,"Belum PO = 0%"))))</f>
        <v>Proses PO &gt; 100%</v>
      </c>
      <c r="EI26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3" s="300">
        <v>45817</v>
      </c>
      <c r="EK263" s="300" t="e">
        <v>#N/A</v>
      </c>
      <c r="EL263" s="300">
        <v>45928</v>
      </c>
      <c r="EM263" s="300" t="e">
        <v>#N/A</v>
      </c>
      <c r="EN263" s="301">
        <v>46119</v>
      </c>
      <c r="EO263" s="302">
        <v>72</v>
      </c>
      <c r="EP263" s="593">
        <v>72</v>
      </c>
      <c r="EQ263" s="35">
        <v>0.93506493506493504</v>
      </c>
      <c r="ER263" s="35">
        <f>Table1[[#This Row],[Line MOS]]/Table1[[#This Row],[Line PR]]</f>
        <v>0.93506493506493504</v>
      </c>
      <c r="ES263" s="286" t="str">
        <f>IF(Table1[[#This Row],[Progres MOS]]&gt;=100%,"Selesai MOS = 100%",IF(Table1[[#This Row],[Progres MOS]]&gt;=50%,"Proses MOS &gt; 100%",IF(Table1[[#This Row],[Progres MOS]]&gt;0%,"Proses MOS &gt; 50%",IF(Table1[[#This Row],[Progres MOS]]=0,"Belum MOS = 0%"))))</f>
        <v>Proses MOS &gt; 100%</v>
      </c>
      <c r="ET2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3" s="42"/>
      <c r="EV263" s="300">
        <v>45775</v>
      </c>
      <c r="EW263" s="300" t="e">
        <v>#N/A</v>
      </c>
      <c r="EX263" s="300">
        <v>45865</v>
      </c>
      <c r="EY263" s="300" t="e">
        <v>#N/A</v>
      </c>
      <c r="EZ263" s="322" t="s">
        <v>298</v>
      </c>
      <c r="FA263" s="306" t="s">
        <v>259</v>
      </c>
      <c r="FB263" s="300" t="s">
        <v>260</v>
      </c>
      <c r="FC263" s="300">
        <v>45796</v>
      </c>
      <c r="FD263" s="300" t="s">
        <v>260</v>
      </c>
      <c r="FE263" s="300">
        <v>45895</v>
      </c>
      <c r="FF263" s="300">
        <v>45916</v>
      </c>
      <c r="FG263" s="300" t="s">
        <v>260</v>
      </c>
      <c r="FH263" s="300" t="s">
        <v>260</v>
      </c>
      <c r="FI263" s="300">
        <v>46013</v>
      </c>
      <c r="FJ263" s="300" t="s">
        <v>260</v>
      </c>
      <c r="FK263" s="300">
        <v>46113</v>
      </c>
      <c r="FL263" s="306" t="s">
        <v>298</v>
      </c>
      <c r="FM263" s="322">
        <v>45796</v>
      </c>
      <c r="FN263" s="308">
        <f>IF(Table1[[#This Row],[Tanggal Pengajuan Dokumen]]="","",Table1[[#This Row],[PLAN PERMIT
start]]-Table1[[#This Row],[Tanggal Pengajuan Dokumen]])</f>
        <v>-21</v>
      </c>
      <c r="FO263" s="407">
        <v>46086</v>
      </c>
      <c r="FP263" s="286" t="s">
        <v>171</v>
      </c>
      <c r="FQ263" s="308"/>
      <c r="FR263" s="308"/>
      <c r="FS263" s="308" t="str">
        <f t="shared" si="14"/>
        <v>On Going</v>
      </c>
      <c r="FT2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3" s="314">
        <f ca="1">IF(Table1[[#This Row],[Status Izin]]="Selesai",Table1[[#This Row],[PLAN PERMIT
finish]]-Table1[[#This Row],[Tanggal Terbit/ Target Izin Terbit]],ROUNDUP(Table1[[#This Row],[PLAN PERMIT
finish]]-NOW(),0))</f>
        <v>-339</v>
      </c>
      <c r="FV2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3" s="314"/>
      <c r="FX263" s="42"/>
      <c r="FY263" s="310"/>
      <c r="FZ263" s="311"/>
      <c r="GA2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3" s="300">
        <v>45839</v>
      </c>
      <c r="GC263" s="322">
        <v>45874</v>
      </c>
      <c r="GD2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3" s="300">
        <v>45846</v>
      </c>
      <c r="GF263" s="322">
        <v>45874</v>
      </c>
      <c r="GG2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3" s="300">
        <v>45852</v>
      </c>
      <c r="GI263" s="300">
        <v>45858</v>
      </c>
      <c r="GJ263" s="322">
        <v>45884</v>
      </c>
      <c r="GK2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3" s="300">
        <v>45866</v>
      </c>
      <c r="GM263" s="300" t="e">
        <v>#N/A</v>
      </c>
      <c r="GN263" s="300">
        <v>46005</v>
      </c>
      <c r="GO263" s="300" t="e">
        <v>#N/A</v>
      </c>
      <c r="GP263" s="300"/>
      <c r="GQ2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3" s="300" t="s">
        <v>261</v>
      </c>
      <c r="GS263" s="300" t="s">
        <v>261</v>
      </c>
      <c r="GT263" s="324"/>
      <c r="GU263" s="314" t="str">
        <f>IF(Table1[[#This Row],[Hydro Tes Actual
(tanggal)]]&lt;&gt;"","Sudah","Belum")</f>
        <v>Belum</v>
      </c>
      <c r="GV263" s="300" t="s">
        <v>261</v>
      </c>
      <c r="GW263" s="300" t="s">
        <v>261</v>
      </c>
      <c r="GX263" s="301"/>
      <c r="GY263" s="314" t="str">
        <f>IF(Table1[[#This Row],[Interkoneksi Actual
(tanggal)]]&lt;&gt;"","Sudah","Belum")</f>
        <v>Belum</v>
      </c>
      <c r="GZ263" s="300" t="s">
        <v>261</v>
      </c>
      <c r="HA263" s="300" t="s">
        <v>261</v>
      </c>
      <c r="HB263" s="301"/>
      <c r="HC263" s="314" t="str">
        <f>IF(Table1[[#This Row],[Flushing Actual
(tanggal)]]&lt;&gt;"","Sudah","Belum")</f>
        <v>Belum</v>
      </c>
      <c r="HD263" s="300">
        <v>45978</v>
      </c>
      <c r="HE263" s="300" t="e">
        <v>#N/A</v>
      </c>
      <c r="HF263" s="300">
        <v>45991</v>
      </c>
      <c r="HG263" s="322"/>
      <c r="HH2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3" s="300" t="s">
        <v>261</v>
      </c>
      <c r="HJ263" s="300" t="s">
        <v>261</v>
      </c>
      <c r="HK263" s="301"/>
      <c r="HL263" s="286"/>
      <c r="HM263" s="300">
        <v>46010</v>
      </c>
      <c r="HN263" s="300">
        <v>46010</v>
      </c>
      <c r="HO263" s="300" t="e">
        <v>#N/A</v>
      </c>
      <c r="HP263" s="300"/>
      <c r="HQ263" s="301"/>
      <c r="HR26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3" s="300">
        <v>46026</v>
      </c>
      <c r="HT263" s="300"/>
      <c r="HU263" s="300">
        <v>46026</v>
      </c>
      <c r="HV263" s="300"/>
      <c r="HW263" s="301"/>
      <c r="HX26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3" s="42"/>
      <c r="HZ263" s="322"/>
      <c r="IA263" s="322"/>
      <c r="IC263" s="585">
        <f>IFERROR(ROUND((Table1[[#This Row],[PLAN TC
finish]]-Table1[[#This Row],[PLAN MC-0
start]])/30,2),"")</f>
        <v>4.63</v>
      </c>
      <c r="ID263">
        <f>DATEDIF(Table1[[#This Row],[PLAN MC-0
start]],Table1[[#This Row],[PLAN TC
finish]],"m")</f>
        <v>4</v>
      </c>
    </row>
    <row r="264" spans="1:238" s="4" customFormat="1" ht="15" customHeight="1" x14ac:dyDescent="0.25">
      <c r="B264" s="281">
        <f>SUBTOTAL(3,$D$5:D264)</f>
        <v>260</v>
      </c>
      <c r="C264" s="286">
        <v>260</v>
      </c>
      <c r="D264" s="308" t="s">
        <v>244</v>
      </c>
      <c r="E264" s="308" t="s">
        <v>2063</v>
      </c>
      <c r="F264" s="308" t="s">
        <v>2064</v>
      </c>
      <c r="G264" s="319">
        <v>46117</v>
      </c>
      <c r="H264" s="284" t="s">
        <v>681</v>
      </c>
      <c r="I264" s="308" t="s">
        <v>248</v>
      </c>
      <c r="J264" s="450" t="s">
        <v>1818</v>
      </c>
      <c r="K264" s="308" t="s">
        <v>1165</v>
      </c>
      <c r="L264" s="286" t="s">
        <v>250</v>
      </c>
      <c r="M264" s="325" t="s">
        <v>269</v>
      </c>
      <c r="N264" s="94">
        <v>18</v>
      </c>
      <c r="O264" s="113" t="s">
        <v>252</v>
      </c>
      <c r="P26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4" s="35">
        <v>1.0000000000000002</v>
      </c>
      <c r="S264" s="34">
        <v>1</v>
      </c>
      <c r="T264" s="34">
        <f>Table1[[#This Row],[Progres Total Aktual
(%)]]</f>
        <v>0.2549812032629471</v>
      </c>
      <c r="U264" s="85">
        <f>Table1[[#This Row],[Progres Aktual
(%)]]-Table1[[#This Row],[Target Progres
(%)]]</f>
        <v>-0.74501879673705296</v>
      </c>
      <c r="V264" s="75">
        <f>Table1[[#This Row],["Volume
BA MC-0"]]</f>
        <v>0</v>
      </c>
      <c r="W264" s="41">
        <f>Table1[[#This Row],[Total Panjang Pipa Aktual
(Sum-&gt;)3]]</f>
        <v>1</v>
      </c>
      <c r="X264" s="42"/>
      <c r="Y264" s="62" t="s">
        <v>2065</v>
      </c>
      <c r="Z264" s="62">
        <v>983838843</v>
      </c>
      <c r="AA264" s="62">
        <f>ROUND((Table1[[#This Row],[Nilai RAB Jaringan
(Exclude Ppn)]]-Table1[[#This Row],[RAB Perizinan]])*1.11+Table1[[#This Row],[RAB Perizinan]],0)</f>
        <v>983838842</v>
      </c>
      <c r="AB264" s="456">
        <f>SUM(Table1[[#This Row],[RAB Kegiatan Umum]:[RAB Perizinan]])</f>
        <v>886376975</v>
      </c>
      <c r="AC264" s="406">
        <v>7965964</v>
      </c>
      <c r="AD264" s="406">
        <v>159319267</v>
      </c>
      <c r="AE264" s="406">
        <v>718731744</v>
      </c>
      <c r="AF264" s="406">
        <v>360000</v>
      </c>
      <c r="AG264" s="453">
        <v>0</v>
      </c>
      <c r="AH264" s="33">
        <f>SUM(Table1[[#This Row],[Bobot Keg Umum]:[Bobot Perizinan]])</f>
        <v>1</v>
      </c>
      <c r="AI264" s="33">
        <f>Table1[[#This Row],[RAB Kegiatan Umum]]/Table1[[#This Row],[Nilai RAB Jaringan
(Exclude Ppn)]]</f>
        <v>8.987106191471186E-3</v>
      </c>
      <c r="AJ264" s="33">
        <f>Table1[[#This Row],[RAB Pemasangan]]/Table1[[#This Row],[Nilai RAB Jaringan
(Exclude Ppn)]]</f>
        <v>0.17974210916297775</v>
      </c>
      <c r="AK264" s="33">
        <f>Table1[[#This Row],[RAB Pengadaan]]/Table1[[#This Row],[Nilai RAB Jaringan
(Exclude Ppn)]]</f>
        <v>0.81086463691139987</v>
      </c>
      <c r="AL264" s="33">
        <f>Table1[[#This Row],[RAB Perizinan]]/Table1[[#This Row],[Nilai RAB Jaringan
(Exclude Ppn)]]</f>
        <v>4.0614773415114942E-4</v>
      </c>
      <c r="AM264" s="42"/>
      <c r="AN264" s="256"/>
      <c r="AO264" s="256">
        <f>SUM(Table1[[#This Row],[Pipa 63 mm]:[Pipa 1,800 mm]])</f>
        <v>1</v>
      </c>
      <c r="AP264" s="256">
        <v>1</v>
      </c>
      <c r="AQ264" s="256"/>
      <c r="AR264" s="256"/>
      <c r="AS264" s="256"/>
      <c r="AT264" s="256"/>
      <c r="AU264" s="256"/>
      <c r="AV264" s="256"/>
      <c r="AW264" s="256"/>
      <c r="AX264" s="256"/>
      <c r="AY264" s="256"/>
      <c r="AZ264" s="256"/>
      <c r="BA264" s="256"/>
      <c r="BB264" s="256"/>
      <c r="BC264" s="256"/>
      <c r="BD264" s="256"/>
      <c r="BE264" s="256"/>
      <c r="BF264" s="256"/>
      <c r="BG264" s="256"/>
      <c r="BH264" s="256"/>
      <c r="BI264" s="256"/>
      <c r="BJ264" s="36">
        <f>SUM(Table1[[#This Row],[Pipa 63 mm2]:[Pipa 1,800 mm21]])</f>
        <v>1</v>
      </c>
      <c r="BK264" s="32">
        <v>1</v>
      </c>
      <c r="BL264" s="32"/>
      <c r="BM264" s="32"/>
      <c r="BN264" s="32"/>
      <c r="BO264" s="32"/>
      <c r="BP264" s="32"/>
      <c r="BQ264" s="32"/>
      <c r="BR264" s="32"/>
      <c r="BS264" s="32"/>
      <c r="BT264" s="32"/>
      <c r="BU264" s="32"/>
      <c r="BV264" s="32"/>
      <c r="BW264" s="32"/>
      <c r="BX264" s="32"/>
      <c r="BY264" s="32"/>
      <c r="BZ264" s="32"/>
      <c r="CA264" s="32"/>
      <c r="CB264" s="32"/>
      <c r="CC264" s="32"/>
      <c r="CD264" s="32"/>
      <c r="CE264" s="32">
        <v>0</v>
      </c>
      <c r="CF264" s="32"/>
      <c r="CG264" s="32"/>
      <c r="CH264" s="32"/>
      <c r="CI264" s="32">
        <f t="shared" si="13"/>
        <v>0</v>
      </c>
      <c r="CJ264" s="60">
        <f>IF((Table1[[#This Row],["Volume
BA MC-0"]]-Table1[[#This Row],[Total Panjang Pipa Aktual
(Sum-&gt;)3]]-Table1[[#This Row],[Total Volume
tidak dapat dipasang]])&gt;=0,Table1[[#This Row],["Volume
BA MC-0"]]-Table1[[#This Row],[Total Panjang Pipa Aktual
(Sum-&gt;)3]]-Table1[[#This Row],[Total Volume
tidak dapat dipasang]],0)</f>
        <v>0</v>
      </c>
      <c r="CK264" s="42"/>
      <c r="CL264" s="454" t="s">
        <v>1821</v>
      </c>
      <c r="CM264" s="34" t="s">
        <v>1821</v>
      </c>
      <c r="CN264" s="454" t="s">
        <v>1821</v>
      </c>
      <c r="CO264" s="454" t="s">
        <v>1821</v>
      </c>
      <c r="CP2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0.2549812032629471</v>
      </c>
      <c r="CQ264" s="61">
        <f>IFERROR(Table1[[#This Row],[Progres Keg. Umum
(%)]]*Table1[[#This Row],[Nilai RAB Jaringan
(file pa aji)]],0)</f>
        <v>0</v>
      </c>
      <c r="CR264" s="61">
        <f>IFERROR(Table1[[#This Row],[Progres MOS
(%)]]*Table1[[#This Row],[Nilai RAB Jaringan
(file pa aji)]],0)</f>
        <v>0</v>
      </c>
      <c r="CS264" s="61">
        <f>IFERROR(Table1[[#This Row],[Progres Pemasangan
(%)]]*Table1[[#This Row],[Nilai RAB Jaringan
(file pa aji)]],0)</f>
        <v>0</v>
      </c>
      <c r="CT264" s="61">
        <f>IFERROR(Table1[[#This Row],[Progres Perizinan
(%)]]*Table1[[#This Row],[Nilai RAB Jaringan
(file pa aji)]],0)</f>
        <v>0</v>
      </c>
      <c r="CU264" s="789">
        <v>250860411.7499845</v>
      </c>
      <c r="CV264" s="299">
        <v>250860411.7499845</v>
      </c>
      <c r="CW264" s="552">
        <v>0</v>
      </c>
      <c r="CX264" s="789">
        <f>_xlfn.XLOOKUP(Table1[[#This Row],[Kode Program]],'[1]Breakdown VOWD Greenfield'!$E:$E,'[1]Breakdown VOWD Greenfield'!$AT:$AT)</f>
        <v>0</v>
      </c>
      <c r="CY264" s="42"/>
      <c r="CZ264" s="300">
        <v>45838</v>
      </c>
      <c r="DA264" s="300">
        <v>45865</v>
      </c>
      <c r="DB264" s="301">
        <v>45797</v>
      </c>
      <c r="DC264" s="286" t="s">
        <v>2066</v>
      </c>
      <c r="DD264" s="62">
        <v>983838843</v>
      </c>
      <c r="DE2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4" s="301">
        <v>45803</v>
      </c>
      <c r="DG264" s="286" t="s">
        <v>2067</v>
      </c>
      <c r="DH264" s="62">
        <v>983838843</v>
      </c>
      <c r="DI2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4" s="300">
        <v>45866</v>
      </c>
      <c r="DK264" s="300">
        <v>45928</v>
      </c>
      <c r="DL264" s="301">
        <v>45842</v>
      </c>
      <c r="DM264" s="286" t="s">
        <v>2068</v>
      </c>
      <c r="DN2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4" s="301">
        <v>45884</v>
      </c>
      <c r="DP264" s="286" t="s">
        <v>2051</v>
      </c>
      <c r="DQ264" s="308" t="s">
        <v>275</v>
      </c>
      <c r="DR2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4" s="300">
        <v>45866</v>
      </c>
      <c r="DT264" s="300" t="e">
        <v>#N/A</v>
      </c>
      <c r="DU264" s="300">
        <v>45928</v>
      </c>
      <c r="DV264" s="300" t="e">
        <v>#N/A</v>
      </c>
      <c r="DW264" s="301">
        <v>45841</v>
      </c>
      <c r="DX264" s="286" t="s">
        <v>2069</v>
      </c>
      <c r="DY264" s="302">
        <v>32</v>
      </c>
      <c r="DZ264" s="304">
        <v>32</v>
      </c>
      <c r="EA2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4" s="301">
        <v>46125</v>
      </c>
      <c r="EC264" s="302">
        <v>24</v>
      </c>
      <c r="ED264" s="302">
        <v>24</v>
      </c>
      <c r="EE264" s="300"/>
      <c r="EF264" s="35">
        <v>0.75</v>
      </c>
      <c r="EG264" s="35">
        <f>Table1[[#This Row],[Line PO (kolom  bantu)2]]/Table1[[#This Row],[Line PR]]</f>
        <v>0.75</v>
      </c>
      <c r="EH264" s="286" t="str">
        <f>IF(Table1[[#This Row],[PO Material Aktual 
(%)]]&gt;=100%,"Selesai PO = 100%",IF(Table1[[#This Row],[PO Material Aktual 
(%)]]&gt;=50%,"Proses PO &gt; 100%",IF(Table1[[#This Row],[PO Material Aktual 
(%)]]&gt;0%,"Proses PO &gt; 50%",IF(Table1[[#This Row],[PO Material Aktual 
(%)]]=0,"Belum PO = 0%"))))</f>
        <v>Proses PO &gt; 100%</v>
      </c>
      <c r="EI26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4" s="300">
        <v>45929</v>
      </c>
      <c r="EK264" s="300" t="e">
        <v>#N/A</v>
      </c>
      <c r="EL264" s="300">
        <v>45977</v>
      </c>
      <c r="EM264" s="300" t="e">
        <v>#N/A</v>
      </c>
      <c r="EN264" s="301">
        <v>46106</v>
      </c>
      <c r="EO264" s="302">
        <v>23</v>
      </c>
      <c r="EP264" s="594">
        <v>23</v>
      </c>
      <c r="EQ264" s="35">
        <v>0.71875</v>
      </c>
      <c r="ER264" s="35">
        <f>Table1[[#This Row],[Line MOS]]/Table1[[#This Row],[Line PR]]</f>
        <v>0.71875</v>
      </c>
      <c r="ES264" s="286" t="str">
        <f>IF(Table1[[#This Row],[Progres MOS]]&gt;=100%,"Selesai MOS = 100%",IF(Table1[[#This Row],[Progres MOS]]&gt;=50%,"Proses MOS &gt; 100%",IF(Table1[[#This Row],[Progres MOS]]&gt;0%,"Proses MOS &gt; 50%",IF(Table1[[#This Row],[Progres MOS]]=0,"Belum MOS = 0%"))))</f>
        <v>Proses MOS &gt; 100%</v>
      </c>
      <c r="ET2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4" s="42"/>
      <c r="EV264" s="300">
        <v>45866</v>
      </c>
      <c r="EW264" s="300" t="e">
        <v>#N/A</v>
      </c>
      <c r="EX264" s="300">
        <v>45956</v>
      </c>
      <c r="EY264" s="300" t="e">
        <v>#N/A</v>
      </c>
      <c r="EZ264" s="322" t="s">
        <v>298</v>
      </c>
      <c r="FA264" s="306" t="s">
        <v>259</v>
      </c>
      <c r="FB264" s="300" t="s">
        <v>260</v>
      </c>
      <c r="FC264" s="300">
        <v>45796</v>
      </c>
      <c r="FD264" s="300" t="s">
        <v>260</v>
      </c>
      <c r="FE264" s="300">
        <v>45895</v>
      </c>
      <c r="FF264" s="300">
        <v>45916</v>
      </c>
      <c r="FG264" s="300" t="s">
        <v>260</v>
      </c>
      <c r="FH264" s="300" t="s">
        <v>260</v>
      </c>
      <c r="FI264" s="300">
        <v>46013</v>
      </c>
      <c r="FJ264" s="300" t="s">
        <v>260</v>
      </c>
      <c r="FK264" s="300">
        <v>46098</v>
      </c>
      <c r="FL264" s="306" t="s">
        <v>298</v>
      </c>
      <c r="FM264" s="322">
        <v>45796</v>
      </c>
      <c r="FN264" s="308">
        <f>IF(Table1[[#This Row],[Tanggal Pengajuan Dokumen]]="","",Table1[[#This Row],[PLAN PERMIT
start]]-Table1[[#This Row],[Tanggal Pengajuan Dokumen]])</f>
        <v>70</v>
      </c>
      <c r="FO264" s="407">
        <v>46086</v>
      </c>
      <c r="FP264" s="286"/>
      <c r="FQ264" s="308"/>
      <c r="FR264" s="308"/>
      <c r="FS264" s="308" t="str">
        <f t="shared" si="14"/>
        <v>Sudah Terbit</v>
      </c>
      <c r="FT2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4" s="314">
        <f ca="1">IF(Table1[[#This Row],[Status Izin]]="Selesai",Table1[[#This Row],[PLAN PERMIT
finish]]-Table1[[#This Row],[Tanggal Terbit/ Target Izin Terbit]],ROUNDUP(Table1[[#This Row],[PLAN PERMIT
finish]]-NOW(),0))</f>
        <v>-130</v>
      </c>
      <c r="FV2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4" s="314"/>
      <c r="FX264" s="42"/>
      <c r="FY264" s="310"/>
      <c r="FZ264" s="311">
        <v>46051</v>
      </c>
      <c r="GA2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4" s="300">
        <v>45930</v>
      </c>
      <c r="GC264" s="322">
        <v>45874</v>
      </c>
      <c r="GD2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4" s="300">
        <v>45937</v>
      </c>
      <c r="GF264" s="322">
        <v>45874</v>
      </c>
      <c r="GG2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4" s="300">
        <v>45943</v>
      </c>
      <c r="GI264" s="300">
        <v>45949</v>
      </c>
      <c r="GJ264" s="322">
        <v>46059</v>
      </c>
      <c r="GK2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4" s="300">
        <v>45957</v>
      </c>
      <c r="GM264" s="300" t="e">
        <v>#N/A</v>
      </c>
      <c r="GN264" s="300">
        <v>46005</v>
      </c>
      <c r="GO264" s="300" t="e">
        <v>#N/A</v>
      </c>
      <c r="GP264" s="300"/>
      <c r="GQ2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4" s="300" t="s">
        <v>261</v>
      </c>
      <c r="GS264" s="300" t="s">
        <v>261</v>
      </c>
      <c r="GT264" s="324"/>
      <c r="GU264" s="314" t="str">
        <f>IF(Table1[[#This Row],[Hydro Tes Actual
(tanggal)]]&lt;&gt;"","Sudah","Belum")</f>
        <v>Belum</v>
      </c>
      <c r="GV264" s="300" t="s">
        <v>261</v>
      </c>
      <c r="GW264" s="300" t="s">
        <v>261</v>
      </c>
      <c r="GX264" s="301"/>
      <c r="GY264" s="314" t="str">
        <f>IF(Table1[[#This Row],[Interkoneksi Actual
(tanggal)]]&lt;&gt;"","Sudah","Belum")</f>
        <v>Belum</v>
      </c>
      <c r="GZ264" s="300" t="s">
        <v>261</v>
      </c>
      <c r="HA264" s="300" t="s">
        <v>261</v>
      </c>
      <c r="HB264" s="301"/>
      <c r="HC264" s="314" t="str">
        <f>IF(Table1[[#This Row],[Flushing Actual
(tanggal)]]&lt;&gt;"","Sudah","Belum")</f>
        <v>Belum</v>
      </c>
      <c r="HD264" s="300">
        <v>45985</v>
      </c>
      <c r="HE264" s="300" t="e">
        <v>#N/A</v>
      </c>
      <c r="HF264" s="300">
        <v>45998</v>
      </c>
      <c r="HG264" s="322"/>
      <c r="HH2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4" s="300" t="s">
        <v>261</v>
      </c>
      <c r="HJ264" s="300" t="s">
        <v>261</v>
      </c>
      <c r="HK264" s="301"/>
      <c r="HL264" s="286"/>
      <c r="HM264" s="300">
        <v>46010</v>
      </c>
      <c r="HN264" s="300">
        <v>46010</v>
      </c>
      <c r="HO264" s="300" t="e">
        <v>#N/A</v>
      </c>
      <c r="HP264" s="300"/>
      <c r="HQ264" s="301"/>
      <c r="HR26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4" s="300">
        <v>46017</v>
      </c>
      <c r="HT264" s="300"/>
      <c r="HU264" s="300">
        <v>46017</v>
      </c>
      <c r="HV264" s="300"/>
      <c r="HW264" s="301"/>
      <c r="HX26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4" s="42"/>
      <c r="HZ264" s="322"/>
      <c r="IA264" s="322" t="s">
        <v>2070</v>
      </c>
      <c r="IC264" s="585">
        <f>IFERROR(ROUND((Table1[[#This Row],[PLAN TC
finish]]-Table1[[#This Row],[PLAN MC-0
start]])/30,2),"")</f>
        <v>1.83</v>
      </c>
      <c r="ID264">
        <f>DATEDIF(Table1[[#This Row],[PLAN MC-0
start]],Table1[[#This Row],[PLAN TC
finish]],"m")</f>
        <v>1</v>
      </c>
    </row>
    <row r="265" spans="1:238" s="4" customFormat="1" ht="15" customHeight="1" x14ac:dyDescent="0.25">
      <c r="B265" s="281">
        <f>SUBTOTAL(3,$D$5:D265)</f>
        <v>261</v>
      </c>
      <c r="C265" s="286">
        <v>261</v>
      </c>
      <c r="D265" s="308" t="s">
        <v>244</v>
      </c>
      <c r="E265" s="308" t="s">
        <v>2071</v>
      </c>
      <c r="F265" s="308" t="s">
        <v>2072</v>
      </c>
      <c r="G265" s="319">
        <v>46117</v>
      </c>
      <c r="H265" s="284" t="s">
        <v>681</v>
      </c>
      <c r="I265" s="308" t="s">
        <v>248</v>
      </c>
      <c r="J265" s="450" t="s">
        <v>1818</v>
      </c>
      <c r="K265" s="308" t="s">
        <v>1165</v>
      </c>
      <c r="L265" s="286" t="s">
        <v>250</v>
      </c>
      <c r="M265" s="325" t="s">
        <v>269</v>
      </c>
      <c r="N265" s="94">
        <v>1</v>
      </c>
      <c r="O265" s="113" t="s">
        <v>327</v>
      </c>
      <c r="P26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5" s="35">
        <v>1.0000000000000002</v>
      </c>
      <c r="S265" s="34">
        <v>1</v>
      </c>
      <c r="T265" s="34">
        <f>Table1[[#This Row],[Progres Total Aktual
(%)]]</f>
        <v>0.40629577061412464</v>
      </c>
      <c r="U265" s="85">
        <f>Table1[[#This Row],[Progres Aktual
(%)]]-Table1[[#This Row],[Target Progres
(%)]]</f>
        <v>-0.59370422938587541</v>
      </c>
      <c r="V265" s="75">
        <f>Table1[[#This Row],["Volume
BA MC-0"]]</f>
        <v>0</v>
      </c>
      <c r="W265" s="41">
        <f>Table1[[#This Row],[Total Panjang Pipa Aktual
(Sum-&gt;)3]]</f>
        <v>1</v>
      </c>
      <c r="X265" s="42"/>
      <c r="Y265" s="62" t="s">
        <v>2065</v>
      </c>
      <c r="Z265" s="62">
        <v>224679205</v>
      </c>
      <c r="AA265" s="62">
        <f>ROUND((Table1[[#This Row],[Nilai RAB Jaringan
(Exclude Ppn)]]-Table1[[#This Row],[RAB Perizinan]])*1.11+Table1[[#This Row],[RAB Perizinan]],0)</f>
        <v>224679205</v>
      </c>
      <c r="AB265" s="456">
        <f>SUM(Table1[[#This Row],[RAB Kegiatan Umum]:[RAB Perizinan]])</f>
        <v>202413698</v>
      </c>
      <c r="AC265" s="406">
        <v>1713141</v>
      </c>
      <c r="AD265" s="406">
        <v>34262807</v>
      </c>
      <c r="AE265" s="406">
        <v>166437750</v>
      </c>
      <c r="AF265" s="406"/>
      <c r="AG265" s="453">
        <v>0</v>
      </c>
      <c r="AH265" s="33">
        <f>SUM(Table1[[#This Row],[Bobot Keg Umum]:[Bobot Perizinan]])</f>
        <v>1</v>
      </c>
      <c r="AI265" s="33">
        <f>Table1[[#This Row],[RAB Kegiatan Umum]]/Table1[[#This Row],[Nilai RAB Jaringan
(Exclude Ppn)]]</f>
        <v>8.4635625796432024E-3</v>
      </c>
      <c r="AJ265" s="33">
        <f>Table1[[#This Row],[RAB Pemasangan]]/Table1[[#This Row],[Nilai RAB Jaringan
(Exclude Ppn)]]</f>
        <v>0.16927118736796162</v>
      </c>
      <c r="AK265" s="33">
        <f>Table1[[#This Row],[RAB Pengadaan]]/Table1[[#This Row],[Nilai RAB Jaringan
(Exclude Ppn)]]</f>
        <v>0.82226525005239515</v>
      </c>
      <c r="AL265" s="33">
        <f>Table1[[#This Row],[RAB Perizinan]]/Table1[[#This Row],[Nilai RAB Jaringan
(Exclude Ppn)]]</f>
        <v>0</v>
      </c>
      <c r="AM265" s="42"/>
      <c r="AN265" s="256"/>
      <c r="AO265" s="256">
        <f>SUM(Table1[[#This Row],[Pipa 63 mm]:[Pipa 1,800 mm]])</f>
        <v>1</v>
      </c>
      <c r="AP265" s="256">
        <v>1</v>
      </c>
      <c r="AQ265" s="256"/>
      <c r="AR265" s="256"/>
      <c r="AS265" s="256"/>
      <c r="AT265" s="256"/>
      <c r="AU265" s="256"/>
      <c r="AV265" s="256"/>
      <c r="AW265" s="256"/>
      <c r="AX265" s="256"/>
      <c r="AY265" s="256"/>
      <c r="AZ265" s="256"/>
      <c r="BA265" s="256"/>
      <c r="BB265" s="256"/>
      <c r="BC265" s="256"/>
      <c r="BD265" s="256"/>
      <c r="BE265" s="256"/>
      <c r="BF265" s="256"/>
      <c r="BG265" s="256"/>
      <c r="BH265" s="256"/>
      <c r="BI265" s="256"/>
      <c r="BJ265" s="36">
        <f>SUM(Table1[[#This Row],[Pipa 63 mm2]:[Pipa 1,800 mm21]])</f>
        <v>1</v>
      </c>
      <c r="BK265" s="32">
        <v>1</v>
      </c>
      <c r="BL265" s="32"/>
      <c r="BM265" s="32"/>
      <c r="BN265" s="32"/>
      <c r="BO265" s="32"/>
      <c r="BP265" s="32"/>
      <c r="BQ265" s="32"/>
      <c r="BR265" s="32"/>
      <c r="BS265" s="32"/>
      <c r="BT265" s="32"/>
      <c r="BU265" s="32"/>
      <c r="BV265" s="32"/>
      <c r="BW265" s="32"/>
      <c r="BX265" s="32"/>
      <c r="BY265" s="32"/>
      <c r="BZ265" s="32"/>
      <c r="CA265" s="32"/>
      <c r="CB265" s="32"/>
      <c r="CC265" s="32"/>
      <c r="CD265" s="32"/>
      <c r="CE265" s="32">
        <v>0</v>
      </c>
      <c r="CF265" s="32"/>
      <c r="CG265" s="32"/>
      <c r="CH265" s="32"/>
      <c r="CI265" s="32">
        <f t="shared" si="13"/>
        <v>0</v>
      </c>
      <c r="CJ265" s="60">
        <f>IF((Table1[[#This Row],["Volume
BA MC-0"]]-Table1[[#This Row],[Total Panjang Pipa Aktual
(Sum-&gt;)3]]-Table1[[#This Row],[Total Volume
tidak dapat dipasang]])&gt;=0,Table1[[#This Row],["Volume
BA MC-0"]]-Table1[[#This Row],[Total Panjang Pipa Aktual
(Sum-&gt;)3]]-Table1[[#This Row],[Total Volume
tidak dapat dipasang]],0)</f>
        <v>0</v>
      </c>
      <c r="CK265" s="42"/>
      <c r="CL265" s="454" t="s">
        <v>1821</v>
      </c>
      <c r="CM265" s="34" t="s">
        <v>1821</v>
      </c>
      <c r="CN265" s="454" t="s">
        <v>1821</v>
      </c>
      <c r="CO265" s="454" t="s">
        <v>1821</v>
      </c>
      <c r="CP2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0.40629577061412464</v>
      </c>
      <c r="CQ265" s="61">
        <f>IFERROR(Table1[[#This Row],[Progres Keg. Umum
(%)]]*Table1[[#This Row],[Nilai RAB Jaringan
(file pa aji)]],0)</f>
        <v>0</v>
      </c>
      <c r="CR265" s="61">
        <f>IFERROR(Table1[[#This Row],[Progres MOS
(%)]]*Table1[[#This Row],[Nilai RAB Jaringan
(file pa aji)]],0)</f>
        <v>0</v>
      </c>
      <c r="CS265" s="61">
        <f>IFERROR(Table1[[#This Row],[Progres Pemasangan
(%)]]*Table1[[#This Row],[Nilai RAB Jaringan
(file pa aji)]],0)</f>
        <v>0</v>
      </c>
      <c r="CT265" s="61">
        <f>IFERROR(Table1[[#This Row],[Progres Perizinan
(%)]]*Table1[[#This Row],[Nilai RAB Jaringan
(file pa aji)]],0)</f>
        <v>0</v>
      </c>
      <c r="CU265" s="789">
        <v>0</v>
      </c>
      <c r="CV265" s="299">
        <v>0</v>
      </c>
      <c r="CW265" s="552">
        <v>0</v>
      </c>
      <c r="CX265" s="789">
        <f>_xlfn.XLOOKUP(Table1[[#This Row],[Kode Program]],'[1]Breakdown VOWD Greenfield'!$E:$E,'[1]Breakdown VOWD Greenfield'!$AT:$AT)</f>
        <v>0</v>
      </c>
      <c r="CY265" s="42"/>
      <c r="CZ265" s="300">
        <v>45838</v>
      </c>
      <c r="DA265" s="300">
        <v>45865</v>
      </c>
      <c r="DB265" s="301">
        <v>45818</v>
      </c>
      <c r="DC265" s="286" t="s">
        <v>2073</v>
      </c>
      <c r="DD265" s="62">
        <v>224679205</v>
      </c>
      <c r="DE2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5" s="301">
        <v>45825</v>
      </c>
      <c r="DG265" s="286" t="s">
        <v>2074</v>
      </c>
      <c r="DH265" s="62">
        <v>224679205</v>
      </c>
      <c r="DI2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5" s="300">
        <v>45866</v>
      </c>
      <c r="DK265" s="300">
        <v>45928</v>
      </c>
      <c r="DL265" s="301">
        <v>45846</v>
      </c>
      <c r="DM265" s="286" t="s">
        <v>2075</v>
      </c>
      <c r="DN2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5" s="301">
        <v>45896</v>
      </c>
      <c r="DP265" s="286" t="s">
        <v>2076</v>
      </c>
      <c r="DQ265" s="308" t="s">
        <v>275</v>
      </c>
      <c r="DR2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5" s="300">
        <v>45866</v>
      </c>
      <c r="DT265" s="300" t="e">
        <v>#N/A</v>
      </c>
      <c r="DU265" s="300">
        <v>45928</v>
      </c>
      <c r="DV265" s="300" t="e">
        <v>#N/A</v>
      </c>
      <c r="DW265" s="301">
        <v>45845</v>
      </c>
      <c r="DX265" s="286" t="s">
        <v>2077</v>
      </c>
      <c r="DY265" s="302">
        <v>17</v>
      </c>
      <c r="DZ265" s="304">
        <v>17</v>
      </c>
      <c r="EA2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5" s="301">
        <v>46114</v>
      </c>
      <c r="EC265" s="302">
        <v>15</v>
      </c>
      <c r="ED265" s="302">
        <v>15</v>
      </c>
      <c r="EE265" s="300"/>
      <c r="EF265" s="35">
        <v>0.88235294117647056</v>
      </c>
      <c r="EG265" s="35">
        <f>Table1[[#This Row],[Line PO (kolom  bantu)2]]/Table1[[#This Row],[Line PR]]</f>
        <v>0.88235294117647056</v>
      </c>
      <c r="EH265" s="286" t="str">
        <f>IF(Table1[[#This Row],[PO Material Aktual 
(%)]]&gt;=100%,"Selesai PO = 100%",IF(Table1[[#This Row],[PO Material Aktual 
(%)]]&gt;=50%,"Proses PO &gt; 100%",IF(Table1[[#This Row],[PO Material Aktual 
(%)]]&gt;0%,"Proses PO &gt; 50%",IF(Table1[[#This Row],[PO Material Aktual 
(%)]]=0,"Belum PO = 0%"))))</f>
        <v>Proses PO &gt; 100%</v>
      </c>
      <c r="EI26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65" s="300">
        <v>45929</v>
      </c>
      <c r="EK265" s="300" t="e">
        <v>#N/A</v>
      </c>
      <c r="EL265" s="300">
        <v>45977</v>
      </c>
      <c r="EM265" s="300" t="e">
        <v>#N/A</v>
      </c>
      <c r="EN265" s="301">
        <v>46082</v>
      </c>
      <c r="EO265" s="302">
        <v>14</v>
      </c>
      <c r="EP265" s="593">
        <v>14</v>
      </c>
      <c r="EQ265" s="35">
        <v>0.82352941176470584</v>
      </c>
      <c r="ER265" s="35">
        <f>Table1[[#This Row],[Line MOS]]/Table1[[#This Row],[Line PR]]</f>
        <v>0.82352941176470584</v>
      </c>
      <c r="ES265" s="286" t="str">
        <f>IF(Table1[[#This Row],[Progres MOS]]&gt;=100%,"Selesai MOS = 100%",IF(Table1[[#This Row],[Progres MOS]]&gt;=50%,"Proses MOS &gt; 100%",IF(Table1[[#This Row],[Progres MOS]]&gt;0%,"Proses MOS &gt; 50%",IF(Table1[[#This Row],[Progres MOS]]=0,"Belum MOS = 0%"))))</f>
        <v>Proses MOS &gt; 100%</v>
      </c>
      <c r="ET2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65" s="42"/>
      <c r="EV265" s="300">
        <v>45866</v>
      </c>
      <c r="EW265" s="300" t="e">
        <v>#N/A</v>
      </c>
      <c r="EX265" s="300">
        <v>45956</v>
      </c>
      <c r="EY265" s="300" t="e">
        <v>#N/A</v>
      </c>
      <c r="EZ265" s="322" t="s">
        <v>298</v>
      </c>
      <c r="FA265" s="306" t="s">
        <v>259</v>
      </c>
      <c r="FB265" s="300" t="s">
        <v>260</v>
      </c>
      <c r="FC265" s="300">
        <v>45796</v>
      </c>
      <c r="FD265" s="300" t="s">
        <v>260</v>
      </c>
      <c r="FE265" s="300">
        <v>45895</v>
      </c>
      <c r="FF265" s="300">
        <v>45916</v>
      </c>
      <c r="FG265" s="300" t="s">
        <v>260</v>
      </c>
      <c r="FH265" s="300" t="s">
        <v>260</v>
      </c>
      <c r="FI265" s="300">
        <v>46013</v>
      </c>
      <c r="FJ265" s="300" t="s">
        <v>260</v>
      </c>
      <c r="FK265" s="300">
        <v>46098</v>
      </c>
      <c r="FL265" s="306" t="s">
        <v>298</v>
      </c>
      <c r="FM265" s="322">
        <v>45796</v>
      </c>
      <c r="FN265" s="308">
        <f>IF(Table1[[#This Row],[Tanggal Pengajuan Dokumen]]="","",Table1[[#This Row],[PLAN PERMIT
start]]-Table1[[#This Row],[Tanggal Pengajuan Dokumen]])</f>
        <v>70</v>
      </c>
      <c r="FO265" s="407">
        <v>46086</v>
      </c>
      <c r="FP265" s="286"/>
      <c r="FQ265" s="308"/>
      <c r="FR265" s="308"/>
      <c r="FS265" s="308" t="str">
        <f t="shared" si="14"/>
        <v>Sudah Terbit</v>
      </c>
      <c r="FT2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5" s="314">
        <f ca="1">IF(Table1[[#This Row],[Status Izin]]="Selesai",Table1[[#This Row],[PLAN PERMIT
finish]]-Table1[[#This Row],[Tanggal Terbit/ Target Izin Terbit]],ROUNDUP(Table1[[#This Row],[PLAN PERMIT
finish]]-NOW(),0))</f>
        <v>-130</v>
      </c>
      <c r="FV2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5" s="314"/>
      <c r="FX265" s="42"/>
      <c r="FY265" s="310"/>
      <c r="FZ265" s="311">
        <v>46051</v>
      </c>
      <c r="GA2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265" s="300">
        <v>45930</v>
      </c>
      <c r="GC265" s="322">
        <v>45874</v>
      </c>
      <c r="GD2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65" s="300">
        <v>45937</v>
      </c>
      <c r="GF265" s="322">
        <v>45874</v>
      </c>
      <c r="GG2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65" s="300">
        <v>45943</v>
      </c>
      <c r="GI265" s="300">
        <v>45949</v>
      </c>
      <c r="GJ265" s="322">
        <v>46059</v>
      </c>
      <c r="GK2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5" s="300">
        <v>45957</v>
      </c>
      <c r="GM265" s="300" t="e">
        <v>#N/A</v>
      </c>
      <c r="GN265" s="300">
        <v>46005</v>
      </c>
      <c r="GO265" s="300" t="e">
        <v>#N/A</v>
      </c>
      <c r="GP265" s="300"/>
      <c r="GQ2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5" s="300" t="s">
        <v>261</v>
      </c>
      <c r="GS265" s="300" t="s">
        <v>261</v>
      </c>
      <c r="GT265" s="324"/>
      <c r="GU265" s="314" t="str">
        <f>IF(Table1[[#This Row],[Hydro Tes Actual
(tanggal)]]&lt;&gt;"","Sudah","Belum")</f>
        <v>Belum</v>
      </c>
      <c r="GV265" s="300" t="s">
        <v>261</v>
      </c>
      <c r="GW265" s="300" t="s">
        <v>261</v>
      </c>
      <c r="GX265" s="301"/>
      <c r="GY265" s="314" t="str">
        <f>IF(Table1[[#This Row],[Interkoneksi Actual
(tanggal)]]&lt;&gt;"","Sudah","Belum")</f>
        <v>Belum</v>
      </c>
      <c r="GZ265" s="300" t="s">
        <v>261</v>
      </c>
      <c r="HA265" s="300" t="s">
        <v>261</v>
      </c>
      <c r="HB265" s="301"/>
      <c r="HC265" s="314" t="str">
        <f>IF(Table1[[#This Row],[Flushing Actual
(tanggal)]]&lt;&gt;"","Sudah","Belum")</f>
        <v>Belum</v>
      </c>
      <c r="HD265" s="300">
        <v>45985</v>
      </c>
      <c r="HE265" s="300" t="e">
        <v>#N/A</v>
      </c>
      <c r="HF265" s="300">
        <v>45998</v>
      </c>
      <c r="HG265" s="322"/>
      <c r="HH2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5" s="300" t="s">
        <v>261</v>
      </c>
      <c r="HJ265" s="300" t="s">
        <v>261</v>
      </c>
      <c r="HK265" s="301"/>
      <c r="HL265" s="286"/>
      <c r="HM265" s="300">
        <v>46010</v>
      </c>
      <c r="HN265" s="300">
        <v>46010</v>
      </c>
      <c r="HO265" s="300" t="e">
        <v>#N/A</v>
      </c>
      <c r="HP265" s="300"/>
      <c r="HQ265" s="301"/>
      <c r="HR26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5" s="300">
        <v>46017</v>
      </c>
      <c r="HT265" s="300"/>
      <c r="HU265" s="300">
        <v>46017</v>
      </c>
      <c r="HV265" s="300"/>
      <c r="HW265" s="301"/>
      <c r="HX26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5" s="42"/>
      <c r="HZ265" s="322"/>
      <c r="IA265" s="322" t="s">
        <v>2070</v>
      </c>
      <c r="IC265" s="585">
        <f>IFERROR(ROUND((Table1[[#This Row],[PLAN TC
finish]]-Table1[[#This Row],[PLAN MC-0
start]])/30,2),"")</f>
        <v>1.83</v>
      </c>
      <c r="ID265">
        <f>DATEDIF(Table1[[#This Row],[PLAN MC-0
start]],Table1[[#This Row],[PLAN TC
finish]],"m")</f>
        <v>1</v>
      </c>
    </row>
    <row r="266" spans="1:238" s="4" customFormat="1" ht="15" customHeight="1" x14ac:dyDescent="0.25">
      <c r="B266" s="281">
        <f>SUBTOTAL(3,$D$5:D266)</f>
        <v>262</v>
      </c>
      <c r="C266" s="286">
        <v>262</v>
      </c>
      <c r="D266" s="308" t="s">
        <v>244</v>
      </c>
      <c r="E266" s="308" t="s">
        <v>2078</v>
      </c>
      <c r="F266" s="308" t="s">
        <v>2079</v>
      </c>
      <c r="G266" s="319">
        <v>46117</v>
      </c>
      <c r="H266" s="284" t="s">
        <v>247</v>
      </c>
      <c r="I266" s="308" t="s">
        <v>278</v>
      </c>
      <c r="J266" s="450" t="s">
        <v>1818</v>
      </c>
      <c r="K266" s="308" t="s">
        <v>1165</v>
      </c>
      <c r="L266" s="286" t="s">
        <v>250</v>
      </c>
      <c r="M266" s="325" t="s">
        <v>269</v>
      </c>
      <c r="N266" s="94">
        <v>6146</v>
      </c>
      <c r="O266" s="113" t="s">
        <v>252</v>
      </c>
      <c r="P26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6" s="35">
        <v>0.99999999999999956</v>
      </c>
      <c r="S266" s="34">
        <v>1</v>
      </c>
      <c r="T266" s="34">
        <f>Table1[[#This Row],[Progres Total Aktual
(%)]]</f>
        <v>0.63955209571248317</v>
      </c>
      <c r="U266" s="85">
        <f>Table1[[#This Row],[Progres Aktual
(%)]]-Table1[[#This Row],[Target Progres
(%)]]</f>
        <v>-0.36044790428751683</v>
      </c>
      <c r="V266" s="75">
        <f>Table1[[#This Row],["Volume
BA MC-0"]]</f>
        <v>6146</v>
      </c>
      <c r="W266" s="41">
        <f>Table1[[#This Row],[Total Panjang Pipa Aktual
(Sum-&gt;)3]]</f>
        <v>5983</v>
      </c>
      <c r="X266" s="42"/>
      <c r="Y266" s="62" t="s">
        <v>2080</v>
      </c>
      <c r="Z266" s="62">
        <v>8679014980</v>
      </c>
      <c r="AA266" s="62">
        <f>ROUND((Table1[[#This Row],[Nilai RAB Jaringan
(Exclude Ppn)]]-Table1[[#This Row],[RAB Perizinan]])*1.11+Table1[[#This Row],[RAB Perizinan]],0)</f>
        <v>9781028172</v>
      </c>
      <c r="AB266" s="456">
        <f>SUM(Table1[[#This Row],[RAB Kegiatan Umum]:[RAB Perizinan]])</f>
        <v>8818521416.0418625</v>
      </c>
      <c r="AC266" s="406">
        <v>677098052</v>
      </c>
      <c r="AD266" s="406">
        <v>6770980515.0418615</v>
      </c>
      <c r="AE266" s="406">
        <v>1301982849</v>
      </c>
      <c r="AF266" s="406">
        <v>68460000</v>
      </c>
      <c r="AG266" s="453">
        <v>1803690504</v>
      </c>
      <c r="AH266" s="33">
        <f>SUM(Table1[[#This Row],[Bobot Keg Umum]:[Bobot Perizinan]])</f>
        <v>0.99999999999999989</v>
      </c>
      <c r="AI266" s="33">
        <f>Table1[[#This Row],[RAB Kegiatan Umum]]/Table1[[#This Row],[Nilai RAB Jaringan
(Exclude Ppn)]]</f>
        <v>7.6781358240881975E-2</v>
      </c>
      <c r="AJ266" s="33">
        <f>Table1[[#This Row],[RAB Pemasangan]]/Table1[[#This Row],[Nilai RAB Jaringan
(Exclude Ppn)]]</f>
        <v>0.76781358184657822</v>
      </c>
      <c r="AK266" s="33">
        <f>Table1[[#This Row],[RAB Pengadaan]]/Table1[[#This Row],[Nilai RAB Jaringan
(Exclude Ppn)]]</f>
        <v>0.14764185372749106</v>
      </c>
      <c r="AL266" s="33">
        <f>Table1[[#This Row],[RAB Perizinan]]/Table1[[#This Row],[Nilai RAB Jaringan
(Exclude Ppn)]]</f>
        <v>7.7632061850486309E-3</v>
      </c>
      <c r="AM266" s="42"/>
      <c r="AN266" s="256">
        <v>6146</v>
      </c>
      <c r="AO266" s="256">
        <f>SUM(Table1[[#This Row],[Pipa 63 mm]:[Pipa 1,800 mm]])</f>
        <v>0</v>
      </c>
      <c r="AP266" s="256"/>
      <c r="AQ266" s="256"/>
      <c r="AR266" s="256"/>
      <c r="AS266" s="256"/>
      <c r="AT266" s="256"/>
      <c r="AU266" s="256"/>
      <c r="AV266" s="256"/>
      <c r="AW266" s="256"/>
      <c r="AX266" s="256"/>
      <c r="AY266" s="256"/>
      <c r="AZ266" s="256"/>
      <c r="BA266" s="256"/>
      <c r="BB266" s="256"/>
      <c r="BC266" s="256"/>
      <c r="BD266" s="256"/>
      <c r="BE266" s="256"/>
      <c r="BF266" s="256"/>
      <c r="BG266" s="256"/>
      <c r="BH266" s="256"/>
      <c r="BI266" s="256"/>
      <c r="BJ266" s="36">
        <f>SUM(Table1[[#This Row],[Pipa 63 mm2]:[Pipa 1,800 mm21]])</f>
        <v>5983</v>
      </c>
      <c r="BK266" s="32">
        <v>4198</v>
      </c>
      <c r="BL266" s="32">
        <v>889</v>
      </c>
      <c r="BM266" s="32">
        <v>63</v>
      </c>
      <c r="BN266" s="32">
        <v>833</v>
      </c>
      <c r="BO266" s="32"/>
      <c r="BP266" s="32"/>
      <c r="BQ266" s="32"/>
      <c r="BR266" s="32"/>
      <c r="BS266" s="32"/>
      <c r="BT266" s="32"/>
      <c r="BU266" s="32"/>
      <c r="BV266" s="32"/>
      <c r="BW266" s="32"/>
      <c r="BX266" s="32"/>
      <c r="BY266" s="32"/>
      <c r="BZ266" s="32"/>
      <c r="CA266" s="32"/>
      <c r="CB266" s="32"/>
      <c r="CC266" s="32"/>
      <c r="CD266" s="32"/>
      <c r="CE266" s="32">
        <v>0</v>
      </c>
      <c r="CF266" s="32">
        <v>164</v>
      </c>
      <c r="CG266" s="32"/>
      <c r="CH266" s="32"/>
      <c r="CI266" s="32">
        <f t="shared" si="13"/>
        <v>164</v>
      </c>
      <c r="CJ266" s="60">
        <f>IF((Table1[[#This Row],["Volume
BA MC-0"]]-Table1[[#This Row],[Total Panjang Pipa Aktual
(Sum-&gt;)3]]-Table1[[#This Row],[Total Volume
tidak dapat dipasang]])&gt;=0,Table1[[#This Row],["Volume
BA MC-0"]]-Table1[[#This Row],[Total Panjang Pipa Aktual
(Sum-&gt;)3]]-Table1[[#This Row],[Total Volume
tidak dapat dipasang]],0)</f>
        <v>0</v>
      </c>
      <c r="CK266" s="42"/>
      <c r="CL266" s="454" t="s">
        <v>1821</v>
      </c>
      <c r="CM266" s="34" t="s">
        <v>1821</v>
      </c>
      <c r="CN266" s="454" t="s">
        <v>1821</v>
      </c>
      <c r="CO266" s="454" t="s">
        <v>1821</v>
      </c>
      <c r="CP2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0.63955209571248317</v>
      </c>
      <c r="CQ266" s="61">
        <f>IFERROR(Table1[[#This Row],[Progres Keg. Umum
(%)]]*Table1[[#This Row],[Nilai RAB Jaringan
(file pa aji)]],0)</f>
        <v>0</v>
      </c>
      <c r="CR266" s="61">
        <f>IFERROR(Table1[[#This Row],[Progres MOS
(%)]]*Table1[[#This Row],[Nilai RAB Jaringan
(file pa aji)]],0)</f>
        <v>0</v>
      </c>
      <c r="CS266" s="61">
        <f>IFERROR(Table1[[#This Row],[Progres Pemasangan
(%)]]*Table1[[#This Row],[Nilai RAB Jaringan
(file pa aji)]],0)</f>
        <v>0</v>
      </c>
      <c r="CT266" s="61">
        <f>IFERROR(Table1[[#This Row],[Progres Perizinan
(%)]]*Table1[[#This Row],[Nilai RAB Jaringan
(file pa aji)]],0)</f>
        <v>0</v>
      </c>
      <c r="CU266" s="789">
        <v>6255477065.6254387</v>
      </c>
      <c r="CV266" s="299">
        <v>6255477065.6254387</v>
      </c>
      <c r="CW266" s="552">
        <v>0</v>
      </c>
      <c r="CX266" s="789">
        <f>_xlfn.XLOOKUP(Table1[[#This Row],[Kode Program]],'[1]Breakdown VOWD Greenfield'!$E:$E,'[1]Breakdown VOWD Greenfield'!$AT:$AT)</f>
        <v>0</v>
      </c>
      <c r="CY266" s="42"/>
      <c r="CZ266" s="300">
        <v>45712</v>
      </c>
      <c r="DA266" s="300">
        <v>45746</v>
      </c>
      <c r="DB266" s="301">
        <v>45726</v>
      </c>
      <c r="DC266" s="286" t="s">
        <v>2081</v>
      </c>
      <c r="DD266" s="62">
        <v>9781028172</v>
      </c>
      <c r="DE2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6" s="301">
        <v>45733</v>
      </c>
      <c r="DG266" s="286" t="s">
        <v>2082</v>
      </c>
      <c r="DH266" s="62">
        <v>9781028172</v>
      </c>
      <c r="DI2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6" s="300">
        <v>45747</v>
      </c>
      <c r="DK266" s="300">
        <v>45795</v>
      </c>
      <c r="DL266" s="301">
        <v>45772</v>
      </c>
      <c r="DM266" s="286" t="s">
        <v>2083</v>
      </c>
      <c r="DN2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6" s="301">
        <v>45855</v>
      </c>
      <c r="DP266" s="286" t="s">
        <v>2084</v>
      </c>
      <c r="DQ266" s="308" t="s">
        <v>2085</v>
      </c>
      <c r="DR2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6" s="300">
        <v>45747</v>
      </c>
      <c r="DT266" s="300" t="e">
        <v>#N/A</v>
      </c>
      <c r="DU266" s="300">
        <v>45795</v>
      </c>
      <c r="DV266" s="300" t="e">
        <v>#N/A</v>
      </c>
      <c r="DW266" s="301">
        <v>45771</v>
      </c>
      <c r="DX266" s="286" t="s">
        <v>2086</v>
      </c>
      <c r="DY266" s="302">
        <v>65</v>
      </c>
      <c r="DZ266" s="304">
        <v>65</v>
      </c>
      <c r="EA2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6" s="301"/>
      <c r="EC266" s="302">
        <v>60</v>
      </c>
      <c r="ED266" s="302">
        <v>60</v>
      </c>
      <c r="EE266" s="300"/>
      <c r="EF266" s="35">
        <v>0.92307692307692313</v>
      </c>
      <c r="EG266" s="35">
        <f>Table1[[#This Row],[Line PO (kolom  bantu)2]]/Table1[[#This Row],[Line PR]]</f>
        <v>0.92307692307692313</v>
      </c>
      <c r="EH266" s="286" t="str">
        <f>IF(Table1[[#This Row],[PO Material Aktual 
(%)]]&gt;=100%,"Selesai PO = 100%",IF(Table1[[#This Row],[PO Material Aktual 
(%)]]&gt;=50%,"Proses PO &gt; 100%",IF(Table1[[#This Row],[PO Material Aktual 
(%)]]&gt;0%,"Proses PO &gt; 50%",IF(Table1[[#This Row],[PO Material Aktual 
(%)]]=0,"Belum PO = 0%"))))</f>
        <v>Proses PO &gt; 100%</v>
      </c>
      <c r="EI26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6" s="300">
        <v>45796</v>
      </c>
      <c r="EK266" s="300" t="e">
        <v>#N/A</v>
      </c>
      <c r="EL266" s="300">
        <v>45928</v>
      </c>
      <c r="EM266" s="300" t="e">
        <v>#N/A</v>
      </c>
      <c r="EN266" s="301"/>
      <c r="EO266" s="302">
        <v>60</v>
      </c>
      <c r="EP266" s="286">
        <v>60</v>
      </c>
      <c r="EQ266" s="35">
        <v>0.92307692307692313</v>
      </c>
      <c r="ER266" s="35">
        <f>Table1[[#This Row],[Line MOS]]/Table1[[#This Row],[Line PR]]</f>
        <v>0.92307692307692313</v>
      </c>
      <c r="ES266" s="286" t="str">
        <f>IF(Table1[[#This Row],[Progres MOS]]&gt;=100%,"Selesai MOS = 100%",IF(Table1[[#This Row],[Progres MOS]]&gt;=50%,"Proses MOS &gt; 100%",IF(Table1[[#This Row],[Progres MOS]]&gt;0%,"Proses MOS &gt; 50%",IF(Table1[[#This Row],[Progres MOS]]=0,"Belum MOS = 0%"))))</f>
        <v>Proses MOS &gt; 100%</v>
      </c>
      <c r="ET2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6" s="42"/>
      <c r="EV266" s="300">
        <v>45747</v>
      </c>
      <c r="EW266" s="300" t="e">
        <v>#N/A</v>
      </c>
      <c r="EX266" s="300">
        <v>45837</v>
      </c>
      <c r="EY266" s="300" t="e">
        <v>#N/A</v>
      </c>
      <c r="EZ266" s="322" t="s">
        <v>298</v>
      </c>
      <c r="FA266" s="306" t="s">
        <v>259</v>
      </c>
      <c r="FB266" s="300" t="s">
        <v>260</v>
      </c>
      <c r="FC266" s="300">
        <v>45800</v>
      </c>
      <c r="FD266" s="300" t="s">
        <v>260</v>
      </c>
      <c r="FE266" s="300">
        <v>45882</v>
      </c>
      <c r="FF266" s="300">
        <v>45916</v>
      </c>
      <c r="FG266" s="300" t="s">
        <v>260</v>
      </c>
      <c r="FH266" s="300" t="s">
        <v>260</v>
      </c>
      <c r="FI266" s="300">
        <v>46010</v>
      </c>
      <c r="FJ266" s="300" t="s">
        <v>260</v>
      </c>
      <c r="FK266" s="300">
        <v>46122</v>
      </c>
      <c r="FL266" s="306" t="s">
        <v>298</v>
      </c>
      <c r="FM266" s="322">
        <v>45800</v>
      </c>
      <c r="FN266" s="308">
        <f>IF(Table1[[#This Row],[Tanggal Pengajuan Dokumen]]="","",Table1[[#This Row],[PLAN PERMIT
start]]-Table1[[#This Row],[Tanggal Pengajuan Dokumen]])</f>
        <v>-53</v>
      </c>
      <c r="FO266" s="407">
        <v>46086</v>
      </c>
      <c r="FP266" s="286" t="s">
        <v>2087</v>
      </c>
      <c r="FQ266" s="308"/>
      <c r="FR266" s="308"/>
      <c r="FS266" s="308" t="str">
        <f t="shared" si="14"/>
        <v>On Going</v>
      </c>
      <c r="FT2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6" s="314">
        <f ca="1">IF(Table1[[#This Row],[Status Izin]]="Selesai",Table1[[#This Row],[PLAN PERMIT
finish]]-Table1[[#This Row],[Tanggal Terbit/ Target Izin Terbit]],ROUNDUP(Table1[[#This Row],[PLAN PERMIT
finish]]-NOW(),0))</f>
        <v>-367</v>
      </c>
      <c r="FV2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6" s="314"/>
      <c r="FX266" s="42"/>
      <c r="FY266" s="310"/>
      <c r="FZ266" s="311"/>
      <c r="GA2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6" s="300">
        <v>45811</v>
      </c>
      <c r="GC266" s="322">
        <v>45874</v>
      </c>
      <c r="GD2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6" s="300">
        <v>45818</v>
      </c>
      <c r="GF266" s="322">
        <v>45874</v>
      </c>
      <c r="GG2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6" s="300">
        <v>45824</v>
      </c>
      <c r="GI266" s="300">
        <v>45830</v>
      </c>
      <c r="GJ266" s="322">
        <v>45882</v>
      </c>
      <c r="GK2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6" s="300">
        <v>45838</v>
      </c>
      <c r="GM266" s="300" t="e">
        <v>#N/A</v>
      </c>
      <c r="GN266" s="300">
        <v>46005</v>
      </c>
      <c r="GO266" s="300" t="e">
        <v>#N/A</v>
      </c>
      <c r="GP266" s="300"/>
      <c r="GQ2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6" s="300" t="s">
        <v>261</v>
      </c>
      <c r="GS266" s="300" t="s">
        <v>261</v>
      </c>
      <c r="GT266" s="458" t="s">
        <v>2088</v>
      </c>
      <c r="GU266" s="314" t="str">
        <f>IF(Table1[[#This Row],[Hydro Tes Actual
(tanggal)]]&lt;&gt;"","Sudah","Belum")</f>
        <v>Sudah</v>
      </c>
      <c r="GV266" s="300" t="s">
        <v>261</v>
      </c>
      <c r="GW266" s="300" t="s">
        <v>261</v>
      </c>
      <c r="GX266" s="301"/>
      <c r="GY266" s="314" t="str">
        <f>IF(Table1[[#This Row],[Interkoneksi Actual
(tanggal)]]&lt;&gt;"","Sudah","Belum")</f>
        <v>Belum</v>
      </c>
      <c r="GZ266" s="300" t="s">
        <v>261</v>
      </c>
      <c r="HA266" s="300" t="s">
        <v>261</v>
      </c>
      <c r="HB266" s="301"/>
      <c r="HC266" s="314" t="str">
        <f>IF(Table1[[#This Row],[Flushing Actual
(tanggal)]]&lt;&gt;"","Sudah","Belum")</f>
        <v>Belum</v>
      </c>
      <c r="HD266" s="300">
        <v>45978</v>
      </c>
      <c r="HE266" s="300" t="e">
        <v>#N/A</v>
      </c>
      <c r="HF266" s="300">
        <v>45991</v>
      </c>
      <c r="HG266" s="322"/>
      <c r="HH2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6" s="300" t="s">
        <v>261</v>
      </c>
      <c r="HJ266" s="300" t="s">
        <v>261</v>
      </c>
      <c r="HK266" s="301"/>
      <c r="HL266" s="286"/>
      <c r="HM266" s="300">
        <v>46010</v>
      </c>
      <c r="HN266" s="300">
        <v>46010</v>
      </c>
      <c r="HO266" s="300" t="e">
        <v>#N/A</v>
      </c>
      <c r="HP266" s="300"/>
      <c r="HQ266" s="301"/>
      <c r="HR26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6" s="300">
        <v>46026</v>
      </c>
      <c r="HT266" s="300"/>
      <c r="HU266" s="300">
        <v>46026</v>
      </c>
      <c r="HV266" s="300"/>
      <c r="HW266" s="301"/>
      <c r="HX26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6" s="42"/>
      <c r="HZ266" s="322"/>
      <c r="IA266" s="322"/>
      <c r="IC266" s="585">
        <f>IFERROR(ROUND((Table1[[#This Row],[PLAN TC
finish]]-Table1[[#This Row],[PLAN MC-0
start]])/30,2),"")</f>
        <v>5.57</v>
      </c>
      <c r="ID266">
        <f>DATEDIF(Table1[[#This Row],[PLAN MC-0
start]],Table1[[#This Row],[PLAN TC
finish]],"m")</f>
        <v>5</v>
      </c>
    </row>
    <row r="267" spans="1:238" s="4" customFormat="1" ht="15" customHeight="1" x14ac:dyDescent="0.25">
      <c r="B267" s="281">
        <f>SUBTOTAL(3,$D$5:D267)</f>
        <v>263</v>
      </c>
      <c r="C267" s="286">
        <v>263</v>
      </c>
      <c r="D267" s="308" t="s">
        <v>244</v>
      </c>
      <c r="E267" s="308" t="s">
        <v>2089</v>
      </c>
      <c r="F267" s="308" t="s">
        <v>2090</v>
      </c>
      <c r="G267" s="319">
        <v>46117</v>
      </c>
      <c r="H267" s="284" t="s">
        <v>247</v>
      </c>
      <c r="I267" s="308" t="s">
        <v>278</v>
      </c>
      <c r="J267" s="450" t="s">
        <v>1818</v>
      </c>
      <c r="K267" s="308" t="s">
        <v>1165</v>
      </c>
      <c r="L267" s="286" t="s">
        <v>250</v>
      </c>
      <c r="M267" s="325" t="s">
        <v>269</v>
      </c>
      <c r="N267" s="94">
        <v>11420</v>
      </c>
      <c r="O267" s="113" t="s">
        <v>252</v>
      </c>
      <c r="P26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7" s="35">
        <v>0.99999999999999944</v>
      </c>
      <c r="S267" s="34">
        <v>1</v>
      </c>
      <c r="T267" s="34">
        <f>Table1[[#This Row],[Progres Total Aktual
(%)]]</f>
        <v>0.8152627453391994</v>
      </c>
      <c r="U267" s="85">
        <f>Table1[[#This Row],[Progres Aktual
(%)]]-Table1[[#This Row],[Target Progres
(%)]]</f>
        <v>-0.1847372546608006</v>
      </c>
      <c r="V267" s="75">
        <f>Table1[[#This Row],["Volume
BA MC-0"]]</f>
        <v>11420</v>
      </c>
      <c r="W267" s="41">
        <f>Table1[[#This Row],[Total Panjang Pipa Aktual
(Sum-&gt;)3]]</f>
        <v>10078</v>
      </c>
      <c r="X267" s="42"/>
      <c r="Y267" s="62" t="s">
        <v>2091</v>
      </c>
      <c r="Z267" s="62">
        <v>15638577575</v>
      </c>
      <c r="AA267" s="62">
        <f>ROUND((Table1[[#This Row],[Nilai RAB Jaringan
(Exclude Ppn)]]-Table1[[#This Row],[RAB Perizinan]])*1.11+Table1[[#This Row],[RAB Perizinan]],0)</f>
        <v>17649963246</v>
      </c>
      <c r="AB267" s="456">
        <f>SUM(Table1[[#This Row],[RAB Kegiatan Umum]:[RAB Perizinan]])</f>
        <v>15912184905.879999</v>
      </c>
      <c r="AC267" s="406">
        <v>1211928997</v>
      </c>
      <c r="AD267" s="406">
        <v>12119289963.879999</v>
      </c>
      <c r="AE267" s="406">
        <v>2466765945</v>
      </c>
      <c r="AF267" s="406">
        <v>114200000</v>
      </c>
      <c r="AG267" s="453">
        <v>3625827843</v>
      </c>
      <c r="AH267" s="33">
        <f>SUM(Table1[[#This Row],[Bobot Keg Umum]:[Bobot Perizinan]])</f>
        <v>1</v>
      </c>
      <c r="AI267" s="33">
        <f>Table1[[#This Row],[RAB Kegiatan Umum]]/Table1[[#This Row],[Nilai RAB Jaringan
(Exclude Ppn)]]</f>
        <v>7.6163581819122667E-2</v>
      </c>
      <c r="AJ267" s="33">
        <f>Table1[[#This Row],[RAB Pemasangan]]/Table1[[#This Row],[Nilai RAB Jaringan
(Exclude Ppn)]]</f>
        <v>0.76163581780661571</v>
      </c>
      <c r="AK267" s="33">
        <f>Table1[[#This Row],[RAB Pengadaan]]/Table1[[#This Row],[Nilai RAB Jaringan
(Exclude Ppn)]]</f>
        <v>0.15502371042008573</v>
      </c>
      <c r="AL267" s="33">
        <f>Table1[[#This Row],[RAB Perizinan]]/Table1[[#This Row],[Nilai RAB Jaringan
(Exclude Ppn)]]</f>
        <v>7.176889954175928E-3</v>
      </c>
      <c r="AM267" s="42"/>
      <c r="AN267" s="256">
        <v>11420</v>
      </c>
      <c r="AO267" s="256">
        <f>SUM(Table1[[#This Row],[Pipa 63 mm]:[Pipa 1,800 mm]])</f>
        <v>0</v>
      </c>
      <c r="AP267" s="256"/>
      <c r="AQ267" s="256"/>
      <c r="AR267" s="256"/>
      <c r="AS267" s="256"/>
      <c r="AT267" s="256"/>
      <c r="AU267" s="256"/>
      <c r="AV267" s="256"/>
      <c r="AW267" s="256"/>
      <c r="AX267" s="256"/>
      <c r="AY267" s="256"/>
      <c r="AZ267" s="256"/>
      <c r="BA267" s="256"/>
      <c r="BB267" s="256"/>
      <c r="BC267" s="256"/>
      <c r="BD267" s="256"/>
      <c r="BE267" s="256"/>
      <c r="BF267" s="256"/>
      <c r="BG267" s="256"/>
      <c r="BH267" s="256"/>
      <c r="BI267" s="256"/>
      <c r="BJ267" s="36">
        <f>SUM(Table1[[#This Row],[Pipa 63 mm2]:[Pipa 1,800 mm21]])</f>
        <v>10078</v>
      </c>
      <c r="BK267" s="32">
        <v>7148</v>
      </c>
      <c r="BL267" s="32">
        <v>1533</v>
      </c>
      <c r="BM267" s="32">
        <v>661</v>
      </c>
      <c r="BN267" s="32">
        <v>724</v>
      </c>
      <c r="BO267" s="32">
        <v>6</v>
      </c>
      <c r="BP267" s="32">
        <v>6</v>
      </c>
      <c r="BQ267" s="32"/>
      <c r="BR267" s="32"/>
      <c r="BS267" s="32"/>
      <c r="BT267" s="32"/>
      <c r="BU267" s="32"/>
      <c r="BV267" s="32"/>
      <c r="BW267" s="32"/>
      <c r="BX267" s="32"/>
      <c r="BY267" s="32"/>
      <c r="BZ267" s="32"/>
      <c r="CA267" s="32"/>
      <c r="CB267" s="32"/>
      <c r="CC267" s="32"/>
      <c r="CD267" s="32"/>
      <c r="CE267" s="32">
        <v>0</v>
      </c>
      <c r="CF267" s="32"/>
      <c r="CG267" s="32"/>
      <c r="CH267" s="32"/>
      <c r="CI267" s="32">
        <f t="shared" si="13"/>
        <v>0</v>
      </c>
      <c r="CJ267" s="60">
        <f>IF((Table1[[#This Row],["Volume
BA MC-0"]]-Table1[[#This Row],[Total Panjang Pipa Aktual
(Sum-&gt;)3]]-Table1[[#This Row],[Total Volume
tidak dapat dipasang]])&gt;=0,Table1[[#This Row],["Volume
BA MC-0"]]-Table1[[#This Row],[Total Panjang Pipa Aktual
(Sum-&gt;)3]]-Table1[[#This Row],[Total Volume
tidak dapat dipasang]],0)</f>
        <v>1342</v>
      </c>
      <c r="CK267" s="42"/>
      <c r="CL267" s="35" t="s">
        <v>1821</v>
      </c>
      <c r="CM267" s="35" t="s">
        <v>1821</v>
      </c>
      <c r="CN267" s="35" t="s">
        <v>1821</v>
      </c>
      <c r="CO267" s="35" t="s">
        <v>1821</v>
      </c>
      <c r="CP2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0.8152627453391994</v>
      </c>
      <c r="CQ267" s="61">
        <f>IFERROR(Table1[[#This Row],[Progres Keg. Umum
(%)]]*Table1[[#This Row],[Nilai RAB Jaringan
(file pa aji)]],0)</f>
        <v>0</v>
      </c>
      <c r="CR267" s="61">
        <f>IFERROR(Table1[[#This Row],[Progres MOS
(%)]]*Table1[[#This Row],[Nilai RAB Jaringan
(file pa aji)]],0)</f>
        <v>0</v>
      </c>
      <c r="CS267" s="61">
        <f>IFERROR(Table1[[#This Row],[Progres Pemasangan
(%)]]*Table1[[#This Row],[Nilai RAB Jaringan
(file pa aji)]],0)</f>
        <v>0</v>
      </c>
      <c r="CT267" s="61">
        <f>IFERROR(Table1[[#This Row],[Progres Perizinan
(%)]]*Table1[[#This Row],[Nilai RAB Jaringan
(file pa aji)]],0)</f>
        <v>0</v>
      </c>
      <c r="CU267" s="789">
        <v>14389357491.069927</v>
      </c>
      <c r="CV267" s="299">
        <v>14389357491.069927</v>
      </c>
      <c r="CW267" s="552">
        <v>0</v>
      </c>
      <c r="CX267" s="789">
        <f>_xlfn.XLOOKUP(Table1[[#This Row],[Kode Program]],'[1]Breakdown VOWD Greenfield'!$E:$E,'[1]Breakdown VOWD Greenfield'!$AT:$AT)</f>
        <v>0</v>
      </c>
      <c r="CY267" s="42"/>
      <c r="CZ267" s="300">
        <v>45712</v>
      </c>
      <c r="DA267" s="300">
        <v>45746</v>
      </c>
      <c r="DB267" s="301">
        <v>45726</v>
      </c>
      <c r="DC267" s="286" t="s">
        <v>2092</v>
      </c>
      <c r="DD267" s="62">
        <v>17649963246</v>
      </c>
      <c r="DE2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7" s="301">
        <v>45734</v>
      </c>
      <c r="DG267" s="286" t="s">
        <v>2093</v>
      </c>
      <c r="DH267" s="62">
        <v>17649963246</v>
      </c>
      <c r="DI2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7" s="300">
        <v>45747</v>
      </c>
      <c r="DK267" s="300">
        <v>45795</v>
      </c>
      <c r="DL267" s="301">
        <v>45771</v>
      </c>
      <c r="DM267" s="286" t="s">
        <v>2094</v>
      </c>
      <c r="DN2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7" s="301">
        <v>45786</v>
      </c>
      <c r="DP267" s="286" t="s">
        <v>2095</v>
      </c>
      <c r="DQ267" s="308" t="s">
        <v>371</v>
      </c>
      <c r="DR2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67" s="300">
        <v>45747</v>
      </c>
      <c r="DT267" s="300" t="e">
        <v>#N/A</v>
      </c>
      <c r="DU267" s="300">
        <v>45795</v>
      </c>
      <c r="DV267" s="300" t="e">
        <v>#N/A</v>
      </c>
      <c r="DW267" s="301">
        <v>45771</v>
      </c>
      <c r="DX267" s="286" t="s">
        <v>2096</v>
      </c>
      <c r="DY267" s="302">
        <v>101</v>
      </c>
      <c r="DZ267" s="304">
        <v>101</v>
      </c>
      <c r="EA2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7" s="301"/>
      <c r="EC267" s="302">
        <v>95</v>
      </c>
      <c r="ED267" s="302">
        <v>95</v>
      </c>
      <c r="EE267" s="300"/>
      <c r="EF267" s="35">
        <v>0.94059405940594054</v>
      </c>
      <c r="EG267" s="35">
        <f>Table1[[#This Row],[Line PO (kolom  bantu)2]]/Table1[[#This Row],[Line PR]]</f>
        <v>0.94059405940594054</v>
      </c>
      <c r="EH267" s="286" t="str">
        <f>IF(Table1[[#This Row],[PO Material Aktual 
(%)]]&gt;=100%,"Selesai PO = 100%",IF(Table1[[#This Row],[PO Material Aktual 
(%)]]&gt;=50%,"Proses PO &gt; 100%",IF(Table1[[#This Row],[PO Material Aktual 
(%)]]&gt;0%,"Proses PO &gt; 50%",IF(Table1[[#This Row],[PO Material Aktual 
(%)]]=0,"Belum PO = 0%"))))</f>
        <v>Proses PO &gt; 100%</v>
      </c>
      <c r="EI26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7" s="300">
        <v>45796</v>
      </c>
      <c r="EK267" s="300" t="e">
        <v>#N/A</v>
      </c>
      <c r="EL267" s="300">
        <v>45928</v>
      </c>
      <c r="EM267" s="300" t="e">
        <v>#N/A</v>
      </c>
      <c r="EN267" s="301"/>
      <c r="EO267" s="302">
        <v>95</v>
      </c>
      <c r="EP267" s="286">
        <v>95</v>
      </c>
      <c r="EQ267" s="35">
        <v>0.94059405940594054</v>
      </c>
      <c r="ER267" s="35">
        <f>Table1[[#This Row],[Line MOS]]/Table1[[#This Row],[Line PR]]</f>
        <v>0.94059405940594054</v>
      </c>
      <c r="ES267" s="286" t="str">
        <f>IF(Table1[[#This Row],[Progres MOS]]&gt;=100%,"Selesai MOS = 100%",IF(Table1[[#This Row],[Progres MOS]]&gt;=50%,"Proses MOS &gt; 100%",IF(Table1[[#This Row],[Progres MOS]]&gt;0%,"Proses MOS &gt; 50%",IF(Table1[[#This Row],[Progres MOS]]=0,"Belum MOS = 0%"))))</f>
        <v>Proses MOS &gt; 100%</v>
      </c>
      <c r="ET2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7" s="42"/>
      <c r="EV267" s="300">
        <v>45747</v>
      </c>
      <c r="EW267" s="300" t="e">
        <v>#N/A</v>
      </c>
      <c r="EX267" s="300">
        <v>45837</v>
      </c>
      <c r="EY267" s="300" t="e">
        <v>#N/A</v>
      </c>
      <c r="EZ267" s="322" t="s">
        <v>298</v>
      </c>
      <c r="FA267" s="306" t="s">
        <v>259</v>
      </c>
      <c r="FB267" s="300" t="s">
        <v>260</v>
      </c>
      <c r="FC267" s="300">
        <v>45800</v>
      </c>
      <c r="FD267" s="300" t="s">
        <v>260</v>
      </c>
      <c r="FE267" s="300">
        <v>45882</v>
      </c>
      <c r="FF267" s="300">
        <v>45916</v>
      </c>
      <c r="FG267" s="300" t="s">
        <v>260</v>
      </c>
      <c r="FH267" s="300" t="s">
        <v>260</v>
      </c>
      <c r="FI267" s="300">
        <v>46010</v>
      </c>
      <c r="FJ267" s="300" t="s">
        <v>260</v>
      </c>
      <c r="FK267" s="300">
        <v>46122</v>
      </c>
      <c r="FL267" s="306" t="s">
        <v>298</v>
      </c>
      <c r="FM267" s="322">
        <v>45800</v>
      </c>
      <c r="FN267" s="308">
        <f>IF(Table1[[#This Row],[Tanggal Pengajuan Dokumen]]="","",Table1[[#This Row],[PLAN PERMIT
start]]-Table1[[#This Row],[Tanggal Pengajuan Dokumen]])</f>
        <v>-53</v>
      </c>
      <c r="FO267" s="407">
        <v>46086</v>
      </c>
      <c r="FP267" s="286"/>
      <c r="FQ267" s="308"/>
      <c r="FR267" s="308"/>
      <c r="FS267" s="308" t="str">
        <f t="shared" si="14"/>
        <v>Sudah Terbit</v>
      </c>
      <c r="FT2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67" s="314">
        <f ca="1">IF(Table1[[#This Row],[Status Izin]]="Selesai",Table1[[#This Row],[PLAN PERMIT
finish]]-Table1[[#This Row],[Tanggal Terbit/ Target Izin Terbit]],ROUNDUP(Table1[[#This Row],[PLAN PERMIT
finish]]-NOW(),0))</f>
        <v>-249</v>
      </c>
      <c r="FV2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7" s="314"/>
      <c r="FX267" s="42"/>
      <c r="FY267" s="310"/>
      <c r="FZ267" s="311"/>
      <c r="GA2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7" s="300">
        <v>45811</v>
      </c>
      <c r="GC267" s="322">
        <v>45874</v>
      </c>
      <c r="GD2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7" s="300">
        <v>45818</v>
      </c>
      <c r="GF267" s="322">
        <v>45874</v>
      </c>
      <c r="GG2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7" s="300">
        <v>45824</v>
      </c>
      <c r="GI267" s="300">
        <v>45830</v>
      </c>
      <c r="GJ267" s="322">
        <v>45884</v>
      </c>
      <c r="GK2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7" s="300">
        <v>45838</v>
      </c>
      <c r="GM267" s="300" t="e">
        <v>#N/A</v>
      </c>
      <c r="GN267" s="300">
        <v>46005</v>
      </c>
      <c r="GO267" s="300" t="e">
        <v>#N/A</v>
      </c>
      <c r="GP267" s="300"/>
      <c r="GQ2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7" s="300" t="s">
        <v>261</v>
      </c>
      <c r="GS267" s="300" t="s">
        <v>261</v>
      </c>
      <c r="GT267" s="458" t="s">
        <v>2097</v>
      </c>
      <c r="GU267" s="314" t="str">
        <f>IF(Table1[[#This Row],[Hydro Tes Actual
(tanggal)]]&lt;&gt;"","Sudah","Belum")</f>
        <v>Sudah</v>
      </c>
      <c r="GV267" s="300" t="s">
        <v>261</v>
      </c>
      <c r="GW267" s="300" t="s">
        <v>261</v>
      </c>
      <c r="GX267" s="301"/>
      <c r="GY267" s="314" t="str">
        <f>IF(Table1[[#This Row],[Interkoneksi Actual
(tanggal)]]&lt;&gt;"","Sudah","Belum")</f>
        <v>Belum</v>
      </c>
      <c r="GZ267" s="300" t="s">
        <v>261</v>
      </c>
      <c r="HA267" s="300" t="s">
        <v>261</v>
      </c>
      <c r="HB267" s="301"/>
      <c r="HC267" s="314" t="str">
        <f>IF(Table1[[#This Row],[Flushing Actual
(tanggal)]]&lt;&gt;"","Sudah","Belum")</f>
        <v>Belum</v>
      </c>
      <c r="HD267" s="300">
        <v>45978</v>
      </c>
      <c r="HE267" s="300" t="e">
        <v>#N/A</v>
      </c>
      <c r="HF267" s="300">
        <v>45991</v>
      </c>
      <c r="HG267" s="322"/>
      <c r="HH2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7" s="300" t="s">
        <v>261</v>
      </c>
      <c r="HJ267" s="300" t="s">
        <v>261</v>
      </c>
      <c r="HK267" s="301"/>
      <c r="HL267" s="286"/>
      <c r="HM267" s="300">
        <v>46010</v>
      </c>
      <c r="HN267" s="300">
        <v>46010</v>
      </c>
      <c r="HO267" s="300" t="e">
        <v>#N/A</v>
      </c>
      <c r="HP267" s="300"/>
      <c r="HQ267" s="301"/>
      <c r="HR26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7" s="300">
        <v>46026</v>
      </c>
      <c r="HT267" s="300"/>
      <c r="HU267" s="300">
        <v>46026</v>
      </c>
      <c r="HV267" s="300"/>
      <c r="HW267" s="301"/>
      <c r="HX26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7" s="42"/>
      <c r="HZ267" s="322"/>
      <c r="IA267" s="322"/>
      <c r="IC267" s="585">
        <f>IFERROR(ROUND((Table1[[#This Row],[PLAN TC
finish]]-Table1[[#This Row],[PLAN MC-0
start]])/30,2),"")</f>
        <v>5.57</v>
      </c>
      <c r="ID267">
        <f>DATEDIF(Table1[[#This Row],[PLAN MC-0
start]],Table1[[#This Row],[PLAN TC
finish]],"m")</f>
        <v>5</v>
      </c>
    </row>
    <row r="268" spans="1:238" s="4" customFormat="1" ht="15" customHeight="1" x14ac:dyDescent="0.25">
      <c r="B268" s="281">
        <f>SUBTOTAL(3,$D$5:D268)</f>
        <v>264</v>
      </c>
      <c r="C268" s="286">
        <v>264</v>
      </c>
      <c r="D268" s="308" t="s">
        <v>244</v>
      </c>
      <c r="E268" s="308" t="s">
        <v>2098</v>
      </c>
      <c r="F268" s="308" t="s">
        <v>2099</v>
      </c>
      <c r="G268" s="319">
        <v>46117</v>
      </c>
      <c r="H268" s="284" t="s">
        <v>247</v>
      </c>
      <c r="I268" s="308" t="s">
        <v>278</v>
      </c>
      <c r="J268" s="450" t="s">
        <v>1818</v>
      </c>
      <c r="K268" s="308" t="s">
        <v>1165</v>
      </c>
      <c r="L268" s="286" t="s">
        <v>250</v>
      </c>
      <c r="M268" s="325" t="s">
        <v>269</v>
      </c>
      <c r="N268" s="94">
        <v>6338</v>
      </c>
      <c r="O268" s="113" t="s">
        <v>252</v>
      </c>
      <c r="P26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8" s="35">
        <v>1.0000000000000007</v>
      </c>
      <c r="S268" s="34">
        <v>1</v>
      </c>
      <c r="T268" s="34">
        <f>Table1[[#This Row],[Progres Total Aktual
(%)]]</f>
        <v>0.85871216320718147</v>
      </c>
      <c r="U268" s="85">
        <f>Table1[[#This Row],[Progres Aktual
(%)]]-Table1[[#This Row],[Target Progres
(%)]]</f>
        <v>-0.14128783679281853</v>
      </c>
      <c r="V268" s="75">
        <f>Table1[[#This Row],["Volume
BA MC-0"]]</f>
        <v>6338</v>
      </c>
      <c r="W268" s="41">
        <f>Table1[[#This Row],[Total Panjang Pipa Aktual
(Sum-&gt;)3]]</f>
        <v>6670.2</v>
      </c>
      <c r="X268" s="42"/>
      <c r="Y268" s="62" t="s">
        <v>2100</v>
      </c>
      <c r="Z268" s="62">
        <v>8955765728</v>
      </c>
      <c r="AA268" s="62">
        <f>ROUND((Table1[[#This Row],[Nilai RAB Jaringan
(Exclude Ppn)]]-Table1[[#This Row],[RAB Perizinan]])*1.11+Table1[[#This Row],[RAB Perizinan]],0)</f>
        <v>10125135684</v>
      </c>
      <c r="AB268" s="456">
        <f>SUM(Table1[[#This Row],[RAB Kegiatan Umum]:[RAB Perizinan]])</f>
        <v>9128024760.5599995</v>
      </c>
      <c r="AC268" s="406">
        <v>687491753</v>
      </c>
      <c r="AD268" s="406">
        <v>6874917521.5599995</v>
      </c>
      <c r="AE268" s="406">
        <v>1502235486</v>
      </c>
      <c r="AF268" s="406">
        <v>63380000</v>
      </c>
      <c r="AG268" s="453">
        <v>1836484877</v>
      </c>
      <c r="AH268" s="33">
        <f>SUM(Table1[[#This Row],[Bobot Keg Umum]:[Bobot Perizinan]])</f>
        <v>0.99999999999999989</v>
      </c>
      <c r="AI268" s="33">
        <f>Table1[[#This Row],[RAB Kegiatan Umum]]/Table1[[#This Row],[Nilai RAB Jaringan
(Exclude Ppn)]]</f>
        <v>7.5316595981475262E-2</v>
      </c>
      <c r="AJ268" s="33">
        <f>Table1[[#This Row],[RAB Pemasangan]]/Table1[[#This Row],[Nilai RAB Jaringan
(Exclude Ppn)]]</f>
        <v>0.75316595889012761</v>
      </c>
      <c r="AK268" s="33">
        <f>Table1[[#This Row],[RAB Pengadaan]]/Table1[[#This Row],[Nilai RAB Jaringan
(Exclude Ppn)]]</f>
        <v>0.16457399332337466</v>
      </c>
      <c r="AL268" s="33">
        <f>Table1[[#This Row],[RAB Perizinan]]/Table1[[#This Row],[Nilai RAB Jaringan
(Exclude Ppn)]]</f>
        <v>6.9434518050224556E-3</v>
      </c>
      <c r="AM268" s="42"/>
      <c r="AN268" s="256">
        <v>6338</v>
      </c>
      <c r="AO268" s="256">
        <f>SUM(Table1[[#This Row],[Pipa 63 mm]:[Pipa 1,800 mm]])</f>
        <v>0</v>
      </c>
      <c r="AP268" s="256"/>
      <c r="AQ268" s="256"/>
      <c r="AR268" s="256"/>
      <c r="AS268" s="256"/>
      <c r="AT268" s="256"/>
      <c r="AU268" s="256"/>
      <c r="AV268" s="256"/>
      <c r="AW268" s="256"/>
      <c r="AX268" s="256"/>
      <c r="AY268" s="256"/>
      <c r="AZ268" s="256"/>
      <c r="BA268" s="256"/>
      <c r="BB268" s="256"/>
      <c r="BC268" s="256"/>
      <c r="BD268" s="256"/>
      <c r="BE268" s="256"/>
      <c r="BF268" s="256"/>
      <c r="BG268" s="256"/>
      <c r="BH268" s="256"/>
      <c r="BI268" s="256"/>
      <c r="BJ268" s="36">
        <f>SUM(Table1[[#This Row],[Pipa 63 mm2]:[Pipa 1,800 mm21]])</f>
        <v>6670.2</v>
      </c>
      <c r="BK268" s="32">
        <v>4659</v>
      </c>
      <c r="BL268" s="32">
        <v>640.20000000000005</v>
      </c>
      <c r="BM268" s="32">
        <v>371</v>
      </c>
      <c r="BN268" s="32">
        <v>382</v>
      </c>
      <c r="BO268" s="32">
        <f>168+450</f>
        <v>618</v>
      </c>
      <c r="BP268" s="32"/>
      <c r="BQ268" s="32"/>
      <c r="BR268" s="32"/>
      <c r="BS268" s="32"/>
      <c r="BT268" s="32"/>
      <c r="BU268" s="32"/>
      <c r="BV268" s="32"/>
      <c r="BW268" s="32"/>
      <c r="BX268" s="32"/>
      <c r="BY268" s="32"/>
      <c r="BZ268" s="32"/>
      <c r="CA268" s="32"/>
      <c r="CB268" s="32"/>
      <c r="CC268" s="32"/>
      <c r="CD268" s="32"/>
      <c r="CE268" s="32">
        <v>0</v>
      </c>
      <c r="CF268" s="32">
        <v>72</v>
      </c>
      <c r="CG268" s="32"/>
      <c r="CH268" s="32"/>
      <c r="CI268" s="32">
        <f t="shared" si="13"/>
        <v>72</v>
      </c>
      <c r="CJ268" s="60">
        <f>IF((Table1[[#This Row],["Volume
BA MC-0"]]-Table1[[#This Row],[Total Panjang Pipa Aktual
(Sum-&gt;)3]]-Table1[[#This Row],[Total Volume
tidak dapat dipasang]])&gt;=0,Table1[[#This Row],["Volume
BA MC-0"]]-Table1[[#This Row],[Total Panjang Pipa Aktual
(Sum-&gt;)3]]-Table1[[#This Row],[Total Volume
tidak dapat dipasang]],0)</f>
        <v>0</v>
      </c>
      <c r="CK268" s="42"/>
      <c r="CL268" s="454" t="s">
        <v>1821</v>
      </c>
      <c r="CM268" s="34" t="s">
        <v>1821</v>
      </c>
      <c r="CN268" s="454" t="s">
        <v>1821</v>
      </c>
      <c r="CO268" s="454" t="s">
        <v>1821</v>
      </c>
      <c r="CP26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0.85871216320718147</v>
      </c>
      <c r="CQ268" s="61">
        <f>IFERROR(Table1[[#This Row],[Progres Keg. Umum
(%)]]*Table1[[#This Row],[Nilai RAB Jaringan
(file pa aji)]],0)</f>
        <v>0</v>
      </c>
      <c r="CR268" s="61">
        <f>IFERROR(Table1[[#This Row],[Progres MOS
(%)]]*Table1[[#This Row],[Nilai RAB Jaringan
(file pa aji)]],0)</f>
        <v>0</v>
      </c>
      <c r="CS268" s="61">
        <f>IFERROR(Table1[[#This Row],[Progres Pemasangan
(%)]]*Table1[[#This Row],[Nilai RAB Jaringan
(file pa aji)]],0)</f>
        <v>0</v>
      </c>
      <c r="CT268" s="61">
        <f>IFERROR(Table1[[#This Row],[Progres Perizinan
(%)]]*Table1[[#This Row],[Nilai RAB Jaringan
(file pa aji)]],0)</f>
        <v>0</v>
      </c>
      <c r="CU268" s="789">
        <v>8694577165.9738655</v>
      </c>
      <c r="CV268" s="299">
        <v>8694577165.9738655</v>
      </c>
      <c r="CW268" s="552">
        <v>0</v>
      </c>
      <c r="CX268" s="789">
        <f>_xlfn.XLOOKUP(Table1[[#This Row],[Kode Program]],'[1]Breakdown VOWD Greenfield'!$E:$E,'[1]Breakdown VOWD Greenfield'!$AT:$AT)</f>
        <v>0</v>
      </c>
      <c r="CY268" s="42"/>
      <c r="CZ268" s="300">
        <v>45712</v>
      </c>
      <c r="DA268" s="300">
        <v>45746</v>
      </c>
      <c r="DB268" s="301">
        <v>45726</v>
      </c>
      <c r="DC268" s="286" t="s">
        <v>2101</v>
      </c>
      <c r="DD268" s="62">
        <v>10125135685</v>
      </c>
      <c r="DE2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8" s="301">
        <v>45733</v>
      </c>
      <c r="DG268" s="286" t="s">
        <v>2102</v>
      </c>
      <c r="DH268" s="62">
        <v>10125135685</v>
      </c>
      <c r="DI26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8" s="300">
        <v>45747</v>
      </c>
      <c r="DK268" s="300">
        <v>45795</v>
      </c>
      <c r="DL268" s="301">
        <v>45772</v>
      </c>
      <c r="DM268" s="286" t="s">
        <v>2103</v>
      </c>
      <c r="DN26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8" s="301">
        <v>45845</v>
      </c>
      <c r="DP268" s="286" t="s">
        <v>2104</v>
      </c>
      <c r="DQ268" s="308" t="s">
        <v>560</v>
      </c>
      <c r="DR26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8" s="300">
        <v>45747</v>
      </c>
      <c r="DT268" s="300" t="e">
        <v>#N/A</v>
      </c>
      <c r="DU268" s="300">
        <v>45795</v>
      </c>
      <c r="DV268" s="300" t="e">
        <v>#N/A</v>
      </c>
      <c r="DW268" s="301">
        <v>45772</v>
      </c>
      <c r="DX268" s="286" t="s">
        <v>2105</v>
      </c>
      <c r="DY268" s="302">
        <v>73</v>
      </c>
      <c r="DZ268" s="304">
        <v>73</v>
      </c>
      <c r="EA26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8" s="301"/>
      <c r="EC268" s="302">
        <v>72</v>
      </c>
      <c r="ED268" s="302">
        <v>72</v>
      </c>
      <c r="EE268" s="300"/>
      <c r="EF268" s="35">
        <v>0.98630136986301364</v>
      </c>
      <c r="EG268" s="35">
        <f>Table1[[#This Row],[Line PO (kolom  bantu)2]]/Table1[[#This Row],[Line PR]]</f>
        <v>0.98630136986301364</v>
      </c>
      <c r="EH268" s="286" t="str">
        <f>IF(Table1[[#This Row],[PO Material Aktual 
(%)]]&gt;=100%,"Selesai PO = 100%",IF(Table1[[#This Row],[PO Material Aktual 
(%)]]&gt;=50%,"Proses PO &gt; 100%",IF(Table1[[#This Row],[PO Material Aktual 
(%)]]&gt;0%,"Proses PO &gt; 50%",IF(Table1[[#This Row],[PO Material Aktual 
(%)]]=0,"Belum PO = 0%"))))</f>
        <v>Proses PO &gt; 100%</v>
      </c>
      <c r="EI26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8" s="300">
        <v>45796</v>
      </c>
      <c r="EK268" s="300" t="e">
        <v>#N/A</v>
      </c>
      <c r="EL268" s="300">
        <v>45928</v>
      </c>
      <c r="EM268" s="300" t="e">
        <v>#N/A</v>
      </c>
      <c r="EN268" s="301"/>
      <c r="EO268" s="302">
        <v>72</v>
      </c>
      <c r="EP268" s="286">
        <v>72</v>
      </c>
      <c r="EQ268" s="35">
        <v>0.98630136986301364</v>
      </c>
      <c r="ER268" s="35">
        <f>Table1[[#This Row],[Line MOS]]/Table1[[#This Row],[Line PR]]</f>
        <v>0.98630136986301364</v>
      </c>
      <c r="ES268" s="286" t="str">
        <f>IF(Table1[[#This Row],[Progres MOS]]&gt;=100%,"Selesai MOS = 100%",IF(Table1[[#This Row],[Progres MOS]]&gt;=50%,"Proses MOS &gt; 100%",IF(Table1[[#This Row],[Progres MOS]]&gt;0%,"Proses MOS &gt; 50%",IF(Table1[[#This Row],[Progres MOS]]=0,"Belum MOS = 0%"))))</f>
        <v>Proses MOS &gt; 100%</v>
      </c>
      <c r="ET2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8" s="42"/>
      <c r="EV268" s="300">
        <v>45747</v>
      </c>
      <c r="EW268" s="300" t="e">
        <v>#N/A</v>
      </c>
      <c r="EX268" s="300">
        <v>45837</v>
      </c>
      <c r="EY268" s="300" t="e">
        <v>#N/A</v>
      </c>
      <c r="EZ268" s="322" t="s">
        <v>298</v>
      </c>
      <c r="FA268" s="306" t="s">
        <v>298</v>
      </c>
      <c r="FB268" s="300" t="s">
        <v>260</v>
      </c>
      <c r="FC268" s="300">
        <v>45800</v>
      </c>
      <c r="FD268" s="300" t="s">
        <v>260</v>
      </c>
      <c r="FE268" s="300">
        <v>45882</v>
      </c>
      <c r="FF268" s="300">
        <v>45916</v>
      </c>
      <c r="FG268" s="300" t="s">
        <v>260</v>
      </c>
      <c r="FH268" s="300" t="s">
        <v>260</v>
      </c>
      <c r="FI268" s="300">
        <v>46010</v>
      </c>
      <c r="FJ268" s="300" t="s">
        <v>260</v>
      </c>
      <c r="FK268" s="300"/>
      <c r="FL268" s="306" t="s">
        <v>298</v>
      </c>
      <c r="FM268" s="322">
        <v>45800</v>
      </c>
      <c r="FN268" s="308">
        <f>IF(Table1[[#This Row],[Tanggal Pengajuan Dokumen]]="","",Table1[[#This Row],[PLAN PERMIT
start]]-Table1[[#This Row],[Tanggal Pengajuan Dokumen]])</f>
        <v>-53</v>
      </c>
      <c r="FO268" s="407">
        <v>46086</v>
      </c>
      <c r="FP268" s="286"/>
      <c r="FQ268" s="308"/>
      <c r="FR268" s="308"/>
      <c r="FS268" s="308" t="str">
        <f t="shared" si="14"/>
        <v>On Going</v>
      </c>
      <c r="FT26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8" s="314">
        <f ca="1">IF(Table1[[#This Row],[Status Izin]]="Selesai",Table1[[#This Row],[PLAN PERMIT
finish]]-Table1[[#This Row],[Tanggal Terbit/ Target Izin Terbit]],ROUNDUP(Table1[[#This Row],[PLAN PERMIT
finish]]-NOW(),0))</f>
        <v>-367</v>
      </c>
      <c r="FV26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8" s="314"/>
      <c r="FX268" s="42"/>
      <c r="FY268" s="310"/>
      <c r="FZ268" s="311"/>
      <c r="GA2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8" s="300">
        <v>45811</v>
      </c>
      <c r="GC268" s="322">
        <v>45874</v>
      </c>
      <c r="GD26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8" s="300">
        <v>45818</v>
      </c>
      <c r="GF268" s="322">
        <v>45874</v>
      </c>
      <c r="GG26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8" s="300">
        <v>45824</v>
      </c>
      <c r="GI268" s="300">
        <v>45830</v>
      </c>
      <c r="GJ268" s="322">
        <v>45882</v>
      </c>
      <c r="GK26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8" s="300">
        <v>45838</v>
      </c>
      <c r="GM268" s="300" t="e">
        <v>#N/A</v>
      </c>
      <c r="GN268" s="300">
        <v>46005</v>
      </c>
      <c r="GO268" s="300" t="e">
        <v>#N/A</v>
      </c>
      <c r="GP268" s="300"/>
      <c r="GQ26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8" s="300" t="s">
        <v>261</v>
      </c>
      <c r="GS268" s="300" t="s">
        <v>261</v>
      </c>
      <c r="GT268" s="458" t="s">
        <v>2106</v>
      </c>
      <c r="GU268" s="314" t="str">
        <f>IF(Table1[[#This Row],[Hydro Tes Actual
(tanggal)]]&lt;&gt;"","Sudah","Belum")</f>
        <v>Sudah</v>
      </c>
      <c r="GV268" s="300" t="s">
        <v>261</v>
      </c>
      <c r="GW268" s="300" t="s">
        <v>261</v>
      </c>
      <c r="GX268" s="301"/>
      <c r="GY268" s="314" t="str">
        <f>IF(Table1[[#This Row],[Interkoneksi Actual
(tanggal)]]&lt;&gt;"","Sudah","Belum")</f>
        <v>Belum</v>
      </c>
      <c r="GZ268" s="300" t="s">
        <v>261</v>
      </c>
      <c r="HA268" s="300" t="s">
        <v>261</v>
      </c>
      <c r="HB268" s="301"/>
      <c r="HC268" s="314" t="str">
        <f>IF(Table1[[#This Row],[Flushing Actual
(tanggal)]]&lt;&gt;"","Sudah","Belum")</f>
        <v>Belum</v>
      </c>
      <c r="HD268" s="300">
        <v>45978</v>
      </c>
      <c r="HE268" s="300" t="e">
        <v>#N/A</v>
      </c>
      <c r="HF268" s="300">
        <v>45991</v>
      </c>
      <c r="HG268" s="322"/>
      <c r="HH26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8" s="300" t="s">
        <v>261</v>
      </c>
      <c r="HJ268" s="300" t="s">
        <v>261</v>
      </c>
      <c r="HK268" s="301"/>
      <c r="HL268" s="286"/>
      <c r="HM268" s="300">
        <v>46010</v>
      </c>
      <c r="HN268" s="300">
        <v>46010</v>
      </c>
      <c r="HO268" s="300" t="e">
        <v>#N/A</v>
      </c>
      <c r="HP268" s="300"/>
      <c r="HQ268" s="301"/>
      <c r="HR26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8" s="300">
        <v>46026</v>
      </c>
      <c r="HT268" s="300"/>
      <c r="HU268" s="300">
        <v>46026</v>
      </c>
      <c r="HV268" s="300"/>
      <c r="HW268" s="301"/>
      <c r="HX26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8" s="42"/>
      <c r="HZ268" s="322"/>
      <c r="IA268" s="322"/>
      <c r="IC268" s="585">
        <f>IFERROR(ROUND((Table1[[#This Row],[PLAN TC
finish]]-Table1[[#This Row],[PLAN MC-0
start]])/30,2),"")</f>
        <v>5.57</v>
      </c>
      <c r="ID268">
        <f>DATEDIF(Table1[[#This Row],[PLAN MC-0
start]],Table1[[#This Row],[PLAN TC
finish]],"m")</f>
        <v>5</v>
      </c>
    </row>
    <row r="269" spans="1:238" s="4" customFormat="1" ht="15" customHeight="1" x14ac:dyDescent="0.25">
      <c r="B269" s="281">
        <f>SUBTOTAL(3,$D$5:D269)</f>
        <v>265</v>
      </c>
      <c r="C269" s="286">
        <v>265</v>
      </c>
      <c r="D269" s="308" t="s">
        <v>244</v>
      </c>
      <c r="E269" s="308" t="s">
        <v>2107</v>
      </c>
      <c r="F269" s="308" t="s">
        <v>2108</v>
      </c>
      <c r="G269" s="319">
        <v>46117</v>
      </c>
      <c r="H269" s="284" t="s">
        <v>247</v>
      </c>
      <c r="I269" s="308" t="s">
        <v>278</v>
      </c>
      <c r="J269" s="450" t="s">
        <v>1818</v>
      </c>
      <c r="K269" s="308" t="s">
        <v>1165</v>
      </c>
      <c r="L269" s="286" t="s">
        <v>250</v>
      </c>
      <c r="M269" s="325" t="s">
        <v>269</v>
      </c>
      <c r="N269" s="94">
        <v>14274</v>
      </c>
      <c r="O269" s="113" t="s">
        <v>252</v>
      </c>
      <c r="P26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69" s="35">
        <v>0.99999999999999967</v>
      </c>
      <c r="S269" s="34">
        <v>1</v>
      </c>
      <c r="T269" s="34">
        <f>Table1[[#This Row],[Progres Total Aktual
(%)]]</f>
        <v>0.71943939371638344</v>
      </c>
      <c r="U269" s="85">
        <f>Table1[[#This Row],[Progres Aktual
(%)]]-Table1[[#This Row],[Target Progres
(%)]]</f>
        <v>-0.28056060628361656</v>
      </c>
      <c r="V269" s="75">
        <f>Table1[[#This Row],["Volume
BA MC-0"]]</f>
        <v>14274</v>
      </c>
      <c r="W269" s="41">
        <f>Table1[[#This Row],[Total Panjang Pipa Aktual
(Sum-&gt;)3]]</f>
        <v>12358</v>
      </c>
      <c r="X269" s="42"/>
      <c r="Y269" s="62" t="s">
        <v>2109</v>
      </c>
      <c r="Z269" s="62">
        <v>19719326745</v>
      </c>
      <c r="AA269" s="62">
        <f>ROUND((Table1[[#This Row],[Nilai RAB Jaringan
(Exclude Ppn)]]-Table1[[#This Row],[RAB Perizinan]])*1.11+Table1[[#This Row],[RAB Perizinan]],0)</f>
        <v>22251292018</v>
      </c>
      <c r="AB269" s="456">
        <f>SUM(Table1[[#This Row],[RAB Kegiatan Umum]:[RAB Perizinan]])</f>
        <v>20060354430.360001</v>
      </c>
      <c r="AC269" s="406">
        <v>1542624117</v>
      </c>
      <c r="AD269" s="406">
        <v>15426241167.359999</v>
      </c>
      <c r="AE269" s="406">
        <v>2948749146</v>
      </c>
      <c r="AF269" s="406">
        <v>142740000</v>
      </c>
      <c r="AG269" s="453">
        <v>3033479484</v>
      </c>
      <c r="AH269" s="33">
        <f>SUM(Table1[[#This Row],[Bobot Keg Umum]:[Bobot Perizinan]])</f>
        <v>0.99999999999999989</v>
      </c>
      <c r="AI269" s="33">
        <f>Table1[[#This Row],[RAB Kegiatan Umum]]/Table1[[#This Row],[Nilai RAB Jaringan
(Exclude Ppn)]]</f>
        <v>7.6899145643475858E-2</v>
      </c>
      <c r="AJ269" s="33">
        <f>Table1[[#This Row],[RAB Pemasangan]]/Table1[[#This Row],[Nilai RAB Jaringan
(Exclude Ppn)]]</f>
        <v>0.76899145630315568</v>
      </c>
      <c r="AK269" s="33">
        <f>Table1[[#This Row],[RAB Pengadaan]]/Table1[[#This Row],[Nilai RAB Jaringan
(Exclude Ppn)]]</f>
        <v>0.14699387073327408</v>
      </c>
      <c r="AL269" s="33">
        <f>Table1[[#This Row],[RAB Perizinan]]/Table1[[#This Row],[Nilai RAB Jaringan
(Exclude Ppn)]]</f>
        <v>7.1155273200942349E-3</v>
      </c>
      <c r="AM269" s="42"/>
      <c r="AN269" s="256">
        <v>14274</v>
      </c>
      <c r="AO269" s="256">
        <f>SUM(Table1[[#This Row],[Pipa 63 mm]:[Pipa 1,800 mm]])</f>
        <v>0</v>
      </c>
      <c r="AP269" s="256"/>
      <c r="AQ269" s="256"/>
      <c r="AR269" s="256"/>
      <c r="AS269" s="256"/>
      <c r="AT269" s="256"/>
      <c r="AU269" s="256"/>
      <c r="AV269" s="256"/>
      <c r="AW269" s="256"/>
      <c r="AX269" s="256"/>
      <c r="AY269" s="256"/>
      <c r="AZ269" s="256"/>
      <c r="BA269" s="256"/>
      <c r="BB269" s="256"/>
      <c r="BC269" s="256"/>
      <c r="BD269" s="256"/>
      <c r="BE269" s="256"/>
      <c r="BF269" s="256"/>
      <c r="BG269" s="256"/>
      <c r="BH269" s="256"/>
      <c r="BI269" s="256"/>
      <c r="BJ269" s="36">
        <f>SUM(Table1[[#This Row],[Pipa 63 mm2]:[Pipa 1,800 mm21]])</f>
        <v>12358</v>
      </c>
      <c r="BK269" s="32">
        <v>8298</v>
      </c>
      <c r="BL269" s="32">
        <v>1416</v>
      </c>
      <c r="BM269" s="32">
        <v>1672</v>
      </c>
      <c r="BN269" s="32">
        <v>575</v>
      </c>
      <c r="BO269" s="32">
        <v>397</v>
      </c>
      <c r="BP269" s="32"/>
      <c r="BQ269" s="32"/>
      <c r="BR269" s="32"/>
      <c r="BS269" s="32"/>
      <c r="BT269" s="32"/>
      <c r="BU269" s="32"/>
      <c r="BV269" s="32"/>
      <c r="BW269" s="32"/>
      <c r="BX269" s="32"/>
      <c r="BY269" s="32"/>
      <c r="BZ269" s="32"/>
      <c r="CA269" s="32"/>
      <c r="CB269" s="32"/>
      <c r="CC269" s="32"/>
      <c r="CD269" s="32"/>
      <c r="CE269" s="32">
        <v>0</v>
      </c>
      <c r="CF269" s="32"/>
      <c r="CG269" s="32"/>
      <c r="CH269" s="32"/>
      <c r="CI269" s="32">
        <f t="shared" si="13"/>
        <v>0</v>
      </c>
      <c r="CJ269" s="60">
        <f>IF((Table1[[#This Row],["Volume
BA MC-0"]]-Table1[[#This Row],[Total Panjang Pipa Aktual
(Sum-&gt;)3]]-Table1[[#This Row],[Total Volume
tidak dapat dipasang]])&gt;=0,Table1[[#This Row],["Volume
BA MC-0"]]-Table1[[#This Row],[Total Panjang Pipa Aktual
(Sum-&gt;)3]]-Table1[[#This Row],[Total Volume
tidak dapat dipasang]],0)</f>
        <v>1916</v>
      </c>
      <c r="CK269" s="42"/>
      <c r="CL269" s="35" t="s">
        <v>1821</v>
      </c>
      <c r="CM269" s="35" t="s">
        <v>1821</v>
      </c>
      <c r="CN269" s="35" t="s">
        <v>1821</v>
      </c>
      <c r="CO269" s="35" t="s">
        <v>1821</v>
      </c>
      <c r="CP2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0.71943939371638344</v>
      </c>
      <c r="CQ269" s="61">
        <f>IFERROR(Table1[[#This Row],[Progres Keg. Umum
(%)]]*Table1[[#This Row],[Nilai RAB Jaringan
(file pa aji)]],0)</f>
        <v>0</v>
      </c>
      <c r="CR269" s="61">
        <f>IFERROR(Table1[[#This Row],[Progres MOS
(%)]]*Table1[[#This Row],[Nilai RAB Jaringan
(file pa aji)]],0)</f>
        <v>0</v>
      </c>
      <c r="CS269" s="61">
        <f>IFERROR(Table1[[#This Row],[Progres Pemasangan
(%)]]*Table1[[#This Row],[Nilai RAB Jaringan
(file pa aji)]],0)</f>
        <v>0</v>
      </c>
      <c r="CT269" s="61">
        <f>IFERROR(Table1[[#This Row],[Progres Perizinan
(%)]]*Table1[[#This Row],[Nilai RAB Jaringan
(file pa aji)]],0)</f>
        <v>0</v>
      </c>
      <c r="CU269" s="789">
        <v>16008456038.836123</v>
      </c>
      <c r="CV269" s="299">
        <v>16008456038.836123</v>
      </c>
      <c r="CW269" s="552">
        <v>0</v>
      </c>
      <c r="CX269" s="789">
        <f>_xlfn.XLOOKUP(Table1[[#This Row],[Kode Program]],'[1]Breakdown VOWD Greenfield'!$E:$E,'[1]Breakdown VOWD Greenfield'!$AT:$AT)</f>
        <v>0</v>
      </c>
      <c r="CY269" s="42"/>
      <c r="CZ269" s="300">
        <v>45712</v>
      </c>
      <c r="DA269" s="300">
        <v>45746</v>
      </c>
      <c r="DB269" s="301">
        <v>45727</v>
      </c>
      <c r="DC269" s="286" t="s">
        <v>2110</v>
      </c>
      <c r="DD269" s="62">
        <v>22251292018</v>
      </c>
      <c r="DE2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69" s="301">
        <v>45734</v>
      </c>
      <c r="DG269" s="286" t="s">
        <v>2111</v>
      </c>
      <c r="DH269" s="62">
        <v>22251292018</v>
      </c>
      <c r="DI2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69" s="300">
        <v>45747</v>
      </c>
      <c r="DK269" s="300">
        <v>45795</v>
      </c>
      <c r="DL269" s="301">
        <v>45771</v>
      </c>
      <c r="DM269" s="286" t="s">
        <v>2112</v>
      </c>
      <c r="DN2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69" s="301">
        <v>45847</v>
      </c>
      <c r="DP269" s="286" t="s">
        <v>2113</v>
      </c>
      <c r="DQ269" s="308" t="s">
        <v>275</v>
      </c>
      <c r="DR2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69" s="300">
        <v>45747</v>
      </c>
      <c r="DT269" s="300" t="e">
        <v>#N/A</v>
      </c>
      <c r="DU269" s="300">
        <v>45795</v>
      </c>
      <c r="DV269" s="300" t="e">
        <v>#N/A</v>
      </c>
      <c r="DW269" s="301">
        <v>45772</v>
      </c>
      <c r="DX269" s="286" t="s">
        <v>2114</v>
      </c>
      <c r="DY269" s="302">
        <v>93</v>
      </c>
      <c r="DZ269" s="304">
        <v>93</v>
      </c>
      <c r="EA2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69" s="301"/>
      <c r="EC269" s="597">
        <v>87</v>
      </c>
      <c r="ED269" s="302">
        <v>87</v>
      </c>
      <c r="EE269" s="300"/>
      <c r="EF269" s="35">
        <v>0.93548387096774188</v>
      </c>
      <c r="EG269" s="35">
        <f>Table1[[#This Row],[Line PO (kolom  bantu)2]]/Table1[[#This Row],[Line PR]]</f>
        <v>0.93548387096774188</v>
      </c>
      <c r="EH269" s="286" t="str">
        <f>IF(Table1[[#This Row],[PO Material Aktual 
(%)]]&gt;=100%,"Selesai PO = 100%",IF(Table1[[#This Row],[PO Material Aktual 
(%)]]&gt;=50%,"Proses PO &gt; 100%",IF(Table1[[#This Row],[PO Material Aktual 
(%)]]&gt;0%,"Proses PO &gt; 50%",IF(Table1[[#This Row],[PO Material Aktual 
(%)]]=0,"Belum PO = 0%"))))</f>
        <v>Proses PO &gt; 100%</v>
      </c>
      <c r="EI26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69" s="300">
        <v>45796</v>
      </c>
      <c r="EK269" s="300" t="e">
        <v>#N/A</v>
      </c>
      <c r="EL269" s="300">
        <v>45928</v>
      </c>
      <c r="EM269" s="300" t="e">
        <v>#N/A</v>
      </c>
      <c r="EN269" s="301"/>
      <c r="EO269" s="302">
        <v>88</v>
      </c>
      <c r="EP269" s="593">
        <v>88</v>
      </c>
      <c r="EQ269" s="35">
        <v>0.94623655913978499</v>
      </c>
      <c r="ER269" s="35">
        <f>Table1[[#This Row],[Line MOS]]/Table1[[#This Row],[Line PR]]</f>
        <v>0.94623655913978499</v>
      </c>
      <c r="ES269" s="286" t="str">
        <f>IF(Table1[[#This Row],[Progres MOS]]&gt;=100%,"Selesai MOS = 100%",IF(Table1[[#This Row],[Progres MOS]]&gt;=50%,"Proses MOS &gt; 100%",IF(Table1[[#This Row],[Progres MOS]]&gt;0%,"Proses MOS &gt; 50%",IF(Table1[[#This Row],[Progres MOS]]=0,"Belum MOS = 0%"))))</f>
        <v>Proses MOS &gt; 100%</v>
      </c>
      <c r="ET2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69" s="42"/>
      <c r="EV269" s="300">
        <v>45747</v>
      </c>
      <c r="EW269" s="300" t="e">
        <v>#N/A</v>
      </c>
      <c r="EX269" s="300">
        <v>45837</v>
      </c>
      <c r="EY269" s="300" t="e">
        <v>#N/A</v>
      </c>
      <c r="EZ269" s="322" t="s">
        <v>298</v>
      </c>
      <c r="FA269" s="306" t="s">
        <v>298</v>
      </c>
      <c r="FB269" s="300" t="s">
        <v>260</v>
      </c>
      <c r="FC269" s="300">
        <v>45800</v>
      </c>
      <c r="FD269" s="300" t="s">
        <v>260</v>
      </c>
      <c r="FE269" s="300">
        <v>45882</v>
      </c>
      <c r="FF269" s="300">
        <v>45916</v>
      </c>
      <c r="FG269" s="300" t="s">
        <v>260</v>
      </c>
      <c r="FH269" s="300" t="s">
        <v>260</v>
      </c>
      <c r="FI269" s="300">
        <v>46010</v>
      </c>
      <c r="FJ269" s="300" t="s">
        <v>260</v>
      </c>
      <c r="FK269" s="300"/>
      <c r="FL269" s="306" t="s">
        <v>298</v>
      </c>
      <c r="FM269" s="322">
        <v>45800</v>
      </c>
      <c r="FN269" s="308">
        <f>IF(Table1[[#This Row],[Tanggal Pengajuan Dokumen]]="","",Table1[[#This Row],[PLAN PERMIT
start]]-Table1[[#This Row],[Tanggal Pengajuan Dokumen]])</f>
        <v>-53</v>
      </c>
      <c r="FO269" s="407">
        <v>46086</v>
      </c>
      <c r="FP269" s="286"/>
      <c r="FQ269" s="308"/>
      <c r="FR269" s="308"/>
      <c r="FS269" s="308" t="str">
        <f t="shared" si="14"/>
        <v>On Going</v>
      </c>
      <c r="FT2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69" s="314">
        <f ca="1">IF(Table1[[#This Row],[Status Izin]]="Selesai",Table1[[#This Row],[PLAN PERMIT
finish]]-Table1[[#This Row],[Tanggal Terbit/ Target Izin Terbit]],ROUNDUP(Table1[[#This Row],[PLAN PERMIT
finish]]-NOW(),0))</f>
        <v>-367</v>
      </c>
      <c r="FV2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69" s="314"/>
      <c r="FX269" s="42"/>
      <c r="FY269" s="310"/>
      <c r="FZ269" s="311"/>
      <c r="GA2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69" s="300">
        <v>45811</v>
      </c>
      <c r="GC269" s="322">
        <v>45874</v>
      </c>
      <c r="GD2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69" s="300">
        <v>45818</v>
      </c>
      <c r="GF269" s="322">
        <v>45874</v>
      </c>
      <c r="GG2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69" s="300">
        <v>45824</v>
      </c>
      <c r="GI269" s="300">
        <v>45830</v>
      </c>
      <c r="GJ269" s="322">
        <v>45882</v>
      </c>
      <c r="GK2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69" s="300">
        <v>45838</v>
      </c>
      <c r="GM269" s="300" t="e">
        <v>#N/A</v>
      </c>
      <c r="GN269" s="300">
        <v>46005</v>
      </c>
      <c r="GO269" s="300" t="e">
        <v>#N/A</v>
      </c>
      <c r="GP269" s="300"/>
      <c r="GQ2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69" s="300" t="s">
        <v>261</v>
      </c>
      <c r="GS269" s="300" t="s">
        <v>261</v>
      </c>
      <c r="GT269" s="458" t="s">
        <v>2115</v>
      </c>
      <c r="GU269" s="314" t="str">
        <f>IF(Table1[[#This Row],[Hydro Tes Actual
(tanggal)]]&lt;&gt;"","Sudah","Belum")</f>
        <v>Sudah</v>
      </c>
      <c r="GV269" s="300" t="s">
        <v>261</v>
      </c>
      <c r="GW269" s="300" t="s">
        <v>261</v>
      </c>
      <c r="GX269" s="301"/>
      <c r="GY269" s="314" t="str">
        <f>IF(Table1[[#This Row],[Interkoneksi Actual
(tanggal)]]&lt;&gt;"","Sudah","Belum")</f>
        <v>Belum</v>
      </c>
      <c r="GZ269" s="300" t="s">
        <v>261</v>
      </c>
      <c r="HA269" s="300" t="s">
        <v>261</v>
      </c>
      <c r="HB269" s="301"/>
      <c r="HC269" s="314" t="str">
        <f>IF(Table1[[#This Row],[Flushing Actual
(tanggal)]]&lt;&gt;"","Sudah","Belum")</f>
        <v>Belum</v>
      </c>
      <c r="HD269" s="300">
        <v>45978</v>
      </c>
      <c r="HE269" s="300" t="e">
        <v>#N/A</v>
      </c>
      <c r="HF269" s="300">
        <v>45991</v>
      </c>
      <c r="HG269" s="322"/>
      <c r="HH2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69" s="300" t="s">
        <v>261</v>
      </c>
      <c r="HJ269" s="300" t="s">
        <v>261</v>
      </c>
      <c r="HK269" s="301"/>
      <c r="HL269" s="286"/>
      <c r="HM269" s="300">
        <v>46010</v>
      </c>
      <c r="HN269" s="300">
        <v>46010</v>
      </c>
      <c r="HO269" s="300" t="e">
        <v>#N/A</v>
      </c>
      <c r="HP269" s="300"/>
      <c r="HQ269" s="301"/>
      <c r="HR26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69" s="300">
        <v>46026</v>
      </c>
      <c r="HT269" s="300"/>
      <c r="HU269" s="300">
        <v>46026</v>
      </c>
      <c r="HV269" s="300"/>
      <c r="HW269" s="301"/>
      <c r="HX26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69" s="42"/>
      <c r="HZ269" s="322"/>
      <c r="IA269" s="322"/>
      <c r="IC269" s="585">
        <f>IFERROR(ROUND((Table1[[#This Row],[PLAN TC
finish]]-Table1[[#This Row],[PLAN MC-0
start]])/30,2),"")</f>
        <v>5.57</v>
      </c>
      <c r="ID269">
        <f>DATEDIF(Table1[[#This Row],[PLAN MC-0
start]],Table1[[#This Row],[PLAN TC
finish]],"m")</f>
        <v>5</v>
      </c>
    </row>
    <row r="270" spans="1:238" s="4" customFormat="1" ht="15" customHeight="1" x14ac:dyDescent="0.25">
      <c r="B270" s="281">
        <f>SUBTOTAL(3,$D$5:D270)</f>
        <v>266</v>
      </c>
      <c r="C270" s="286">
        <v>266</v>
      </c>
      <c r="D270" s="308" t="s">
        <v>244</v>
      </c>
      <c r="E270" s="308" t="s">
        <v>2116</v>
      </c>
      <c r="F270" s="308" t="s">
        <v>2117</v>
      </c>
      <c r="G270" s="319">
        <v>46117</v>
      </c>
      <c r="H270" s="284" t="s">
        <v>247</v>
      </c>
      <c r="I270" s="308" t="s">
        <v>278</v>
      </c>
      <c r="J270" s="450" t="s">
        <v>1818</v>
      </c>
      <c r="K270" s="308" t="s">
        <v>1165</v>
      </c>
      <c r="L270" s="286" t="s">
        <v>250</v>
      </c>
      <c r="M270" s="325" t="s">
        <v>269</v>
      </c>
      <c r="N270" s="94">
        <v>4643</v>
      </c>
      <c r="O270" s="113" t="s">
        <v>252</v>
      </c>
      <c r="P27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0" s="35">
        <v>0.99999999999999967</v>
      </c>
      <c r="S270" s="34">
        <v>1</v>
      </c>
      <c r="T270" s="34">
        <f>Table1[[#This Row],[Progres Total Aktual
(%)]]</f>
        <v>0.7777445719199324</v>
      </c>
      <c r="U270" s="85">
        <f>Table1[[#This Row],[Progres Aktual
(%)]]-Table1[[#This Row],[Target Progres
(%)]]</f>
        <v>-0.2222554280800676</v>
      </c>
      <c r="V270" s="75">
        <f>Table1[[#This Row],["Volume
BA MC-0"]]</f>
        <v>4643</v>
      </c>
      <c r="W270" s="41">
        <f>Table1[[#This Row],[Total Panjang Pipa Aktual
(Sum-&gt;)3]]</f>
        <v>3672</v>
      </c>
      <c r="X270" s="42"/>
      <c r="Y270" s="62" t="s">
        <v>2118</v>
      </c>
      <c r="Z270" s="62">
        <v>6643544748</v>
      </c>
      <c r="AA270" s="62">
        <f>ROUND((Table1[[#This Row],[Nilai RAB Jaringan
(Exclude Ppn)]]-Table1[[#This Row],[RAB Perizinan]])*1.11+Table1[[#This Row],[RAB Perizinan]],0)</f>
        <v>7463167244</v>
      </c>
      <c r="AB270" s="456">
        <f>SUM(Table1[[#This Row],[RAB Kegiatan Umum]:[RAB Perizinan]])</f>
        <v>6728175265</v>
      </c>
      <c r="AC270" s="406">
        <v>519563701</v>
      </c>
      <c r="AD270" s="406">
        <v>5195637003</v>
      </c>
      <c r="AE270" s="406">
        <v>966544561</v>
      </c>
      <c r="AF270" s="406">
        <v>46430000</v>
      </c>
      <c r="AG270" s="453">
        <v>1182647070</v>
      </c>
      <c r="AH270" s="33">
        <f>SUM(Table1[[#This Row],[Bobot Keg Umum]:[Bobot Perizinan]])</f>
        <v>1</v>
      </c>
      <c r="AI270" s="33">
        <f>Table1[[#This Row],[RAB Kegiatan Umum]]/Table1[[#This Row],[Nilai RAB Jaringan
(Exclude Ppn)]]</f>
        <v>7.7222081847774224E-2</v>
      </c>
      <c r="AJ270" s="33">
        <f>Table1[[#This Row],[RAB Pemasangan]]/Table1[[#This Row],[Nilai RAB Jaringan
(Exclude Ppn)]]</f>
        <v>0.77222081743734128</v>
      </c>
      <c r="AK270" s="33">
        <f>Table1[[#This Row],[RAB Pengadaan]]/Table1[[#This Row],[Nilai RAB Jaringan
(Exclude Ppn)]]</f>
        <v>0.1436562697806</v>
      </c>
      <c r="AL270" s="33">
        <f>Table1[[#This Row],[RAB Perizinan]]/Table1[[#This Row],[Nilai RAB Jaringan
(Exclude Ppn)]]</f>
        <v>6.9008309342845275E-3</v>
      </c>
      <c r="AM270" s="42"/>
      <c r="AN270" s="256">
        <v>4643</v>
      </c>
      <c r="AO270" s="256">
        <f>SUM(Table1[[#This Row],[Pipa 63 mm]:[Pipa 1,800 mm]])</f>
        <v>0</v>
      </c>
      <c r="AP270" s="256"/>
      <c r="AQ270" s="256"/>
      <c r="AR270" s="256"/>
      <c r="AS270" s="256"/>
      <c r="AT270" s="256"/>
      <c r="AU270" s="256"/>
      <c r="AV270" s="256"/>
      <c r="AW270" s="256"/>
      <c r="AX270" s="256"/>
      <c r="AY270" s="256"/>
      <c r="AZ270" s="256"/>
      <c r="BA270" s="256"/>
      <c r="BB270" s="256"/>
      <c r="BC270" s="256"/>
      <c r="BD270" s="256"/>
      <c r="BE270" s="256"/>
      <c r="BF270" s="256"/>
      <c r="BG270" s="256"/>
      <c r="BH270" s="256"/>
      <c r="BI270" s="256"/>
      <c r="BJ270" s="36">
        <f>SUM(Table1[[#This Row],[Pipa 63 mm2]:[Pipa 1,800 mm21]])</f>
        <v>3672</v>
      </c>
      <c r="BK270" s="32">
        <v>1931</v>
      </c>
      <c r="BL270" s="32">
        <v>611</v>
      </c>
      <c r="BM270" s="32">
        <v>200</v>
      </c>
      <c r="BN270" s="32">
        <v>930</v>
      </c>
      <c r="BO270" s="32"/>
      <c r="BP270" s="32"/>
      <c r="BQ270" s="32"/>
      <c r="BR270" s="32"/>
      <c r="BS270" s="32"/>
      <c r="BT270" s="32"/>
      <c r="BU270" s="32"/>
      <c r="BV270" s="32"/>
      <c r="BW270" s="32"/>
      <c r="BX270" s="32"/>
      <c r="BY270" s="32"/>
      <c r="BZ270" s="32"/>
      <c r="CA270" s="32"/>
      <c r="CB270" s="32"/>
      <c r="CC270" s="32"/>
      <c r="CD270" s="32"/>
      <c r="CE270" s="32">
        <v>0</v>
      </c>
      <c r="CF270" s="32"/>
      <c r="CG270" s="32"/>
      <c r="CH270" s="32"/>
      <c r="CI270" s="32">
        <f t="shared" si="13"/>
        <v>0</v>
      </c>
      <c r="CJ270" s="60">
        <f>IF((Table1[[#This Row],["Volume
BA MC-0"]]-Table1[[#This Row],[Total Panjang Pipa Aktual
(Sum-&gt;)3]]-Table1[[#This Row],[Total Volume
tidak dapat dipasang]])&gt;=0,Table1[[#This Row],["Volume
BA MC-0"]]-Table1[[#This Row],[Total Panjang Pipa Aktual
(Sum-&gt;)3]]-Table1[[#This Row],[Total Volume
tidak dapat dipasang]],0)</f>
        <v>971</v>
      </c>
      <c r="CK270" s="42"/>
      <c r="CL270" s="454" t="s">
        <v>1821</v>
      </c>
      <c r="CM270" s="34" t="s">
        <v>1821</v>
      </c>
      <c r="CN270" s="454" t="s">
        <v>1821</v>
      </c>
      <c r="CO270" s="454" t="s">
        <v>1821</v>
      </c>
      <c r="CP2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0.7777445719199324</v>
      </c>
      <c r="CQ270" s="61">
        <f>IFERROR(Table1[[#This Row],[Progres Keg. Umum
(%)]]*Table1[[#This Row],[Nilai RAB Jaringan
(file pa aji)]],0)</f>
        <v>0</v>
      </c>
      <c r="CR270" s="61">
        <f>IFERROR(Table1[[#This Row],[Progres MOS
(%)]]*Table1[[#This Row],[Nilai RAB Jaringan
(file pa aji)]],0)</f>
        <v>0</v>
      </c>
      <c r="CS270" s="61">
        <f>IFERROR(Table1[[#This Row],[Progres Pemasangan
(%)]]*Table1[[#This Row],[Nilai RAB Jaringan
(file pa aji)]],0)</f>
        <v>0</v>
      </c>
      <c r="CT270" s="61">
        <f>IFERROR(Table1[[#This Row],[Progres Perizinan
(%)]]*Table1[[#This Row],[Nilai RAB Jaringan
(file pa aji)]],0)</f>
        <v>0</v>
      </c>
      <c r="CU270" s="789">
        <v>5804437813.3516417</v>
      </c>
      <c r="CV270" s="299">
        <v>5804437813.3516417</v>
      </c>
      <c r="CW270" s="552">
        <v>0</v>
      </c>
      <c r="CX270" s="789">
        <f>_xlfn.XLOOKUP(Table1[[#This Row],[Kode Program]],'[1]Breakdown VOWD Greenfield'!$E:$E,'[1]Breakdown VOWD Greenfield'!$AT:$AT)</f>
        <v>0</v>
      </c>
      <c r="CY270" s="42"/>
      <c r="CZ270" s="300">
        <v>45712</v>
      </c>
      <c r="DA270" s="300">
        <v>45746</v>
      </c>
      <c r="DB270" s="301">
        <v>45727</v>
      </c>
      <c r="DC270" s="286" t="s">
        <v>2119</v>
      </c>
      <c r="DD270" s="62">
        <v>7463167245</v>
      </c>
      <c r="DE2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0" s="301">
        <v>45734</v>
      </c>
      <c r="DG270" s="286" t="s">
        <v>2120</v>
      </c>
      <c r="DH270" s="62">
        <v>7463167245</v>
      </c>
      <c r="DI2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0" s="300">
        <v>45747</v>
      </c>
      <c r="DK270" s="300">
        <v>45795</v>
      </c>
      <c r="DL270" s="301">
        <v>45772</v>
      </c>
      <c r="DM270" s="286" t="s">
        <v>2121</v>
      </c>
      <c r="DN2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0" s="301">
        <v>45845</v>
      </c>
      <c r="DP270" s="286" t="s">
        <v>2122</v>
      </c>
      <c r="DQ270" s="308" t="s">
        <v>783</v>
      </c>
      <c r="DR2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0" s="300">
        <v>45747</v>
      </c>
      <c r="DT270" s="300" t="e">
        <v>#N/A</v>
      </c>
      <c r="DU270" s="300">
        <v>45795</v>
      </c>
      <c r="DV270" s="300" t="e">
        <v>#N/A</v>
      </c>
      <c r="DW270" s="301">
        <v>45772</v>
      </c>
      <c r="DX270" s="286" t="s">
        <v>2123</v>
      </c>
      <c r="DY270" s="302">
        <v>63</v>
      </c>
      <c r="DZ270" s="304">
        <v>63</v>
      </c>
      <c r="EA2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0" s="301">
        <v>46006</v>
      </c>
      <c r="EC270" s="302">
        <v>61</v>
      </c>
      <c r="ED270" s="302">
        <v>61</v>
      </c>
      <c r="EE270" s="300" t="s">
        <v>2124</v>
      </c>
      <c r="EF270" s="35">
        <v>0.96825396825396826</v>
      </c>
      <c r="EG270" s="35">
        <f>Table1[[#This Row],[Line PO (kolom  bantu)2]]/Table1[[#This Row],[Line PR]]</f>
        <v>0.96825396825396826</v>
      </c>
      <c r="EH270" s="286" t="str">
        <f>IF(Table1[[#This Row],[PO Material Aktual 
(%)]]&gt;=100%,"Selesai PO = 100%",IF(Table1[[#This Row],[PO Material Aktual 
(%)]]&gt;=50%,"Proses PO &gt; 100%",IF(Table1[[#This Row],[PO Material Aktual 
(%)]]&gt;0%,"Proses PO &gt; 50%",IF(Table1[[#This Row],[PO Material Aktual 
(%)]]=0,"Belum PO = 0%"))))</f>
        <v>Proses PO &gt; 100%</v>
      </c>
      <c r="EI27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0" s="300">
        <v>45796</v>
      </c>
      <c r="EK270" s="300" t="e">
        <v>#N/A</v>
      </c>
      <c r="EL270" s="300">
        <v>45928</v>
      </c>
      <c r="EM270" s="300" t="e">
        <v>#N/A</v>
      </c>
      <c r="EN270" s="301"/>
      <c r="EO270" s="302">
        <v>60</v>
      </c>
      <c r="EP270" s="593">
        <v>60</v>
      </c>
      <c r="EQ270" s="35">
        <v>0.95238095238095233</v>
      </c>
      <c r="ER270" s="35">
        <f>Table1[[#This Row],[Line MOS]]/Table1[[#This Row],[Line PR]]</f>
        <v>0.95238095238095233</v>
      </c>
      <c r="ES270" s="286" t="str">
        <f>IF(Table1[[#This Row],[Progres MOS]]&gt;=100%,"Selesai MOS = 100%",IF(Table1[[#This Row],[Progres MOS]]&gt;=50%,"Proses MOS &gt; 100%",IF(Table1[[#This Row],[Progres MOS]]&gt;0%,"Proses MOS &gt; 50%",IF(Table1[[#This Row],[Progres MOS]]=0,"Belum MOS = 0%"))))</f>
        <v>Proses MOS &gt; 100%</v>
      </c>
      <c r="ET2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0" s="42"/>
      <c r="EV270" s="300">
        <v>45747</v>
      </c>
      <c r="EW270" s="300" t="e">
        <v>#N/A</v>
      </c>
      <c r="EX270" s="300">
        <v>45837</v>
      </c>
      <c r="EY270" s="300" t="e">
        <v>#N/A</v>
      </c>
      <c r="EZ270" s="322" t="s">
        <v>298</v>
      </c>
      <c r="FA270" s="306" t="s">
        <v>259</v>
      </c>
      <c r="FB270" s="300" t="s">
        <v>260</v>
      </c>
      <c r="FC270" s="300">
        <v>45834</v>
      </c>
      <c r="FD270" s="300" t="s">
        <v>260</v>
      </c>
      <c r="FE270" s="300">
        <v>45882</v>
      </c>
      <c r="FF270" s="300">
        <v>45916</v>
      </c>
      <c r="FG270" s="300" t="s">
        <v>260</v>
      </c>
      <c r="FH270" s="300" t="s">
        <v>260</v>
      </c>
      <c r="FI270" s="300">
        <v>46010</v>
      </c>
      <c r="FJ270" s="300" t="s">
        <v>260</v>
      </c>
      <c r="FK270" s="300">
        <v>46098</v>
      </c>
      <c r="FL270" s="306" t="s">
        <v>298</v>
      </c>
      <c r="FM270" s="322">
        <v>45834</v>
      </c>
      <c r="FN270" s="308">
        <f>IF(Table1[[#This Row],[Tanggal Pengajuan Dokumen]]="","",Table1[[#This Row],[PLAN PERMIT
start]]-Table1[[#This Row],[Tanggal Pengajuan Dokumen]])</f>
        <v>-87</v>
      </c>
      <c r="FO270" s="407">
        <v>46086</v>
      </c>
      <c r="FP270" s="286"/>
      <c r="FQ270" s="308"/>
      <c r="FR270" s="308"/>
      <c r="FS270" s="308" t="str">
        <f t="shared" si="14"/>
        <v>Sudah Terbit</v>
      </c>
      <c r="FT2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0" s="314">
        <f ca="1">IF(Table1[[#This Row],[Status Izin]]="Selesai",Table1[[#This Row],[PLAN PERMIT
finish]]-Table1[[#This Row],[Tanggal Terbit/ Target Izin Terbit]],ROUNDUP(Table1[[#This Row],[PLAN PERMIT
finish]]-NOW(),0))</f>
        <v>-249</v>
      </c>
      <c r="FV2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0" s="314"/>
      <c r="FX270" s="42"/>
      <c r="FY270" s="310"/>
      <c r="FZ270" s="311"/>
      <c r="GA2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0" s="300">
        <v>45811</v>
      </c>
      <c r="GC270" s="322">
        <v>45874</v>
      </c>
      <c r="GD2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0" s="300">
        <v>45818</v>
      </c>
      <c r="GF270" s="322">
        <v>45874</v>
      </c>
      <c r="GG2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0" s="300">
        <v>45824</v>
      </c>
      <c r="GI270" s="300">
        <v>45830</v>
      </c>
      <c r="GJ270" s="322">
        <v>45911</v>
      </c>
      <c r="GK2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0" s="300">
        <v>45838</v>
      </c>
      <c r="GM270" s="300" t="e">
        <v>#N/A</v>
      </c>
      <c r="GN270" s="300">
        <v>46005</v>
      </c>
      <c r="GO270" s="300" t="e">
        <v>#N/A</v>
      </c>
      <c r="GP270" s="300"/>
      <c r="GQ2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0" s="300" t="s">
        <v>261</v>
      </c>
      <c r="GS270" s="300" t="s">
        <v>261</v>
      </c>
      <c r="GT270" s="458" t="s">
        <v>2125</v>
      </c>
      <c r="GU270" s="314" t="str">
        <f>IF(Table1[[#This Row],[Hydro Tes Actual
(tanggal)]]&lt;&gt;"","Sudah","Belum")</f>
        <v>Sudah</v>
      </c>
      <c r="GV270" s="300" t="s">
        <v>261</v>
      </c>
      <c r="GW270" s="300" t="s">
        <v>261</v>
      </c>
      <c r="GX270" s="301"/>
      <c r="GY270" s="314" t="str">
        <f>IF(Table1[[#This Row],[Interkoneksi Actual
(tanggal)]]&lt;&gt;"","Sudah","Belum")</f>
        <v>Belum</v>
      </c>
      <c r="GZ270" s="300" t="s">
        <v>261</v>
      </c>
      <c r="HA270" s="300" t="s">
        <v>261</v>
      </c>
      <c r="HB270" s="301"/>
      <c r="HC270" s="314" t="str">
        <f>IF(Table1[[#This Row],[Flushing Actual
(tanggal)]]&lt;&gt;"","Sudah","Belum")</f>
        <v>Belum</v>
      </c>
      <c r="HD270" s="300">
        <v>45978</v>
      </c>
      <c r="HE270" s="300" t="e">
        <v>#N/A</v>
      </c>
      <c r="HF270" s="300">
        <v>45991</v>
      </c>
      <c r="HG270" s="322"/>
      <c r="HH2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0" s="300" t="s">
        <v>261</v>
      </c>
      <c r="HJ270" s="300" t="s">
        <v>261</v>
      </c>
      <c r="HK270" s="301"/>
      <c r="HL270" s="286"/>
      <c r="HM270" s="300">
        <v>46010</v>
      </c>
      <c r="HN270" s="300">
        <v>46010</v>
      </c>
      <c r="HO270" s="300" t="e">
        <v>#N/A</v>
      </c>
      <c r="HP270" s="300"/>
      <c r="HQ270" s="301"/>
      <c r="HR27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0" s="300">
        <v>46026</v>
      </c>
      <c r="HT270" s="300"/>
      <c r="HU270" s="300">
        <v>46026</v>
      </c>
      <c r="HV270" s="300"/>
      <c r="HW270" s="301"/>
      <c r="HX27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0" s="42"/>
      <c r="HZ270" s="322"/>
      <c r="IA270" s="322"/>
      <c r="IC270" s="585">
        <f>IFERROR(ROUND((Table1[[#This Row],[PLAN TC
finish]]-Table1[[#This Row],[PLAN MC-0
start]])/30,2),"")</f>
        <v>5.57</v>
      </c>
      <c r="ID270">
        <f>DATEDIF(Table1[[#This Row],[PLAN MC-0
start]],Table1[[#This Row],[PLAN TC
finish]],"m")</f>
        <v>5</v>
      </c>
    </row>
    <row r="271" spans="1:238" s="30" customFormat="1" ht="15" customHeight="1" x14ac:dyDescent="0.25">
      <c r="A271" s="72"/>
      <c r="B271" s="281">
        <f>SUBTOTAL(3,$D$5:D271)</f>
        <v>267</v>
      </c>
      <c r="C271" s="337">
        <v>267</v>
      </c>
      <c r="D271" s="336" t="s">
        <v>244</v>
      </c>
      <c r="E271" s="336" t="s">
        <v>2126</v>
      </c>
      <c r="F271" s="336" t="s">
        <v>2127</v>
      </c>
      <c r="G271" s="334">
        <v>46117</v>
      </c>
      <c r="H271" s="336" t="s">
        <v>681</v>
      </c>
      <c r="I271" s="336" t="s">
        <v>278</v>
      </c>
      <c r="J271" s="355" t="s">
        <v>389</v>
      </c>
      <c r="K271" s="336" t="s">
        <v>1165</v>
      </c>
      <c r="L271" s="337" t="s">
        <v>250</v>
      </c>
      <c r="M271" s="362" t="s">
        <v>269</v>
      </c>
      <c r="N271" s="338">
        <v>534</v>
      </c>
      <c r="O271" s="339" t="s">
        <v>252</v>
      </c>
      <c r="P27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1" s="355" t="s">
        <v>389</v>
      </c>
      <c r="R271" s="341">
        <v>1</v>
      </c>
      <c r="S271" s="34">
        <v>1</v>
      </c>
      <c r="T271" s="459">
        <f>Table1[[#This Row],[Progres Total Aktual
(%)]]</f>
        <v>0</v>
      </c>
      <c r="U271" s="460">
        <f>Table1[[#This Row],[Progres Aktual
(%)]]-Table1[[#This Row],[Target Progres
(%)]]</f>
        <v>-1</v>
      </c>
      <c r="V271" s="461">
        <f>Table1[[#This Row],["Volume
BA MC-0"]]</f>
        <v>0</v>
      </c>
      <c r="W271" s="462">
        <f>Table1[[#This Row],[Total Panjang Pipa Aktual
(Sum-&gt;)3]]</f>
        <v>0</v>
      </c>
      <c r="X271" s="42"/>
      <c r="Y271" s="345" t="s">
        <v>2128</v>
      </c>
      <c r="Z271" s="345">
        <v>784083898</v>
      </c>
      <c r="AA271" s="345">
        <f>ROUND((Table1[[#This Row],[Nilai RAB Jaringan
(Exclude Ppn)]]-Table1[[#This Row],[RAB Perizinan]])*1.11+Table1[[#This Row],[RAB Perizinan]],0)</f>
        <v>784083898</v>
      </c>
      <c r="AB271" s="463">
        <f>SUM(Table1[[#This Row],[RAB Kegiatan Umum]:[RAB Perizinan]])</f>
        <v>706911079</v>
      </c>
      <c r="AC271" s="409">
        <v>52420784</v>
      </c>
      <c r="AD271" s="409">
        <v>524207840</v>
      </c>
      <c r="AE271" s="409">
        <v>124942455</v>
      </c>
      <c r="AF271" s="409">
        <v>5340000</v>
      </c>
      <c r="AG271" s="464">
        <v>50568928</v>
      </c>
      <c r="AH271" s="465">
        <f>SUM(Table1[[#This Row],[Bobot Keg Umum]:[Bobot Perizinan]])</f>
        <v>1</v>
      </c>
      <c r="AI271" s="465">
        <f>Table1[[#This Row],[RAB Kegiatan Umum]]/Table1[[#This Row],[Nilai RAB Jaringan
(Exclude Ppn)]]</f>
        <v>7.4154707087282751E-2</v>
      </c>
      <c r="AJ271" s="465">
        <f>Table1[[#This Row],[RAB Pemasangan]]/Table1[[#This Row],[Nilai RAB Jaringan
(Exclude Ppn)]]</f>
        <v>0.74154707087282756</v>
      </c>
      <c r="AK271" s="465">
        <f>Table1[[#This Row],[RAB Pengadaan]]/Table1[[#This Row],[Nilai RAB Jaringan
(Exclude Ppn)]]</f>
        <v>0.1767442309388392</v>
      </c>
      <c r="AL271" s="465">
        <f>Table1[[#This Row],[RAB Perizinan]]/Table1[[#This Row],[Nilai RAB Jaringan
(Exclude Ppn)]]</f>
        <v>7.5539911010504904E-3</v>
      </c>
      <c r="AM271" s="42"/>
      <c r="AN271" s="346">
        <v>0</v>
      </c>
      <c r="AO271" s="346">
        <f>SUM(Table1[[#This Row],[Pipa 63 mm]:[Pipa 1,800 mm]])</f>
        <v>0</v>
      </c>
      <c r="AP271" s="346"/>
      <c r="AQ271" s="346"/>
      <c r="AR271" s="346"/>
      <c r="AS271" s="346"/>
      <c r="AT271" s="346"/>
      <c r="AU271" s="346"/>
      <c r="AV271" s="346"/>
      <c r="AW271" s="346"/>
      <c r="AX271" s="346"/>
      <c r="AY271" s="346"/>
      <c r="AZ271" s="346"/>
      <c r="BA271" s="346"/>
      <c r="BB271" s="346"/>
      <c r="BC271" s="346"/>
      <c r="BD271" s="346"/>
      <c r="BE271" s="346"/>
      <c r="BF271" s="346"/>
      <c r="BG271" s="346"/>
      <c r="BH271" s="346"/>
      <c r="BI271" s="346"/>
      <c r="BJ271" s="347">
        <f>SUM(Table1[[#This Row],[Pipa 63 mm2]:[Pipa 1,800 mm21]])</f>
        <v>0</v>
      </c>
      <c r="BK271" s="348"/>
      <c r="BL271" s="348"/>
      <c r="BM271" s="348"/>
      <c r="BN271" s="348"/>
      <c r="BO271" s="348"/>
      <c r="BP271" s="348"/>
      <c r="BQ271" s="348"/>
      <c r="BR271" s="348"/>
      <c r="BS271" s="348"/>
      <c r="BT271" s="348"/>
      <c r="BU271" s="348"/>
      <c r="BV271" s="348"/>
      <c r="BW271" s="348"/>
      <c r="BX271" s="348"/>
      <c r="BY271" s="348"/>
      <c r="BZ271" s="348"/>
      <c r="CA271" s="348"/>
      <c r="CB271" s="348"/>
      <c r="CC271" s="348"/>
      <c r="CD271" s="348"/>
      <c r="CE271" s="348">
        <v>0</v>
      </c>
      <c r="CF271" s="348"/>
      <c r="CG271" s="348"/>
      <c r="CH271" s="348"/>
      <c r="CI271" s="348">
        <f t="shared" si="13"/>
        <v>0</v>
      </c>
      <c r="CJ271" s="410">
        <f>IF((Table1[[#This Row],["Volume
BA MC-0"]]-Table1[[#This Row],[Total Panjang Pipa Aktual
(Sum-&gt;)3]]-Table1[[#This Row],[Total Volume
tidak dapat dipasang]])&gt;=0,Table1[[#This Row],["Volume
BA MC-0"]]-Table1[[#This Row],[Total Panjang Pipa Aktual
(Sum-&gt;)3]]-Table1[[#This Row],[Total Volume
tidak dapat dipasang]],0)</f>
        <v>0</v>
      </c>
      <c r="CK271" s="42"/>
      <c r="CL271" s="341" t="s">
        <v>1821</v>
      </c>
      <c r="CM271" s="341" t="s">
        <v>1821</v>
      </c>
      <c r="CN271" s="341" t="s">
        <v>1821</v>
      </c>
      <c r="CO271" s="341" t="s">
        <v>1821</v>
      </c>
      <c r="CP27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1" s="350">
        <f>IFERROR(Table1[[#This Row],[Progres Keg. Umum
(%)]]*Table1[[#This Row],[Nilai RAB Jaringan
(file pa aji)]],0)</f>
        <v>0</v>
      </c>
      <c r="CR271" s="350">
        <f>IFERROR(Table1[[#This Row],[Progres MOS
(%)]]*Table1[[#This Row],[Nilai RAB Jaringan
(file pa aji)]],0)</f>
        <v>0</v>
      </c>
      <c r="CS271" s="350">
        <f>IFERROR(Table1[[#This Row],[Progres Pemasangan
(%)]]*Table1[[#This Row],[Nilai RAB Jaringan
(file pa aji)]],0)</f>
        <v>0</v>
      </c>
      <c r="CT271" s="350">
        <f>IFERROR(Table1[[#This Row],[Progres Perizinan
(%)]]*Table1[[#This Row],[Nilai RAB Jaringan
(file pa aji)]],0)</f>
        <v>0</v>
      </c>
      <c r="CU271" s="789">
        <v>0</v>
      </c>
      <c r="CV271" s="299">
        <v>0</v>
      </c>
      <c r="CW271" s="551">
        <v>0</v>
      </c>
      <c r="CX271" s="789">
        <f>_xlfn.XLOOKUP(Table1[[#This Row],[Kode Program]],'[1]Breakdown VOWD Greenfield'!$E:$E,'[1]Breakdown VOWD Greenfield'!$AT:$AT)</f>
        <v>0</v>
      </c>
      <c r="CY271" s="42"/>
      <c r="CZ271" s="356">
        <v>45775</v>
      </c>
      <c r="DA271" s="356">
        <v>45802</v>
      </c>
      <c r="DB271" s="358">
        <v>45804</v>
      </c>
      <c r="DC271" s="337" t="s">
        <v>2129</v>
      </c>
      <c r="DD271" s="345">
        <v>784083898</v>
      </c>
      <c r="DE2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271" s="358">
        <v>45825</v>
      </c>
      <c r="DG271" s="337" t="s">
        <v>2130</v>
      </c>
      <c r="DH271" s="345">
        <v>784083898</v>
      </c>
      <c r="DI271" s="337"/>
      <c r="DJ271" s="356">
        <v>45803</v>
      </c>
      <c r="DK271" s="356">
        <v>45872</v>
      </c>
      <c r="DL271" s="358">
        <v>45847</v>
      </c>
      <c r="DM271" s="337" t="s">
        <v>2131</v>
      </c>
      <c r="DN271" s="352"/>
      <c r="DO271" s="358">
        <v>45880</v>
      </c>
      <c r="DP271" s="337" t="s">
        <v>2132</v>
      </c>
      <c r="DQ271" s="336" t="s">
        <v>312</v>
      </c>
      <c r="DR271" s="352"/>
      <c r="DS271" s="356">
        <v>45803</v>
      </c>
      <c r="DT271" s="356" t="e">
        <v>#N/A</v>
      </c>
      <c r="DU271" s="356">
        <v>45844</v>
      </c>
      <c r="DV271" s="356" t="e">
        <v>#N/A</v>
      </c>
      <c r="DW271" s="358">
        <v>45847</v>
      </c>
      <c r="DX271" s="337" t="s">
        <v>2133</v>
      </c>
      <c r="DY271" s="412"/>
      <c r="DZ271" s="412"/>
      <c r="EA271" s="352"/>
      <c r="EB271" s="358"/>
      <c r="EC271" s="412"/>
      <c r="ED271" s="412"/>
      <c r="EE271" s="356"/>
      <c r="EF271" s="341"/>
      <c r="EG271" s="341"/>
      <c r="EH271" s="337"/>
      <c r="EI27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1" s="356">
        <v>45845</v>
      </c>
      <c r="EK271" s="356" t="e">
        <v>#N/A</v>
      </c>
      <c r="EL271" s="356">
        <v>45900</v>
      </c>
      <c r="EM271" s="356" t="e">
        <v>#N/A</v>
      </c>
      <c r="EN271" s="358"/>
      <c r="EO271" s="412"/>
      <c r="EP271" s="337"/>
      <c r="EQ271" s="341"/>
      <c r="ER271" s="341"/>
      <c r="ES271" s="337"/>
      <c r="ET2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1" s="42"/>
      <c r="EV271" s="356">
        <v>45803</v>
      </c>
      <c r="EW271" s="356" t="e">
        <v>#N/A</v>
      </c>
      <c r="EX271" s="356">
        <v>45900</v>
      </c>
      <c r="EY271" s="356" t="e">
        <v>#N/A</v>
      </c>
      <c r="EZ271" s="354" t="s">
        <v>298</v>
      </c>
      <c r="FA271" s="355" t="s">
        <v>389</v>
      </c>
      <c r="FB271" s="356" t="s">
        <v>260</v>
      </c>
      <c r="FC271" s="300">
        <v>45838</v>
      </c>
      <c r="FD271" s="356" t="s">
        <v>260</v>
      </c>
      <c r="FE271" s="356">
        <v>45888</v>
      </c>
      <c r="FF271" s="356">
        <v>45944</v>
      </c>
      <c r="FG271" s="356" t="s">
        <v>260</v>
      </c>
      <c r="FH271" s="356" t="s">
        <v>260</v>
      </c>
      <c r="FI271" s="356">
        <v>46010</v>
      </c>
      <c r="FJ271" s="356" t="s">
        <v>260</v>
      </c>
      <c r="FK271" s="356">
        <v>46113</v>
      </c>
      <c r="FL271" s="413" t="s">
        <v>298</v>
      </c>
      <c r="FM271" s="354">
        <v>45838</v>
      </c>
      <c r="FN271" s="336">
        <f>IF(Table1[[#This Row],[Tanggal Pengajuan Dokumen]]="","",Table1[[#This Row],[PLAN PERMIT
start]]-Table1[[#This Row],[Tanggal Pengajuan Dokumen]])</f>
        <v>-35</v>
      </c>
      <c r="FO271" s="414">
        <v>46086</v>
      </c>
      <c r="FP271" s="337"/>
      <c r="FQ271" s="336"/>
      <c r="FR271" s="336"/>
      <c r="FS271" s="336" t="str">
        <f t="shared" si="14"/>
        <v>On Going</v>
      </c>
      <c r="FT27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1" s="357">
        <f ca="1">IF(Table1[[#This Row],[Status Izin]]="Selesai",Table1[[#This Row],[PLAN PERMIT
finish]]-Table1[[#This Row],[Tanggal Terbit/ Target Izin Terbit]],ROUNDUP(Table1[[#This Row],[PLAN PERMIT
finish]]-NOW(),0))</f>
        <v>-304</v>
      </c>
      <c r="FV27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1" s="357"/>
      <c r="FX271" s="42"/>
      <c r="FY271" s="310"/>
      <c r="FZ271" s="311"/>
      <c r="GA2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1" s="356">
        <v>45874</v>
      </c>
      <c r="GC271" s="354">
        <v>45922</v>
      </c>
      <c r="GD27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1" s="356">
        <v>45881</v>
      </c>
      <c r="GF271" s="354">
        <v>45922</v>
      </c>
      <c r="GG27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1" s="356">
        <v>45887</v>
      </c>
      <c r="GI271" s="356">
        <v>45893</v>
      </c>
      <c r="GJ271" s="354">
        <v>45973</v>
      </c>
      <c r="GK27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1" s="356">
        <v>45901</v>
      </c>
      <c r="GM271" s="356" t="e">
        <v>#N/A</v>
      </c>
      <c r="GN271" s="356">
        <v>45942</v>
      </c>
      <c r="GO271" s="356" t="e">
        <v>#N/A</v>
      </c>
      <c r="GP271" s="356"/>
      <c r="GQ27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1" s="356" t="s">
        <v>261</v>
      </c>
      <c r="GS271" s="356" t="s">
        <v>261</v>
      </c>
      <c r="GT271" s="360"/>
      <c r="GU271" s="357" t="str">
        <f>IF(Table1[[#This Row],[Hydro Tes Actual
(tanggal)]]&lt;&gt;"","Sudah","Belum")</f>
        <v>Belum</v>
      </c>
      <c r="GV271" s="356" t="s">
        <v>261</v>
      </c>
      <c r="GW271" s="356" t="s">
        <v>261</v>
      </c>
      <c r="GX271" s="358"/>
      <c r="GY271" s="357" t="str">
        <f>IF(Table1[[#This Row],[Interkoneksi Actual
(tanggal)]]&lt;&gt;"","Sudah","Belum")</f>
        <v>Belum</v>
      </c>
      <c r="GZ271" s="356" t="s">
        <v>261</v>
      </c>
      <c r="HA271" s="356" t="s">
        <v>261</v>
      </c>
      <c r="HB271" s="358"/>
      <c r="HC271" s="357" t="str">
        <f>IF(Table1[[#This Row],[Flushing Actual
(tanggal)]]&lt;&gt;"","Sudah","Belum")</f>
        <v>Belum</v>
      </c>
      <c r="HD271" s="356">
        <v>45922</v>
      </c>
      <c r="HE271" s="356" t="e">
        <v>#N/A</v>
      </c>
      <c r="HF271" s="356">
        <v>45935</v>
      </c>
      <c r="HG271" s="354"/>
      <c r="HH27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1" s="356" t="s">
        <v>261</v>
      </c>
      <c r="HJ271" s="356" t="s">
        <v>261</v>
      </c>
      <c r="HK271" s="358"/>
      <c r="HL271" s="337"/>
      <c r="HM271" s="356">
        <v>45947</v>
      </c>
      <c r="HN271" s="356">
        <v>45947</v>
      </c>
      <c r="HO271" s="356" t="e">
        <v>#N/A</v>
      </c>
      <c r="HP271" s="356"/>
      <c r="HQ271" s="358"/>
      <c r="HR27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1" s="356">
        <v>45954</v>
      </c>
      <c r="HT271" s="356"/>
      <c r="HU271" s="356">
        <v>45954</v>
      </c>
      <c r="HV271" s="356"/>
      <c r="HW271" s="358"/>
      <c r="HX27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1" s="42"/>
      <c r="HZ271" s="354" t="s">
        <v>2134</v>
      </c>
      <c r="IA271" s="354" t="s">
        <v>2135</v>
      </c>
      <c r="IC271" s="585">
        <f>IFERROR(ROUND((Table1[[#This Row],[PLAN TC
finish]]-Table1[[#This Row],[PLAN MC-0
start]])/30,2),"")</f>
        <v>1.6</v>
      </c>
      <c r="ID271">
        <f>DATEDIF(Table1[[#This Row],[PLAN MC-0
start]],Table1[[#This Row],[PLAN TC
finish]],"m")</f>
        <v>1</v>
      </c>
    </row>
    <row r="272" spans="1:238" s="4" customFormat="1" ht="15" customHeight="1" x14ac:dyDescent="0.25">
      <c r="B272" s="281">
        <f>SUBTOTAL(3,$D$5:D272)</f>
        <v>268</v>
      </c>
      <c r="C272" s="286">
        <v>268</v>
      </c>
      <c r="D272" s="308" t="s">
        <v>244</v>
      </c>
      <c r="E272" s="308" t="s">
        <v>2136</v>
      </c>
      <c r="F272" s="308" t="s">
        <v>2137</v>
      </c>
      <c r="G272" s="319">
        <v>46117</v>
      </c>
      <c r="H272" s="308" t="s">
        <v>681</v>
      </c>
      <c r="I272" s="308" t="s">
        <v>278</v>
      </c>
      <c r="J272" s="450" t="s">
        <v>1830</v>
      </c>
      <c r="K272" s="308" t="s">
        <v>1165</v>
      </c>
      <c r="L272" s="286" t="s">
        <v>250</v>
      </c>
      <c r="M272" s="325" t="s">
        <v>269</v>
      </c>
      <c r="N272" s="94">
        <v>93</v>
      </c>
      <c r="O272" s="31" t="s">
        <v>252</v>
      </c>
      <c r="P27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2" s="35">
        <v>0.99999999999999989</v>
      </c>
      <c r="S272" s="34">
        <v>1</v>
      </c>
      <c r="T272" s="34">
        <f>Table1[[#This Row],[Progres Total Aktual
(%)]]</f>
        <v>1</v>
      </c>
      <c r="U272" s="85">
        <f>Table1[[#This Row],[Progres Aktual
(%)]]-Table1[[#This Row],[Target Progres
(%)]]</f>
        <v>0</v>
      </c>
      <c r="V272" s="75">
        <f>Table1[[#This Row],["Volume
BA MC-0"]]</f>
        <v>54</v>
      </c>
      <c r="W272" s="41">
        <f>Table1[[#This Row],[Total Panjang Pipa Aktual
(Sum-&gt;)3]]</f>
        <v>53.8</v>
      </c>
      <c r="X272" s="42"/>
      <c r="Y272" s="62" t="s">
        <v>2138</v>
      </c>
      <c r="Z272" s="62">
        <v>542982145</v>
      </c>
      <c r="AA272" s="62">
        <f>ROUND((Table1[[#This Row],[Nilai RAB Jaringan
(Exclude Ppn)]]-Table1[[#This Row],[RAB Perizinan]])*1.11+Table1[[#This Row],[RAB Perizinan]],0)</f>
        <v>542982144</v>
      </c>
      <c r="AB272" s="456">
        <f>SUM(Table1[[#This Row],[RAB Kegiatan Umum]:[RAB Perizinan]])</f>
        <v>489265265</v>
      </c>
      <c r="AC272" s="406">
        <v>24200245</v>
      </c>
      <c r="AD272" s="406">
        <v>242002444</v>
      </c>
      <c r="AE272" s="406">
        <v>222132576</v>
      </c>
      <c r="AF272" s="406">
        <v>930000</v>
      </c>
      <c r="AG272" s="453">
        <v>2107039</v>
      </c>
      <c r="AH272" s="33">
        <f>SUM(Table1[[#This Row],[Bobot Keg Umum]:[Bobot Perizinan]])</f>
        <v>1</v>
      </c>
      <c r="AI272" s="33">
        <f>Table1[[#This Row],[RAB Kegiatan Umum]]/Table1[[#This Row],[Nilai RAB Jaringan
(Exclude Ppn)]]</f>
        <v>4.9462421984932857E-2</v>
      </c>
      <c r="AJ272" s="33">
        <f>Table1[[#This Row],[RAB Pemasangan]]/Table1[[#This Row],[Nilai RAB Jaringan
(Exclude Ppn)]]</f>
        <v>0.49462420758604231</v>
      </c>
      <c r="AK272" s="33">
        <f>Table1[[#This Row],[RAB Pengadaan]]/Table1[[#This Row],[Nilai RAB Jaringan
(Exclude Ppn)]]</f>
        <v>0.4540125610592855</v>
      </c>
      <c r="AL272" s="33">
        <f>Table1[[#This Row],[RAB Perizinan]]/Table1[[#This Row],[Nilai RAB Jaringan
(Exclude Ppn)]]</f>
        <v>1.9008093697393377E-3</v>
      </c>
      <c r="AM272" s="42"/>
      <c r="AN272" s="256">
        <v>54</v>
      </c>
      <c r="AO272" s="256">
        <f>SUM(Table1[[#This Row],[Pipa 63 mm]:[Pipa 1,800 mm]])</f>
        <v>0</v>
      </c>
      <c r="AP272" s="256"/>
      <c r="AQ272" s="256"/>
      <c r="AR272" s="256"/>
      <c r="AS272" s="256"/>
      <c r="AT272" s="256"/>
      <c r="AU272" s="256"/>
      <c r="AV272" s="256"/>
      <c r="AW272" s="256"/>
      <c r="AX272" s="256"/>
      <c r="AY272" s="256"/>
      <c r="AZ272" s="256"/>
      <c r="BA272" s="256"/>
      <c r="BB272" s="256"/>
      <c r="BC272" s="256"/>
      <c r="BD272" s="256"/>
      <c r="BE272" s="256"/>
      <c r="BF272" s="256"/>
      <c r="BG272" s="256"/>
      <c r="BH272" s="256"/>
      <c r="BI272" s="256"/>
      <c r="BJ272" s="36">
        <f>SUM(Table1[[#This Row],[Pipa 63 mm2]:[Pipa 1,800 mm21]])</f>
        <v>53.8</v>
      </c>
      <c r="BK272" s="32"/>
      <c r="BL272" s="32"/>
      <c r="BM272" s="32"/>
      <c r="BN272" s="32">
        <v>45</v>
      </c>
      <c r="BO272" s="32">
        <v>8.8000000000000007</v>
      </c>
      <c r="BP272" s="32"/>
      <c r="BQ272" s="32"/>
      <c r="BR272" s="32"/>
      <c r="BS272" s="32"/>
      <c r="BT272" s="32"/>
      <c r="BU272" s="32"/>
      <c r="BV272" s="32"/>
      <c r="BW272" s="32"/>
      <c r="BX272" s="32"/>
      <c r="BY272" s="32"/>
      <c r="BZ272" s="32"/>
      <c r="CA272" s="32"/>
      <c r="CB272" s="32"/>
      <c r="CC272" s="32"/>
      <c r="CD272" s="32"/>
      <c r="CE272" s="32">
        <v>0</v>
      </c>
      <c r="CF272" s="32"/>
      <c r="CG272" s="32"/>
      <c r="CH272" s="32"/>
      <c r="CI272" s="32">
        <f t="shared" si="13"/>
        <v>0</v>
      </c>
      <c r="CJ272" s="60">
        <f>IF((Table1[[#This Row],["Volume
BA MC-0"]]-Table1[[#This Row],[Total Panjang Pipa Aktual
(Sum-&gt;)3]]-Table1[[#This Row],[Total Volume
tidak dapat dipasang]])&gt;=0,Table1[[#This Row],["Volume
BA MC-0"]]-Table1[[#This Row],[Total Panjang Pipa Aktual
(Sum-&gt;)3]]-Table1[[#This Row],[Total Volume
tidak dapat dipasang]],0)</f>
        <v>0.20000000000000284</v>
      </c>
      <c r="CK272" s="42"/>
      <c r="CL272" s="454" t="s">
        <v>1821</v>
      </c>
      <c r="CM272" s="34" t="s">
        <v>1821</v>
      </c>
      <c r="CN272" s="454" t="s">
        <v>1821</v>
      </c>
      <c r="CO272" s="454" t="s">
        <v>1821</v>
      </c>
      <c r="CP2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2" s="61">
        <f>IFERROR(Table1[[#This Row],[Progres Keg. Umum
(%)]]*Table1[[#This Row],[Nilai RAB Jaringan
(file pa aji)]],0)</f>
        <v>0</v>
      </c>
      <c r="CR272" s="61">
        <f>IFERROR(Table1[[#This Row],[Progres MOS
(%)]]*Table1[[#This Row],[Nilai RAB Jaringan
(file pa aji)]],0)</f>
        <v>0</v>
      </c>
      <c r="CS272" s="61">
        <f>IFERROR(Table1[[#This Row],[Progres Pemasangan
(%)]]*Table1[[#This Row],[Nilai RAB Jaringan
(file pa aji)]],0)</f>
        <v>0</v>
      </c>
      <c r="CT272" s="61">
        <f>IFERROR(Table1[[#This Row],[Progres Perizinan
(%)]]*Table1[[#This Row],[Nilai RAB Jaringan
(file pa aji)]],0)</f>
        <v>0</v>
      </c>
      <c r="CU272" s="789">
        <v>394128266</v>
      </c>
      <c r="CV272" s="299">
        <v>394128266</v>
      </c>
      <c r="CW272" s="552">
        <v>394128266</v>
      </c>
      <c r="CX272" s="789">
        <f>_xlfn.XLOOKUP(Table1[[#This Row],[Kode Program]],'[1]Breakdown VOWD Greenfield'!$E:$E,'[1]Breakdown VOWD Greenfield'!$AT:$AT)</f>
        <v>394128266</v>
      </c>
      <c r="CY272" s="42"/>
      <c r="CZ272" s="300">
        <v>45803</v>
      </c>
      <c r="DA272" s="300">
        <v>45830</v>
      </c>
      <c r="DB272" s="301">
        <v>45782</v>
      </c>
      <c r="DC272" s="286" t="s">
        <v>2139</v>
      </c>
      <c r="DD272" s="62">
        <v>542982145</v>
      </c>
      <c r="DE2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2" s="301">
        <v>45799</v>
      </c>
      <c r="DG272" s="286" t="s">
        <v>2140</v>
      </c>
      <c r="DH272" s="62">
        <v>542982145</v>
      </c>
      <c r="DI2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2" s="300">
        <v>45831</v>
      </c>
      <c r="DK272" s="300">
        <v>45900</v>
      </c>
      <c r="DL272" s="301">
        <v>45825</v>
      </c>
      <c r="DM272" s="286" t="s">
        <v>2141</v>
      </c>
      <c r="DN2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2" s="301">
        <v>45845</v>
      </c>
      <c r="DP272" s="286" t="s">
        <v>2142</v>
      </c>
      <c r="DQ272" s="308" t="s">
        <v>371</v>
      </c>
      <c r="DR2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2" s="300">
        <v>45831</v>
      </c>
      <c r="DT272" s="300" t="e">
        <v>#N/A</v>
      </c>
      <c r="DU272" s="300">
        <v>45872</v>
      </c>
      <c r="DV272" s="300" t="e">
        <v>#N/A</v>
      </c>
      <c r="DW272" s="301">
        <v>45824</v>
      </c>
      <c r="DX272" s="454" t="s">
        <v>2143</v>
      </c>
      <c r="DY272" s="302">
        <v>27</v>
      </c>
      <c r="DZ272" s="304">
        <v>27</v>
      </c>
      <c r="EA2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2" s="301">
        <v>45993</v>
      </c>
      <c r="EC272" s="302">
        <v>24</v>
      </c>
      <c r="ED272" s="302">
        <v>24</v>
      </c>
      <c r="EE272" s="300" t="s">
        <v>2144</v>
      </c>
      <c r="EF272" s="35">
        <v>0.88888888888888884</v>
      </c>
      <c r="EG272" s="35">
        <f>Table1[[#This Row],[Line PO (kolom  bantu)2]]/Table1[[#This Row],[Line PR]]</f>
        <v>0.88888888888888884</v>
      </c>
      <c r="EH272" s="286" t="str">
        <f>IF(Table1[[#This Row],[PO Material Aktual 
(%)]]&gt;=100%,"Selesai PO = 100%",IF(Table1[[#This Row],[PO Material Aktual 
(%)]]&gt;=50%,"Proses PO &gt; 100%",IF(Table1[[#This Row],[PO Material Aktual 
(%)]]&gt;0%,"Proses PO &gt; 50%",IF(Table1[[#This Row],[PO Material Aktual 
(%)]]=0,"Belum PO = 0%"))))</f>
        <v>Proses PO &gt; 100%</v>
      </c>
      <c r="EI27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2" s="300">
        <v>45873</v>
      </c>
      <c r="EK272" s="300" t="e">
        <v>#N/A</v>
      </c>
      <c r="EL272" s="300">
        <v>45928</v>
      </c>
      <c r="EM272" s="300" t="e">
        <v>#N/A</v>
      </c>
      <c r="EN272" s="301">
        <v>45993</v>
      </c>
      <c r="EO272" s="302">
        <v>24</v>
      </c>
      <c r="EP272" s="286">
        <v>24</v>
      </c>
      <c r="EQ272" s="35">
        <v>0.88888888888888884</v>
      </c>
      <c r="ER272" s="35">
        <f>Table1[[#This Row],[Line MOS]]/Table1[[#This Row],[Line PR]]</f>
        <v>0.88888888888888884</v>
      </c>
      <c r="ES272" s="286" t="str">
        <f>IF(Table1[[#This Row],[Progres MOS]]&gt;=100%,"Selesai MOS = 100%",IF(Table1[[#This Row],[Progres MOS]]&gt;=50%,"Proses MOS &gt; 100%",IF(Table1[[#This Row],[Progres MOS]]&gt;0%,"Proses MOS &gt; 50%",IF(Table1[[#This Row],[Progres MOS]]=0,"Belum MOS = 0%"))))</f>
        <v>Proses MOS &gt; 100%</v>
      </c>
      <c r="ET2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2" s="42"/>
      <c r="EV272" s="300">
        <v>45831</v>
      </c>
      <c r="EW272" s="300" t="e">
        <v>#N/A</v>
      </c>
      <c r="EX272" s="300">
        <v>45928</v>
      </c>
      <c r="EY272" s="300" t="e">
        <v>#N/A</v>
      </c>
      <c r="EZ272" s="322" t="s">
        <v>298</v>
      </c>
      <c r="FA272" s="306" t="s">
        <v>298</v>
      </c>
      <c r="FB272" s="300" t="s">
        <v>260</v>
      </c>
      <c r="FC272" s="300"/>
      <c r="FD272" s="300" t="s">
        <v>260</v>
      </c>
      <c r="FE272" s="300">
        <v>45915</v>
      </c>
      <c r="FF272" s="300">
        <v>45958</v>
      </c>
      <c r="FG272" s="300" t="s">
        <v>260</v>
      </c>
      <c r="FH272" s="300" t="s">
        <v>260</v>
      </c>
      <c r="FI272" s="300">
        <v>46006</v>
      </c>
      <c r="FJ272" s="300" t="s">
        <v>260</v>
      </c>
      <c r="FK272" s="300"/>
      <c r="FL272" s="306" t="s">
        <v>298</v>
      </c>
      <c r="FM272" s="306"/>
      <c r="FN272" s="284" t="str">
        <f>IF(Table1[[#This Row],[Tanggal Pengajuan Dokumen]]="","",Table1[[#This Row],[PLAN PERMIT
start]]-Table1[[#This Row],[Tanggal Pengajuan Dokumen]])</f>
        <v/>
      </c>
      <c r="FO272" s="407">
        <v>46086</v>
      </c>
      <c r="FP272" s="286" t="s">
        <v>2087</v>
      </c>
      <c r="FQ272" s="308"/>
      <c r="FR272" s="308"/>
      <c r="FS272" s="308" t="str">
        <f t="shared" si="14"/>
        <v>On Going</v>
      </c>
      <c r="FT2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2" s="314">
        <f ca="1">IF(Table1[[#This Row],[Status Izin]]="Selesai",Table1[[#This Row],[PLAN PERMIT
finish]]-Table1[[#This Row],[Tanggal Terbit/ Target Izin Terbit]],ROUNDUP(Table1[[#This Row],[PLAN PERMIT
finish]]-NOW(),0))</f>
        <v>-276</v>
      </c>
      <c r="FV2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2" s="314"/>
      <c r="FX272" s="42"/>
      <c r="FY272" s="310"/>
      <c r="FZ272" s="311"/>
      <c r="GA2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2" s="300">
        <v>45902</v>
      </c>
      <c r="GC272" s="408">
        <v>45961</v>
      </c>
      <c r="GD2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2" s="300">
        <v>45909</v>
      </c>
      <c r="GF272" s="408">
        <v>45961</v>
      </c>
      <c r="GG2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2" s="300">
        <v>45915</v>
      </c>
      <c r="GI272" s="300">
        <v>45921</v>
      </c>
      <c r="GJ272" s="322">
        <v>45973</v>
      </c>
      <c r="GK2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2" s="300">
        <v>45929</v>
      </c>
      <c r="GM272" s="300" t="e">
        <v>#N/A</v>
      </c>
      <c r="GN272" s="300">
        <v>45942</v>
      </c>
      <c r="GO272" s="300" t="e">
        <v>#N/A</v>
      </c>
      <c r="GP272" s="300"/>
      <c r="GQ2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2" s="300" t="s">
        <v>261</v>
      </c>
      <c r="GS272" s="300" t="s">
        <v>261</v>
      </c>
      <c r="GT272" s="324">
        <v>46088</v>
      </c>
      <c r="GU272" s="314" t="str">
        <f>IF(Table1[[#This Row],[Hydro Tes Actual
(tanggal)]]&lt;&gt;"","Sudah","Belum")</f>
        <v>Sudah</v>
      </c>
      <c r="GV272" s="300" t="s">
        <v>261</v>
      </c>
      <c r="GW272" s="300" t="s">
        <v>261</v>
      </c>
      <c r="GX272" s="301">
        <v>46090</v>
      </c>
      <c r="GY272" s="314" t="str">
        <f>IF(Table1[[#This Row],[Interkoneksi Actual
(tanggal)]]&lt;&gt;"","Sudah","Belum")</f>
        <v>Sudah</v>
      </c>
      <c r="GZ272" s="300" t="s">
        <v>261</v>
      </c>
      <c r="HA272" s="300" t="s">
        <v>261</v>
      </c>
      <c r="HB272" s="301">
        <v>46093</v>
      </c>
      <c r="HC272" s="314" t="str">
        <f>IF(Table1[[#This Row],[Flushing Actual
(tanggal)]]&lt;&gt;"","Sudah","Belum")</f>
        <v>Sudah</v>
      </c>
      <c r="HD272" s="300">
        <v>45929</v>
      </c>
      <c r="HE272" s="300" t="e">
        <v>#N/A</v>
      </c>
      <c r="HF272" s="300">
        <v>45942</v>
      </c>
      <c r="HG272" s="322">
        <v>46094</v>
      </c>
      <c r="HH2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2" s="300" t="s">
        <v>261</v>
      </c>
      <c r="HJ272" s="300" t="s">
        <v>261</v>
      </c>
      <c r="HK272" s="301"/>
      <c r="HL272" s="286"/>
      <c r="HM272" s="300">
        <v>45947</v>
      </c>
      <c r="HN272" s="300">
        <v>45947</v>
      </c>
      <c r="HO272" s="300" t="e">
        <v>#N/A</v>
      </c>
      <c r="HP272" s="300"/>
      <c r="HQ272" s="301">
        <v>46113</v>
      </c>
      <c r="HR27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2" s="300">
        <v>45954</v>
      </c>
      <c r="HT272" s="300"/>
      <c r="HU272" s="300">
        <v>45954</v>
      </c>
      <c r="HV272" s="300"/>
      <c r="HW272" s="301">
        <v>46114</v>
      </c>
      <c r="HX27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2" s="42"/>
      <c r="HZ272" s="322"/>
      <c r="IA272" s="322"/>
      <c r="IC272" s="585">
        <f>IFERROR(ROUND((Table1[[#This Row],[PLAN TC
finish]]-Table1[[#This Row],[PLAN MC-0
start]])/30,2),"")</f>
        <v>0.9</v>
      </c>
      <c r="ID272">
        <f>DATEDIF(Table1[[#This Row],[PLAN MC-0
start]],Table1[[#This Row],[PLAN TC
finish]],"m")</f>
        <v>0</v>
      </c>
    </row>
    <row r="273" spans="1:238" s="4" customFormat="1" ht="15" customHeight="1" x14ac:dyDescent="0.25">
      <c r="B273" s="281">
        <f>SUBTOTAL(3,$D$5:D273)</f>
        <v>269</v>
      </c>
      <c r="C273" s="286">
        <v>269</v>
      </c>
      <c r="D273" s="308" t="s">
        <v>244</v>
      </c>
      <c r="E273" s="308" t="s">
        <v>2145</v>
      </c>
      <c r="F273" s="308" t="s">
        <v>2146</v>
      </c>
      <c r="G273" s="319">
        <v>46117</v>
      </c>
      <c r="H273" s="308" t="s">
        <v>681</v>
      </c>
      <c r="I273" s="308" t="s">
        <v>278</v>
      </c>
      <c r="J273" s="450" t="s">
        <v>1830</v>
      </c>
      <c r="K273" s="308" t="s">
        <v>1165</v>
      </c>
      <c r="L273" s="286" t="s">
        <v>250</v>
      </c>
      <c r="M273" s="325" t="s">
        <v>269</v>
      </c>
      <c r="N273" s="94">
        <v>11267</v>
      </c>
      <c r="O273" s="31" t="s">
        <v>252</v>
      </c>
      <c r="P27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3" s="35">
        <v>1.0000000000000004</v>
      </c>
      <c r="S273" s="34">
        <v>1</v>
      </c>
      <c r="T273" s="34">
        <f>Table1[[#This Row],[Progres Total Aktual
(%)]]</f>
        <v>1</v>
      </c>
      <c r="U273" s="85">
        <f>Table1[[#This Row],[Progres Aktual
(%)]]-Table1[[#This Row],[Target Progres
(%)]]</f>
        <v>0</v>
      </c>
      <c r="V273" s="75">
        <f>Table1[[#This Row],["Volume
BA MC-0"]]</f>
        <v>11510.2</v>
      </c>
      <c r="W273" s="41">
        <f>Table1[[#This Row],[Total Panjang Pipa Aktual
(Sum-&gt;)3]]</f>
        <v>11159</v>
      </c>
      <c r="X273" s="42"/>
      <c r="Y273" s="62" t="s">
        <v>2147</v>
      </c>
      <c r="Z273" s="62">
        <v>16686085218</v>
      </c>
      <c r="AA273" s="62">
        <f>ROUND((Table1[[#This Row],[Nilai RAB Jaringan
(Exclude Ppn)]]-Table1[[#This Row],[RAB Perizinan]])*1.11+Table1[[#This Row],[RAB Perizinan]],0)</f>
        <v>16686085218</v>
      </c>
      <c r="AB273" s="456">
        <f>SUM(Table1[[#This Row],[RAB Kegiatan Umum]:[RAB Perizinan]])</f>
        <v>15045062088</v>
      </c>
      <c r="AC273" s="406">
        <v>1206654148</v>
      </c>
      <c r="AD273" s="406">
        <v>12066541474</v>
      </c>
      <c r="AE273" s="406">
        <v>1645196466</v>
      </c>
      <c r="AF273" s="406">
        <v>126670000</v>
      </c>
      <c r="AG273" s="453">
        <v>1011378543</v>
      </c>
      <c r="AH273" s="33">
        <f>SUM(Table1[[#This Row],[Bobot Keg Umum]:[Bobot Perizinan]])</f>
        <v>1</v>
      </c>
      <c r="AI273" s="33">
        <f>Table1[[#This Row],[RAB Kegiatan Umum]]/Table1[[#This Row],[Nilai RAB Jaringan
(Exclude Ppn)]]</f>
        <v>8.020266988212911E-2</v>
      </c>
      <c r="AJ273" s="33">
        <f>Table1[[#This Row],[RAB Pemasangan]]/Table1[[#This Row],[Nilai RAB Jaringan
(Exclude Ppn)]]</f>
        <v>0.80202669842248908</v>
      </c>
      <c r="AK273" s="33">
        <f>Table1[[#This Row],[RAB Pengadaan]]/Table1[[#This Row],[Nilai RAB Jaringan
(Exclude Ppn)]]</f>
        <v>0.10935125799927506</v>
      </c>
      <c r="AL273" s="33">
        <f>Table1[[#This Row],[RAB Perizinan]]/Table1[[#This Row],[Nilai RAB Jaringan
(Exclude Ppn)]]</f>
        <v>8.4193736961067443E-3</v>
      </c>
      <c r="AM273" s="42"/>
      <c r="AN273" s="256">
        <v>11510.2</v>
      </c>
      <c r="AO273" s="256">
        <f>SUM(Table1[[#This Row],[Pipa 63 mm]:[Pipa 1,800 mm]])</f>
        <v>0</v>
      </c>
      <c r="AP273" s="256"/>
      <c r="AQ273" s="256"/>
      <c r="AR273" s="256"/>
      <c r="AS273" s="256"/>
      <c r="AT273" s="256"/>
      <c r="AU273" s="256"/>
      <c r="AV273" s="256"/>
      <c r="AW273" s="256"/>
      <c r="AX273" s="256"/>
      <c r="AY273" s="256"/>
      <c r="AZ273" s="256"/>
      <c r="BA273" s="256"/>
      <c r="BB273" s="256"/>
      <c r="BC273" s="256"/>
      <c r="BD273" s="256"/>
      <c r="BE273" s="256"/>
      <c r="BF273" s="256"/>
      <c r="BG273" s="256"/>
      <c r="BH273" s="256"/>
      <c r="BI273" s="256"/>
      <c r="BJ273" s="36">
        <f>SUM(Table1[[#This Row],[Pipa 63 mm2]:[Pipa 1,800 mm21]])</f>
        <v>11159</v>
      </c>
      <c r="BK273" s="32">
        <v>11002</v>
      </c>
      <c r="BL273" s="32">
        <v>107</v>
      </c>
      <c r="BM273" s="32">
        <v>22</v>
      </c>
      <c r="BN273" s="32">
        <v>28</v>
      </c>
      <c r="BO273" s="32"/>
      <c r="BP273" s="32"/>
      <c r="BQ273" s="32"/>
      <c r="BR273" s="32"/>
      <c r="BS273" s="32"/>
      <c r="BT273" s="32"/>
      <c r="BU273" s="32"/>
      <c r="BV273" s="32"/>
      <c r="BW273" s="32"/>
      <c r="BX273" s="32"/>
      <c r="BY273" s="32"/>
      <c r="BZ273" s="32"/>
      <c r="CA273" s="32"/>
      <c r="CB273" s="32"/>
      <c r="CC273" s="32"/>
      <c r="CD273" s="32"/>
      <c r="CE273" s="32">
        <v>0</v>
      </c>
      <c r="CF273" s="32"/>
      <c r="CG273" s="32"/>
      <c r="CH273" s="32"/>
      <c r="CI273" s="32">
        <f t="shared" si="13"/>
        <v>0</v>
      </c>
      <c r="CJ273" s="60">
        <f>IF((Table1[[#This Row],["Volume
BA MC-0"]]-Table1[[#This Row],[Total Panjang Pipa Aktual
(Sum-&gt;)3]]-Table1[[#This Row],[Total Volume
tidak dapat dipasang]])&gt;=0,Table1[[#This Row],["Volume
BA MC-0"]]-Table1[[#This Row],[Total Panjang Pipa Aktual
(Sum-&gt;)3]]-Table1[[#This Row],[Total Volume
tidak dapat dipasang]],0)</f>
        <v>351.20000000000073</v>
      </c>
      <c r="CK273" s="42"/>
      <c r="CL273" s="35">
        <v>5.6456794427697181E-2</v>
      </c>
      <c r="CM273" s="35">
        <v>6.5578715147656175E-2</v>
      </c>
      <c r="CN273" s="35">
        <v>0.6724020086768483</v>
      </c>
      <c r="CO273" s="35">
        <v>0</v>
      </c>
      <c r="CP2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3" s="61">
        <f>IFERROR(Table1[[#This Row],[Progres Keg. Umum
(%)]]*Table1[[#This Row],[Nilai RAB Jaringan
(file pa aji)]],0)</f>
        <v>942042882.95566273</v>
      </c>
      <c r="CR273" s="61">
        <f>IFERROR(Table1[[#This Row],[Progres MOS
(%)]]*Table1[[#This Row],[Nilai RAB Jaringan
(file pa aji)]],0)</f>
        <v>1094252029.4407384</v>
      </c>
      <c r="CS273" s="61">
        <f>IFERROR(Table1[[#This Row],[Progres Pemasangan
(%)]]*Table1[[#This Row],[Nilai RAB Jaringan
(file pa aji)]],0)</f>
        <v>11219757217.536266</v>
      </c>
      <c r="CT273" s="61">
        <f>IFERROR(Table1[[#This Row],[Progres Perizinan
(%)]]*Table1[[#This Row],[Nilai RAB Jaringan
(file pa aji)]],0)</f>
        <v>0</v>
      </c>
      <c r="CU273" s="789">
        <v>13884488170</v>
      </c>
      <c r="CV273" s="299">
        <v>13884488170</v>
      </c>
      <c r="CW273" s="552">
        <v>13884488170</v>
      </c>
      <c r="CX273" s="789">
        <f>_xlfn.XLOOKUP(Table1[[#This Row],[Kode Program]],'[1]Breakdown VOWD Greenfield'!$E:$E,'[1]Breakdown VOWD Greenfield'!$AT:$AT)</f>
        <v>13884488170</v>
      </c>
      <c r="CY273" s="42"/>
      <c r="CZ273" s="300">
        <v>45775</v>
      </c>
      <c r="DA273" s="300">
        <v>45802</v>
      </c>
      <c r="DB273" s="301">
        <v>45782</v>
      </c>
      <c r="DC273" s="286" t="s">
        <v>2148</v>
      </c>
      <c r="DD273" s="62">
        <v>16686085219</v>
      </c>
      <c r="DE2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3" s="301">
        <v>45799</v>
      </c>
      <c r="DG273" s="286" t="s">
        <v>2149</v>
      </c>
      <c r="DH273" s="62">
        <v>16686085219</v>
      </c>
      <c r="DI2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3" s="300">
        <v>45803</v>
      </c>
      <c r="DK273" s="300">
        <v>45844</v>
      </c>
      <c r="DL273" s="301">
        <v>45829</v>
      </c>
      <c r="DM273" s="286" t="s">
        <v>2150</v>
      </c>
      <c r="DN2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3" s="301">
        <v>45838</v>
      </c>
      <c r="DP273" s="286" t="s">
        <v>2151</v>
      </c>
      <c r="DQ273" s="308" t="s">
        <v>365</v>
      </c>
      <c r="DR2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3" s="300">
        <v>45803</v>
      </c>
      <c r="DT273" s="300" t="e">
        <v>#N/A</v>
      </c>
      <c r="DU273" s="300">
        <v>45844</v>
      </c>
      <c r="DV273" s="300" t="e">
        <v>#N/A</v>
      </c>
      <c r="DW273" s="301">
        <v>45829</v>
      </c>
      <c r="DX273" s="454" t="s">
        <v>2152</v>
      </c>
      <c r="DY273" s="302">
        <v>86</v>
      </c>
      <c r="DZ273" s="304">
        <v>86</v>
      </c>
      <c r="EA2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3" s="301">
        <v>46039</v>
      </c>
      <c r="EC273" s="302">
        <v>78</v>
      </c>
      <c r="ED273" s="302">
        <v>78</v>
      </c>
      <c r="EE273" s="395" t="s">
        <v>2153</v>
      </c>
      <c r="EF273" s="35">
        <v>1</v>
      </c>
      <c r="EG273" s="307">
        <v>1</v>
      </c>
      <c r="EH273" s="286" t="str">
        <f>IF(Table1[[#This Row],[PO Material Aktual 
(%)]]&gt;=100%,"Selesai PO = 100%",IF(Table1[[#This Row],[PO Material Aktual 
(%)]]&gt;=50%,"Proses PO &gt; 100%",IF(Table1[[#This Row],[PO Material Aktual 
(%)]]&gt;0%,"Proses PO &gt; 50%",IF(Table1[[#This Row],[PO Material Aktual 
(%)]]=0,"Belum PO = 0%"))))</f>
        <v>Selesai PO = 100%</v>
      </c>
      <c r="EI27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3" s="300">
        <v>45845</v>
      </c>
      <c r="EK273" s="300" t="e">
        <v>#N/A</v>
      </c>
      <c r="EL273" s="300">
        <v>45956</v>
      </c>
      <c r="EM273" s="300" t="e">
        <v>#N/A</v>
      </c>
      <c r="EN273" s="301">
        <v>46142</v>
      </c>
      <c r="EO273" s="302">
        <v>77</v>
      </c>
      <c r="EP273" s="595">
        <v>77</v>
      </c>
      <c r="EQ273" s="35">
        <v>0.89534883720930236</v>
      </c>
      <c r="ER273" s="35">
        <f>Table1[[#This Row],[Line MOS]]/Table1[[#This Row],[Line PR]]</f>
        <v>0.89534883720930236</v>
      </c>
      <c r="ES273" s="286" t="str">
        <f>IF(Table1[[#This Row],[Progres MOS]]&gt;=100%,"Selesai MOS = 100%",IF(Table1[[#This Row],[Progres MOS]]&gt;=50%,"Proses MOS &gt; 100%",IF(Table1[[#This Row],[Progres MOS]]&gt;0%,"Proses MOS &gt; 50%",IF(Table1[[#This Row],[Progres MOS]]=0,"Belum MOS = 0%"))))</f>
        <v>Proses MOS &gt; 100%</v>
      </c>
      <c r="ET2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3" s="42"/>
      <c r="EV273" s="300">
        <v>45803</v>
      </c>
      <c r="EW273" s="300" t="e">
        <v>#N/A</v>
      </c>
      <c r="EX273" s="300">
        <v>45900</v>
      </c>
      <c r="EY273" s="300" t="e">
        <v>#N/A</v>
      </c>
      <c r="EZ273" s="322" t="s">
        <v>298</v>
      </c>
      <c r="FA273" s="306" t="s">
        <v>298</v>
      </c>
      <c r="FB273" s="300" t="s">
        <v>260</v>
      </c>
      <c r="FC273" s="300"/>
      <c r="FD273" s="300" t="s">
        <v>260</v>
      </c>
      <c r="FE273" s="300">
        <v>45882</v>
      </c>
      <c r="FF273" s="300">
        <v>45958</v>
      </c>
      <c r="FG273" s="300" t="s">
        <v>260</v>
      </c>
      <c r="FH273" s="300" t="s">
        <v>260</v>
      </c>
      <c r="FI273" s="300">
        <v>46003</v>
      </c>
      <c r="FJ273" s="300" t="s">
        <v>260</v>
      </c>
      <c r="FK273" s="300"/>
      <c r="FL273" s="306" t="s">
        <v>298</v>
      </c>
      <c r="FM273" s="306"/>
      <c r="FN273" s="284" t="str">
        <f>IF(Table1[[#This Row],[Tanggal Pengajuan Dokumen]]="","",Table1[[#This Row],[PLAN PERMIT
start]]-Table1[[#This Row],[Tanggal Pengajuan Dokumen]])</f>
        <v/>
      </c>
      <c r="FO273" s="407">
        <v>46086</v>
      </c>
      <c r="FP273" s="286"/>
      <c r="FQ273" s="308"/>
      <c r="FR273" s="308"/>
      <c r="FS273" s="308" t="str">
        <f t="shared" si="14"/>
        <v>On Going</v>
      </c>
      <c r="FT2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3" s="314">
        <f ca="1">IF(Table1[[#This Row],[Status Izin]]="Selesai",Table1[[#This Row],[PLAN PERMIT
finish]]-Table1[[#This Row],[Tanggal Terbit/ Target Izin Terbit]],ROUNDUP(Table1[[#This Row],[PLAN PERMIT
finish]]-NOW(),0))</f>
        <v>-304</v>
      </c>
      <c r="FV2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3" s="314"/>
      <c r="FX273" s="42"/>
      <c r="FY273" s="310"/>
      <c r="FZ273" s="311"/>
      <c r="GA2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3" s="300">
        <v>45874</v>
      </c>
      <c r="GC273" s="322">
        <v>45828</v>
      </c>
      <c r="GD2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3" s="300">
        <v>45881</v>
      </c>
      <c r="GF273" s="322">
        <v>45828</v>
      </c>
      <c r="GG2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3" s="300">
        <v>45887</v>
      </c>
      <c r="GI273" s="300">
        <v>45893</v>
      </c>
      <c r="GJ273" s="322">
        <v>45831</v>
      </c>
      <c r="GK2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3" s="300">
        <v>45901</v>
      </c>
      <c r="GM273" s="300" t="e">
        <v>#N/A</v>
      </c>
      <c r="GN273" s="300">
        <v>46033</v>
      </c>
      <c r="GO273" s="300" t="e">
        <v>#N/A</v>
      </c>
      <c r="GP273" s="300">
        <v>45909</v>
      </c>
      <c r="GQ2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273" s="300" t="s">
        <v>261</v>
      </c>
      <c r="GS273" s="300" t="s">
        <v>261</v>
      </c>
      <c r="GT273" s="324" t="s">
        <v>2154</v>
      </c>
      <c r="GU273" s="314" t="str">
        <f>IF(Table1[[#This Row],[Hydro Tes Actual
(tanggal)]]&lt;&gt;"","Sudah","Belum")</f>
        <v>Sudah</v>
      </c>
      <c r="GV273" s="300" t="s">
        <v>261</v>
      </c>
      <c r="GW273" s="300" t="s">
        <v>261</v>
      </c>
      <c r="GX273" s="301">
        <v>45901</v>
      </c>
      <c r="GY273" s="314" t="str">
        <f>IF(Table1[[#This Row],[Interkoneksi Actual
(tanggal)]]&lt;&gt;"","Sudah","Belum")</f>
        <v>Sudah</v>
      </c>
      <c r="GZ273" s="300" t="s">
        <v>261</v>
      </c>
      <c r="HA273" s="300" t="s">
        <v>261</v>
      </c>
      <c r="HB273" s="365">
        <v>45905</v>
      </c>
      <c r="HC273" s="314" t="str">
        <f>IF(Table1[[#This Row],[Flushing Actual
(tanggal)]]&lt;&gt;"","Sudah","Belum")</f>
        <v>Sudah</v>
      </c>
      <c r="HD273" s="300">
        <v>46006</v>
      </c>
      <c r="HE273" s="300" t="e">
        <v>#N/A</v>
      </c>
      <c r="HF273" s="300">
        <v>46019</v>
      </c>
      <c r="HG273" s="322">
        <v>45909</v>
      </c>
      <c r="HH2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273" s="300" t="s">
        <v>261</v>
      </c>
      <c r="HJ273" s="300" t="s">
        <v>261</v>
      </c>
      <c r="HK273" s="301"/>
      <c r="HL273" s="286"/>
      <c r="HM273" s="300">
        <v>46038</v>
      </c>
      <c r="HN273" s="300">
        <v>46038</v>
      </c>
      <c r="HO273" s="300" t="e">
        <v>#N/A</v>
      </c>
      <c r="HP273" s="300"/>
      <c r="HQ273" s="301">
        <v>46113</v>
      </c>
      <c r="HR27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3" s="300">
        <v>46054</v>
      </c>
      <c r="HT273" s="300"/>
      <c r="HU273" s="300">
        <v>46054</v>
      </c>
      <c r="HV273" s="300"/>
      <c r="HW273" s="301">
        <v>46115</v>
      </c>
      <c r="HX27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3" s="42"/>
      <c r="HZ273" s="322"/>
      <c r="IA273" s="322"/>
      <c r="IC273" s="585">
        <f>IFERROR(ROUND((Table1[[#This Row],[PLAN TC
finish]]-Table1[[#This Row],[PLAN MC-0
start]])/30,2),"")</f>
        <v>4.4000000000000004</v>
      </c>
      <c r="ID273">
        <f>DATEDIF(Table1[[#This Row],[PLAN MC-0
start]],Table1[[#This Row],[PLAN TC
finish]],"m")</f>
        <v>4</v>
      </c>
    </row>
    <row r="274" spans="1:238" s="30" customFormat="1" ht="15" customHeight="1" x14ac:dyDescent="0.25">
      <c r="A274" s="72"/>
      <c r="B274" s="281">
        <f>SUBTOTAL(3,$D$5:D274)</f>
        <v>270</v>
      </c>
      <c r="C274" s="337">
        <v>270</v>
      </c>
      <c r="D274" s="336" t="s">
        <v>244</v>
      </c>
      <c r="E274" s="336" t="s">
        <v>2155</v>
      </c>
      <c r="F274" s="336" t="s">
        <v>2156</v>
      </c>
      <c r="G274" s="334">
        <v>46117</v>
      </c>
      <c r="H274" s="336" t="s">
        <v>681</v>
      </c>
      <c r="I274" s="336" t="s">
        <v>278</v>
      </c>
      <c r="J274" s="355" t="s">
        <v>389</v>
      </c>
      <c r="K274" s="336" t="s">
        <v>1165</v>
      </c>
      <c r="L274" s="337" t="s">
        <v>250</v>
      </c>
      <c r="M274" s="362" t="s">
        <v>269</v>
      </c>
      <c r="N274" s="338">
        <v>132</v>
      </c>
      <c r="O274" s="339" t="s">
        <v>252</v>
      </c>
      <c r="P27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4" s="355" t="s">
        <v>389</v>
      </c>
      <c r="R274" s="341">
        <v>0.99999999999999989</v>
      </c>
      <c r="S274" s="34">
        <v>1</v>
      </c>
      <c r="T274" s="459">
        <f>Table1[[#This Row],[Progres Total Aktual
(%)]]</f>
        <v>0</v>
      </c>
      <c r="U274" s="460">
        <f>Table1[[#This Row],[Progres Aktual
(%)]]-Table1[[#This Row],[Target Progres
(%)]]</f>
        <v>-1</v>
      </c>
      <c r="V274" s="461">
        <f>Table1[[#This Row],["Volume
BA MC-0"]]</f>
        <v>128.30000000000001</v>
      </c>
      <c r="W274" s="462">
        <f>Table1[[#This Row],[Total Panjang Pipa Aktual
(Sum-&gt;)3]]</f>
        <v>0</v>
      </c>
      <c r="X274" s="42"/>
      <c r="Y274" s="345" t="s">
        <v>2157</v>
      </c>
      <c r="Z274" s="345">
        <v>271645744</v>
      </c>
      <c r="AA274" s="345">
        <f>ROUND((Table1[[#This Row],[Nilai RAB Jaringan
(Exclude Ppn)]]-Table1[[#This Row],[RAB Perizinan]])*1.11+Table1[[#This Row],[RAB Perizinan]],0)</f>
        <v>271645744</v>
      </c>
      <c r="AB274" s="463">
        <f>SUM(Table1[[#This Row],[RAB Kegiatan Umum]:[RAB Perizinan]])</f>
        <v>244856706</v>
      </c>
      <c r="AC274" s="409">
        <v>17378982</v>
      </c>
      <c r="AD274" s="409">
        <v>173789820</v>
      </c>
      <c r="AE274" s="409">
        <v>52367904</v>
      </c>
      <c r="AF274" s="409">
        <v>1320000</v>
      </c>
      <c r="AG274" s="464">
        <v>27391503</v>
      </c>
      <c r="AH274" s="465">
        <f>SUM(Table1[[#This Row],[Bobot Keg Umum]:[Bobot Perizinan]])</f>
        <v>0.99999999999999989</v>
      </c>
      <c r="AI274" s="465">
        <f>Table1[[#This Row],[RAB Kegiatan Umum]]/Table1[[#This Row],[Nilai RAB Jaringan
(Exclude Ppn)]]</f>
        <v>7.0976132465001798E-2</v>
      </c>
      <c r="AJ274" s="465">
        <f>Table1[[#This Row],[RAB Pemasangan]]/Table1[[#This Row],[Nilai RAB Jaringan
(Exclude Ppn)]]</f>
        <v>0.70976132465001796</v>
      </c>
      <c r="AK274" s="465">
        <f>Table1[[#This Row],[RAB Pengadaan]]/Table1[[#This Row],[Nilai RAB Jaringan
(Exclude Ppn)]]</f>
        <v>0.21387163478381516</v>
      </c>
      <c r="AL274" s="465">
        <f>Table1[[#This Row],[RAB Perizinan]]/Table1[[#This Row],[Nilai RAB Jaringan
(Exclude Ppn)]]</f>
        <v>5.3909081011650952E-3</v>
      </c>
      <c r="AM274" s="42"/>
      <c r="AN274" s="346">
        <v>128.30000000000001</v>
      </c>
      <c r="AO274" s="346">
        <f>SUM(Table1[[#This Row],[Pipa 63 mm]:[Pipa 1,800 mm]])</f>
        <v>0</v>
      </c>
      <c r="AP274" s="346"/>
      <c r="AQ274" s="346"/>
      <c r="AR274" s="346"/>
      <c r="AS274" s="346"/>
      <c r="AT274" s="346"/>
      <c r="AU274" s="346"/>
      <c r="AV274" s="346"/>
      <c r="AW274" s="346"/>
      <c r="AX274" s="346"/>
      <c r="AY274" s="346"/>
      <c r="AZ274" s="346"/>
      <c r="BA274" s="346"/>
      <c r="BB274" s="346"/>
      <c r="BC274" s="346"/>
      <c r="BD274" s="346"/>
      <c r="BE274" s="346"/>
      <c r="BF274" s="346"/>
      <c r="BG274" s="346"/>
      <c r="BH274" s="346"/>
      <c r="BI274" s="346"/>
      <c r="BJ274" s="347">
        <f>SUM(Table1[[#This Row],[Pipa 63 mm2]:[Pipa 1,800 mm21]])</f>
        <v>0</v>
      </c>
      <c r="BK274" s="348"/>
      <c r="BL274" s="348"/>
      <c r="BM274" s="348"/>
      <c r="BN274" s="348"/>
      <c r="BO274" s="348"/>
      <c r="BP274" s="348"/>
      <c r="BQ274" s="348"/>
      <c r="BR274" s="348"/>
      <c r="BS274" s="348"/>
      <c r="BT274" s="348"/>
      <c r="BU274" s="348"/>
      <c r="BV274" s="348"/>
      <c r="BW274" s="348"/>
      <c r="BX274" s="348"/>
      <c r="BY274" s="348"/>
      <c r="BZ274" s="348"/>
      <c r="CA274" s="348"/>
      <c r="CB274" s="348"/>
      <c r="CC274" s="348"/>
      <c r="CD274" s="348"/>
      <c r="CE274" s="348">
        <v>132</v>
      </c>
      <c r="CF274" s="348"/>
      <c r="CG274" s="348"/>
      <c r="CH274" s="348"/>
      <c r="CI274" s="348">
        <f t="shared" si="13"/>
        <v>132</v>
      </c>
      <c r="CJ274" s="410">
        <f>IF((Table1[[#This Row],["Volume
BA MC-0"]]-Table1[[#This Row],[Total Panjang Pipa Aktual
(Sum-&gt;)3]]-Table1[[#This Row],[Total Volume
tidak dapat dipasang]])&gt;=0,Table1[[#This Row],["Volume
BA MC-0"]]-Table1[[#This Row],[Total Panjang Pipa Aktual
(Sum-&gt;)3]]-Table1[[#This Row],[Total Volume
tidak dapat dipasang]],0)</f>
        <v>0</v>
      </c>
      <c r="CK274" s="42"/>
      <c r="CL274" s="466" t="s">
        <v>1821</v>
      </c>
      <c r="CM274" s="459" t="s">
        <v>1821</v>
      </c>
      <c r="CN274" s="466" t="s">
        <v>1821</v>
      </c>
      <c r="CO274" s="466" t="s">
        <v>1821</v>
      </c>
      <c r="CP27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4" s="350">
        <f>IFERROR(Table1[[#This Row],[Progres Keg. Umum
(%)]]*Table1[[#This Row],[Nilai RAB Jaringan
(file pa aji)]],0)</f>
        <v>0</v>
      </c>
      <c r="CR274" s="350">
        <f>IFERROR(Table1[[#This Row],[Progres MOS
(%)]]*Table1[[#This Row],[Nilai RAB Jaringan
(file pa aji)]],0)</f>
        <v>0</v>
      </c>
      <c r="CS274" s="350">
        <f>IFERROR(Table1[[#This Row],[Progres Pemasangan
(%)]]*Table1[[#This Row],[Nilai RAB Jaringan
(file pa aji)]],0)</f>
        <v>0</v>
      </c>
      <c r="CT274" s="350">
        <f>IFERROR(Table1[[#This Row],[Progres Perizinan
(%)]]*Table1[[#This Row],[Nilai RAB Jaringan
(file pa aji)]],0)</f>
        <v>0</v>
      </c>
      <c r="CU274" s="789">
        <v>0</v>
      </c>
      <c r="CV274" s="299">
        <v>0</v>
      </c>
      <c r="CW274" s="551">
        <v>0</v>
      </c>
      <c r="CX274" s="789">
        <f>_xlfn.XLOOKUP(Table1[[#This Row],[Kode Program]],'[1]Breakdown VOWD Greenfield'!$E:$E,'[1]Breakdown VOWD Greenfield'!$AT:$AT)</f>
        <v>0</v>
      </c>
      <c r="CY274" s="42"/>
      <c r="CZ274" s="356">
        <v>45803</v>
      </c>
      <c r="DA274" s="356">
        <v>45830</v>
      </c>
      <c r="DB274" s="358">
        <v>45782</v>
      </c>
      <c r="DC274" s="337" t="s">
        <v>2158</v>
      </c>
      <c r="DD274" s="345">
        <v>271645743</v>
      </c>
      <c r="DE2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4" s="358">
        <v>45790</v>
      </c>
      <c r="DG274" s="337" t="s">
        <v>2159</v>
      </c>
      <c r="DH274" s="345">
        <v>271645743</v>
      </c>
      <c r="DI274" s="337"/>
      <c r="DJ274" s="356">
        <v>45831</v>
      </c>
      <c r="DK274" s="356">
        <v>45900</v>
      </c>
      <c r="DL274" s="358">
        <v>45811</v>
      </c>
      <c r="DM274" s="337" t="s">
        <v>2160</v>
      </c>
      <c r="DN274" s="352"/>
      <c r="DO274" s="358">
        <v>45876</v>
      </c>
      <c r="DP274" s="337" t="s">
        <v>2161</v>
      </c>
      <c r="DQ274" s="336" t="s">
        <v>371</v>
      </c>
      <c r="DR274" s="352"/>
      <c r="DS274" s="356">
        <v>45831</v>
      </c>
      <c r="DT274" s="356" t="e">
        <v>#N/A</v>
      </c>
      <c r="DU274" s="356">
        <v>45872</v>
      </c>
      <c r="DV274" s="356" t="e">
        <v>#N/A</v>
      </c>
      <c r="DW274" s="358">
        <v>45811</v>
      </c>
      <c r="DX274" s="466" t="s">
        <v>2162</v>
      </c>
      <c r="DY274" s="412"/>
      <c r="DZ274" s="412"/>
      <c r="EA274" s="352"/>
      <c r="EB274" s="358"/>
      <c r="EC274" s="412"/>
      <c r="ED274" s="412"/>
      <c r="EE274" s="356"/>
      <c r="EF274" s="341"/>
      <c r="EG274" s="341"/>
      <c r="EH274" s="337"/>
      <c r="EI27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4" s="356">
        <v>45873</v>
      </c>
      <c r="EK274" s="356" t="e">
        <v>#N/A</v>
      </c>
      <c r="EL274" s="356">
        <v>45928</v>
      </c>
      <c r="EM274" s="356" t="e">
        <v>#N/A</v>
      </c>
      <c r="EN274" s="358"/>
      <c r="EO274" s="412"/>
      <c r="EP274" s="337"/>
      <c r="EQ274" s="341"/>
      <c r="ER274" s="341"/>
      <c r="ES274" s="337"/>
      <c r="ET2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4" s="42"/>
      <c r="EV274" s="356">
        <v>45831</v>
      </c>
      <c r="EW274" s="356" t="e">
        <v>#N/A</v>
      </c>
      <c r="EX274" s="356">
        <v>45928</v>
      </c>
      <c r="EY274" s="356" t="e">
        <v>#N/A</v>
      </c>
      <c r="EZ274" s="354" t="s">
        <v>298</v>
      </c>
      <c r="FA274" s="355" t="s">
        <v>389</v>
      </c>
      <c r="FB274" s="356" t="s">
        <v>260</v>
      </c>
      <c r="FC274" s="300"/>
      <c r="FD274" s="356" t="s">
        <v>260</v>
      </c>
      <c r="FE274" s="356">
        <v>45895</v>
      </c>
      <c r="FF274" s="356">
        <v>45919</v>
      </c>
      <c r="FG274" s="356" t="s">
        <v>260</v>
      </c>
      <c r="FH274" s="356" t="s">
        <v>260</v>
      </c>
      <c r="FI274" s="356">
        <v>46010</v>
      </c>
      <c r="FJ274" s="356" t="s">
        <v>260</v>
      </c>
      <c r="FK274" s="356">
        <v>46112</v>
      </c>
      <c r="FL274" s="413" t="s">
        <v>298</v>
      </c>
      <c r="FM274" s="413"/>
      <c r="FN274" s="335" t="str">
        <f>IF(Table1[[#This Row],[Tanggal Pengajuan Dokumen]]="","",Table1[[#This Row],[PLAN PERMIT
start]]-Table1[[#This Row],[Tanggal Pengajuan Dokumen]])</f>
        <v/>
      </c>
      <c r="FO274" s="414">
        <v>46086</v>
      </c>
      <c r="FP274" s="337"/>
      <c r="FQ274" s="336"/>
      <c r="FR274" s="336"/>
      <c r="FS274" s="336" t="str">
        <f t="shared" si="14"/>
        <v>On Going</v>
      </c>
      <c r="FT27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4" s="357">
        <f ca="1">IF(Table1[[#This Row],[Status Izin]]="Selesai",Table1[[#This Row],[PLAN PERMIT
finish]]-Table1[[#This Row],[Tanggal Terbit/ Target Izin Terbit]],ROUNDUP(Table1[[#This Row],[PLAN PERMIT
finish]]-NOW(),0))</f>
        <v>-276</v>
      </c>
      <c r="FV27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4" s="357"/>
      <c r="FX274" s="42"/>
      <c r="FY274" s="310"/>
      <c r="FZ274" s="311"/>
      <c r="GA2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4" s="356">
        <v>45902</v>
      </c>
      <c r="GC274" s="467">
        <v>45961</v>
      </c>
      <c r="GD27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4" s="356">
        <v>45909</v>
      </c>
      <c r="GF274" s="467">
        <v>45961</v>
      </c>
      <c r="GG27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4" s="356">
        <v>45915</v>
      </c>
      <c r="GI274" s="356">
        <v>45921</v>
      </c>
      <c r="GJ274" s="354">
        <v>45973</v>
      </c>
      <c r="GK27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4" s="356">
        <v>45929</v>
      </c>
      <c r="GM274" s="356" t="e">
        <v>#N/A</v>
      </c>
      <c r="GN274" s="356">
        <v>45942</v>
      </c>
      <c r="GO274" s="356" t="e">
        <v>#N/A</v>
      </c>
      <c r="GP274" s="356"/>
      <c r="GQ27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4" s="356" t="s">
        <v>261</v>
      </c>
      <c r="GS274" s="356" t="s">
        <v>261</v>
      </c>
      <c r="GT274" s="360"/>
      <c r="GU274" s="357" t="str">
        <f>IF(Table1[[#This Row],[Hydro Tes Actual
(tanggal)]]&lt;&gt;"","Sudah","Belum")</f>
        <v>Belum</v>
      </c>
      <c r="GV274" s="356" t="s">
        <v>261</v>
      </c>
      <c r="GW274" s="356" t="s">
        <v>261</v>
      </c>
      <c r="GX274" s="358"/>
      <c r="GY274" s="357" t="str">
        <f>IF(Table1[[#This Row],[Interkoneksi Actual
(tanggal)]]&lt;&gt;"","Sudah","Belum")</f>
        <v>Belum</v>
      </c>
      <c r="GZ274" s="356" t="s">
        <v>261</v>
      </c>
      <c r="HA274" s="356" t="s">
        <v>261</v>
      </c>
      <c r="HB274" s="358"/>
      <c r="HC274" s="357" t="str">
        <f>IF(Table1[[#This Row],[Flushing Actual
(tanggal)]]&lt;&gt;"","Sudah","Belum")</f>
        <v>Belum</v>
      </c>
      <c r="HD274" s="356">
        <v>45929</v>
      </c>
      <c r="HE274" s="356" t="e">
        <v>#N/A</v>
      </c>
      <c r="HF274" s="356">
        <v>45942</v>
      </c>
      <c r="HG274" s="354"/>
      <c r="HH27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4" s="356" t="s">
        <v>261</v>
      </c>
      <c r="HJ274" s="356" t="s">
        <v>261</v>
      </c>
      <c r="HK274" s="358"/>
      <c r="HL274" s="337"/>
      <c r="HM274" s="356">
        <v>45947</v>
      </c>
      <c r="HN274" s="356">
        <v>45947</v>
      </c>
      <c r="HO274" s="356" t="e">
        <v>#N/A</v>
      </c>
      <c r="HP274" s="356"/>
      <c r="HQ274" s="358"/>
      <c r="HR27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4" s="356">
        <v>45954</v>
      </c>
      <c r="HT274" s="356"/>
      <c r="HU274" s="356">
        <v>45954</v>
      </c>
      <c r="HV274" s="356"/>
      <c r="HW274" s="358"/>
      <c r="HX27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4" s="42"/>
      <c r="HZ274" s="354" t="s">
        <v>2134</v>
      </c>
      <c r="IA274" s="354" t="s">
        <v>2163</v>
      </c>
      <c r="IC274" s="585">
        <f>IFERROR(ROUND((Table1[[#This Row],[PLAN TC
finish]]-Table1[[#This Row],[PLAN MC-0
start]])/30,2),"")</f>
        <v>0.9</v>
      </c>
      <c r="ID274">
        <f>DATEDIF(Table1[[#This Row],[PLAN MC-0
start]],Table1[[#This Row],[PLAN TC
finish]],"m")</f>
        <v>0</v>
      </c>
    </row>
    <row r="275" spans="1:238" s="4" customFormat="1" ht="15" customHeight="1" x14ac:dyDescent="0.25">
      <c r="B275" s="281">
        <f>SUBTOTAL(3,$D$5:D275)</f>
        <v>271</v>
      </c>
      <c r="C275" s="286">
        <v>271</v>
      </c>
      <c r="D275" s="308" t="s">
        <v>244</v>
      </c>
      <c r="E275" s="308" t="s">
        <v>2164</v>
      </c>
      <c r="F275" s="308" t="s">
        <v>2165</v>
      </c>
      <c r="G275" s="319">
        <v>46117</v>
      </c>
      <c r="H275" s="308" t="s">
        <v>681</v>
      </c>
      <c r="I275" s="308" t="s">
        <v>278</v>
      </c>
      <c r="J275" s="450" t="s">
        <v>1830</v>
      </c>
      <c r="K275" s="308" t="s">
        <v>1165</v>
      </c>
      <c r="L275" s="286" t="s">
        <v>250</v>
      </c>
      <c r="M275" s="325" t="s">
        <v>269</v>
      </c>
      <c r="N275" s="94">
        <v>190</v>
      </c>
      <c r="O275" s="31" t="s">
        <v>252</v>
      </c>
      <c r="P27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75" s="35">
        <v>1.0000000000000002</v>
      </c>
      <c r="S275" s="34">
        <v>1</v>
      </c>
      <c r="T275" s="34">
        <f>Table1[[#This Row],[Progres Total Aktual
(%)]]</f>
        <v>1</v>
      </c>
      <c r="U275" s="85">
        <f>Table1[[#This Row],[Progres Aktual
(%)]]-Table1[[#This Row],[Target Progres
(%)]]</f>
        <v>0</v>
      </c>
      <c r="V275" s="75">
        <f>Table1[[#This Row],["Volume
BA MC-0"]]</f>
        <v>184.4</v>
      </c>
      <c r="W275" s="41">
        <f>Table1[[#This Row],[Total Panjang Pipa Aktual
(Sum-&gt;)3]]</f>
        <v>94.7</v>
      </c>
      <c r="X275" s="42"/>
      <c r="Y275" s="62" t="s">
        <v>2166</v>
      </c>
      <c r="Z275" s="62">
        <v>314811380</v>
      </c>
      <c r="AA275" s="62">
        <f>ROUND((Table1[[#This Row],[Nilai RAB Jaringan
(Exclude Ppn)]]-Table1[[#This Row],[RAB Perizinan]])*1.11+Table1[[#This Row],[RAB Perizinan]],0)</f>
        <v>314811380</v>
      </c>
      <c r="AB275" s="456">
        <f>SUM(Table1[[#This Row],[RAB Kegiatan Umum]:[RAB Perizinan]])</f>
        <v>283802143.69999999</v>
      </c>
      <c r="AC275" s="406">
        <v>20426473.699999999</v>
      </c>
      <c r="AD275" s="406">
        <v>204264737</v>
      </c>
      <c r="AE275" s="406">
        <v>57210933</v>
      </c>
      <c r="AF275" s="406">
        <v>1900000</v>
      </c>
      <c r="AG275" s="453">
        <v>31605580</v>
      </c>
      <c r="AH275" s="33">
        <f>SUM(Table1[[#This Row],[Bobot Keg Umum]:[Bobot Perizinan]])</f>
        <v>1</v>
      </c>
      <c r="AI275" s="33">
        <f>Table1[[#This Row],[RAB Kegiatan Umum]]/Table1[[#This Row],[Nilai RAB Jaringan
(Exclude Ppn)]]</f>
        <v>7.1974346048605975E-2</v>
      </c>
      <c r="AJ275" s="33">
        <f>Table1[[#This Row],[RAB Pemasangan]]/Table1[[#This Row],[Nilai RAB Jaringan
(Exclude Ppn)]]</f>
        <v>0.71974346048605975</v>
      </c>
      <c r="AK275" s="33">
        <f>Table1[[#This Row],[RAB Pengadaan]]/Table1[[#This Row],[Nilai RAB Jaringan
(Exclude Ppn)]]</f>
        <v>0.20158738850287269</v>
      </c>
      <c r="AL275" s="33">
        <f>Table1[[#This Row],[RAB Perizinan]]/Table1[[#This Row],[Nilai RAB Jaringan
(Exclude Ppn)]]</f>
        <v>6.6948049624615995E-3</v>
      </c>
      <c r="AM275" s="42"/>
      <c r="AN275" s="256">
        <f>59+109.4+16</f>
        <v>184.4</v>
      </c>
      <c r="AO275" s="256">
        <f>SUM(Table1[[#This Row],[Pipa 63 mm]:[Pipa 1,800 mm]])</f>
        <v>0</v>
      </c>
      <c r="AP275" s="256"/>
      <c r="AQ275" s="256"/>
      <c r="AR275" s="256"/>
      <c r="AS275" s="256"/>
      <c r="AT275" s="256"/>
      <c r="AU275" s="256"/>
      <c r="AV275" s="256"/>
      <c r="AW275" s="256"/>
      <c r="AX275" s="256"/>
      <c r="AY275" s="256"/>
      <c r="AZ275" s="256"/>
      <c r="BA275" s="256"/>
      <c r="BB275" s="256"/>
      <c r="BC275" s="256"/>
      <c r="BD275" s="256"/>
      <c r="BE275" s="256"/>
      <c r="BF275" s="256"/>
      <c r="BG275" s="256"/>
      <c r="BH275" s="256"/>
      <c r="BI275" s="256"/>
      <c r="BJ275" s="36">
        <f>SUM(Table1[[#This Row],[Pipa 63 mm2]:[Pipa 1,800 mm21]])</f>
        <v>94.7</v>
      </c>
      <c r="BK275" s="32">
        <v>94.7</v>
      </c>
      <c r="BL275" s="32"/>
      <c r="BM275" s="32"/>
      <c r="BN275" s="32"/>
      <c r="BO275" s="32"/>
      <c r="BP275" s="32"/>
      <c r="BQ275" s="32"/>
      <c r="BR275" s="32"/>
      <c r="BS275" s="32"/>
      <c r="BT275" s="32"/>
      <c r="BU275" s="32"/>
      <c r="BV275" s="32"/>
      <c r="BW275" s="32"/>
      <c r="BX275" s="32"/>
      <c r="BY275" s="32"/>
      <c r="BZ275" s="32"/>
      <c r="CA275" s="32"/>
      <c r="CB275" s="32"/>
      <c r="CC275" s="32"/>
      <c r="CD275" s="32"/>
      <c r="CE275" s="32">
        <v>0</v>
      </c>
      <c r="CF275" s="32"/>
      <c r="CG275" s="32"/>
      <c r="CH275" s="32"/>
      <c r="CI275" s="32">
        <f t="shared" si="13"/>
        <v>0</v>
      </c>
      <c r="CJ275" s="60">
        <f>IF((Table1[[#This Row],["Volume
BA MC-0"]]-Table1[[#This Row],[Total Panjang Pipa Aktual
(Sum-&gt;)3]]-Table1[[#This Row],[Total Volume
tidak dapat dipasang]])&gt;=0,Table1[[#This Row],["Volume
BA MC-0"]]-Table1[[#This Row],[Total Panjang Pipa Aktual
(Sum-&gt;)3]]-Table1[[#This Row],[Total Volume
tidak dapat dipasang]],0)</f>
        <v>89.7</v>
      </c>
      <c r="CK275" s="42"/>
      <c r="CL275" s="35" t="s">
        <v>1821</v>
      </c>
      <c r="CM275" s="35" t="s">
        <v>1821</v>
      </c>
      <c r="CN275" s="35" t="s">
        <v>1821</v>
      </c>
      <c r="CO275" s="35" t="s">
        <v>1821</v>
      </c>
      <c r="CP2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5" s="61">
        <f>IFERROR(Table1[[#This Row],[Progres Keg. Umum
(%)]]*Table1[[#This Row],[Nilai RAB Jaringan
(file pa aji)]],0)</f>
        <v>0</v>
      </c>
      <c r="CR275" s="61">
        <f>IFERROR(Table1[[#This Row],[Progres MOS
(%)]]*Table1[[#This Row],[Nilai RAB Jaringan
(file pa aji)]],0)</f>
        <v>0</v>
      </c>
      <c r="CS275" s="61">
        <f>IFERROR(Table1[[#This Row],[Progres Pemasangan
(%)]]*Table1[[#This Row],[Nilai RAB Jaringan
(file pa aji)]],0)</f>
        <v>0</v>
      </c>
      <c r="CT275" s="61">
        <f>IFERROR(Table1[[#This Row],[Progres Perizinan
(%)]]*Table1[[#This Row],[Nilai RAB Jaringan
(file pa aji)]],0)</f>
        <v>0</v>
      </c>
      <c r="CU275" s="789">
        <v>167859902</v>
      </c>
      <c r="CV275" s="299">
        <v>167859902</v>
      </c>
      <c r="CW275" s="552">
        <v>167859902</v>
      </c>
      <c r="CX275" s="789">
        <f>_xlfn.XLOOKUP(Table1[[#This Row],[Kode Program]],'[1]Breakdown VOWD Greenfield'!$E:$E,'[1]Breakdown VOWD Greenfield'!$AT:$AT)</f>
        <v>167859902</v>
      </c>
      <c r="CY275" s="42"/>
      <c r="CZ275" s="300">
        <v>45803</v>
      </c>
      <c r="DA275" s="300">
        <v>45830</v>
      </c>
      <c r="DB275" s="301">
        <v>45782</v>
      </c>
      <c r="DC275" s="286" t="s">
        <v>2167</v>
      </c>
      <c r="DD275" s="62">
        <v>314811380</v>
      </c>
      <c r="DE2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5" s="301">
        <v>45798</v>
      </c>
      <c r="DG275" s="286" t="s">
        <v>2168</v>
      </c>
      <c r="DH275" s="62">
        <v>314811380</v>
      </c>
      <c r="DI27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5" s="300">
        <v>45831</v>
      </c>
      <c r="DK275" s="300">
        <v>45900</v>
      </c>
      <c r="DL275" s="301">
        <v>45829</v>
      </c>
      <c r="DM275" s="286" t="s">
        <v>2169</v>
      </c>
      <c r="DN2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5" s="301">
        <v>45845</v>
      </c>
      <c r="DP275" s="286" t="s">
        <v>2170</v>
      </c>
      <c r="DQ275" s="308" t="s">
        <v>365</v>
      </c>
      <c r="DR2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5" s="300">
        <v>45831</v>
      </c>
      <c r="DT275" s="300" t="e">
        <v>#N/A</v>
      </c>
      <c r="DU275" s="300">
        <v>45872</v>
      </c>
      <c r="DV275" s="300" t="e">
        <v>#N/A</v>
      </c>
      <c r="DW275" s="301">
        <v>45828</v>
      </c>
      <c r="DX275" s="454" t="s">
        <v>2171</v>
      </c>
      <c r="DY275" s="302">
        <v>40</v>
      </c>
      <c r="DZ275" s="304">
        <v>40</v>
      </c>
      <c r="EA2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5" s="301">
        <v>46039</v>
      </c>
      <c r="EC275" s="302">
        <v>37</v>
      </c>
      <c r="ED275" s="302">
        <v>37</v>
      </c>
      <c r="EE275" s="395" t="s">
        <v>2172</v>
      </c>
      <c r="EF275" s="35">
        <v>1</v>
      </c>
      <c r="EG275" s="307">
        <v>1</v>
      </c>
      <c r="EH275" s="286" t="str">
        <f>IF(Table1[[#This Row],[PO Material Aktual 
(%)]]&gt;=100%,"Selesai PO = 100%",IF(Table1[[#This Row],[PO Material Aktual 
(%)]]&gt;=50%,"Proses PO &gt; 100%",IF(Table1[[#This Row],[PO Material Aktual 
(%)]]&gt;0%,"Proses PO &gt; 50%",IF(Table1[[#This Row],[PO Material Aktual 
(%)]]=0,"Belum PO = 0%"))))</f>
        <v>Selesai PO = 100%</v>
      </c>
      <c r="EI27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5" s="300">
        <v>45873</v>
      </c>
      <c r="EK275" s="300" t="e">
        <v>#N/A</v>
      </c>
      <c r="EL275" s="300">
        <v>45928</v>
      </c>
      <c r="EM275" s="300" t="e">
        <v>#N/A</v>
      </c>
      <c r="EN275" s="301">
        <v>46139</v>
      </c>
      <c r="EO275" s="302">
        <v>36</v>
      </c>
      <c r="EP275" s="595">
        <v>36</v>
      </c>
      <c r="EQ275" s="35">
        <v>0.9</v>
      </c>
      <c r="ER275" s="35">
        <f>Table1[[#This Row],[Line MOS]]/Table1[[#This Row],[Line PR]]</f>
        <v>0.9</v>
      </c>
      <c r="ES275" s="286" t="str">
        <f>IF(Table1[[#This Row],[Progres MOS]]&gt;=100%,"Selesai MOS = 100%",IF(Table1[[#This Row],[Progres MOS]]&gt;=50%,"Proses MOS &gt; 100%",IF(Table1[[#This Row],[Progres MOS]]&gt;0%,"Proses MOS &gt; 50%",IF(Table1[[#This Row],[Progres MOS]]=0,"Belum MOS = 0%"))))</f>
        <v>Proses MOS &gt; 100%</v>
      </c>
      <c r="ET2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75" s="42"/>
      <c r="EV275" s="300">
        <v>45831</v>
      </c>
      <c r="EW275" s="300" t="e">
        <v>#N/A</v>
      </c>
      <c r="EX275" s="300">
        <v>45928</v>
      </c>
      <c r="EY275" s="300" t="e">
        <v>#N/A</v>
      </c>
      <c r="EZ275" s="322" t="s">
        <v>298</v>
      </c>
      <c r="FA275" s="306" t="s">
        <v>259</v>
      </c>
      <c r="FB275" s="300" t="s">
        <v>260</v>
      </c>
      <c r="FC275" s="300"/>
      <c r="FD275" s="300" t="s">
        <v>260</v>
      </c>
      <c r="FE275" s="300">
        <v>45895</v>
      </c>
      <c r="FF275" s="300">
        <v>45919</v>
      </c>
      <c r="FG275" s="300" t="s">
        <v>260</v>
      </c>
      <c r="FH275" s="300" t="s">
        <v>260</v>
      </c>
      <c r="FI275" s="300">
        <v>46010</v>
      </c>
      <c r="FJ275" s="300" t="s">
        <v>260</v>
      </c>
      <c r="FK275" s="300">
        <v>46112</v>
      </c>
      <c r="FL275" s="306" t="s">
        <v>298</v>
      </c>
      <c r="FM275" s="306"/>
      <c r="FN275" s="284" t="str">
        <f>IF(Table1[[#This Row],[Tanggal Pengajuan Dokumen]]="","",Table1[[#This Row],[PLAN PERMIT
start]]-Table1[[#This Row],[Tanggal Pengajuan Dokumen]])</f>
        <v/>
      </c>
      <c r="FO275" s="407">
        <v>46086</v>
      </c>
      <c r="FP275" s="286"/>
      <c r="FQ275" s="308"/>
      <c r="FR275" s="308"/>
      <c r="FS275" s="308" t="str">
        <f t="shared" si="14"/>
        <v>Sudah Terbit</v>
      </c>
      <c r="FT27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75" s="314">
        <f ca="1">IF(Table1[[#This Row],[Status Izin]]="Selesai",Table1[[#This Row],[PLAN PERMIT
finish]]-Table1[[#This Row],[Tanggal Terbit/ Target Izin Terbit]],ROUNDUP(Table1[[#This Row],[PLAN PERMIT
finish]]-NOW(),0))</f>
        <v>-158</v>
      </c>
      <c r="FV27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5" s="314"/>
      <c r="FX275" s="42"/>
      <c r="FY275" s="310"/>
      <c r="FZ275" s="311"/>
      <c r="GA2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5" s="300">
        <v>45902</v>
      </c>
      <c r="GC275" s="408">
        <v>45961</v>
      </c>
      <c r="GD27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5" s="300">
        <v>45909</v>
      </c>
      <c r="GF275" s="408">
        <v>45961</v>
      </c>
      <c r="GG27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5" s="300">
        <v>45915</v>
      </c>
      <c r="GI275" s="300">
        <v>45921</v>
      </c>
      <c r="GJ275" s="322">
        <v>45973</v>
      </c>
      <c r="GK27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5" s="300">
        <v>45929</v>
      </c>
      <c r="GM275" s="300" t="e">
        <v>#N/A</v>
      </c>
      <c r="GN275" s="300">
        <v>45942</v>
      </c>
      <c r="GO275" s="300" t="e">
        <v>#N/A</v>
      </c>
      <c r="GP275" s="300"/>
      <c r="GQ27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5" s="300" t="s">
        <v>261</v>
      </c>
      <c r="GS275" s="300" t="s">
        <v>261</v>
      </c>
      <c r="GT275" s="324">
        <v>46015</v>
      </c>
      <c r="GU275" s="314" t="str">
        <f>IF(Table1[[#This Row],[Hydro Tes Actual
(tanggal)]]&lt;&gt;"","Sudah","Belum")</f>
        <v>Sudah</v>
      </c>
      <c r="GV275" s="300" t="s">
        <v>261</v>
      </c>
      <c r="GW275" s="300" t="s">
        <v>261</v>
      </c>
      <c r="GX275" s="301">
        <v>46015</v>
      </c>
      <c r="GY275" s="314" t="str">
        <f>IF(Table1[[#This Row],[Interkoneksi Actual
(tanggal)]]&lt;&gt;"","Sudah","Belum")</f>
        <v>Sudah</v>
      </c>
      <c r="GZ275" s="300" t="s">
        <v>261</v>
      </c>
      <c r="HA275" s="300" t="s">
        <v>261</v>
      </c>
      <c r="HB275" s="301">
        <v>46059</v>
      </c>
      <c r="HC275" s="314" t="str">
        <f>IF(Table1[[#This Row],[Flushing Actual
(tanggal)]]&lt;&gt;"","Sudah","Belum")</f>
        <v>Sudah</v>
      </c>
      <c r="HD275" s="300">
        <v>45929</v>
      </c>
      <c r="HE275" s="300" t="e">
        <v>#N/A</v>
      </c>
      <c r="HF275" s="300">
        <v>45942</v>
      </c>
      <c r="HG275" s="322">
        <v>46065</v>
      </c>
      <c r="HH27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5" s="300" t="s">
        <v>261</v>
      </c>
      <c r="HJ275" s="300" t="s">
        <v>261</v>
      </c>
      <c r="HK275" s="301"/>
      <c r="HL275" s="286"/>
      <c r="HM275" s="300">
        <v>45947</v>
      </c>
      <c r="HN275" s="300">
        <v>45947</v>
      </c>
      <c r="HO275" s="300" t="e">
        <v>#N/A</v>
      </c>
      <c r="HP275" s="300"/>
      <c r="HQ275" s="301">
        <v>46098</v>
      </c>
      <c r="HR27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75" s="300">
        <v>45954</v>
      </c>
      <c r="HT275" s="300"/>
      <c r="HU275" s="300">
        <v>45954</v>
      </c>
      <c r="HV275" s="300"/>
      <c r="HW275" s="301">
        <v>46099</v>
      </c>
      <c r="HX27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75" s="42"/>
      <c r="HZ275" s="322"/>
      <c r="IA275" s="322"/>
      <c r="IC275" s="585">
        <f>IFERROR(ROUND((Table1[[#This Row],[PLAN TC
finish]]-Table1[[#This Row],[PLAN MC-0
start]])/30,2),"")</f>
        <v>0.9</v>
      </c>
      <c r="ID275">
        <f>DATEDIF(Table1[[#This Row],[PLAN MC-0
start]],Table1[[#This Row],[PLAN TC
finish]],"m")</f>
        <v>0</v>
      </c>
    </row>
    <row r="276" spans="1:238" s="4" customFormat="1" ht="15" customHeight="1" x14ac:dyDescent="0.25">
      <c r="B276" s="281">
        <f>SUBTOTAL(3,$D$5:D276)</f>
        <v>272</v>
      </c>
      <c r="C276" s="286">
        <v>272</v>
      </c>
      <c r="D276" s="308" t="s">
        <v>244</v>
      </c>
      <c r="E276" s="308" t="s">
        <v>2173</v>
      </c>
      <c r="F276" s="308" t="s">
        <v>2174</v>
      </c>
      <c r="G276" s="319">
        <v>46117</v>
      </c>
      <c r="H276" s="308" t="s">
        <v>681</v>
      </c>
      <c r="I276" s="308" t="s">
        <v>278</v>
      </c>
      <c r="J276" s="450" t="s">
        <v>1818</v>
      </c>
      <c r="K276" s="308" t="s">
        <v>1165</v>
      </c>
      <c r="L276" s="286" t="s">
        <v>250</v>
      </c>
      <c r="M276" s="325" t="s">
        <v>269</v>
      </c>
      <c r="N276" s="94">
        <v>265</v>
      </c>
      <c r="O276" s="31" t="s">
        <v>252</v>
      </c>
      <c r="P27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6" s="35">
        <v>0.99999999999999978</v>
      </c>
      <c r="S276" s="34">
        <v>1</v>
      </c>
      <c r="T276" s="34">
        <f>Table1[[#This Row],[Progres Total Aktual
(%)]]</f>
        <v>0.48661565000229057</v>
      </c>
      <c r="U276" s="85">
        <f>Table1[[#This Row],[Progres Aktual
(%)]]-Table1[[#This Row],[Target Progres
(%)]]</f>
        <v>-0.51338434999770943</v>
      </c>
      <c r="V276" s="75">
        <f>Table1[[#This Row],["Volume
BA MC-0"]]</f>
        <v>268.2</v>
      </c>
      <c r="W276" s="41">
        <f>Table1[[#This Row],[Total Panjang Pipa Aktual
(Sum-&gt;)3]]</f>
        <v>251</v>
      </c>
      <c r="X276" s="42"/>
      <c r="Y276" s="62" t="s">
        <v>2175</v>
      </c>
      <c r="Z276" s="62">
        <v>562633602</v>
      </c>
      <c r="AA276" s="62">
        <f>ROUND((Table1[[#This Row],[Nilai RAB Jaringan
(Exclude Ppn)]]-Table1[[#This Row],[RAB Perizinan]])*1.11+Table1[[#This Row],[RAB Perizinan]],0)</f>
        <v>555821264</v>
      </c>
      <c r="AB276" s="456">
        <f>SUM(Table1[[#This Row],[RAB Kegiatan Umum]:[RAB Perizinan]])</f>
        <v>501002490</v>
      </c>
      <c r="AC276" s="406">
        <v>35314553</v>
      </c>
      <c r="AD276" s="406">
        <v>353145529</v>
      </c>
      <c r="AE276" s="406">
        <v>109892408</v>
      </c>
      <c r="AF276" s="406">
        <v>2650000</v>
      </c>
      <c r="AG276" s="453">
        <v>88495623</v>
      </c>
      <c r="AH276" s="33">
        <f>SUM(Table1[[#This Row],[Bobot Keg Umum]:[Bobot Perizinan]])</f>
        <v>1</v>
      </c>
      <c r="AI276" s="33">
        <f>Table1[[#This Row],[RAB Kegiatan Umum]]/Table1[[#This Row],[Nilai RAB Jaringan
(Exclude Ppn)]]</f>
        <v>7.0487779412034463E-2</v>
      </c>
      <c r="AJ276" s="33">
        <f>Table1[[#This Row],[RAB Pemasangan]]/Table1[[#This Row],[Nilai RAB Jaringan
(Exclude Ppn)]]</f>
        <v>0.70487779212434654</v>
      </c>
      <c r="AK276" s="33">
        <f>Table1[[#This Row],[RAB Pengadaan]]/Table1[[#This Row],[Nilai RAB Jaringan
(Exclude Ppn)]]</f>
        <v>0.2193450335945436</v>
      </c>
      <c r="AL276" s="33">
        <f>Table1[[#This Row],[RAB Perizinan]]/Table1[[#This Row],[Nilai RAB Jaringan
(Exclude Ppn)]]</f>
        <v>5.2893948690754013E-3</v>
      </c>
      <c r="AM276" s="42"/>
      <c r="AN276" s="256">
        <v>268.2</v>
      </c>
      <c r="AO276" s="256">
        <f>SUM(Table1[[#This Row],[Pipa 63 mm]:[Pipa 1,800 mm]])</f>
        <v>0</v>
      </c>
      <c r="AP276" s="256"/>
      <c r="AQ276" s="256"/>
      <c r="AR276" s="256"/>
      <c r="AS276" s="256"/>
      <c r="AT276" s="256"/>
      <c r="AU276" s="256"/>
      <c r="AV276" s="256"/>
      <c r="AW276" s="256"/>
      <c r="AX276" s="256"/>
      <c r="AY276" s="256"/>
      <c r="AZ276" s="256"/>
      <c r="BA276" s="256"/>
      <c r="BB276" s="256"/>
      <c r="BC276" s="256"/>
      <c r="BD276" s="256"/>
      <c r="BE276" s="256"/>
      <c r="BF276" s="256"/>
      <c r="BG276" s="256"/>
      <c r="BH276" s="256"/>
      <c r="BI276" s="256"/>
      <c r="BJ276" s="36">
        <f>SUM(Table1[[#This Row],[Pipa 63 mm2]:[Pipa 1,800 mm21]])</f>
        <v>251</v>
      </c>
      <c r="BK276" s="32">
        <v>251</v>
      </c>
      <c r="BL276" s="32"/>
      <c r="BM276" s="32"/>
      <c r="BN276" s="32"/>
      <c r="BO276" s="32"/>
      <c r="BP276" s="32"/>
      <c r="BQ276" s="32"/>
      <c r="BR276" s="32"/>
      <c r="BS276" s="32"/>
      <c r="BT276" s="32"/>
      <c r="BU276" s="32"/>
      <c r="BV276" s="32"/>
      <c r="BW276" s="32"/>
      <c r="BX276" s="32"/>
      <c r="BY276" s="32"/>
      <c r="BZ276" s="32"/>
      <c r="CA276" s="32"/>
      <c r="CB276" s="32"/>
      <c r="CC276" s="32"/>
      <c r="CD276" s="32"/>
      <c r="CE276" s="32">
        <v>0</v>
      </c>
      <c r="CF276" s="32"/>
      <c r="CG276" s="32"/>
      <c r="CH276" s="32"/>
      <c r="CI276" s="32">
        <f t="shared" si="13"/>
        <v>0</v>
      </c>
      <c r="CJ276" s="60">
        <f>IF((Table1[[#This Row],["Volume
BA MC-0"]]-Table1[[#This Row],[Total Panjang Pipa Aktual
(Sum-&gt;)3]]-Table1[[#This Row],[Total Volume
tidak dapat dipasang]])&gt;=0,Table1[[#This Row],["Volume
BA MC-0"]]-Table1[[#This Row],[Total Panjang Pipa Aktual
(Sum-&gt;)3]]-Table1[[#This Row],[Total Volume
tidak dapat dipasang]],0)</f>
        <v>17.199999999999989</v>
      </c>
      <c r="CK276" s="42"/>
      <c r="CL276" s="454" t="s">
        <v>1821</v>
      </c>
      <c r="CM276" s="34" t="s">
        <v>1821</v>
      </c>
      <c r="CN276" s="454" t="s">
        <v>1821</v>
      </c>
      <c r="CO276" s="454" t="s">
        <v>1821</v>
      </c>
      <c r="CP2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0.48661565000229057</v>
      </c>
      <c r="CQ276" s="61">
        <f>IFERROR(Table1[[#This Row],[Progres Keg. Umum
(%)]]*Table1[[#This Row],[Nilai RAB Jaringan
(file pa aji)]],0)</f>
        <v>0</v>
      </c>
      <c r="CR276" s="61">
        <f>IFERROR(Table1[[#This Row],[Progres MOS
(%)]]*Table1[[#This Row],[Nilai RAB Jaringan
(file pa aji)]],0)</f>
        <v>0</v>
      </c>
      <c r="CS276" s="61">
        <f>IFERROR(Table1[[#This Row],[Progres Pemasangan
(%)]]*Table1[[#This Row],[Nilai RAB Jaringan
(file pa aji)]],0)</f>
        <v>0</v>
      </c>
      <c r="CT276" s="61">
        <f>IFERROR(Table1[[#This Row],[Progres Perizinan
(%)]]*Table1[[#This Row],[Nilai RAB Jaringan
(file pa aji)]],0)</f>
        <v>0</v>
      </c>
      <c r="CU276" s="789">
        <v>270471325.66645473</v>
      </c>
      <c r="CV276" s="299">
        <v>270471325.66645473</v>
      </c>
      <c r="CW276" s="552">
        <v>0</v>
      </c>
      <c r="CX276" s="789">
        <f>_xlfn.XLOOKUP(Table1[[#This Row],[Kode Program]],'[1]Breakdown VOWD Greenfield'!$E:$E,'[1]Breakdown VOWD Greenfield'!$AT:$AT)</f>
        <v>0</v>
      </c>
      <c r="CY276" s="42"/>
      <c r="CZ276" s="300">
        <v>45803</v>
      </c>
      <c r="DA276" s="300">
        <v>45830</v>
      </c>
      <c r="DB276" s="301">
        <v>45782</v>
      </c>
      <c r="DC276" s="286" t="s">
        <v>2176</v>
      </c>
      <c r="DD276" s="62">
        <v>562633602</v>
      </c>
      <c r="DE2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6" s="301">
        <v>45783</v>
      </c>
      <c r="DG276" s="286" t="s">
        <v>2177</v>
      </c>
      <c r="DH276" s="62">
        <v>562633602</v>
      </c>
      <c r="DI27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6" s="300">
        <v>45831</v>
      </c>
      <c r="DK276" s="300">
        <v>45900</v>
      </c>
      <c r="DL276" s="301">
        <v>45839</v>
      </c>
      <c r="DM276" s="286" t="s">
        <v>2178</v>
      </c>
      <c r="DN2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6" s="301">
        <v>45888</v>
      </c>
      <c r="DP276" s="286" t="s">
        <v>2179</v>
      </c>
      <c r="DQ276" s="308" t="s">
        <v>312</v>
      </c>
      <c r="DR2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6" s="300">
        <v>45831</v>
      </c>
      <c r="DT276" s="300" t="e">
        <v>#N/A</v>
      </c>
      <c r="DU276" s="300">
        <v>45872</v>
      </c>
      <c r="DV276" s="300" t="e">
        <v>#N/A</v>
      </c>
      <c r="DW276" s="301">
        <v>45839</v>
      </c>
      <c r="DX276" s="454" t="s">
        <v>2180</v>
      </c>
      <c r="DY276" s="304">
        <v>20</v>
      </c>
      <c r="DZ276" s="304">
        <v>20</v>
      </c>
      <c r="EA2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6" s="301"/>
      <c r="EC276" s="302">
        <v>19</v>
      </c>
      <c r="ED276" s="302">
        <v>19</v>
      </c>
      <c r="EE276" s="300"/>
      <c r="EF276" s="35">
        <v>0.95</v>
      </c>
      <c r="EG276" s="35">
        <f>Table1[[#This Row],[Line PO (kolom  bantu)2]]/Table1[[#This Row],[Line PR]]</f>
        <v>0.95</v>
      </c>
      <c r="EH276" s="286" t="str">
        <f>IF(Table1[[#This Row],[PO Material Aktual 
(%)]]&gt;=100%,"Selesai PO = 100%",IF(Table1[[#This Row],[PO Material Aktual 
(%)]]&gt;=50%,"Proses PO &gt; 100%",IF(Table1[[#This Row],[PO Material Aktual 
(%)]]&gt;0%,"Proses PO &gt; 50%",IF(Table1[[#This Row],[PO Material Aktual 
(%)]]=0,"Belum PO = 0%"))))</f>
        <v>Proses PO &gt; 100%</v>
      </c>
      <c r="EI27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6" s="300">
        <v>45873</v>
      </c>
      <c r="EK276" s="300" t="e">
        <v>#N/A</v>
      </c>
      <c r="EL276" s="300">
        <v>45928</v>
      </c>
      <c r="EM276" s="300" t="e">
        <v>#N/A</v>
      </c>
      <c r="EN276" s="301"/>
      <c r="EO276" s="302">
        <v>19</v>
      </c>
      <c r="EP276" s="286">
        <v>19</v>
      </c>
      <c r="EQ276" s="35">
        <v>0.95</v>
      </c>
      <c r="ER276" s="35">
        <f>Table1[[#This Row],[Line MOS]]/Table1[[#This Row],[Line PR]]</f>
        <v>0.95</v>
      </c>
      <c r="ES276" s="286" t="str">
        <f>IF(Table1[[#This Row],[Progres MOS]]&gt;=100%,"Selesai MOS = 100%",IF(Table1[[#This Row],[Progres MOS]]&gt;=50%,"Proses MOS &gt; 100%",IF(Table1[[#This Row],[Progres MOS]]&gt;0%,"Proses MOS &gt; 50%",IF(Table1[[#This Row],[Progres MOS]]=0,"Belum MOS = 0%"))))</f>
        <v>Proses MOS &gt; 100%</v>
      </c>
      <c r="ET2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6" s="42"/>
      <c r="EV276" s="300">
        <v>45831</v>
      </c>
      <c r="EW276" s="300" t="e">
        <v>#N/A</v>
      </c>
      <c r="EX276" s="300">
        <v>45928</v>
      </c>
      <c r="EY276" s="300" t="e">
        <v>#N/A</v>
      </c>
      <c r="EZ276" s="322" t="s">
        <v>298</v>
      </c>
      <c r="FA276" s="306" t="s">
        <v>298</v>
      </c>
      <c r="FB276" s="300" t="s">
        <v>260</v>
      </c>
      <c r="FC276" s="300"/>
      <c r="FD276" s="300" t="s">
        <v>260</v>
      </c>
      <c r="FE276" s="300">
        <v>45915</v>
      </c>
      <c r="FF276" s="300">
        <v>45958</v>
      </c>
      <c r="FG276" s="300" t="s">
        <v>260</v>
      </c>
      <c r="FH276" s="300" t="s">
        <v>260</v>
      </c>
      <c r="FI276" s="300">
        <v>46006</v>
      </c>
      <c r="FJ276" s="300" t="s">
        <v>260</v>
      </c>
      <c r="FK276" s="300"/>
      <c r="FL276" s="306" t="s">
        <v>298</v>
      </c>
      <c r="FM276" s="306"/>
      <c r="FN276" s="284" t="str">
        <f>IF(Table1[[#This Row],[Tanggal Pengajuan Dokumen]]="","",Table1[[#This Row],[PLAN PERMIT
start]]-Table1[[#This Row],[Tanggal Pengajuan Dokumen]])</f>
        <v/>
      </c>
      <c r="FO276" s="407">
        <v>46086</v>
      </c>
      <c r="FP276" s="286"/>
      <c r="FQ276" s="308"/>
      <c r="FR276" s="308"/>
      <c r="FS276" s="308" t="str">
        <f t="shared" si="14"/>
        <v>On Going</v>
      </c>
      <c r="FT27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6" s="314">
        <f ca="1">IF(Table1[[#This Row],[Status Izin]]="Selesai",Table1[[#This Row],[PLAN PERMIT
finish]]-Table1[[#This Row],[Tanggal Terbit/ Target Izin Terbit]],ROUNDUP(Table1[[#This Row],[PLAN PERMIT
finish]]-NOW(),0))</f>
        <v>-276</v>
      </c>
      <c r="FV27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6" s="314"/>
      <c r="FX276" s="42"/>
      <c r="FY276" s="310"/>
      <c r="FZ276" s="311"/>
      <c r="GA2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6" s="300">
        <v>45902</v>
      </c>
      <c r="GC276" s="408">
        <v>45961</v>
      </c>
      <c r="GD27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6" s="300">
        <v>45909</v>
      </c>
      <c r="GF276" s="408">
        <v>45961</v>
      </c>
      <c r="GG27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6" s="300">
        <v>45915</v>
      </c>
      <c r="GI276" s="300">
        <v>45921</v>
      </c>
      <c r="GJ276" s="322">
        <v>45973</v>
      </c>
      <c r="GK27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6" s="300">
        <v>45929</v>
      </c>
      <c r="GM276" s="300" t="e">
        <v>#N/A</v>
      </c>
      <c r="GN276" s="300">
        <v>45942</v>
      </c>
      <c r="GO276" s="300" t="e">
        <v>#N/A</v>
      </c>
      <c r="GP276" s="300"/>
      <c r="GQ27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6" s="300" t="s">
        <v>261</v>
      </c>
      <c r="GS276" s="300" t="s">
        <v>261</v>
      </c>
      <c r="GT276" s="324">
        <v>46163</v>
      </c>
      <c r="GU276" s="314" t="str">
        <f>IF(Table1[[#This Row],[Hydro Tes Actual
(tanggal)]]&lt;&gt;"","Sudah","Belum")</f>
        <v>Sudah</v>
      </c>
      <c r="GV276" s="300" t="s">
        <v>261</v>
      </c>
      <c r="GW276" s="300" t="s">
        <v>261</v>
      </c>
      <c r="GX276" s="301">
        <v>46175</v>
      </c>
      <c r="GY276" s="314" t="str">
        <f>IF(Table1[[#This Row],[Interkoneksi Actual
(tanggal)]]&lt;&gt;"","Sudah","Belum")</f>
        <v>Sudah</v>
      </c>
      <c r="GZ276" s="300" t="s">
        <v>261</v>
      </c>
      <c r="HA276" s="300" t="s">
        <v>261</v>
      </c>
      <c r="HB276" s="301"/>
      <c r="HC276" s="314" t="str">
        <f>IF(Table1[[#This Row],[Flushing Actual
(tanggal)]]&lt;&gt;"","Sudah","Belum")</f>
        <v>Belum</v>
      </c>
      <c r="HD276" s="300">
        <v>45929</v>
      </c>
      <c r="HE276" s="300" t="e">
        <v>#N/A</v>
      </c>
      <c r="HF276" s="300">
        <v>45942</v>
      </c>
      <c r="HG276" s="322"/>
      <c r="HH27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6" s="300" t="s">
        <v>261</v>
      </c>
      <c r="HJ276" s="300" t="s">
        <v>261</v>
      </c>
      <c r="HK276" s="301"/>
      <c r="HL276" s="286"/>
      <c r="HM276" s="300">
        <v>45947</v>
      </c>
      <c r="HN276" s="300">
        <v>45947</v>
      </c>
      <c r="HO276" s="300">
        <v>46202</v>
      </c>
      <c r="HP276" s="300"/>
      <c r="HQ276" s="301"/>
      <c r="HR27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6" s="300">
        <v>45954</v>
      </c>
      <c r="HT276" s="300"/>
      <c r="HU276" s="300">
        <v>45954</v>
      </c>
      <c r="HV276" s="300">
        <v>46206</v>
      </c>
      <c r="HW276" s="301"/>
      <c r="HX27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6" s="42"/>
      <c r="HZ276" s="322"/>
      <c r="IA276" s="322"/>
      <c r="IC276" s="585">
        <f>IFERROR(ROUND((Table1[[#This Row],[PLAN TC
finish]]-Table1[[#This Row],[PLAN MC-0
start]])/30,2),"")</f>
        <v>0.9</v>
      </c>
      <c r="ID276">
        <f>DATEDIF(Table1[[#This Row],[PLAN MC-0
start]],Table1[[#This Row],[PLAN TC
finish]],"m")</f>
        <v>0</v>
      </c>
    </row>
    <row r="277" spans="1:238" s="4" customFormat="1" ht="15" customHeight="1" x14ac:dyDescent="0.25">
      <c r="B277" s="281">
        <f>SUBTOTAL(3,$D$5:D277)</f>
        <v>273</v>
      </c>
      <c r="C277" s="286">
        <v>273</v>
      </c>
      <c r="D277" s="308" t="s">
        <v>244</v>
      </c>
      <c r="E277" s="308" t="s">
        <v>2181</v>
      </c>
      <c r="F277" s="308" t="s">
        <v>2182</v>
      </c>
      <c r="G277" s="319">
        <v>46117</v>
      </c>
      <c r="H277" s="308" t="s">
        <v>681</v>
      </c>
      <c r="I277" s="308" t="s">
        <v>278</v>
      </c>
      <c r="J277" s="450" t="s">
        <v>1818</v>
      </c>
      <c r="K277" s="308" t="s">
        <v>1165</v>
      </c>
      <c r="L277" s="286" t="s">
        <v>250</v>
      </c>
      <c r="M277" s="325" t="s">
        <v>269</v>
      </c>
      <c r="N277" s="94">
        <v>697</v>
      </c>
      <c r="O277" s="31" t="s">
        <v>252</v>
      </c>
      <c r="P27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77" s="35">
        <v>0.99999999999999989</v>
      </c>
      <c r="S277" s="34">
        <v>1</v>
      </c>
      <c r="T277" s="34">
        <f>Table1[[#This Row],[Progres Total Aktual
(%)]]</f>
        <v>0.44299125948442286</v>
      </c>
      <c r="U277" s="85">
        <f>Table1[[#This Row],[Progres Aktual
(%)]]-Table1[[#This Row],[Target Progres
(%)]]</f>
        <v>-0.55700874051557714</v>
      </c>
      <c r="V277" s="75">
        <f>Table1[[#This Row],["Volume
BA MC-0"]]</f>
        <v>687.5</v>
      </c>
      <c r="W277" s="41">
        <f>Table1[[#This Row],[Total Panjang Pipa Aktual
(Sum-&gt;)3]]</f>
        <v>719</v>
      </c>
      <c r="X277" s="42"/>
      <c r="Y277" s="62" t="s">
        <v>2183</v>
      </c>
      <c r="Z277" s="62">
        <v>2899780730</v>
      </c>
      <c r="AA277" s="62">
        <f>ROUND((Table1[[#This Row],[Nilai RAB Jaringan
(Exclude Ppn)]]-Table1[[#This Row],[RAB Perizinan]])*1.11+Table1[[#This Row],[RAB Perizinan]],0)</f>
        <v>2899780729</v>
      </c>
      <c r="AB277" s="456">
        <f>SUM(Table1[[#This Row],[RAB Kegiatan Umum]:[RAB Perizinan]])</f>
        <v>2613799486</v>
      </c>
      <c r="AC277" s="406">
        <v>204988135</v>
      </c>
      <c r="AD277" s="406">
        <v>2049881342</v>
      </c>
      <c r="AE277" s="406">
        <v>344960009</v>
      </c>
      <c r="AF277" s="406">
        <v>13970000</v>
      </c>
      <c r="AG277" s="453">
        <v>2107039</v>
      </c>
      <c r="AH277" s="33">
        <f>SUM(Table1[[#This Row],[Bobot Keg Umum]:[Bobot Perizinan]])</f>
        <v>1</v>
      </c>
      <c r="AI277" s="33">
        <f>Table1[[#This Row],[RAB Kegiatan Umum]]/Table1[[#This Row],[Nilai RAB Jaringan
(Exclude Ppn)]]</f>
        <v>7.8425348270957609E-2</v>
      </c>
      <c r="AJ277" s="33">
        <f>Table1[[#This Row],[RAB Pemasangan]]/Table1[[#This Row],[Nilai RAB Jaringan
(Exclude Ppn)]]</f>
        <v>0.78425347964889758</v>
      </c>
      <c r="AK277" s="33">
        <f>Table1[[#This Row],[RAB Pengadaan]]/Table1[[#This Row],[Nilai RAB Jaringan
(Exclude Ppn)]]</f>
        <v>0.13197646217610434</v>
      </c>
      <c r="AL277" s="33">
        <f>Table1[[#This Row],[RAB Perizinan]]/Table1[[#This Row],[Nilai RAB Jaringan
(Exclude Ppn)]]</f>
        <v>5.3447099040404358E-3</v>
      </c>
      <c r="AM277" s="42"/>
      <c r="AN277" s="256">
        <v>687.5</v>
      </c>
      <c r="AO277" s="256">
        <f>SUM(Table1[[#This Row],[Pipa 63 mm]:[Pipa 1,800 mm]])</f>
        <v>0</v>
      </c>
      <c r="AP277" s="256"/>
      <c r="AQ277" s="256"/>
      <c r="AR277" s="256"/>
      <c r="AS277" s="256"/>
      <c r="AT277" s="256"/>
      <c r="AU277" s="256"/>
      <c r="AV277" s="256"/>
      <c r="AW277" s="256"/>
      <c r="AX277" s="256"/>
      <c r="AY277" s="256"/>
      <c r="AZ277" s="256"/>
      <c r="BA277" s="256"/>
      <c r="BB277" s="256"/>
      <c r="BC277" s="256"/>
      <c r="BD277" s="256"/>
      <c r="BE277" s="256"/>
      <c r="BF277" s="256"/>
      <c r="BG277" s="256"/>
      <c r="BH277" s="256"/>
      <c r="BI277" s="256"/>
      <c r="BJ277" s="36">
        <f>SUM(Table1[[#This Row],[Pipa 63 mm2]:[Pipa 1,800 mm21]])</f>
        <v>719</v>
      </c>
      <c r="BK277" s="32"/>
      <c r="BL277" s="32"/>
      <c r="BM277" s="32"/>
      <c r="BN277" s="32">
        <v>719</v>
      </c>
      <c r="BO277" s="32"/>
      <c r="BP277" s="32"/>
      <c r="BQ277" s="32"/>
      <c r="BR277" s="32"/>
      <c r="BS277" s="32"/>
      <c r="BT277" s="32"/>
      <c r="BU277" s="32"/>
      <c r="BV277" s="32"/>
      <c r="BW277" s="32"/>
      <c r="BX277" s="32"/>
      <c r="BY277" s="32"/>
      <c r="BZ277" s="32"/>
      <c r="CA277" s="32"/>
      <c r="CB277" s="32"/>
      <c r="CC277" s="32"/>
      <c r="CD277" s="32"/>
      <c r="CE277" s="32">
        <v>0</v>
      </c>
      <c r="CF277" s="32"/>
      <c r="CG277" s="32"/>
      <c r="CH277" s="32"/>
      <c r="CI277" s="32">
        <f t="shared" si="13"/>
        <v>0</v>
      </c>
      <c r="CJ277" s="60">
        <f>IF((Table1[[#This Row],["Volume
BA MC-0"]]-Table1[[#This Row],[Total Panjang Pipa Aktual
(Sum-&gt;)3]]-Table1[[#This Row],[Total Volume
tidak dapat dipasang]])&gt;=0,Table1[[#This Row],["Volume
BA MC-0"]]-Table1[[#This Row],[Total Panjang Pipa Aktual
(Sum-&gt;)3]]-Table1[[#This Row],[Total Volume
tidak dapat dipasang]],0)</f>
        <v>0</v>
      </c>
      <c r="CK277" s="42"/>
      <c r="CL277" s="35" t="s">
        <v>1821</v>
      </c>
      <c r="CM277" s="35" t="s">
        <v>1821</v>
      </c>
      <c r="CN277" s="35" t="s">
        <v>1821</v>
      </c>
      <c r="CO277" s="35" t="s">
        <v>1821</v>
      </c>
      <c r="CP2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0.44299125948442286</v>
      </c>
      <c r="CQ277" s="61">
        <f>IFERROR(Table1[[#This Row],[Progres Keg. Umum
(%)]]*Table1[[#This Row],[Nilai RAB Jaringan
(file pa aji)]],0)</f>
        <v>0</v>
      </c>
      <c r="CR277" s="61">
        <f>IFERROR(Table1[[#This Row],[Progres MOS
(%)]]*Table1[[#This Row],[Nilai RAB Jaringan
(file pa aji)]],0)</f>
        <v>0</v>
      </c>
      <c r="CS277" s="61">
        <f>IFERROR(Table1[[#This Row],[Progres Pemasangan
(%)]]*Table1[[#This Row],[Nilai RAB Jaringan
(file pa aji)]],0)</f>
        <v>0</v>
      </c>
      <c r="CT277" s="61">
        <f>IFERROR(Table1[[#This Row],[Progres Perizinan
(%)]]*Table1[[#This Row],[Nilai RAB Jaringan
(file pa aji)]],0)</f>
        <v>0</v>
      </c>
      <c r="CU277" s="789">
        <v>1284577517.3683679</v>
      </c>
      <c r="CV277" s="299">
        <v>1284577517.3683679</v>
      </c>
      <c r="CW277" s="552">
        <v>0</v>
      </c>
      <c r="CX277" s="789">
        <f>_xlfn.XLOOKUP(Table1[[#This Row],[Kode Program]],'[1]Breakdown VOWD Greenfield'!$E:$E,'[1]Breakdown VOWD Greenfield'!$AT:$AT)</f>
        <v>0</v>
      </c>
      <c r="CY277" s="42"/>
      <c r="CZ277" s="300">
        <v>45866</v>
      </c>
      <c r="DA277" s="300">
        <v>45893</v>
      </c>
      <c r="DB277" s="301">
        <v>45783</v>
      </c>
      <c r="DC277" s="286" t="s">
        <v>2184</v>
      </c>
      <c r="DD277" s="62">
        <v>2899780730</v>
      </c>
      <c r="DE2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7" s="301">
        <v>45803</v>
      </c>
      <c r="DG277" s="286" t="s">
        <v>2185</v>
      </c>
      <c r="DH277" s="62">
        <v>2899780730</v>
      </c>
      <c r="DI27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7" s="300">
        <v>45894</v>
      </c>
      <c r="DK277" s="300">
        <v>45956</v>
      </c>
      <c r="DL277" s="301">
        <v>45836</v>
      </c>
      <c r="DM277" s="286" t="s">
        <v>2186</v>
      </c>
      <c r="DN2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7" s="301">
        <v>45989</v>
      </c>
      <c r="DP277" s="286" t="s">
        <v>2187</v>
      </c>
      <c r="DQ277" s="308" t="s">
        <v>365</v>
      </c>
      <c r="DR2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77" s="300">
        <v>45894</v>
      </c>
      <c r="DT277" s="300" t="e">
        <v>#N/A</v>
      </c>
      <c r="DU277" s="300">
        <v>45935</v>
      </c>
      <c r="DV277" s="300" t="e">
        <v>#N/A</v>
      </c>
      <c r="DW277" s="301">
        <v>45836</v>
      </c>
      <c r="DX277" s="286" t="s">
        <v>2188</v>
      </c>
      <c r="DY277" s="304">
        <v>53</v>
      </c>
      <c r="DZ277" s="304">
        <v>53</v>
      </c>
      <c r="EA2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7" s="301"/>
      <c r="EC277" s="302">
        <v>46</v>
      </c>
      <c r="ED277" s="302">
        <v>46</v>
      </c>
      <c r="EE277" s="300"/>
      <c r="EF277" s="35">
        <v>0.86792452830188682</v>
      </c>
      <c r="EG277" s="35">
        <f>Table1[[#This Row],[Line PO (kolom  bantu)2]]/Table1[[#This Row],[Line PR]]</f>
        <v>0.86792452830188682</v>
      </c>
      <c r="EH277" s="286" t="str">
        <f>IF(Table1[[#This Row],[PO Material Aktual 
(%)]]&gt;=100%,"Selesai PO = 100%",IF(Table1[[#This Row],[PO Material Aktual 
(%)]]&gt;=50%,"Proses PO &gt; 100%",IF(Table1[[#This Row],[PO Material Aktual 
(%)]]&gt;0%,"Proses PO &gt; 50%",IF(Table1[[#This Row],[PO Material Aktual 
(%)]]=0,"Belum PO = 0%"))))</f>
        <v>Proses PO &gt; 100%</v>
      </c>
      <c r="EI27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7" s="300">
        <v>45936</v>
      </c>
      <c r="EK277" s="300" t="e">
        <v>#N/A</v>
      </c>
      <c r="EL277" s="300">
        <v>45984</v>
      </c>
      <c r="EM277" s="300" t="e">
        <v>#N/A</v>
      </c>
      <c r="EN277" s="301"/>
      <c r="EO277" s="302">
        <v>46</v>
      </c>
      <c r="EP277" s="286">
        <v>46</v>
      </c>
      <c r="EQ277" s="35">
        <v>0.86792452830188682</v>
      </c>
      <c r="ER277" s="35">
        <f>Table1[[#This Row],[Line MOS]]/Table1[[#This Row],[Line PR]]</f>
        <v>0.86792452830188682</v>
      </c>
      <c r="ES277" s="286" t="str">
        <f>IF(Table1[[#This Row],[Progres MOS]]&gt;=100%,"Selesai MOS = 100%",IF(Table1[[#This Row],[Progres MOS]]&gt;=50%,"Proses MOS &gt; 100%",IF(Table1[[#This Row],[Progres MOS]]&gt;0%,"Proses MOS &gt; 50%",IF(Table1[[#This Row],[Progres MOS]]=0,"Belum MOS = 0%"))))</f>
        <v>Proses MOS &gt; 100%</v>
      </c>
      <c r="ET2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7" s="42"/>
      <c r="EV277" s="300">
        <v>45894</v>
      </c>
      <c r="EW277" s="300" t="e">
        <v>#N/A</v>
      </c>
      <c r="EX277" s="300">
        <v>45984</v>
      </c>
      <c r="EY277" s="300" t="e">
        <v>#N/A</v>
      </c>
      <c r="EZ277" s="322" t="s">
        <v>298</v>
      </c>
      <c r="FA277" s="306" t="s">
        <v>298</v>
      </c>
      <c r="FB277" s="300" t="s">
        <v>260</v>
      </c>
      <c r="FC277" s="300"/>
      <c r="FD277" s="300" t="s">
        <v>260</v>
      </c>
      <c r="FE277" s="300">
        <v>45915</v>
      </c>
      <c r="FF277" s="300">
        <v>45958</v>
      </c>
      <c r="FG277" s="300" t="s">
        <v>260</v>
      </c>
      <c r="FH277" s="300" t="s">
        <v>260</v>
      </c>
      <c r="FI277" s="300">
        <v>46006</v>
      </c>
      <c r="FJ277" s="300" t="s">
        <v>260</v>
      </c>
      <c r="FK277" s="300"/>
      <c r="FL277" s="306" t="s">
        <v>298</v>
      </c>
      <c r="FM277" s="306"/>
      <c r="FN277" s="284" t="str">
        <f>IF(Table1[[#This Row],[Tanggal Pengajuan Dokumen]]="","",Table1[[#This Row],[PLAN PERMIT
start]]-Table1[[#This Row],[Tanggal Pengajuan Dokumen]])</f>
        <v/>
      </c>
      <c r="FO277" s="407">
        <v>46086</v>
      </c>
      <c r="FP277" s="286"/>
      <c r="FQ277" s="308"/>
      <c r="FR277" s="308"/>
      <c r="FS277" s="308" t="str">
        <f t="shared" si="14"/>
        <v>On Going</v>
      </c>
      <c r="FT27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7" s="314">
        <f ca="1">IF(Table1[[#This Row],[Status Izin]]="Selesai",Table1[[#This Row],[PLAN PERMIT
finish]]-Table1[[#This Row],[Tanggal Terbit/ Target Izin Terbit]],ROUNDUP(Table1[[#This Row],[PLAN PERMIT
finish]]-NOW(),0))</f>
        <v>-220</v>
      </c>
      <c r="FV27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7" s="314"/>
      <c r="FX277" s="42"/>
      <c r="FY277" s="310"/>
      <c r="FZ277" s="311"/>
      <c r="GA2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7" s="300">
        <v>45958</v>
      </c>
      <c r="GC277" s="322">
        <v>45922</v>
      </c>
      <c r="GD27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77" s="300">
        <v>45965</v>
      </c>
      <c r="GF277" s="322">
        <v>45922</v>
      </c>
      <c r="GG27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77" s="300">
        <v>45971</v>
      </c>
      <c r="GI277" s="300">
        <v>45977</v>
      </c>
      <c r="GJ277" s="408">
        <v>45952</v>
      </c>
      <c r="GK27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77" s="300">
        <v>45985</v>
      </c>
      <c r="GM277" s="300" t="e">
        <v>#N/A</v>
      </c>
      <c r="GN277" s="300">
        <v>46005</v>
      </c>
      <c r="GO277" s="300" t="e">
        <v>#N/A</v>
      </c>
      <c r="GP277" s="300"/>
      <c r="GQ27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7" s="300" t="s">
        <v>261</v>
      </c>
      <c r="GS277" s="300" t="s">
        <v>261</v>
      </c>
      <c r="GT277" s="458" t="s">
        <v>2189</v>
      </c>
      <c r="GU277" s="314" t="str">
        <f>IF(Table1[[#This Row],[Hydro Tes Actual
(tanggal)]]&lt;&gt;"","Sudah","Belum")</f>
        <v>Sudah</v>
      </c>
      <c r="GV277" s="300" t="s">
        <v>261</v>
      </c>
      <c r="GW277" s="300" t="s">
        <v>261</v>
      </c>
      <c r="GX277" s="301">
        <v>46092</v>
      </c>
      <c r="GY277" s="314" t="str">
        <f>IF(Table1[[#This Row],[Interkoneksi Actual
(tanggal)]]&lt;&gt;"","Sudah","Belum")</f>
        <v>Sudah</v>
      </c>
      <c r="GZ277" s="300" t="s">
        <v>261</v>
      </c>
      <c r="HA277" s="300" t="s">
        <v>261</v>
      </c>
      <c r="HB277" s="301"/>
      <c r="HC277" s="314" t="str">
        <f>IF(Table1[[#This Row],[Flushing Actual
(tanggal)]]&lt;&gt;"","Sudah","Belum")</f>
        <v>Belum</v>
      </c>
      <c r="HD277" s="300">
        <v>45992</v>
      </c>
      <c r="HE277" s="300" t="e">
        <v>#N/A</v>
      </c>
      <c r="HF277" s="300">
        <v>46005</v>
      </c>
      <c r="HG277" s="322"/>
      <c r="HH27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7" s="300" t="s">
        <v>261</v>
      </c>
      <c r="HJ277" s="300" t="s">
        <v>261</v>
      </c>
      <c r="HK277" s="301"/>
      <c r="HL277" s="286"/>
      <c r="HM277" s="300">
        <v>46010</v>
      </c>
      <c r="HN277" s="300">
        <v>46010</v>
      </c>
      <c r="HO277" s="300">
        <v>46201</v>
      </c>
      <c r="HP277" s="300"/>
      <c r="HQ277" s="301"/>
      <c r="HR27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7" s="300">
        <v>46017</v>
      </c>
      <c r="HT277" s="300"/>
      <c r="HU277" s="300">
        <v>46017</v>
      </c>
      <c r="HV277" s="300">
        <v>46206</v>
      </c>
      <c r="HW277" s="301"/>
      <c r="HX27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7" s="42"/>
      <c r="HZ277" s="322"/>
      <c r="IA277" s="322" t="s">
        <v>2190</v>
      </c>
      <c r="IC277" s="585">
        <f>IFERROR(ROUND((Table1[[#This Row],[PLAN TC
finish]]-Table1[[#This Row],[PLAN MC-0
start]])/30,2),"")</f>
        <v>1.1299999999999999</v>
      </c>
      <c r="ID277">
        <f>DATEDIF(Table1[[#This Row],[PLAN MC-0
start]],Table1[[#This Row],[PLAN TC
finish]],"m")</f>
        <v>1</v>
      </c>
    </row>
    <row r="278" spans="1:238" s="30" customFormat="1" ht="15" customHeight="1" x14ac:dyDescent="0.25">
      <c r="A278" s="72"/>
      <c r="B278" s="281">
        <f>SUBTOTAL(3,$D$5:D278)</f>
        <v>274</v>
      </c>
      <c r="C278" s="337">
        <v>274</v>
      </c>
      <c r="D278" s="336" t="s">
        <v>244</v>
      </c>
      <c r="E278" s="336" t="s">
        <v>2191</v>
      </c>
      <c r="F278" s="336" t="s">
        <v>2192</v>
      </c>
      <c r="G278" s="334">
        <v>46117</v>
      </c>
      <c r="H278" s="336" t="s">
        <v>681</v>
      </c>
      <c r="I278" s="336" t="s">
        <v>278</v>
      </c>
      <c r="J278" s="355" t="s">
        <v>389</v>
      </c>
      <c r="K278" s="336" t="s">
        <v>1165</v>
      </c>
      <c r="L278" s="337" t="s">
        <v>250</v>
      </c>
      <c r="M278" s="362" t="s">
        <v>269</v>
      </c>
      <c r="N278" s="338">
        <v>138</v>
      </c>
      <c r="O278" s="339" t="s">
        <v>252</v>
      </c>
      <c r="P278"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8" s="355" t="s">
        <v>389</v>
      </c>
      <c r="R278" s="341">
        <v>0.99999999999999978</v>
      </c>
      <c r="S278" s="34">
        <v>1</v>
      </c>
      <c r="T278" s="459">
        <f>Table1[[#This Row],[Progres Total Aktual
(%)]]</f>
        <v>0</v>
      </c>
      <c r="U278" s="460">
        <f>Table1[[#This Row],[Progres Aktual
(%)]]-Table1[[#This Row],[Target Progres
(%)]]</f>
        <v>-1</v>
      </c>
      <c r="V278" s="461">
        <f>Table1[[#This Row],["Volume
BA MC-0"]]</f>
        <v>0</v>
      </c>
      <c r="W278" s="462">
        <f>Table1[[#This Row],[Total Panjang Pipa Aktual
(Sum-&gt;)3]]</f>
        <v>0</v>
      </c>
      <c r="X278" s="42"/>
      <c r="Y278" s="345" t="s">
        <v>2193</v>
      </c>
      <c r="Z278" s="345">
        <v>235229615</v>
      </c>
      <c r="AA278" s="345">
        <f>ROUND((Table1[[#This Row],[Nilai RAB Jaringan
(Exclude Ppn)]]-Table1[[#This Row],[RAB Perizinan]])*1.11+Table1[[#This Row],[RAB Perizinan]],0)</f>
        <v>231527815</v>
      </c>
      <c r="AB278" s="463">
        <f>SUM(Table1[[#This Row],[RAB Kegiatan Umum]:[RAB Perizinan]])</f>
        <v>208720374</v>
      </c>
      <c r="AC278" s="409">
        <v>14677885</v>
      </c>
      <c r="AD278" s="409">
        <v>146778846</v>
      </c>
      <c r="AE278" s="409">
        <v>45883643</v>
      </c>
      <c r="AF278" s="409">
        <v>1380000</v>
      </c>
      <c r="AG278" s="464">
        <v>46354850</v>
      </c>
      <c r="AH278" s="465">
        <f>SUM(Table1[[#This Row],[Bobot Keg Umum]:[Bobot Perizinan]])</f>
        <v>1</v>
      </c>
      <c r="AI278" s="465">
        <f>Table1[[#This Row],[RAB Kegiatan Umum]]/Table1[[#This Row],[Nilai RAB Jaringan
(Exclude Ppn)]]</f>
        <v>7.0323201893074422E-2</v>
      </c>
      <c r="AJ278" s="465">
        <f>Table1[[#This Row],[RAB Pemasangan]]/Table1[[#This Row],[Nilai RAB Jaringan
(Exclude Ppn)]]</f>
        <v>0.70323199976634765</v>
      </c>
      <c r="AK278" s="465">
        <f>Table1[[#This Row],[RAB Pengadaan]]/Table1[[#This Row],[Nilai RAB Jaringan
(Exclude Ppn)]]</f>
        <v>0.21983308155628353</v>
      </c>
      <c r="AL278" s="465">
        <f>Table1[[#This Row],[RAB Perizinan]]/Table1[[#This Row],[Nilai RAB Jaringan
(Exclude Ppn)]]</f>
        <v>6.6117167842943787E-3</v>
      </c>
      <c r="AM278" s="42"/>
      <c r="AN278" s="346">
        <v>0</v>
      </c>
      <c r="AO278" s="346">
        <f>SUM(Table1[[#This Row],[Pipa 63 mm]:[Pipa 1,800 mm]])</f>
        <v>0</v>
      </c>
      <c r="AP278" s="346"/>
      <c r="AQ278" s="346"/>
      <c r="AR278" s="346"/>
      <c r="AS278" s="346"/>
      <c r="AT278" s="346"/>
      <c r="AU278" s="346"/>
      <c r="AV278" s="346"/>
      <c r="AW278" s="346"/>
      <c r="AX278" s="346"/>
      <c r="AY278" s="346"/>
      <c r="AZ278" s="346"/>
      <c r="BA278" s="346"/>
      <c r="BB278" s="346"/>
      <c r="BC278" s="346"/>
      <c r="BD278" s="346"/>
      <c r="BE278" s="346"/>
      <c r="BF278" s="346"/>
      <c r="BG278" s="346"/>
      <c r="BH278" s="346"/>
      <c r="BI278" s="346"/>
      <c r="BJ278" s="347">
        <f>SUM(Table1[[#This Row],[Pipa 63 mm2]:[Pipa 1,800 mm21]])</f>
        <v>0</v>
      </c>
      <c r="BK278" s="348"/>
      <c r="BL278" s="348"/>
      <c r="BM278" s="348"/>
      <c r="BN278" s="348"/>
      <c r="BO278" s="348"/>
      <c r="BP278" s="348"/>
      <c r="BQ278" s="348"/>
      <c r="BR278" s="348"/>
      <c r="BS278" s="348"/>
      <c r="BT278" s="348"/>
      <c r="BU278" s="348"/>
      <c r="BV278" s="348"/>
      <c r="BW278" s="348"/>
      <c r="BX278" s="348"/>
      <c r="BY278" s="348"/>
      <c r="BZ278" s="348"/>
      <c r="CA278" s="348"/>
      <c r="CB278" s="348"/>
      <c r="CC278" s="348"/>
      <c r="CD278" s="348"/>
      <c r="CE278" s="348">
        <v>0</v>
      </c>
      <c r="CF278" s="348"/>
      <c r="CG278" s="348"/>
      <c r="CH278" s="348"/>
      <c r="CI278" s="348">
        <f t="shared" si="13"/>
        <v>0</v>
      </c>
      <c r="CJ278" s="410">
        <f>IF((Table1[[#This Row],["Volume
BA MC-0"]]-Table1[[#This Row],[Total Panjang Pipa Aktual
(Sum-&gt;)3]]-Table1[[#This Row],[Total Volume
tidak dapat dipasang]])&gt;=0,Table1[[#This Row],["Volume
BA MC-0"]]-Table1[[#This Row],[Total Panjang Pipa Aktual
(Sum-&gt;)3]]-Table1[[#This Row],[Total Volume
tidak dapat dipasang]],0)</f>
        <v>0</v>
      </c>
      <c r="CK278" s="42"/>
      <c r="CL278" s="466" t="s">
        <v>1821</v>
      </c>
      <c r="CM278" s="459" t="s">
        <v>1821</v>
      </c>
      <c r="CN278" s="466" t="s">
        <v>1821</v>
      </c>
      <c r="CO278" s="466" t="s">
        <v>1821</v>
      </c>
      <c r="CP278"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78" s="350">
        <f>IFERROR(Table1[[#This Row],[Progres Keg. Umum
(%)]]*Table1[[#This Row],[Nilai RAB Jaringan
(file pa aji)]],0)</f>
        <v>0</v>
      </c>
      <c r="CR278" s="350">
        <f>IFERROR(Table1[[#This Row],[Progres MOS
(%)]]*Table1[[#This Row],[Nilai RAB Jaringan
(file pa aji)]],0)</f>
        <v>0</v>
      </c>
      <c r="CS278" s="350">
        <f>IFERROR(Table1[[#This Row],[Progres Pemasangan
(%)]]*Table1[[#This Row],[Nilai RAB Jaringan
(file pa aji)]],0)</f>
        <v>0</v>
      </c>
      <c r="CT278" s="350">
        <f>IFERROR(Table1[[#This Row],[Progres Perizinan
(%)]]*Table1[[#This Row],[Nilai RAB Jaringan
(file pa aji)]],0)</f>
        <v>0</v>
      </c>
      <c r="CU278" s="789">
        <v>0</v>
      </c>
      <c r="CV278" s="299">
        <v>0</v>
      </c>
      <c r="CW278" s="551">
        <v>0</v>
      </c>
      <c r="CX278" s="789">
        <f>_xlfn.XLOOKUP(Table1[[#This Row],[Kode Program]],'[1]Breakdown VOWD Greenfield'!$E:$E,'[1]Breakdown VOWD Greenfield'!$AT:$AT)</f>
        <v>0</v>
      </c>
      <c r="CY278" s="42"/>
      <c r="CZ278" s="356">
        <v>45838</v>
      </c>
      <c r="DA278" s="356">
        <v>45865</v>
      </c>
      <c r="DB278" s="358">
        <v>45782</v>
      </c>
      <c r="DC278" s="337" t="s">
        <v>2194</v>
      </c>
      <c r="DD278" s="345">
        <v>235229615</v>
      </c>
      <c r="DE2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8" s="358">
        <v>45783</v>
      </c>
      <c r="DG278" s="337" t="s">
        <v>2195</v>
      </c>
      <c r="DH278" s="345">
        <v>235229615</v>
      </c>
      <c r="DI278" s="337"/>
      <c r="DJ278" s="356">
        <v>45866</v>
      </c>
      <c r="DK278" s="356">
        <v>45928</v>
      </c>
      <c r="DL278" s="358">
        <v>45839</v>
      </c>
      <c r="DM278" s="337" t="s">
        <v>2196</v>
      </c>
      <c r="DN278" s="352"/>
      <c r="DO278" s="358">
        <v>45888</v>
      </c>
      <c r="DP278" s="337" t="s">
        <v>2197</v>
      </c>
      <c r="DQ278" s="336" t="s">
        <v>312</v>
      </c>
      <c r="DR278" s="352"/>
      <c r="DS278" s="356">
        <v>45866</v>
      </c>
      <c r="DT278" s="356" t="e">
        <v>#N/A</v>
      </c>
      <c r="DU278" s="356">
        <v>45907</v>
      </c>
      <c r="DV278" s="356" t="e">
        <v>#N/A</v>
      </c>
      <c r="DW278" s="358">
        <v>45836</v>
      </c>
      <c r="DX278" s="466" t="s">
        <v>2198</v>
      </c>
      <c r="DY278" s="412"/>
      <c r="DZ278" s="412"/>
      <c r="EA278" s="352"/>
      <c r="EB278" s="358"/>
      <c r="EC278" s="412"/>
      <c r="ED278" s="412"/>
      <c r="EE278" s="356"/>
      <c r="EF278" s="341"/>
      <c r="EG278" s="341"/>
      <c r="EH278" s="337"/>
      <c r="EI278"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78" s="356">
        <v>45908</v>
      </c>
      <c r="EK278" s="356" t="e">
        <v>#N/A</v>
      </c>
      <c r="EL278" s="356">
        <v>45956</v>
      </c>
      <c r="EM278" s="356" t="e">
        <v>#N/A</v>
      </c>
      <c r="EN278" s="358"/>
      <c r="EO278" s="412"/>
      <c r="EP278" s="337"/>
      <c r="EQ278" s="341"/>
      <c r="ER278" s="341"/>
      <c r="ES278" s="337"/>
      <c r="ET2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8" s="42"/>
      <c r="EV278" s="356">
        <v>45866</v>
      </c>
      <c r="EW278" s="356" t="e">
        <v>#N/A</v>
      </c>
      <c r="EX278" s="356">
        <v>45956</v>
      </c>
      <c r="EY278" s="356" t="e">
        <v>#N/A</v>
      </c>
      <c r="EZ278" s="354" t="s">
        <v>298</v>
      </c>
      <c r="FA278" s="355" t="s">
        <v>389</v>
      </c>
      <c r="FB278" s="356" t="s">
        <v>260</v>
      </c>
      <c r="FC278" s="300">
        <v>45866</v>
      </c>
      <c r="FD278" s="356" t="s">
        <v>260</v>
      </c>
      <c r="FE278" s="356">
        <v>45895</v>
      </c>
      <c r="FF278" s="356">
        <v>45971</v>
      </c>
      <c r="FG278" s="356" t="s">
        <v>260</v>
      </c>
      <c r="FH278" s="356" t="s">
        <v>260</v>
      </c>
      <c r="FI278" s="356">
        <v>46013</v>
      </c>
      <c r="FJ278" s="356" t="s">
        <v>260</v>
      </c>
      <c r="FK278" s="356">
        <v>46142</v>
      </c>
      <c r="FL278" s="413" t="s">
        <v>298</v>
      </c>
      <c r="FM278" s="413"/>
      <c r="FN278" s="335" t="str">
        <f>IF(Table1[[#This Row],[Tanggal Pengajuan Dokumen]]="","",Table1[[#This Row],[PLAN PERMIT
start]]-Table1[[#This Row],[Tanggal Pengajuan Dokumen]])</f>
        <v/>
      </c>
      <c r="FO278" s="414">
        <v>46086</v>
      </c>
      <c r="FP278" s="337"/>
      <c r="FQ278" s="336"/>
      <c r="FR278" s="336"/>
      <c r="FS278" s="336" t="str">
        <f t="shared" si="14"/>
        <v>On Going</v>
      </c>
      <c r="FT278"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8" s="357">
        <f ca="1">IF(Table1[[#This Row],[Status Izin]]="Selesai",Table1[[#This Row],[PLAN PERMIT
finish]]-Table1[[#This Row],[Tanggal Terbit/ Target Izin Terbit]],ROUNDUP(Table1[[#This Row],[PLAN PERMIT
finish]]-NOW(),0))</f>
        <v>-248</v>
      </c>
      <c r="FV278"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8" s="357"/>
      <c r="FX278" s="42"/>
      <c r="FY278" s="310"/>
      <c r="FZ278" s="311"/>
      <c r="GA2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8" s="356">
        <v>45930</v>
      </c>
      <c r="GC278" s="467">
        <v>45961</v>
      </c>
      <c r="GD278"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8" s="356">
        <v>45937</v>
      </c>
      <c r="GF278" s="467">
        <v>45961</v>
      </c>
      <c r="GG278"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8" s="356">
        <v>45943</v>
      </c>
      <c r="GI278" s="356">
        <v>45949</v>
      </c>
      <c r="GJ278" s="354">
        <v>45975</v>
      </c>
      <c r="GK278"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8" s="356">
        <v>45957</v>
      </c>
      <c r="GM278" s="356" t="e">
        <v>#N/A</v>
      </c>
      <c r="GN278" s="356">
        <v>45977</v>
      </c>
      <c r="GO278" s="356" t="e">
        <v>#N/A</v>
      </c>
      <c r="GP278" s="356"/>
      <c r="GQ278"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8" s="356" t="s">
        <v>261</v>
      </c>
      <c r="GS278" s="356" t="s">
        <v>261</v>
      </c>
      <c r="GT278" s="360"/>
      <c r="GU278" s="357" t="str">
        <f>IF(Table1[[#This Row],[Hydro Tes Actual
(tanggal)]]&lt;&gt;"","Sudah","Belum")</f>
        <v>Belum</v>
      </c>
      <c r="GV278" s="356" t="s">
        <v>261</v>
      </c>
      <c r="GW278" s="356" t="s">
        <v>261</v>
      </c>
      <c r="GX278" s="358"/>
      <c r="GY278" s="357" t="str">
        <f>IF(Table1[[#This Row],[Interkoneksi Actual
(tanggal)]]&lt;&gt;"","Sudah","Belum")</f>
        <v>Belum</v>
      </c>
      <c r="GZ278" s="356" t="s">
        <v>261</v>
      </c>
      <c r="HA278" s="356" t="s">
        <v>261</v>
      </c>
      <c r="HB278" s="358"/>
      <c r="HC278" s="357" t="str">
        <f>IF(Table1[[#This Row],[Flushing Actual
(tanggal)]]&lt;&gt;"","Sudah","Belum")</f>
        <v>Belum</v>
      </c>
      <c r="HD278" s="356">
        <v>45964</v>
      </c>
      <c r="HE278" s="356" t="e">
        <v>#N/A</v>
      </c>
      <c r="HF278" s="356">
        <v>45977</v>
      </c>
      <c r="HG278" s="354"/>
      <c r="HH278"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78" s="356" t="s">
        <v>261</v>
      </c>
      <c r="HJ278" s="356" t="s">
        <v>261</v>
      </c>
      <c r="HK278" s="358"/>
      <c r="HL278" s="337"/>
      <c r="HM278" s="356">
        <v>45982</v>
      </c>
      <c r="HN278" s="356">
        <v>45982</v>
      </c>
      <c r="HO278" s="356" t="e">
        <v>#N/A</v>
      </c>
      <c r="HP278" s="356"/>
      <c r="HQ278" s="358"/>
      <c r="HR278"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8" s="356">
        <v>45989</v>
      </c>
      <c r="HT278" s="356"/>
      <c r="HU278" s="356">
        <v>45989</v>
      </c>
      <c r="HV278" s="356"/>
      <c r="HW278" s="358"/>
      <c r="HX278"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8" s="42"/>
      <c r="HZ278" s="354" t="s">
        <v>2199</v>
      </c>
      <c r="IA278" s="354"/>
      <c r="IC278" s="585">
        <f>IFERROR(ROUND((Table1[[#This Row],[PLAN TC
finish]]-Table1[[#This Row],[PLAN MC-0
start]])/30,2),"")</f>
        <v>1.1299999999999999</v>
      </c>
      <c r="ID278">
        <f>DATEDIF(Table1[[#This Row],[PLAN MC-0
start]],Table1[[#This Row],[PLAN TC
finish]],"m")</f>
        <v>1</v>
      </c>
    </row>
    <row r="279" spans="1:238" s="4" customFormat="1" ht="15" customHeight="1" x14ac:dyDescent="0.25">
      <c r="B279" s="281">
        <f>SUBTOTAL(3,$D$5:D279)</f>
        <v>275</v>
      </c>
      <c r="C279" s="286">
        <v>275</v>
      </c>
      <c r="D279" s="308" t="s">
        <v>244</v>
      </c>
      <c r="E279" s="308" t="s">
        <v>2200</v>
      </c>
      <c r="F279" s="308" t="s">
        <v>2201</v>
      </c>
      <c r="G279" s="319">
        <v>46117</v>
      </c>
      <c r="H279" s="308" t="s">
        <v>681</v>
      </c>
      <c r="I279" s="308" t="s">
        <v>278</v>
      </c>
      <c r="J279" s="450" t="s">
        <v>1818</v>
      </c>
      <c r="K279" s="308" t="s">
        <v>1165</v>
      </c>
      <c r="L279" s="286" t="s">
        <v>250</v>
      </c>
      <c r="M279" s="325" t="s">
        <v>269</v>
      </c>
      <c r="N279" s="94">
        <v>163</v>
      </c>
      <c r="O279" s="31" t="s">
        <v>252</v>
      </c>
      <c r="P27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79" s="35">
        <v>0.99999999999999978</v>
      </c>
      <c r="S279" s="34">
        <v>1</v>
      </c>
      <c r="T279" s="34">
        <f>Table1[[#This Row],[Progres Total Aktual
(%)]]</f>
        <v>1</v>
      </c>
      <c r="U279" s="85">
        <f>Table1[[#This Row],[Progres Aktual
(%)]]-Table1[[#This Row],[Target Progres
(%)]]</f>
        <v>0</v>
      </c>
      <c r="V279" s="75">
        <f>Table1[[#This Row],["Volume
BA MC-0"]]</f>
        <v>245.3</v>
      </c>
      <c r="W279" s="41">
        <f>Table1[[#This Row],[Total Panjang Pipa Aktual
(Sum-&gt;)3]]</f>
        <v>207</v>
      </c>
      <c r="X279" s="42"/>
      <c r="Y279" s="62" t="s">
        <v>2202</v>
      </c>
      <c r="Z279" s="62">
        <v>216162043</v>
      </c>
      <c r="AA279" s="62">
        <f>ROUND((Table1[[#This Row],[Nilai RAB Jaringan
(Exclude Ppn)]]-Table1[[#This Row],[RAB Perizinan]])*1.11+Table1[[#This Row],[RAB Perizinan]],0)</f>
        <v>216162042</v>
      </c>
      <c r="AB279" s="456">
        <f>SUM(Table1[[#This Row],[RAB Kegiatan Umum]:[RAB Perizinan]])</f>
        <v>194902110</v>
      </c>
      <c r="AC279" s="406">
        <v>15974277</v>
      </c>
      <c r="AD279" s="406">
        <v>159742761</v>
      </c>
      <c r="AE279" s="406">
        <v>17555072</v>
      </c>
      <c r="AF279" s="406">
        <v>1630000</v>
      </c>
      <c r="AG279" s="453">
        <v>2107039</v>
      </c>
      <c r="AH279" s="33">
        <f>SUM(Table1[[#This Row],[Bobot Keg Umum]:[Bobot Perizinan]])</f>
        <v>1</v>
      </c>
      <c r="AI279" s="33">
        <f>Table1[[#This Row],[RAB Kegiatan Umum]]/Table1[[#This Row],[Nilai RAB Jaringan
(Exclude Ppn)]]</f>
        <v>8.1960513408500302E-2</v>
      </c>
      <c r="AJ279" s="33">
        <f>Table1[[#This Row],[RAB Pemasangan]]/Table1[[#This Row],[Nilai RAB Jaringan
(Exclude Ppn)]]</f>
        <v>0.81960508790797593</v>
      </c>
      <c r="AK279" s="33">
        <f>Table1[[#This Row],[RAB Pengadaan]]/Table1[[#This Row],[Nilai RAB Jaringan
(Exclude Ppn)]]</f>
        <v>9.0071226011868219E-2</v>
      </c>
      <c r="AL279" s="33">
        <f>Table1[[#This Row],[RAB Perizinan]]/Table1[[#This Row],[Nilai RAB Jaringan
(Exclude Ppn)]]</f>
        <v>8.3631726716555301E-3</v>
      </c>
      <c r="AM279" s="42"/>
      <c r="AN279" s="256">
        <f>222.8+22.5</f>
        <v>245.3</v>
      </c>
      <c r="AO279" s="256">
        <f>SUM(Table1[[#This Row],[Pipa 63 mm]:[Pipa 1,800 mm]])</f>
        <v>0</v>
      </c>
      <c r="AP279" s="256"/>
      <c r="AQ279" s="256"/>
      <c r="AR279" s="256"/>
      <c r="AS279" s="256"/>
      <c r="AT279" s="256"/>
      <c r="AU279" s="256"/>
      <c r="AV279" s="256"/>
      <c r="AW279" s="256"/>
      <c r="AX279" s="256"/>
      <c r="AY279" s="256"/>
      <c r="AZ279" s="256"/>
      <c r="BA279" s="256"/>
      <c r="BB279" s="256"/>
      <c r="BC279" s="256"/>
      <c r="BD279" s="256"/>
      <c r="BE279" s="256"/>
      <c r="BF279" s="256"/>
      <c r="BG279" s="256"/>
      <c r="BH279" s="256"/>
      <c r="BI279" s="256"/>
      <c r="BJ279" s="36">
        <f>SUM(Table1[[#This Row],[Pipa 63 mm2]:[Pipa 1,800 mm21]])</f>
        <v>207</v>
      </c>
      <c r="BK279" s="32">
        <v>207</v>
      </c>
      <c r="BL279" s="32"/>
      <c r="BM279" s="32"/>
      <c r="BN279" s="32"/>
      <c r="BO279" s="32"/>
      <c r="BP279" s="32"/>
      <c r="BQ279" s="32"/>
      <c r="BR279" s="32"/>
      <c r="BS279" s="32"/>
      <c r="BT279" s="32"/>
      <c r="BU279" s="32"/>
      <c r="BV279" s="32"/>
      <c r="BW279" s="32"/>
      <c r="BX279" s="32"/>
      <c r="BY279" s="32"/>
      <c r="BZ279" s="32"/>
      <c r="CA279" s="32"/>
      <c r="CB279" s="32"/>
      <c r="CC279" s="32"/>
      <c r="CD279" s="32"/>
      <c r="CE279" s="32">
        <v>0</v>
      </c>
      <c r="CF279" s="32"/>
      <c r="CG279" s="32"/>
      <c r="CH279" s="32"/>
      <c r="CI279" s="32">
        <f t="shared" si="13"/>
        <v>0</v>
      </c>
      <c r="CJ279" s="60">
        <f>IF((Table1[[#This Row],["Volume
BA MC-0"]]-Table1[[#This Row],[Total Panjang Pipa Aktual
(Sum-&gt;)3]]-Table1[[#This Row],[Total Volume
tidak dapat dipasang]])&gt;=0,Table1[[#This Row],["Volume
BA MC-0"]]-Table1[[#This Row],[Total Panjang Pipa Aktual
(Sum-&gt;)3]]-Table1[[#This Row],[Total Volume
tidak dapat dipasang]],0)</f>
        <v>38.300000000000011</v>
      </c>
      <c r="CK279" s="42"/>
      <c r="CL279" s="35" t="s">
        <v>1821</v>
      </c>
      <c r="CM279" s="35" t="s">
        <v>1821</v>
      </c>
      <c r="CN279" s="35" t="s">
        <v>1821</v>
      </c>
      <c r="CO279" s="35" t="s">
        <v>1821</v>
      </c>
      <c r="CP2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79" s="61">
        <f>IFERROR(Table1[[#This Row],[Progres Keg. Umum
(%)]]*Table1[[#This Row],[Nilai RAB Jaringan
(file pa aji)]],0)</f>
        <v>0</v>
      </c>
      <c r="CR279" s="61">
        <f>IFERROR(Table1[[#This Row],[Progres MOS
(%)]]*Table1[[#This Row],[Nilai RAB Jaringan
(file pa aji)]],0)</f>
        <v>0</v>
      </c>
      <c r="CS279" s="61">
        <f>IFERROR(Table1[[#This Row],[Progres Pemasangan
(%)]]*Table1[[#This Row],[Nilai RAB Jaringan
(file pa aji)]],0)</f>
        <v>0</v>
      </c>
      <c r="CT279" s="61">
        <f>IFERROR(Table1[[#This Row],[Progres Perizinan
(%)]]*Table1[[#This Row],[Nilai RAB Jaringan
(file pa aji)]],0)</f>
        <v>0</v>
      </c>
      <c r="CU279" s="789">
        <v>233898462</v>
      </c>
      <c r="CV279" s="299">
        <v>233898462</v>
      </c>
      <c r="CW279" s="552">
        <v>233898462</v>
      </c>
      <c r="CX279" s="789">
        <f>_xlfn.XLOOKUP(Table1[[#This Row],[Kode Program]],'[1]Breakdown VOWD Greenfield'!$E:$E,'[1]Breakdown VOWD Greenfield'!$AT:$AT)</f>
        <v>233898462</v>
      </c>
      <c r="CY279" s="42"/>
      <c r="CZ279" s="300">
        <v>45838</v>
      </c>
      <c r="DA279" s="300">
        <v>45865</v>
      </c>
      <c r="DB279" s="301">
        <v>45782</v>
      </c>
      <c r="DC279" s="286" t="s">
        <v>2203</v>
      </c>
      <c r="DD279" s="62">
        <v>216162043</v>
      </c>
      <c r="DE2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79" s="301">
        <v>45799</v>
      </c>
      <c r="DG279" s="286" t="s">
        <v>2204</v>
      </c>
      <c r="DH279" s="62">
        <v>216162043</v>
      </c>
      <c r="DI2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79" s="300">
        <v>45866</v>
      </c>
      <c r="DK279" s="300">
        <v>45928</v>
      </c>
      <c r="DL279" s="301">
        <v>45825</v>
      </c>
      <c r="DM279" s="286" t="s">
        <v>2205</v>
      </c>
      <c r="DN2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79" s="301">
        <v>45876</v>
      </c>
      <c r="DP279" s="286" t="s">
        <v>2206</v>
      </c>
      <c r="DQ279" s="308" t="s">
        <v>371</v>
      </c>
      <c r="DR2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79" s="300">
        <v>45866</v>
      </c>
      <c r="DT279" s="300" t="e">
        <v>#N/A</v>
      </c>
      <c r="DU279" s="300">
        <v>45907</v>
      </c>
      <c r="DV279" s="300" t="e">
        <v>#N/A</v>
      </c>
      <c r="DW279" s="301">
        <v>45825</v>
      </c>
      <c r="DX279" s="454" t="s">
        <v>2207</v>
      </c>
      <c r="DY279" s="304">
        <v>12</v>
      </c>
      <c r="DZ279" s="304">
        <v>12</v>
      </c>
      <c r="EA2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79" s="301">
        <v>46006</v>
      </c>
      <c r="EC279" s="302">
        <v>12</v>
      </c>
      <c r="ED279" s="302">
        <v>12</v>
      </c>
      <c r="EE279" s="300" t="s">
        <v>2208</v>
      </c>
      <c r="EF279" s="35">
        <v>1</v>
      </c>
      <c r="EG279" s="35">
        <f>Table1[[#This Row],[Line PO (kolom  bantu)2]]/Table1[[#This Row],[Line PR]]</f>
        <v>1</v>
      </c>
      <c r="EH279" s="286" t="str">
        <f>IF(Table1[[#This Row],[PO Material Aktual 
(%)]]&gt;=100%,"Selesai PO = 100%",IF(Table1[[#This Row],[PO Material Aktual 
(%)]]&gt;=50%,"Proses PO &gt; 100%",IF(Table1[[#This Row],[PO Material Aktual 
(%)]]&gt;0%,"Proses PO &gt; 50%",IF(Table1[[#This Row],[PO Material Aktual 
(%)]]=0,"Belum PO = 0%"))))</f>
        <v>Selesai PO = 100%</v>
      </c>
      <c r="EI27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79" s="300">
        <v>45908</v>
      </c>
      <c r="EK279" s="300" t="e">
        <v>#N/A</v>
      </c>
      <c r="EL279" s="300">
        <v>45956</v>
      </c>
      <c r="EM279" s="300" t="e">
        <v>#N/A</v>
      </c>
      <c r="EN279" s="301"/>
      <c r="EO279" s="302">
        <v>12</v>
      </c>
      <c r="EP279" s="286">
        <v>12</v>
      </c>
      <c r="EQ279" s="35">
        <v>1</v>
      </c>
      <c r="ER279" s="35">
        <f>Table1[[#This Row],[Line MOS]]/Table1[[#This Row],[Line PR]]</f>
        <v>1</v>
      </c>
      <c r="ES279" s="286" t="str">
        <f>IF(Table1[[#This Row],[Progres MOS]]&gt;=100%,"Selesai MOS = 100%",IF(Table1[[#This Row],[Progres MOS]]&gt;=50%,"Proses MOS &gt; 100%",IF(Table1[[#This Row],[Progres MOS]]&gt;0%,"Proses MOS &gt; 50%",IF(Table1[[#This Row],[Progres MOS]]=0,"Belum MOS = 0%"))))</f>
        <v>Selesai MOS = 100%</v>
      </c>
      <c r="ET2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79" s="42"/>
      <c r="EV279" s="300">
        <v>45866</v>
      </c>
      <c r="EW279" s="300" t="e">
        <v>#N/A</v>
      </c>
      <c r="EX279" s="300">
        <v>45956</v>
      </c>
      <c r="EY279" s="300" t="e">
        <v>#N/A</v>
      </c>
      <c r="EZ279" s="322" t="s">
        <v>298</v>
      </c>
      <c r="FA279" s="306" t="s">
        <v>298</v>
      </c>
      <c r="FB279" s="300" t="s">
        <v>260</v>
      </c>
      <c r="FC279" s="300"/>
      <c r="FD279" s="300" t="s">
        <v>260</v>
      </c>
      <c r="FE279" s="300">
        <v>45882</v>
      </c>
      <c r="FF279" s="300">
        <v>45958</v>
      </c>
      <c r="FG279" s="300" t="s">
        <v>260</v>
      </c>
      <c r="FH279" s="300" t="s">
        <v>260</v>
      </c>
      <c r="FI279" s="300">
        <v>46003</v>
      </c>
      <c r="FJ279" s="300" t="s">
        <v>260</v>
      </c>
      <c r="FK279" s="300"/>
      <c r="FL279" s="306" t="s">
        <v>298</v>
      </c>
      <c r="FM279" s="306"/>
      <c r="FN279" s="284" t="str">
        <f>IF(Table1[[#This Row],[Tanggal Pengajuan Dokumen]]="","",Table1[[#This Row],[PLAN PERMIT
start]]-Table1[[#This Row],[Tanggal Pengajuan Dokumen]])</f>
        <v/>
      </c>
      <c r="FO279" s="407">
        <v>46086</v>
      </c>
      <c r="FP279" s="286"/>
      <c r="FQ279" s="308"/>
      <c r="FR279" s="308"/>
      <c r="FS279" s="308" t="str">
        <f t="shared" si="14"/>
        <v>On Going</v>
      </c>
      <c r="FT2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79" s="314">
        <f ca="1">IF(Table1[[#This Row],[Status Izin]]="Selesai",Table1[[#This Row],[PLAN PERMIT
finish]]-Table1[[#This Row],[Tanggal Terbit/ Target Izin Terbit]],ROUNDUP(Table1[[#This Row],[PLAN PERMIT
finish]]-NOW(),0))</f>
        <v>-248</v>
      </c>
      <c r="FV2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79" s="314"/>
      <c r="FX279" s="42"/>
      <c r="FY279" s="310"/>
      <c r="FZ279" s="311"/>
      <c r="GA2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79" s="300">
        <v>45930</v>
      </c>
      <c r="GC279" s="408">
        <v>45961</v>
      </c>
      <c r="GD2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79" s="300">
        <v>45937</v>
      </c>
      <c r="GF279" s="408">
        <v>45961</v>
      </c>
      <c r="GG2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79" s="300">
        <v>45943</v>
      </c>
      <c r="GI279" s="300">
        <v>45949</v>
      </c>
      <c r="GJ279" s="322">
        <v>45975</v>
      </c>
      <c r="GK2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79" s="300">
        <v>45957</v>
      </c>
      <c r="GM279" s="300" t="e">
        <v>#N/A</v>
      </c>
      <c r="GN279" s="300">
        <v>45977</v>
      </c>
      <c r="GO279" s="300" t="e">
        <v>#N/A</v>
      </c>
      <c r="GP279" s="300"/>
      <c r="GQ2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79" s="300" t="s">
        <v>261</v>
      </c>
      <c r="GS279" s="300" t="s">
        <v>261</v>
      </c>
      <c r="GT279" s="324">
        <v>46147</v>
      </c>
      <c r="GU279" s="314" t="str">
        <f>IF(Table1[[#This Row],[Hydro Tes Actual
(tanggal)]]&lt;&gt;"","Sudah","Belum")</f>
        <v>Sudah</v>
      </c>
      <c r="GV279" s="300" t="s">
        <v>261</v>
      </c>
      <c r="GW279" s="300" t="s">
        <v>261</v>
      </c>
      <c r="GX279" s="301">
        <v>46155</v>
      </c>
      <c r="GY279" s="314" t="str">
        <f>IF(Table1[[#This Row],[Interkoneksi Actual
(tanggal)]]&lt;&gt;"","Sudah","Belum")</f>
        <v>Sudah</v>
      </c>
      <c r="GZ279" s="300" t="s">
        <v>261</v>
      </c>
      <c r="HA279" s="300" t="s">
        <v>261</v>
      </c>
      <c r="HB279" s="301">
        <v>46150</v>
      </c>
      <c r="HC279" s="314" t="str">
        <f>IF(Table1[[#This Row],[Flushing Actual
(tanggal)]]&lt;&gt;"","Sudah","Belum")</f>
        <v>Sudah</v>
      </c>
      <c r="HD279" s="300">
        <v>45964</v>
      </c>
      <c r="HE279" s="300" t="e">
        <v>#N/A</v>
      </c>
      <c r="HF279" s="300">
        <v>45977</v>
      </c>
      <c r="HG279" s="322">
        <v>46162</v>
      </c>
      <c r="HH2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79" s="300" t="s">
        <v>261</v>
      </c>
      <c r="HJ279" s="300" t="s">
        <v>261</v>
      </c>
      <c r="HK279" s="301"/>
      <c r="HL279" s="286"/>
      <c r="HM279" s="300">
        <v>45982</v>
      </c>
      <c r="HN279" s="300">
        <v>45982</v>
      </c>
      <c r="HO279" s="300" t="e">
        <v>#N/A</v>
      </c>
      <c r="HP279" s="620" t="s">
        <v>260</v>
      </c>
      <c r="HQ279" s="301"/>
      <c r="HR27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79" s="300">
        <v>45989</v>
      </c>
      <c r="HT279" s="300"/>
      <c r="HU279" s="300">
        <v>45989</v>
      </c>
      <c r="HV279" s="300"/>
      <c r="HW279" s="301"/>
      <c r="HX27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79" s="42"/>
      <c r="HZ279" s="322"/>
      <c r="IA279" s="322"/>
      <c r="IC279" s="585">
        <f>IFERROR(ROUND((Table1[[#This Row],[PLAN TC
finish]]-Table1[[#This Row],[PLAN MC-0
start]])/30,2),"")</f>
        <v>1.1299999999999999</v>
      </c>
      <c r="ID279">
        <f>DATEDIF(Table1[[#This Row],[PLAN MC-0
start]],Table1[[#This Row],[PLAN TC
finish]],"m")</f>
        <v>1</v>
      </c>
    </row>
    <row r="280" spans="1:238" s="4" customFormat="1" ht="15" customHeight="1" x14ac:dyDescent="0.25">
      <c r="B280" s="281">
        <f>SUBTOTAL(3,$D$5:D280)</f>
        <v>276</v>
      </c>
      <c r="C280" s="286">
        <v>276</v>
      </c>
      <c r="D280" s="308" t="s">
        <v>244</v>
      </c>
      <c r="E280" s="308" t="s">
        <v>2209</v>
      </c>
      <c r="F280" s="308" t="s">
        <v>2210</v>
      </c>
      <c r="G280" s="319">
        <v>46117</v>
      </c>
      <c r="H280" s="308" t="s">
        <v>681</v>
      </c>
      <c r="I280" s="308" t="s">
        <v>278</v>
      </c>
      <c r="J280" s="450" t="s">
        <v>1818</v>
      </c>
      <c r="K280" s="308" t="s">
        <v>1165</v>
      </c>
      <c r="L280" s="286" t="s">
        <v>250</v>
      </c>
      <c r="M280" s="325" t="s">
        <v>269</v>
      </c>
      <c r="N280" s="94">
        <v>446</v>
      </c>
      <c r="O280" s="31" t="s">
        <v>252</v>
      </c>
      <c r="P28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0" s="35">
        <v>0.99999999999999967</v>
      </c>
      <c r="S280" s="34">
        <v>1</v>
      </c>
      <c r="T280" s="34">
        <f>Table1[[#This Row],[Progres Total Aktual
(%)]]</f>
        <v>1</v>
      </c>
      <c r="U280" s="85">
        <f>Table1[[#This Row],[Progres Aktual
(%)]]-Table1[[#This Row],[Target Progres
(%)]]</f>
        <v>0</v>
      </c>
      <c r="V280" s="75">
        <f>Table1[[#This Row],["Volume
BA MC-0"]]</f>
        <v>495</v>
      </c>
      <c r="W280" s="41">
        <f>Table1[[#This Row],[Total Panjang Pipa Aktual
(Sum-&gt;)3]]</f>
        <v>480</v>
      </c>
      <c r="X280" s="42"/>
      <c r="Y280" s="62" t="s">
        <v>2211</v>
      </c>
      <c r="Z280" s="62">
        <v>636530022</v>
      </c>
      <c r="AA280" s="62">
        <f>ROUND((Table1[[#This Row],[Nilai RAB Jaringan
(Exclude Ppn)]]-Table1[[#This Row],[RAB Perizinan]])*1.11+Table1[[#This Row],[RAB Perizinan]],0)</f>
        <v>624910487</v>
      </c>
      <c r="AB280" s="456">
        <f>SUM(Table1[[#This Row],[RAB Kegiatan Umum]:[RAB Perizinan]])</f>
        <v>563424403</v>
      </c>
      <c r="AC280" s="406">
        <v>42822302</v>
      </c>
      <c r="AD280" s="406">
        <v>428223018</v>
      </c>
      <c r="AE280" s="406">
        <v>87919083</v>
      </c>
      <c r="AF280" s="406">
        <v>4460000</v>
      </c>
      <c r="AG280" s="453">
        <v>42140773</v>
      </c>
      <c r="AH280" s="33">
        <f>SUM(Table1[[#This Row],[Bobot Keg Umum]:[Bobot Perizinan]])</f>
        <v>0.99999999999999989</v>
      </c>
      <c r="AI280" s="33">
        <f>Table1[[#This Row],[RAB Kegiatan Umum]]/Table1[[#This Row],[Nilai RAB Jaringan
(Exclude Ppn)]]</f>
        <v>7.6003633800717715E-2</v>
      </c>
      <c r="AJ280" s="33">
        <f>Table1[[#This Row],[RAB Pemasangan]]/Table1[[#This Row],[Nilai RAB Jaringan
(Exclude Ppn)]]</f>
        <v>0.76003633445745511</v>
      </c>
      <c r="AK280" s="33">
        <f>Table1[[#This Row],[RAB Pengadaan]]/Table1[[#This Row],[Nilai RAB Jaringan
(Exclude Ppn)]]</f>
        <v>0.15604415167654709</v>
      </c>
      <c r="AL280" s="33">
        <f>Table1[[#This Row],[RAB Perizinan]]/Table1[[#This Row],[Nilai RAB Jaringan
(Exclude Ppn)]]</f>
        <v>7.9158800652800263E-3</v>
      </c>
      <c r="AM280" s="42"/>
      <c r="AN280" s="256">
        <v>495</v>
      </c>
      <c r="AO280" s="256">
        <f>SUM(Table1[[#This Row],[Pipa 63 mm]:[Pipa 1,800 mm]])</f>
        <v>0</v>
      </c>
      <c r="AP280" s="256"/>
      <c r="AQ280" s="256"/>
      <c r="AR280" s="256"/>
      <c r="AS280" s="256"/>
      <c r="AT280" s="256"/>
      <c r="AU280" s="256"/>
      <c r="AV280" s="256"/>
      <c r="AW280" s="256"/>
      <c r="AX280" s="256"/>
      <c r="AY280" s="256"/>
      <c r="AZ280" s="256"/>
      <c r="BA280" s="256"/>
      <c r="BB280" s="256"/>
      <c r="BC280" s="256"/>
      <c r="BD280" s="256"/>
      <c r="BE280" s="256"/>
      <c r="BF280" s="256"/>
      <c r="BG280" s="256"/>
      <c r="BH280" s="256"/>
      <c r="BI280" s="256"/>
      <c r="BJ280" s="36">
        <f>SUM(Table1[[#This Row],[Pipa 63 mm2]:[Pipa 1,800 mm21]])</f>
        <v>480</v>
      </c>
      <c r="BK280" s="32">
        <v>480</v>
      </c>
      <c r="BL280" s="32"/>
      <c r="BM280" s="32"/>
      <c r="BN280" s="32"/>
      <c r="BO280" s="32"/>
      <c r="BP280" s="32"/>
      <c r="BQ280" s="32"/>
      <c r="BR280" s="32"/>
      <c r="BS280" s="32"/>
      <c r="BT280" s="32"/>
      <c r="BU280" s="32"/>
      <c r="BV280" s="32"/>
      <c r="BW280" s="32"/>
      <c r="BX280" s="32"/>
      <c r="BY280" s="32"/>
      <c r="BZ280" s="32"/>
      <c r="CA280" s="32"/>
      <c r="CB280" s="32"/>
      <c r="CC280" s="32"/>
      <c r="CD280" s="32"/>
      <c r="CE280" s="32">
        <v>0</v>
      </c>
      <c r="CF280" s="32"/>
      <c r="CG280" s="32"/>
      <c r="CH280" s="32"/>
      <c r="CI280" s="32">
        <f t="shared" si="13"/>
        <v>0</v>
      </c>
      <c r="CJ280" s="60">
        <f>IF((Table1[[#This Row],["Volume
BA MC-0"]]-Table1[[#This Row],[Total Panjang Pipa Aktual
(Sum-&gt;)3]]-Table1[[#This Row],[Total Volume
tidak dapat dipasang]])&gt;=0,Table1[[#This Row],["Volume
BA MC-0"]]-Table1[[#This Row],[Total Panjang Pipa Aktual
(Sum-&gt;)3]]-Table1[[#This Row],[Total Volume
tidak dapat dipasang]],0)</f>
        <v>15</v>
      </c>
      <c r="CK280" s="42"/>
      <c r="CL280" s="454" t="s">
        <v>1821</v>
      </c>
      <c r="CM280" s="34" t="s">
        <v>1821</v>
      </c>
      <c r="CN280" s="454" t="s">
        <v>1821</v>
      </c>
      <c r="CO280" s="454" t="s">
        <v>1821</v>
      </c>
      <c r="CP2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0" s="61">
        <f>IFERROR(Table1[[#This Row],[Progres Keg. Umum
(%)]]*Table1[[#This Row],[Nilai RAB Jaringan
(file pa aji)]],0)</f>
        <v>0</v>
      </c>
      <c r="CR280" s="61">
        <f>IFERROR(Table1[[#This Row],[Progres MOS
(%)]]*Table1[[#This Row],[Nilai RAB Jaringan
(file pa aji)]],0)</f>
        <v>0</v>
      </c>
      <c r="CS280" s="61">
        <f>IFERROR(Table1[[#This Row],[Progres Pemasangan
(%)]]*Table1[[#This Row],[Nilai RAB Jaringan
(file pa aji)]],0)</f>
        <v>0</v>
      </c>
      <c r="CT280" s="61">
        <f>IFERROR(Table1[[#This Row],[Progres Perizinan
(%)]]*Table1[[#This Row],[Nilai RAB Jaringan
(file pa aji)]],0)</f>
        <v>0</v>
      </c>
      <c r="CU280" s="789">
        <v>2022327357</v>
      </c>
      <c r="CV280" s="299">
        <v>2022327357</v>
      </c>
      <c r="CW280" s="552">
        <v>2022327357</v>
      </c>
      <c r="CX280" s="789">
        <f>_xlfn.XLOOKUP(Table1[[#This Row],[Kode Program]],'[1]Breakdown VOWD Greenfield'!$E:$E,'[1]Breakdown VOWD Greenfield'!$AT:$AT)</f>
        <v>2022327357</v>
      </c>
      <c r="CY280" s="42"/>
      <c r="CZ280" s="300">
        <v>45838</v>
      </c>
      <c r="DA280" s="300">
        <v>45865</v>
      </c>
      <c r="DB280" s="301">
        <v>45782</v>
      </c>
      <c r="DC280" s="286" t="s">
        <v>2212</v>
      </c>
      <c r="DD280" s="62">
        <v>636530023</v>
      </c>
      <c r="DE2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0" s="301">
        <v>45803</v>
      </c>
      <c r="DG280" s="286" t="s">
        <v>2213</v>
      </c>
      <c r="DH280" s="62">
        <v>636530023</v>
      </c>
      <c r="DI2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0" s="300">
        <v>45866</v>
      </c>
      <c r="DK280" s="300">
        <v>45928</v>
      </c>
      <c r="DL280" s="301">
        <v>45832</v>
      </c>
      <c r="DM280" s="286" t="s">
        <v>2214</v>
      </c>
      <c r="DN2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0" s="301">
        <v>45876</v>
      </c>
      <c r="DP280" s="286" t="s">
        <v>2215</v>
      </c>
      <c r="DQ280" s="308" t="s">
        <v>371</v>
      </c>
      <c r="DR2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0" s="300">
        <v>45866</v>
      </c>
      <c r="DT280" s="300" t="e">
        <v>#N/A</v>
      </c>
      <c r="DU280" s="300">
        <v>45907</v>
      </c>
      <c r="DV280" s="300" t="e">
        <v>#N/A</v>
      </c>
      <c r="DW280" s="301">
        <v>45832</v>
      </c>
      <c r="DX280" s="286" t="s">
        <v>2216</v>
      </c>
      <c r="DY280" s="304">
        <v>24</v>
      </c>
      <c r="DZ280" s="304">
        <v>24</v>
      </c>
      <c r="EA2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0" s="301"/>
      <c r="EC280" s="302">
        <v>21</v>
      </c>
      <c r="ED280" s="302">
        <v>21</v>
      </c>
      <c r="EE280" s="300"/>
      <c r="EF280" s="35">
        <v>0.875</v>
      </c>
      <c r="EG280" s="35">
        <f>Table1[[#This Row],[Line PO (kolom  bantu)2]]/Table1[[#This Row],[Line PR]]</f>
        <v>0.875</v>
      </c>
      <c r="EH280" s="286" t="str">
        <f>IF(Table1[[#This Row],[PO Material Aktual 
(%)]]&gt;=100%,"Selesai PO = 100%",IF(Table1[[#This Row],[PO Material Aktual 
(%)]]&gt;=50%,"Proses PO &gt; 100%",IF(Table1[[#This Row],[PO Material Aktual 
(%)]]&gt;0%,"Proses PO &gt; 50%",IF(Table1[[#This Row],[PO Material Aktual 
(%)]]=0,"Belum PO = 0%"))))</f>
        <v>Proses PO &gt; 100%</v>
      </c>
      <c r="EI28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0" s="300">
        <v>45908</v>
      </c>
      <c r="EK280" s="300" t="e">
        <v>#N/A</v>
      </c>
      <c r="EL280" s="300">
        <v>45956</v>
      </c>
      <c r="EM280" s="300" t="e">
        <v>#N/A</v>
      </c>
      <c r="EN280" s="301"/>
      <c r="EO280" s="302">
        <v>21</v>
      </c>
      <c r="EP280" s="286">
        <v>21</v>
      </c>
      <c r="EQ280" s="35">
        <v>0.875</v>
      </c>
      <c r="ER280" s="35">
        <f>Table1[[#This Row],[Line MOS]]/Table1[[#This Row],[Line PR]]</f>
        <v>0.875</v>
      </c>
      <c r="ES280" s="286" t="str">
        <f>IF(Table1[[#This Row],[Progres MOS]]&gt;=100%,"Selesai MOS = 100%",IF(Table1[[#This Row],[Progres MOS]]&gt;=50%,"Proses MOS &gt; 100%",IF(Table1[[#This Row],[Progres MOS]]&gt;0%,"Proses MOS &gt; 50%",IF(Table1[[#This Row],[Progres MOS]]=0,"Belum MOS = 0%"))))</f>
        <v>Proses MOS &gt; 100%</v>
      </c>
      <c r="ET2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0" s="42"/>
      <c r="EV280" s="300">
        <v>45866</v>
      </c>
      <c r="EW280" s="300" t="e">
        <v>#N/A</v>
      </c>
      <c r="EX280" s="300">
        <v>45956</v>
      </c>
      <c r="EY280" s="300" t="e">
        <v>#N/A</v>
      </c>
      <c r="EZ280" s="322" t="s">
        <v>298</v>
      </c>
      <c r="FA280" s="306" t="s">
        <v>259</v>
      </c>
      <c r="FB280" s="300" t="s">
        <v>260</v>
      </c>
      <c r="FC280" s="300">
        <v>45839</v>
      </c>
      <c r="FD280" s="300" t="s">
        <v>260</v>
      </c>
      <c r="FE280" s="300">
        <v>45898</v>
      </c>
      <c r="FF280" s="300">
        <v>45944</v>
      </c>
      <c r="FG280" s="300" t="s">
        <v>260</v>
      </c>
      <c r="FH280" s="300" t="s">
        <v>260</v>
      </c>
      <c r="FI280" s="300">
        <v>46003</v>
      </c>
      <c r="FJ280" s="300" t="s">
        <v>260</v>
      </c>
      <c r="FK280" s="300">
        <v>46134</v>
      </c>
      <c r="FL280" s="306" t="s">
        <v>298</v>
      </c>
      <c r="FM280" s="322">
        <v>45839</v>
      </c>
      <c r="FN280" s="308">
        <f>IF(Table1[[#This Row],[Tanggal Pengajuan Dokumen]]="","",Table1[[#This Row],[PLAN PERMIT
start]]-Table1[[#This Row],[Tanggal Pengajuan Dokumen]])</f>
        <v>27</v>
      </c>
      <c r="FO280" s="407">
        <v>46086</v>
      </c>
      <c r="FP280" s="286"/>
      <c r="FQ280" s="308"/>
      <c r="FR280" s="308"/>
      <c r="FS280" s="308" t="str">
        <f t="shared" si="14"/>
        <v>Sudah Terbit</v>
      </c>
      <c r="FT2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0" s="314">
        <f ca="1">IF(Table1[[#This Row],[Status Izin]]="Selesai",Table1[[#This Row],[PLAN PERMIT
finish]]-Table1[[#This Row],[Tanggal Terbit/ Target Izin Terbit]],ROUNDUP(Table1[[#This Row],[PLAN PERMIT
finish]]-NOW(),0))</f>
        <v>-130</v>
      </c>
      <c r="FV2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0" s="314"/>
      <c r="FX280" s="42"/>
      <c r="FY280" s="310"/>
      <c r="FZ280" s="311"/>
      <c r="GA2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0" s="300">
        <v>45930</v>
      </c>
      <c r="GC280" s="322">
        <v>45896</v>
      </c>
      <c r="GD2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0" s="300">
        <v>45937</v>
      </c>
      <c r="GF280" s="322">
        <v>45896</v>
      </c>
      <c r="GG2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0" s="300">
        <v>45943</v>
      </c>
      <c r="GI280" s="300">
        <v>45949</v>
      </c>
      <c r="GJ280" s="322">
        <v>45909</v>
      </c>
      <c r="GK2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0" s="300">
        <v>45957</v>
      </c>
      <c r="GM280" s="300" t="e">
        <v>#N/A</v>
      </c>
      <c r="GN280" s="300">
        <v>46005</v>
      </c>
      <c r="GO280" s="300" t="e">
        <v>#N/A</v>
      </c>
      <c r="GP280" s="300"/>
      <c r="GQ2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0" s="300" t="s">
        <v>261</v>
      </c>
      <c r="GS280" s="300" t="s">
        <v>261</v>
      </c>
      <c r="GT280" s="324">
        <v>46139</v>
      </c>
      <c r="GU280" s="314" t="str">
        <f>IF(Table1[[#This Row],[Hydro Tes Actual
(tanggal)]]&lt;&gt;"","Sudah","Belum")</f>
        <v>Sudah</v>
      </c>
      <c r="GV280" s="300" t="s">
        <v>261</v>
      </c>
      <c r="GW280" s="300" t="s">
        <v>261</v>
      </c>
      <c r="GX280" s="301">
        <v>46139</v>
      </c>
      <c r="GY280" s="314" t="str">
        <f>IF(Table1[[#This Row],[Interkoneksi Actual
(tanggal)]]&lt;&gt;"","Sudah","Belum")</f>
        <v>Sudah</v>
      </c>
      <c r="GZ280" s="300" t="s">
        <v>261</v>
      </c>
      <c r="HA280" s="300" t="s">
        <v>261</v>
      </c>
      <c r="HB280" s="301">
        <v>46139</v>
      </c>
      <c r="HC280" s="314" t="str">
        <f>IF(Table1[[#This Row],[Flushing Actual
(tanggal)]]&lt;&gt;"","Sudah","Belum")</f>
        <v>Sudah</v>
      </c>
      <c r="HD280" s="300">
        <v>45985</v>
      </c>
      <c r="HE280" s="300" t="e">
        <v>#N/A</v>
      </c>
      <c r="HF280" s="300">
        <v>45998</v>
      </c>
      <c r="HG280" s="322">
        <v>46162</v>
      </c>
      <c r="HH2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0" s="300" t="s">
        <v>261</v>
      </c>
      <c r="HJ280" s="300" t="s">
        <v>261</v>
      </c>
      <c r="HK280" s="301"/>
      <c r="HL280" s="286"/>
      <c r="HM280" s="300">
        <v>46010</v>
      </c>
      <c r="HN280" s="300">
        <v>46010</v>
      </c>
      <c r="HO280" s="300" t="e">
        <v>#N/A</v>
      </c>
      <c r="HP280" s="620" t="s">
        <v>260</v>
      </c>
      <c r="HQ280" s="301"/>
      <c r="HR28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0" s="300">
        <v>46017</v>
      </c>
      <c r="HT280" s="300"/>
      <c r="HU280" s="300">
        <v>46017</v>
      </c>
      <c r="HV280" s="300"/>
      <c r="HW280" s="301"/>
      <c r="HX28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0" s="42"/>
      <c r="HZ280" s="322"/>
      <c r="IA280" s="322" t="s">
        <v>2217</v>
      </c>
      <c r="IC280" s="585">
        <f>IFERROR(ROUND((Table1[[#This Row],[PLAN TC
finish]]-Table1[[#This Row],[PLAN MC-0
start]])/30,2),"")</f>
        <v>1.83</v>
      </c>
      <c r="ID280">
        <f>DATEDIF(Table1[[#This Row],[PLAN MC-0
start]],Table1[[#This Row],[PLAN TC
finish]],"m")</f>
        <v>1</v>
      </c>
    </row>
    <row r="281" spans="1:238" s="4" customFormat="1" ht="15" customHeight="1" x14ac:dyDescent="0.25">
      <c r="B281" s="281">
        <f>SUBTOTAL(3,$D$5:D281)</f>
        <v>277</v>
      </c>
      <c r="C281" s="286">
        <v>277</v>
      </c>
      <c r="D281" s="308" t="s">
        <v>244</v>
      </c>
      <c r="E281" s="308" t="s">
        <v>2218</v>
      </c>
      <c r="F281" s="308" t="s">
        <v>2219</v>
      </c>
      <c r="G281" s="319">
        <v>46117</v>
      </c>
      <c r="H281" s="308" t="s">
        <v>681</v>
      </c>
      <c r="I281" s="308" t="s">
        <v>278</v>
      </c>
      <c r="J281" s="450" t="s">
        <v>1830</v>
      </c>
      <c r="K281" s="308" t="s">
        <v>1165</v>
      </c>
      <c r="L281" s="286" t="s">
        <v>250</v>
      </c>
      <c r="M281" s="325" t="s">
        <v>269</v>
      </c>
      <c r="N281" s="94">
        <v>434</v>
      </c>
      <c r="O281" s="31" t="s">
        <v>252</v>
      </c>
      <c r="P28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1" s="35">
        <v>1.0000000000000002</v>
      </c>
      <c r="S281" s="34">
        <v>1</v>
      </c>
      <c r="T281" s="34">
        <f>Table1[[#This Row],[Progres Total Aktual
(%)]]</f>
        <v>1</v>
      </c>
      <c r="U281" s="85">
        <f>Table1[[#This Row],[Progres Aktual
(%)]]-Table1[[#This Row],[Target Progres
(%)]]</f>
        <v>0</v>
      </c>
      <c r="V281" s="75">
        <f>Table1[[#This Row],["Volume
BA MC-0"]]</f>
        <v>435</v>
      </c>
      <c r="W281" s="41">
        <f>Table1[[#This Row],[Total Panjang Pipa Aktual
(Sum-&gt;)3]]</f>
        <v>427</v>
      </c>
      <c r="X281" s="42"/>
      <c r="Y281" s="62" t="s">
        <v>2220</v>
      </c>
      <c r="Z281" s="62">
        <v>817960225</v>
      </c>
      <c r="AA281" s="62">
        <f>ROUND((Table1[[#This Row],[Nilai RAB Jaringan
(Exclude Ppn)]]-Table1[[#This Row],[RAB Perizinan]])*1.11+Table1[[#This Row],[RAB Perizinan]],0)</f>
        <v>817960225</v>
      </c>
      <c r="AB281" s="456">
        <f>SUM(Table1[[#This Row],[RAB Kegiatan Umum]:[RAB Perizinan]])</f>
        <v>737331194</v>
      </c>
      <c r="AC281" s="406">
        <v>57104442</v>
      </c>
      <c r="AD281" s="406">
        <v>571044416</v>
      </c>
      <c r="AE281" s="406">
        <v>104842336</v>
      </c>
      <c r="AF281" s="406">
        <v>4340000</v>
      </c>
      <c r="AG281" s="453">
        <v>27391503</v>
      </c>
      <c r="AH281" s="33">
        <f>SUM(Table1[[#This Row],[Bobot Keg Umum]:[Bobot Perizinan]])</f>
        <v>1</v>
      </c>
      <c r="AI281" s="33">
        <f>Table1[[#This Row],[RAB Kegiatan Umum]]/Table1[[#This Row],[Nilai RAB Jaringan
(Exclude Ppn)]]</f>
        <v>7.7447478778444309E-2</v>
      </c>
      <c r="AJ281" s="33">
        <f>Table1[[#This Row],[RAB Pemasangan]]/Table1[[#This Row],[Nilai RAB Jaringan
(Exclude Ppn)]]</f>
        <v>0.77447478235947254</v>
      </c>
      <c r="AK281" s="33">
        <f>Table1[[#This Row],[RAB Pengadaan]]/Table1[[#This Row],[Nilai RAB Jaringan
(Exclude Ppn)]]</f>
        <v>0.14219164583453117</v>
      </c>
      <c r="AL281" s="33">
        <f>Table1[[#This Row],[RAB Perizinan]]/Table1[[#This Row],[Nilai RAB Jaringan
(Exclude Ppn)]]</f>
        <v>5.8860930275520121E-3</v>
      </c>
      <c r="AM281" s="42"/>
      <c r="AN281" s="256">
        <v>435</v>
      </c>
      <c r="AO281" s="256">
        <f>SUM(Table1[[#This Row],[Pipa 63 mm]:[Pipa 1,800 mm]])</f>
        <v>0</v>
      </c>
      <c r="AP281" s="256"/>
      <c r="AQ281" s="256"/>
      <c r="AR281" s="256"/>
      <c r="AS281" s="256"/>
      <c r="AT281" s="256"/>
      <c r="AU281" s="256"/>
      <c r="AV281" s="256"/>
      <c r="AW281" s="256"/>
      <c r="AX281" s="256"/>
      <c r="AY281" s="256"/>
      <c r="AZ281" s="256"/>
      <c r="BA281" s="256"/>
      <c r="BB281" s="256"/>
      <c r="BC281" s="256"/>
      <c r="BD281" s="256"/>
      <c r="BE281" s="256"/>
      <c r="BF281" s="256"/>
      <c r="BG281" s="256"/>
      <c r="BH281" s="256"/>
      <c r="BI281" s="256"/>
      <c r="BJ281" s="36">
        <f>SUM(Table1[[#This Row],[Pipa 63 mm2]:[Pipa 1,800 mm21]])</f>
        <v>427</v>
      </c>
      <c r="BK281" s="32"/>
      <c r="BL281" s="32">
        <v>427</v>
      </c>
      <c r="BM281" s="32"/>
      <c r="BN281" s="32"/>
      <c r="BO281" s="32"/>
      <c r="BP281" s="32"/>
      <c r="BQ281" s="32"/>
      <c r="BR281" s="32"/>
      <c r="BS281" s="32"/>
      <c r="BT281" s="32"/>
      <c r="BU281" s="32"/>
      <c r="BV281" s="32"/>
      <c r="BW281" s="32"/>
      <c r="BX281" s="32"/>
      <c r="BY281" s="32"/>
      <c r="BZ281" s="32"/>
      <c r="CA281" s="32"/>
      <c r="CB281" s="32"/>
      <c r="CC281" s="32"/>
      <c r="CD281" s="32"/>
      <c r="CE281" s="32">
        <v>0</v>
      </c>
      <c r="CF281" s="32"/>
      <c r="CG281" s="32"/>
      <c r="CH281" s="32"/>
      <c r="CI281" s="32">
        <f t="shared" si="13"/>
        <v>0</v>
      </c>
      <c r="CJ281" s="60">
        <f>IF((Table1[[#This Row],["Volume
BA MC-0"]]-Table1[[#This Row],[Total Panjang Pipa Aktual
(Sum-&gt;)3]]-Table1[[#This Row],[Total Volume
tidak dapat dipasang]])&gt;=0,Table1[[#This Row],["Volume
BA MC-0"]]-Table1[[#This Row],[Total Panjang Pipa Aktual
(Sum-&gt;)3]]-Table1[[#This Row],[Total Volume
tidak dapat dipasang]],0)</f>
        <v>8</v>
      </c>
      <c r="CK281" s="42"/>
      <c r="CL281" s="35" t="s">
        <v>1821</v>
      </c>
      <c r="CM281" s="35" t="s">
        <v>1821</v>
      </c>
      <c r="CN281" s="35" t="s">
        <v>1821</v>
      </c>
      <c r="CO281" s="35" t="s">
        <v>1821</v>
      </c>
      <c r="CP2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1" s="61">
        <f>IFERROR(Table1[[#This Row],[Progres Keg. Umum
(%)]]*Table1[[#This Row],[Nilai RAB Jaringan
(file pa aji)]],0)</f>
        <v>0</v>
      </c>
      <c r="CR281" s="61">
        <f>IFERROR(Table1[[#This Row],[Progres MOS
(%)]]*Table1[[#This Row],[Nilai RAB Jaringan
(file pa aji)]],0)</f>
        <v>0</v>
      </c>
      <c r="CS281" s="61">
        <f>IFERROR(Table1[[#This Row],[Progres Pemasangan
(%)]]*Table1[[#This Row],[Nilai RAB Jaringan
(file pa aji)]],0)</f>
        <v>0</v>
      </c>
      <c r="CT281" s="61">
        <f>IFERROR(Table1[[#This Row],[Progres Perizinan
(%)]]*Table1[[#This Row],[Nilai RAB Jaringan
(file pa aji)]],0)</f>
        <v>0</v>
      </c>
      <c r="CU281" s="789">
        <v>1767677933</v>
      </c>
      <c r="CV281" s="299">
        <v>1767677933</v>
      </c>
      <c r="CW281" s="552">
        <v>1767677933</v>
      </c>
      <c r="CX281" s="789">
        <f>_xlfn.XLOOKUP(Table1[[#This Row],[Kode Program]],'[1]Breakdown VOWD Greenfield'!$E:$E,'[1]Breakdown VOWD Greenfield'!$AT:$AT)</f>
        <v>1767677933</v>
      </c>
      <c r="CY281" s="42"/>
      <c r="CZ281" s="300">
        <v>45838</v>
      </c>
      <c r="DA281" s="300">
        <v>45865</v>
      </c>
      <c r="DB281" s="301">
        <v>45782</v>
      </c>
      <c r="DC281" s="286" t="s">
        <v>2221</v>
      </c>
      <c r="DD281" s="62">
        <v>817960225</v>
      </c>
      <c r="DE2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1" s="301">
        <v>45799</v>
      </c>
      <c r="DG281" s="286" t="s">
        <v>2222</v>
      </c>
      <c r="DH281" s="62">
        <v>817960225</v>
      </c>
      <c r="DI2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1" s="300">
        <v>45866</v>
      </c>
      <c r="DK281" s="300">
        <v>45928</v>
      </c>
      <c r="DL281" s="301">
        <v>45825</v>
      </c>
      <c r="DM281" s="286" t="s">
        <v>2223</v>
      </c>
      <c r="DN2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1" s="301">
        <v>45880</v>
      </c>
      <c r="DP281" s="286" t="s">
        <v>2224</v>
      </c>
      <c r="DQ281" s="308" t="s">
        <v>371</v>
      </c>
      <c r="DR2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1" s="300">
        <v>45866</v>
      </c>
      <c r="DT281" s="300" t="e">
        <v>#N/A</v>
      </c>
      <c r="DU281" s="300">
        <v>45907</v>
      </c>
      <c r="DV281" s="300" t="e">
        <v>#N/A</v>
      </c>
      <c r="DW281" s="301">
        <v>45825</v>
      </c>
      <c r="DX281" s="286" t="s">
        <v>2225</v>
      </c>
      <c r="DY281" s="302">
        <v>25</v>
      </c>
      <c r="DZ281" s="304">
        <v>25</v>
      </c>
      <c r="EA2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1" s="301">
        <v>46006</v>
      </c>
      <c r="EC281" s="302">
        <v>23</v>
      </c>
      <c r="ED281" s="302">
        <v>23</v>
      </c>
      <c r="EE281" s="395" t="s">
        <v>2226</v>
      </c>
      <c r="EF281" s="35">
        <v>1</v>
      </c>
      <c r="EG281" s="307">
        <v>1</v>
      </c>
      <c r="EH281" s="286" t="str">
        <f>IF(Table1[[#This Row],[PO Material Aktual 
(%)]]&gt;=100%,"Selesai PO = 100%",IF(Table1[[#This Row],[PO Material Aktual 
(%)]]&gt;=50%,"Proses PO &gt; 100%",IF(Table1[[#This Row],[PO Material Aktual 
(%)]]&gt;0%,"Proses PO &gt; 50%",IF(Table1[[#This Row],[PO Material Aktual 
(%)]]=0,"Belum PO = 0%"))))</f>
        <v>Selesai PO = 100%</v>
      </c>
      <c r="EI28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1" s="300">
        <v>45908</v>
      </c>
      <c r="EK281" s="300" t="e">
        <v>#N/A</v>
      </c>
      <c r="EL281" s="300">
        <v>45956</v>
      </c>
      <c r="EM281" s="300" t="e">
        <v>#N/A</v>
      </c>
      <c r="EN281" s="301">
        <v>46052</v>
      </c>
      <c r="EO281" s="302">
        <v>22</v>
      </c>
      <c r="EP281" s="595">
        <v>22</v>
      </c>
      <c r="EQ281" s="35">
        <v>0.88</v>
      </c>
      <c r="ER281" s="35">
        <f>Table1[[#This Row],[Line MOS]]/Table1[[#This Row],[Line PR]]</f>
        <v>0.88</v>
      </c>
      <c r="ES281" s="286" t="str">
        <f>IF(Table1[[#This Row],[Progres MOS]]&gt;=100%,"Selesai MOS = 100%",IF(Table1[[#This Row],[Progres MOS]]&gt;=50%,"Proses MOS &gt; 100%",IF(Table1[[#This Row],[Progres MOS]]&gt;0%,"Proses MOS &gt; 50%",IF(Table1[[#This Row],[Progres MOS]]=0,"Belum MOS = 0%"))))</f>
        <v>Proses MOS &gt; 100%</v>
      </c>
      <c r="ET2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1" s="42"/>
      <c r="EV281" s="300">
        <v>45866</v>
      </c>
      <c r="EW281" s="300" t="e">
        <v>#N/A</v>
      </c>
      <c r="EX281" s="300">
        <v>45956</v>
      </c>
      <c r="EY281" s="300" t="e">
        <v>#N/A</v>
      </c>
      <c r="EZ281" s="322" t="s">
        <v>298</v>
      </c>
      <c r="FA281" s="306" t="s">
        <v>259</v>
      </c>
      <c r="FB281" s="300" t="s">
        <v>260</v>
      </c>
      <c r="FC281" s="300">
        <v>45839</v>
      </c>
      <c r="FD281" s="300" t="s">
        <v>260</v>
      </c>
      <c r="FE281" s="300">
        <v>45898</v>
      </c>
      <c r="FF281" s="300">
        <v>45944</v>
      </c>
      <c r="FG281" s="300" t="s">
        <v>260</v>
      </c>
      <c r="FH281" s="300" t="s">
        <v>260</v>
      </c>
      <c r="FI281" s="300">
        <v>46003</v>
      </c>
      <c r="FJ281" s="300" t="s">
        <v>260</v>
      </c>
      <c r="FK281" s="300">
        <v>46134</v>
      </c>
      <c r="FL281" s="306" t="s">
        <v>298</v>
      </c>
      <c r="FM281" s="322">
        <v>45839</v>
      </c>
      <c r="FN281" s="308">
        <f>IF(Table1[[#This Row],[Tanggal Pengajuan Dokumen]]="","",Table1[[#This Row],[PLAN PERMIT
start]]-Table1[[#This Row],[Tanggal Pengajuan Dokumen]])</f>
        <v>27</v>
      </c>
      <c r="FO281" s="407">
        <v>46086</v>
      </c>
      <c r="FP281" s="286"/>
      <c r="FQ281" s="308"/>
      <c r="FR281" s="308"/>
      <c r="FS281" s="308" t="str">
        <f t="shared" si="14"/>
        <v>Sudah Terbit</v>
      </c>
      <c r="FT2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1" s="314">
        <f ca="1">IF(Table1[[#This Row],[Status Izin]]="Selesai",Table1[[#This Row],[PLAN PERMIT
finish]]-Table1[[#This Row],[Tanggal Terbit/ Target Izin Terbit]],ROUNDUP(Table1[[#This Row],[PLAN PERMIT
finish]]-NOW(),0))</f>
        <v>-130</v>
      </c>
      <c r="FV2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1" s="314"/>
      <c r="FX281" s="42"/>
      <c r="FY281" s="310"/>
      <c r="FZ281" s="311"/>
      <c r="GA2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1" s="300">
        <v>45930</v>
      </c>
      <c r="GC281" s="322">
        <v>45922</v>
      </c>
      <c r="GD2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1" s="300">
        <v>45937</v>
      </c>
      <c r="GF281" s="322">
        <v>45922</v>
      </c>
      <c r="GG2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1" s="300">
        <v>45943</v>
      </c>
      <c r="GI281" s="300">
        <v>45949</v>
      </c>
      <c r="GJ281" s="322">
        <v>45903</v>
      </c>
      <c r="GK2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1" s="300">
        <v>45957</v>
      </c>
      <c r="GM281" s="300" t="e">
        <v>#N/A</v>
      </c>
      <c r="GN281" s="300">
        <v>46005</v>
      </c>
      <c r="GO281" s="300" t="e">
        <v>#N/A</v>
      </c>
      <c r="GP281" s="300"/>
      <c r="GQ2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1" s="300" t="s">
        <v>261</v>
      </c>
      <c r="GS281" s="300" t="s">
        <v>261</v>
      </c>
      <c r="GT281" s="324">
        <v>45986</v>
      </c>
      <c r="GU281" s="314" t="str">
        <f>IF(Table1[[#This Row],[Hydro Tes Actual
(tanggal)]]&lt;&gt;"","Sudah","Belum")</f>
        <v>Sudah</v>
      </c>
      <c r="GV281" s="300" t="s">
        <v>261</v>
      </c>
      <c r="GW281" s="300" t="s">
        <v>261</v>
      </c>
      <c r="GX281" s="301">
        <v>46020</v>
      </c>
      <c r="GY281" s="314" t="str">
        <f>IF(Table1[[#This Row],[Interkoneksi Actual
(tanggal)]]&lt;&gt;"","Sudah","Belum")</f>
        <v>Sudah</v>
      </c>
      <c r="GZ281" s="300" t="s">
        <v>261</v>
      </c>
      <c r="HA281" s="300" t="s">
        <v>261</v>
      </c>
      <c r="HB281" s="301">
        <v>46029</v>
      </c>
      <c r="HC281" s="314" t="str">
        <f>IF(Table1[[#This Row],[Flushing Actual
(tanggal)]]&lt;&gt;"","Sudah","Belum")</f>
        <v>Sudah</v>
      </c>
      <c r="HD281" s="300">
        <v>45985</v>
      </c>
      <c r="HE281" s="300" t="e">
        <v>#N/A</v>
      </c>
      <c r="HF281" s="300">
        <v>45998</v>
      </c>
      <c r="HG281" s="322">
        <v>46035</v>
      </c>
      <c r="HH2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1" s="300" t="s">
        <v>261</v>
      </c>
      <c r="HJ281" s="300" t="s">
        <v>261</v>
      </c>
      <c r="HK281" s="301"/>
      <c r="HL281" s="286"/>
      <c r="HM281" s="300">
        <v>46010</v>
      </c>
      <c r="HN281" s="300">
        <v>46010</v>
      </c>
      <c r="HO281" s="300" t="e">
        <v>#N/A</v>
      </c>
      <c r="HP281" s="300"/>
      <c r="HQ281" s="301">
        <v>46098</v>
      </c>
      <c r="HR28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1" s="300">
        <v>46017</v>
      </c>
      <c r="HT281" s="300"/>
      <c r="HU281" s="300">
        <v>46017</v>
      </c>
      <c r="HV281" s="300"/>
      <c r="HW281" s="301">
        <v>46099</v>
      </c>
      <c r="HX28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1" s="42"/>
      <c r="HZ281" s="322"/>
      <c r="IA281" s="322"/>
      <c r="IC281" s="585">
        <f>IFERROR(ROUND((Table1[[#This Row],[PLAN TC
finish]]-Table1[[#This Row],[PLAN MC-0
start]])/30,2),"")</f>
        <v>1.83</v>
      </c>
      <c r="ID281">
        <f>DATEDIF(Table1[[#This Row],[PLAN MC-0
start]],Table1[[#This Row],[PLAN TC
finish]],"m")</f>
        <v>1</v>
      </c>
    </row>
    <row r="282" spans="1:238" s="30" customFormat="1" ht="15" customHeight="1" x14ac:dyDescent="0.25">
      <c r="A282" s="72"/>
      <c r="B282" s="281">
        <f>SUBTOTAL(3,$D$5:D282)</f>
        <v>278</v>
      </c>
      <c r="C282" s="337">
        <v>278</v>
      </c>
      <c r="D282" s="336" t="s">
        <v>244</v>
      </c>
      <c r="E282" s="336" t="s">
        <v>2227</v>
      </c>
      <c r="F282" s="336" t="s">
        <v>2228</v>
      </c>
      <c r="G282" s="334">
        <v>46117</v>
      </c>
      <c r="H282" s="336" t="s">
        <v>681</v>
      </c>
      <c r="I282" s="336" t="s">
        <v>278</v>
      </c>
      <c r="J282" s="355" t="s">
        <v>389</v>
      </c>
      <c r="K282" s="336" t="s">
        <v>1165</v>
      </c>
      <c r="L282" s="337" t="s">
        <v>250</v>
      </c>
      <c r="M282" s="362" t="s">
        <v>269</v>
      </c>
      <c r="N282" s="338">
        <v>68</v>
      </c>
      <c r="O282" s="339" t="s">
        <v>252</v>
      </c>
      <c r="P28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2" s="355" t="s">
        <v>389</v>
      </c>
      <c r="R282" s="341">
        <v>1</v>
      </c>
      <c r="S282" s="34">
        <v>1</v>
      </c>
      <c r="T282" s="459">
        <f>Table1[[#This Row],[Progres Total Aktual
(%)]]</f>
        <v>0</v>
      </c>
      <c r="U282" s="460">
        <f>Table1[[#This Row],[Progres Aktual
(%)]]-Table1[[#This Row],[Target Progres
(%)]]</f>
        <v>-1</v>
      </c>
      <c r="V282" s="461">
        <f>Table1[[#This Row],["Volume
BA MC-0"]]</f>
        <v>66.400000000000006</v>
      </c>
      <c r="W282" s="462">
        <f>Table1[[#This Row],[Total Panjang Pipa Aktual
(Sum-&gt;)3]]</f>
        <v>0</v>
      </c>
      <c r="X282" s="42"/>
      <c r="Y282" s="345" t="s">
        <v>2229</v>
      </c>
      <c r="Z282" s="345">
        <v>170357072</v>
      </c>
      <c r="AA282" s="345">
        <f>ROUND((Table1[[#This Row],[Nilai RAB Jaringan
(Exclude Ppn)]]-Table1[[#This Row],[RAB Perizinan]])*1.11+Table1[[#This Row],[RAB Perizinan]],0)</f>
        <v>170357072</v>
      </c>
      <c r="AB282" s="463">
        <f>SUM(Table1[[#This Row],[RAB Kegiatan Umum]:[RAB Perizinan]])</f>
        <v>153542227</v>
      </c>
      <c r="AC282" s="409">
        <v>10319263</v>
      </c>
      <c r="AD282" s="409">
        <v>103192630</v>
      </c>
      <c r="AE282" s="409">
        <v>39350334</v>
      </c>
      <c r="AF282" s="409">
        <v>680000</v>
      </c>
      <c r="AG282" s="464">
        <v>21070387</v>
      </c>
      <c r="AH282" s="465">
        <f>SUM(Table1[[#This Row],[Bobot Keg Umum]:[Bobot Perizinan]])</f>
        <v>1</v>
      </c>
      <c r="AI282" s="465">
        <f>Table1[[#This Row],[RAB Kegiatan Umum]]/Table1[[#This Row],[Nilai RAB Jaringan
(Exclude Ppn)]]</f>
        <v>6.7207980512097171E-2</v>
      </c>
      <c r="AJ282" s="465">
        <f>Table1[[#This Row],[RAB Pemasangan]]/Table1[[#This Row],[Nilai RAB Jaringan
(Exclude Ppn)]]</f>
        <v>0.67207980512097165</v>
      </c>
      <c r="AK282" s="465">
        <f>Table1[[#This Row],[RAB Pengadaan]]/Table1[[#This Row],[Nilai RAB Jaringan
(Exclude Ppn)]]</f>
        <v>0.25628346526457507</v>
      </c>
      <c r="AL282" s="465">
        <f>Table1[[#This Row],[RAB Perizinan]]/Table1[[#This Row],[Nilai RAB Jaringan
(Exclude Ppn)]]</f>
        <v>4.4287491023560577E-3</v>
      </c>
      <c r="AM282" s="42"/>
      <c r="AN282" s="346">
        <v>66.400000000000006</v>
      </c>
      <c r="AO282" s="346">
        <f>SUM(Table1[[#This Row],[Pipa 63 mm]:[Pipa 1,800 mm]])</f>
        <v>0</v>
      </c>
      <c r="AP282" s="346"/>
      <c r="AQ282" s="346"/>
      <c r="AR282" s="346"/>
      <c r="AS282" s="346"/>
      <c r="AT282" s="346"/>
      <c r="AU282" s="346"/>
      <c r="AV282" s="346"/>
      <c r="AW282" s="346"/>
      <c r="AX282" s="346"/>
      <c r="AY282" s="346"/>
      <c r="AZ282" s="346"/>
      <c r="BA282" s="346"/>
      <c r="BB282" s="346"/>
      <c r="BC282" s="346"/>
      <c r="BD282" s="346"/>
      <c r="BE282" s="346"/>
      <c r="BF282" s="346"/>
      <c r="BG282" s="346"/>
      <c r="BH282" s="346"/>
      <c r="BI282" s="346"/>
      <c r="BJ282" s="347">
        <f>SUM(Table1[[#This Row],[Pipa 63 mm2]:[Pipa 1,800 mm21]])</f>
        <v>0</v>
      </c>
      <c r="BK282" s="348"/>
      <c r="BL282" s="348"/>
      <c r="BM282" s="348"/>
      <c r="BN282" s="348"/>
      <c r="BO282" s="348"/>
      <c r="BP282" s="348"/>
      <c r="BQ282" s="348"/>
      <c r="BR282" s="348"/>
      <c r="BS282" s="348"/>
      <c r="BT282" s="348"/>
      <c r="BU282" s="348"/>
      <c r="BV282" s="348"/>
      <c r="BW282" s="348"/>
      <c r="BX282" s="348"/>
      <c r="BY282" s="348"/>
      <c r="BZ282" s="348"/>
      <c r="CA282" s="348"/>
      <c r="CB282" s="348"/>
      <c r="CC282" s="348"/>
      <c r="CD282" s="348"/>
      <c r="CE282" s="348">
        <v>68</v>
      </c>
      <c r="CF282" s="348"/>
      <c r="CG282" s="348"/>
      <c r="CH282" s="348"/>
      <c r="CI282" s="348">
        <f t="shared" si="13"/>
        <v>68</v>
      </c>
      <c r="CJ282" s="410">
        <f>IF((Table1[[#This Row],["Volume
BA MC-0"]]-Table1[[#This Row],[Total Panjang Pipa Aktual
(Sum-&gt;)3]]-Table1[[#This Row],[Total Volume
tidak dapat dipasang]])&gt;=0,Table1[[#This Row],["Volume
BA MC-0"]]-Table1[[#This Row],[Total Panjang Pipa Aktual
(Sum-&gt;)3]]-Table1[[#This Row],[Total Volume
tidak dapat dipasang]],0)</f>
        <v>0</v>
      </c>
      <c r="CK282" s="42"/>
      <c r="CL282" s="466" t="s">
        <v>1821</v>
      </c>
      <c r="CM282" s="459" t="s">
        <v>1821</v>
      </c>
      <c r="CN282" s="466" t="s">
        <v>1821</v>
      </c>
      <c r="CO282" s="466" t="s">
        <v>1821</v>
      </c>
      <c r="CP28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82" s="350">
        <f>IFERROR(Table1[[#This Row],[Progres Keg. Umum
(%)]]*Table1[[#This Row],[Nilai RAB Jaringan
(file pa aji)]],0)</f>
        <v>0</v>
      </c>
      <c r="CR282" s="350">
        <f>IFERROR(Table1[[#This Row],[Progres MOS
(%)]]*Table1[[#This Row],[Nilai RAB Jaringan
(file pa aji)]],0)</f>
        <v>0</v>
      </c>
      <c r="CS282" s="350">
        <f>IFERROR(Table1[[#This Row],[Progres Pemasangan
(%)]]*Table1[[#This Row],[Nilai RAB Jaringan
(file pa aji)]],0)</f>
        <v>0</v>
      </c>
      <c r="CT282" s="350">
        <f>IFERROR(Table1[[#This Row],[Progres Perizinan
(%)]]*Table1[[#This Row],[Nilai RAB Jaringan
(file pa aji)]],0)</f>
        <v>0</v>
      </c>
      <c r="CU282" s="789">
        <v>0</v>
      </c>
      <c r="CV282" s="299">
        <v>0</v>
      </c>
      <c r="CW282" s="551">
        <v>0</v>
      </c>
      <c r="CX282" s="789">
        <f>_xlfn.XLOOKUP(Table1[[#This Row],[Kode Program]],'[1]Breakdown VOWD Greenfield'!$E:$E,'[1]Breakdown VOWD Greenfield'!$AT:$AT)</f>
        <v>0</v>
      </c>
      <c r="CY282" s="42"/>
      <c r="CZ282" s="356">
        <v>45838</v>
      </c>
      <c r="DA282" s="356">
        <v>45865</v>
      </c>
      <c r="DB282" s="358">
        <v>45782</v>
      </c>
      <c r="DC282" s="337" t="s">
        <v>2230</v>
      </c>
      <c r="DD282" s="345">
        <v>170357072</v>
      </c>
      <c r="DE2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2" s="358">
        <v>45799</v>
      </c>
      <c r="DG282" s="337" t="s">
        <v>2231</v>
      </c>
      <c r="DH282" s="345">
        <v>170357072</v>
      </c>
      <c r="DI282" s="337"/>
      <c r="DJ282" s="356">
        <v>45866</v>
      </c>
      <c r="DK282" s="356">
        <v>45928</v>
      </c>
      <c r="DL282" s="358">
        <v>45825</v>
      </c>
      <c r="DM282" s="337" t="s">
        <v>2232</v>
      </c>
      <c r="DN282" s="352"/>
      <c r="DO282" s="358">
        <v>45876</v>
      </c>
      <c r="DP282" s="337" t="s">
        <v>2233</v>
      </c>
      <c r="DQ282" s="336" t="s">
        <v>371</v>
      </c>
      <c r="DR282" s="352"/>
      <c r="DS282" s="356">
        <v>45866</v>
      </c>
      <c r="DT282" s="356" t="e">
        <v>#N/A</v>
      </c>
      <c r="DU282" s="356">
        <v>45907</v>
      </c>
      <c r="DV282" s="356" t="e">
        <v>#N/A</v>
      </c>
      <c r="DW282" s="358">
        <v>45825</v>
      </c>
      <c r="DX282" s="466" t="s">
        <v>2234</v>
      </c>
      <c r="DY282" s="412"/>
      <c r="DZ282" s="412"/>
      <c r="EA282" s="352"/>
      <c r="EB282" s="358"/>
      <c r="EC282" s="412"/>
      <c r="ED282" s="412"/>
      <c r="EE282" s="356"/>
      <c r="EF282" s="341"/>
      <c r="EG282" s="341"/>
      <c r="EH282" s="337"/>
      <c r="EI28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2" s="356">
        <v>45908</v>
      </c>
      <c r="EK282" s="356" t="e">
        <v>#N/A</v>
      </c>
      <c r="EL282" s="356">
        <v>45956</v>
      </c>
      <c r="EM282" s="356" t="e">
        <v>#N/A</v>
      </c>
      <c r="EN282" s="358"/>
      <c r="EO282" s="412"/>
      <c r="EP282" s="337"/>
      <c r="EQ282" s="341"/>
      <c r="ER282" s="341"/>
      <c r="ES282" s="337"/>
      <c r="ET2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2" s="42"/>
      <c r="EV282" s="356">
        <v>45866</v>
      </c>
      <c r="EW282" s="356" t="e">
        <v>#N/A</v>
      </c>
      <c r="EX282" s="356">
        <v>45956</v>
      </c>
      <c r="EY282" s="356" t="e">
        <v>#N/A</v>
      </c>
      <c r="EZ282" s="354" t="s">
        <v>298</v>
      </c>
      <c r="FA282" s="355" t="s">
        <v>389</v>
      </c>
      <c r="FB282" s="356" t="s">
        <v>260</v>
      </c>
      <c r="FC282" s="300">
        <v>45839</v>
      </c>
      <c r="FD282" s="356" t="s">
        <v>260</v>
      </c>
      <c r="FE282" s="356">
        <v>45898</v>
      </c>
      <c r="FF282" s="356">
        <v>45944</v>
      </c>
      <c r="FG282" s="356" t="s">
        <v>260</v>
      </c>
      <c r="FH282" s="356" t="s">
        <v>260</v>
      </c>
      <c r="FI282" s="356">
        <v>46003</v>
      </c>
      <c r="FJ282" s="356" t="s">
        <v>260</v>
      </c>
      <c r="FK282" s="356">
        <v>46134</v>
      </c>
      <c r="FL282" s="413" t="s">
        <v>298</v>
      </c>
      <c r="FM282" s="354">
        <v>45839</v>
      </c>
      <c r="FN282" s="336">
        <f>IF(Table1[[#This Row],[Tanggal Pengajuan Dokumen]]="","",Table1[[#This Row],[PLAN PERMIT
start]]-Table1[[#This Row],[Tanggal Pengajuan Dokumen]])</f>
        <v>27</v>
      </c>
      <c r="FO282" s="414">
        <v>46086</v>
      </c>
      <c r="FP282" s="337"/>
      <c r="FQ282" s="336"/>
      <c r="FR282" s="336"/>
      <c r="FS282" s="336" t="str">
        <f t="shared" si="14"/>
        <v>On Going</v>
      </c>
      <c r="FT28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2" s="357">
        <f ca="1">IF(Table1[[#This Row],[Status Izin]]="Selesai",Table1[[#This Row],[PLAN PERMIT
finish]]-Table1[[#This Row],[Tanggal Terbit/ Target Izin Terbit]],ROUNDUP(Table1[[#This Row],[PLAN PERMIT
finish]]-NOW(),0))</f>
        <v>-248</v>
      </c>
      <c r="FV28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2" s="357"/>
      <c r="FX282" s="42"/>
      <c r="FY282" s="310"/>
      <c r="FZ282" s="311"/>
      <c r="GA2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2" s="356">
        <v>45930</v>
      </c>
      <c r="GC282" s="467">
        <v>45961</v>
      </c>
      <c r="GD28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2" s="356">
        <v>45937</v>
      </c>
      <c r="GF282" s="467">
        <v>45961</v>
      </c>
      <c r="GG28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282" s="356">
        <v>45943</v>
      </c>
      <c r="GI282" s="356">
        <v>45949</v>
      </c>
      <c r="GJ282" s="354">
        <v>45975</v>
      </c>
      <c r="GK28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282" s="356">
        <v>45957</v>
      </c>
      <c r="GM282" s="356" t="e">
        <v>#N/A</v>
      </c>
      <c r="GN282" s="356">
        <v>45977</v>
      </c>
      <c r="GO282" s="356" t="e">
        <v>#N/A</v>
      </c>
      <c r="GP282" s="356"/>
      <c r="GQ28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2" s="356" t="s">
        <v>261</v>
      </c>
      <c r="GS282" s="356" t="s">
        <v>261</v>
      </c>
      <c r="GT282" s="360"/>
      <c r="GU282" s="357" t="str">
        <f>IF(Table1[[#This Row],[Hydro Tes Actual
(tanggal)]]&lt;&gt;"","Sudah","Belum")</f>
        <v>Belum</v>
      </c>
      <c r="GV282" s="356" t="s">
        <v>261</v>
      </c>
      <c r="GW282" s="356" t="s">
        <v>261</v>
      </c>
      <c r="GX282" s="358"/>
      <c r="GY282" s="357" t="str">
        <f>IF(Table1[[#This Row],[Interkoneksi Actual
(tanggal)]]&lt;&gt;"","Sudah","Belum")</f>
        <v>Belum</v>
      </c>
      <c r="GZ282" s="356" t="s">
        <v>261</v>
      </c>
      <c r="HA282" s="356" t="s">
        <v>261</v>
      </c>
      <c r="HB282" s="358"/>
      <c r="HC282" s="357" t="str">
        <f>IF(Table1[[#This Row],[Flushing Actual
(tanggal)]]&lt;&gt;"","Sudah","Belum")</f>
        <v>Belum</v>
      </c>
      <c r="HD282" s="356">
        <v>45964</v>
      </c>
      <c r="HE282" s="356" t="e">
        <v>#N/A</v>
      </c>
      <c r="HF282" s="356">
        <v>45977</v>
      </c>
      <c r="HG282" s="354"/>
      <c r="HH28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2" s="356" t="s">
        <v>261</v>
      </c>
      <c r="HJ282" s="356" t="s">
        <v>261</v>
      </c>
      <c r="HK282" s="358"/>
      <c r="HL282" s="337"/>
      <c r="HM282" s="356">
        <v>45982</v>
      </c>
      <c r="HN282" s="356">
        <v>45982</v>
      </c>
      <c r="HO282" s="356" t="e">
        <v>#N/A</v>
      </c>
      <c r="HP282" s="356"/>
      <c r="HQ282" s="358"/>
      <c r="HR28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2" s="356">
        <v>45989</v>
      </c>
      <c r="HT282" s="356"/>
      <c r="HU282" s="356">
        <v>45989</v>
      </c>
      <c r="HV282" s="356"/>
      <c r="HW282" s="358"/>
      <c r="HX28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2" s="42"/>
      <c r="HZ282" s="354" t="s">
        <v>2134</v>
      </c>
      <c r="IA282" s="354" t="s">
        <v>2163</v>
      </c>
      <c r="IC282" s="585">
        <f>IFERROR(ROUND((Table1[[#This Row],[PLAN TC
finish]]-Table1[[#This Row],[PLAN MC-0
start]])/30,2),"")</f>
        <v>1.1299999999999999</v>
      </c>
      <c r="ID282">
        <f>DATEDIF(Table1[[#This Row],[PLAN MC-0
start]],Table1[[#This Row],[PLAN TC
finish]],"m")</f>
        <v>1</v>
      </c>
    </row>
    <row r="283" spans="1:238" s="4" customFormat="1" ht="15" customHeight="1" x14ac:dyDescent="0.25">
      <c r="B283" s="281">
        <f>SUBTOTAL(3,$D$5:D283)</f>
        <v>279</v>
      </c>
      <c r="C283" s="286">
        <v>279</v>
      </c>
      <c r="D283" s="308" t="s">
        <v>244</v>
      </c>
      <c r="E283" s="308" t="s">
        <v>2235</v>
      </c>
      <c r="F283" s="308" t="s">
        <v>2236</v>
      </c>
      <c r="G283" s="319">
        <v>46117</v>
      </c>
      <c r="H283" s="308" t="s">
        <v>681</v>
      </c>
      <c r="I283" s="308" t="s">
        <v>278</v>
      </c>
      <c r="J283" s="450" t="s">
        <v>1818</v>
      </c>
      <c r="K283" s="308" t="s">
        <v>1165</v>
      </c>
      <c r="L283" s="286" t="s">
        <v>250</v>
      </c>
      <c r="M283" s="325" t="s">
        <v>269</v>
      </c>
      <c r="N283" s="94">
        <v>218</v>
      </c>
      <c r="O283" s="31" t="s">
        <v>252</v>
      </c>
      <c r="P28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3" s="290" t="s">
        <v>389</v>
      </c>
      <c r="R283" s="35">
        <v>1</v>
      </c>
      <c r="S283" s="34">
        <v>1</v>
      </c>
      <c r="T283" s="34">
        <f>Table1[[#This Row],[Progres Total Aktual
(%)]]</f>
        <v>8.0431488699534023E-2</v>
      </c>
      <c r="U283" s="85">
        <f>Table1[[#This Row],[Progres Aktual
(%)]]-Table1[[#This Row],[Target Progres
(%)]]</f>
        <v>-0.91956851130046602</v>
      </c>
      <c r="V283" s="75">
        <f>Table1[[#This Row],["Volume
BA MC-0"]]</f>
        <v>217</v>
      </c>
      <c r="W283" s="41">
        <f>Table1[[#This Row],[Total Panjang Pipa Aktual
(Sum-&gt;)3]]</f>
        <v>0</v>
      </c>
      <c r="X283" s="42"/>
      <c r="Y283" s="62" t="s">
        <v>2237</v>
      </c>
      <c r="Z283" s="62">
        <v>347707099</v>
      </c>
      <c r="AA283" s="62">
        <f>ROUND((Table1[[#This Row],[Nilai RAB Jaringan
(Exclude Ppn)]]-Table1[[#This Row],[RAB Perizinan]])*1.11+Table1[[#This Row],[RAB Perizinan]],0)</f>
        <v>347707098</v>
      </c>
      <c r="AB283" s="456">
        <f>SUM(Table1[[#This Row],[RAB Kegiatan Umum]:[RAB Perizinan]])</f>
        <v>313465674</v>
      </c>
      <c r="AC283" s="406">
        <v>24381223</v>
      </c>
      <c r="AD283" s="406">
        <v>243812233</v>
      </c>
      <c r="AE283" s="406">
        <v>43092218</v>
      </c>
      <c r="AF283" s="406">
        <v>2180000</v>
      </c>
      <c r="AG283" s="453">
        <v>2107039</v>
      </c>
      <c r="AH283" s="33">
        <f>SUM(Table1[[#This Row],[Bobot Keg Umum]:[Bobot Perizinan]])</f>
        <v>1</v>
      </c>
      <c r="AI283" s="33">
        <f>Table1[[#This Row],[RAB Kegiatan Umum]]/Table1[[#This Row],[Nilai RAB Jaringan
(Exclude Ppn)]]</f>
        <v>7.777956255586696E-2</v>
      </c>
      <c r="AJ283" s="33">
        <f>Table1[[#This Row],[RAB Pemasangan]]/Table1[[#This Row],[Nilai RAB Jaringan
(Exclude Ppn)]]</f>
        <v>0.77779563512909555</v>
      </c>
      <c r="AK283" s="33">
        <f>Table1[[#This Row],[RAB Pengadaan]]/Table1[[#This Row],[Nilai RAB Jaringan
(Exclude Ppn)]]</f>
        <v>0.13747029283978315</v>
      </c>
      <c r="AL283" s="33">
        <f>Table1[[#This Row],[RAB Perizinan]]/Table1[[#This Row],[Nilai RAB Jaringan
(Exclude Ppn)]]</f>
        <v>6.9545094752543786E-3</v>
      </c>
      <c r="AM283" s="42"/>
      <c r="AN283" s="256">
        <v>217</v>
      </c>
      <c r="AO283" s="256">
        <f>SUM(Table1[[#This Row],[Pipa 63 mm]:[Pipa 1,800 mm]])</f>
        <v>0</v>
      </c>
      <c r="AP283" s="256"/>
      <c r="AQ283" s="256"/>
      <c r="AR283" s="256"/>
      <c r="AS283" s="256"/>
      <c r="AT283" s="256"/>
      <c r="AU283" s="256"/>
      <c r="AV283" s="256"/>
      <c r="AW283" s="256"/>
      <c r="AX283" s="256"/>
      <c r="AY283" s="256"/>
      <c r="AZ283" s="256"/>
      <c r="BA283" s="256"/>
      <c r="BB283" s="256"/>
      <c r="BC283" s="256"/>
      <c r="BD283" s="256"/>
      <c r="BE283" s="256"/>
      <c r="BF283" s="256"/>
      <c r="BG283" s="256"/>
      <c r="BH283" s="256"/>
      <c r="BI283" s="256"/>
      <c r="BJ283" s="36">
        <f>SUM(Table1[[#This Row],[Pipa 63 mm2]:[Pipa 1,800 mm21]])</f>
        <v>0</v>
      </c>
      <c r="BK283" s="32"/>
      <c r="BL283" s="32"/>
      <c r="BM283" s="32"/>
      <c r="BN283" s="32"/>
      <c r="BO283" s="32"/>
      <c r="BP283" s="32"/>
      <c r="BQ283" s="32"/>
      <c r="BR283" s="32"/>
      <c r="BS283" s="32"/>
      <c r="BT283" s="32"/>
      <c r="BU283" s="32"/>
      <c r="BV283" s="32"/>
      <c r="BW283" s="32"/>
      <c r="BX283" s="32"/>
      <c r="BY283" s="32"/>
      <c r="BZ283" s="32"/>
      <c r="CA283" s="32"/>
      <c r="CB283" s="32"/>
      <c r="CC283" s="32"/>
      <c r="CD283" s="32"/>
      <c r="CE283" s="32">
        <v>0</v>
      </c>
      <c r="CF283" s="32"/>
      <c r="CG283" s="32"/>
      <c r="CH283" s="32"/>
      <c r="CI283" s="32">
        <f t="shared" si="13"/>
        <v>0</v>
      </c>
      <c r="CJ283" s="60">
        <f>IF((Table1[[#This Row],["Volume
BA MC-0"]]-Table1[[#This Row],[Total Panjang Pipa Aktual
(Sum-&gt;)3]]-Table1[[#This Row],[Total Volume
tidak dapat dipasang]])&gt;=0,Table1[[#This Row],["Volume
BA MC-0"]]-Table1[[#This Row],[Total Panjang Pipa Aktual
(Sum-&gt;)3]]-Table1[[#This Row],[Total Volume
tidak dapat dipasang]],0)</f>
        <v>217</v>
      </c>
      <c r="CK283" s="42"/>
      <c r="CL283" s="35" t="s">
        <v>1821</v>
      </c>
      <c r="CM283" s="35" t="s">
        <v>1821</v>
      </c>
      <c r="CN283" s="35" t="s">
        <v>1821</v>
      </c>
      <c r="CO283" s="35" t="s">
        <v>1821</v>
      </c>
      <c r="CP2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8.0431488699534023E-2</v>
      </c>
      <c r="CQ283" s="61">
        <f>IFERROR(Table1[[#This Row],[Progres Keg. Umum
(%)]]*Table1[[#This Row],[Nilai RAB Jaringan
(file pa aji)]],0)</f>
        <v>0</v>
      </c>
      <c r="CR283" s="61">
        <f>IFERROR(Table1[[#This Row],[Progres MOS
(%)]]*Table1[[#This Row],[Nilai RAB Jaringan
(file pa aji)]],0)</f>
        <v>0</v>
      </c>
      <c r="CS283" s="61">
        <f>IFERROR(Table1[[#This Row],[Progres Pemasangan
(%)]]*Table1[[#This Row],[Nilai RAB Jaringan
(file pa aji)]],0)</f>
        <v>0</v>
      </c>
      <c r="CT283" s="61">
        <f>IFERROR(Table1[[#This Row],[Progres Perizinan
(%)]]*Table1[[#This Row],[Nilai RAB Jaringan
(file pa aji)]],0)</f>
        <v>0</v>
      </c>
      <c r="CU283" s="789">
        <v>27966599.523534771</v>
      </c>
      <c r="CV283" s="299">
        <v>27966599.523534771</v>
      </c>
      <c r="CW283" s="552">
        <v>0</v>
      </c>
      <c r="CX283" s="789">
        <f>_xlfn.XLOOKUP(Table1[[#This Row],[Kode Program]],'[1]Breakdown VOWD Greenfield'!$E:$E,'[1]Breakdown VOWD Greenfield'!$AT:$AT)</f>
        <v>0</v>
      </c>
      <c r="CY283" s="42"/>
      <c r="CZ283" s="300">
        <v>45866</v>
      </c>
      <c r="DA283" s="300">
        <v>45893</v>
      </c>
      <c r="DB283" s="301">
        <v>45783</v>
      </c>
      <c r="DC283" s="286" t="s">
        <v>2238</v>
      </c>
      <c r="DD283" s="62">
        <v>347707098</v>
      </c>
      <c r="DE2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3" s="301">
        <v>45799</v>
      </c>
      <c r="DG283" s="286" t="s">
        <v>2239</v>
      </c>
      <c r="DH283" s="62">
        <v>347707098</v>
      </c>
      <c r="DI2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3" s="300">
        <v>45894</v>
      </c>
      <c r="DK283" s="300">
        <v>45956</v>
      </c>
      <c r="DL283" s="301">
        <v>45825</v>
      </c>
      <c r="DM283" s="286" t="s">
        <v>2240</v>
      </c>
      <c r="DN2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3" s="301">
        <v>45876</v>
      </c>
      <c r="DP283" s="286" t="s">
        <v>2241</v>
      </c>
      <c r="DQ283" s="308" t="s">
        <v>371</v>
      </c>
      <c r="DR2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3" s="300">
        <v>45894</v>
      </c>
      <c r="DT283" s="300" t="e">
        <v>#N/A</v>
      </c>
      <c r="DU283" s="300">
        <v>45935</v>
      </c>
      <c r="DV283" s="300" t="e">
        <v>#N/A</v>
      </c>
      <c r="DW283" s="301">
        <v>45825</v>
      </c>
      <c r="DX283" s="454" t="s">
        <v>2242</v>
      </c>
      <c r="DY283" s="304">
        <v>18</v>
      </c>
      <c r="DZ283" s="304">
        <v>18</v>
      </c>
      <c r="EA2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3" s="301"/>
      <c r="EC283" s="302">
        <v>17</v>
      </c>
      <c r="ED283" s="302">
        <v>17</v>
      </c>
      <c r="EE283" s="300"/>
      <c r="EF283" s="35">
        <v>0.94444444444444442</v>
      </c>
      <c r="EG283" s="35">
        <f>Table1[[#This Row],[Line PO (kolom  bantu)2]]/Table1[[#This Row],[Line PR]]</f>
        <v>0.94444444444444442</v>
      </c>
      <c r="EH283" s="286" t="str">
        <f>IF(Table1[[#This Row],[PO Material Aktual 
(%)]]&gt;=100%,"Selesai PO = 100%",IF(Table1[[#This Row],[PO Material Aktual 
(%)]]&gt;=50%,"Proses PO &gt; 100%",IF(Table1[[#This Row],[PO Material Aktual 
(%)]]&gt;0%,"Proses PO &gt; 50%",IF(Table1[[#This Row],[PO Material Aktual 
(%)]]=0,"Belum PO = 0%"))))</f>
        <v>Proses PO &gt; 100%</v>
      </c>
      <c r="EI28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3" s="300">
        <v>45936</v>
      </c>
      <c r="EK283" s="300" t="e">
        <v>#N/A</v>
      </c>
      <c r="EL283" s="300">
        <v>45984</v>
      </c>
      <c r="EM283" s="300" t="e">
        <v>#N/A</v>
      </c>
      <c r="EN283" s="301"/>
      <c r="EO283" s="302">
        <v>16</v>
      </c>
      <c r="EP283" s="286">
        <v>16</v>
      </c>
      <c r="EQ283" s="35">
        <v>0.88888888888888884</v>
      </c>
      <c r="ER283" s="35">
        <f>Table1[[#This Row],[Line MOS]]/Table1[[#This Row],[Line PR]]</f>
        <v>0.88888888888888884</v>
      </c>
      <c r="ES283" s="286" t="str">
        <f>IF(Table1[[#This Row],[Progres MOS]]&gt;=100%,"Selesai MOS = 100%",IF(Table1[[#This Row],[Progres MOS]]&gt;=50%,"Proses MOS &gt; 100%",IF(Table1[[#This Row],[Progres MOS]]&gt;0%,"Proses MOS &gt; 50%",IF(Table1[[#This Row],[Progres MOS]]=0,"Belum MOS = 0%"))))</f>
        <v>Proses MOS &gt; 100%</v>
      </c>
      <c r="ET2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3" s="42"/>
      <c r="EV283" s="300">
        <v>45894</v>
      </c>
      <c r="EW283" s="300" t="e">
        <v>#N/A</v>
      </c>
      <c r="EX283" s="300">
        <v>45984</v>
      </c>
      <c r="EY283" s="300" t="e">
        <v>#N/A</v>
      </c>
      <c r="EZ283" s="322" t="s">
        <v>298</v>
      </c>
      <c r="FA283" s="306" t="s">
        <v>259</v>
      </c>
      <c r="FB283" s="300" t="s">
        <v>260</v>
      </c>
      <c r="FC283" s="300"/>
      <c r="FD283" s="300" t="s">
        <v>260</v>
      </c>
      <c r="FE283" s="300">
        <v>45895</v>
      </c>
      <c r="FF283" s="300">
        <v>45919</v>
      </c>
      <c r="FG283" s="300" t="s">
        <v>260</v>
      </c>
      <c r="FH283" s="300" t="s">
        <v>260</v>
      </c>
      <c r="FI283" s="300">
        <v>46010</v>
      </c>
      <c r="FJ283" s="300" t="s">
        <v>260</v>
      </c>
      <c r="FK283" s="300">
        <v>46112</v>
      </c>
      <c r="FL283" s="306" t="s">
        <v>298</v>
      </c>
      <c r="FM283" s="306"/>
      <c r="FN283" s="284" t="str">
        <f>IF(Table1[[#This Row],[Tanggal Pengajuan Dokumen]]="","",Table1[[#This Row],[PLAN PERMIT
start]]-Table1[[#This Row],[Tanggal Pengajuan Dokumen]])</f>
        <v/>
      </c>
      <c r="FO283" s="407">
        <v>46086</v>
      </c>
      <c r="FP283" s="286"/>
      <c r="FQ283" s="308"/>
      <c r="FR283" s="308"/>
      <c r="FS283" s="308" t="str">
        <f t="shared" si="14"/>
        <v>Sudah Terbit</v>
      </c>
      <c r="FT2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3" s="314">
        <f ca="1">IF(Table1[[#This Row],[Status Izin]]="Selesai",Table1[[#This Row],[PLAN PERMIT
finish]]-Table1[[#This Row],[Tanggal Terbit/ Target Izin Terbit]],ROUNDUP(Table1[[#This Row],[PLAN PERMIT
finish]]-NOW(),0))</f>
        <v>-102</v>
      </c>
      <c r="FV2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3" s="314"/>
      <c r="FX283" s="42"/>
      <c r="FY283" s="310"/>
      <c r="FZ283" s="311"/>
      <c r="GA2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3" s="300">
        <v>45958</v>
      </c>
      <c r="GC283" s="408">
        <v>45961</v>
      </c>
      <c r="GD2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3" s="300">
        <v>45965</v>
      </c>
      <c r="GF283" s="408">
        <v>45961</v>
      </c>
      <c r="GG2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3" s="300">
        <v>45971</v>
      </c>
      <c r="GI283" s="300">
        <v>45977</v>
      </c>
      <c r="GJ283" s="322">
        <v>45975</v>
      </c>
      <c r="GK2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3" s="300">
        <v>45985</v>
      </c>
      <c r="GM283" s="300" t="e">
        <v>#N/A</v>
      </c>
      <c r="GN283" s="300">
        <v>46005</v>
      </c>
      <c r="GO283" s="300" t="e">
        <v>#N/A</v>
      </c>
      <c r="GP283" s="300"/>
      <c r="GQ2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3" s="300" t="s">
        <v>261</v>
      </c>
      <c r="GS283" s="300" t="s">
        <v>261</v>
      </c>
      <c r="GT283" s="324"/>
      <c r="GU283" s="314" t="str">
        <f>IF(Table1[[#This Row],[Hydro Tes Actual
(tanggal)]]&lt;&gt;"","Sudah","Belum")</f>
        <v>Belum</v>
      </c>
      <c r="GV283" s="300" t="s">
        <v>261</v>
      </c>
      <c r="GW283" s="300" t="s">
        <v>261</v>
      </c>
      <c r="GX283" s="301"/>
      <c r="GY283" s="314" t="str">
        <f>IF(Table1[[#This Row],[Interkoneksi Actual
(tanggal)]]&lt;&gt;"","Sudah","Belum")</f>
        <v>Belum</v>
      </c>
      <c r="GZ283" s="300" t="s">
        <v>261</v>
      </c>
      <c r="HA283" s="300" t="s">
        <v>261</v>
      </c>
      <c r="HB283" s="301"/>
      <c r="HC283" s="314" t="str">
        <f>IF(Table1[[#This Row],[Flushing Actual
(tanggal)]]&lt;&gt;"","Sudah","Belum")</f>
        <v>Belum</v>
      </c>
      <c r="HD283" s="300">
        <v>45992</v>
      </c>
      <c r="HE283" s="300" t="e">
        <v>#N/A</v>
      </c>
      <c r="HF283" s="300">
        <v>46005</v>
      </c>
      <c r="HG283" s="322"/>
      <c r="HH2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3" s="300" t="s">
        <v>261</v>
      </c>
      <c r="HJ283" s="300" t="s">
        <v>261</v>
      </c>
      <c r="HK283" s="301"/>
      <c r="HL283" s="286"/>
      <c r="HM283" s="300">
        <v>46010</v>
      </c>
      <c r="HN283" s="300">
        <v>46010</v>
      </c>
      <c r="HO283" s="300" t="e">
        <v>#N/A</v>
      </c>
      <c r="HP283" s="300"/>
      <c r="HQ283" s="301"/>
      <c r="HR28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3" s="300">
        <v>46017</v>
      </c>
      <c r="HT283" s="300"/>
      <c r="HU283" s="300">
        <v>46017</v>
      </c>
      <c r="HV283" s="300"/>
      <c r="HW283" s="301"/>
      <c r="HX28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3" s="42"/>
      <c r="HZ283" s="322"/>
      <c r="IA283" s="322"/>
      <c r="IC283" s="585">
        <f>IFERROR(ROUND((Table1[[#This Row],[PLAN TC
finish]]-Table1[[#This Row],[PLAN MC-0
start]])/30,2),"")</f>
        <v>1.1299999999999999</v>
      </c>
      <c r="ID283">
        <f>DATEDIF(Table1[[#This Row],[PLAN MC-0
start]],Table1[[#This Row],[PLAN TC
finish]],"m")</f>
        <v>1</v>
      </c>
    </row>
    <row r="284" spans="1:238" s="4" customFormat="1" ht="15" customHeight="1" x14ac:dyDescent="0.25">
      <c r="B284" s="281">
        <f>SUBTOTAL(3,$D$5:D284)</f>
        <v>280</v>
      </c>
      <c r="C284" s="286">
        <v>280</v>
      </c>
      <c r="D284" s="308" t="s">
        <v>244</v>
      </c>
      <c r="E284" s="308" t="s">
        <v>2243</v>
      </c>
      <c r="F284" s="308" t="s">
        <v>2244</v>
      </c>
      <c r="G284" s="319">
        <v>46117</v>
      </c>
      <c r="H284" s="308" t="s">
        <v>681</v>
      </c>
      <c r="I284" s="308" t="s">
        <v>278</v>
      </c>
      <c r="J284" s="450" t="s">
        <v>1818</v>
      </c>
      <c r="K284" s="308" t="s">
        <v>1165</v>
      </c>
      <c r="L284" s="286" t="s">
        <v>250</v>
      </c>
      <c r="M284" s="325" t="s">
        <v>269</v>
      </c>
      <c r="N284" s="94">
        <v>52</v>
      </c>
      <c r="O284" s="31" t="s">
        <v>252</v>
      </c>
      <c r="P28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4" s="35">
        <v>0.99999999999999967</v>
      </c>
      <c r="S284" s="34">
        <v>1</v>
      </c>
      <c r="T284" s="34">
        <f>Table1[[#This Row],[Progres Total Aktual
(%)]]</f>
        <v>1</v>
      </c>
      <c r="U284" s="85">
        <f>Table1[[#This Row],[Progres Aktual
(%)]]-Table1[[#This Row],[Target Progres
(%)]]</f>
        <v>0</v>
      </c>
      <c r="V284" s="75">
        <f>Table1[[#This Row],["Volume
BA MC-0"]]</f>
        <v>55</v>
      </c>
      <c r="W284" s="41">
        <f>Table1[[#This Row],[Total Panjang Pipa Aktual
(Sum-&gt;)3]]</f>
        <v>71</v>
      </c>
      <c r="X284" s="42"/>
      <c r="Y284" s="62" t="s">
        <v>2245</v>
      </c>
      <c r="Z284" s="62">
        <v>158937786</v>
      </c>
      <c r="AA284" s="62">
        <f>ROUND((Table1[[#This Row],[Nilai RAB Jaringan
(Exclude Ppn)]]-Table1[[#This Row],[RAB Perizinan]])*1.11+Table1[[#This Row],[RAB Perizinan]],0)</f>
        <v>190642074</v>
      </c>
      <c r="AB284" s="456">
        <f>SUM(Table1[[#This Row],[RAB Kegiatan Umum]:[RAB Perizinan]])</f>
        <v>171801148</v>
      </c>
      <c r="AC284" s="406">
        <v>10812244</v>
      </c>
      <c r="AD284" s="406">
        <v>108122437</v>
      </c>
      <c r="AE284" s="406">
        <v>52346467</v>
      </c>
      <c r="AF284" s="406">
        <v>520000</v>
      </c>
      <c r="AG284" s="453">
        <v>2107039</v>
      </c>
      <c r="AH284" s="33">
        <f>SUM(Table1[[#This Row],[Bobot Keg Umum]:[Bobot Perizinan]])</f>
        <v>1</v>
      </c>
      <c r="AI284" s="33">
        <f>Table1[[#This Row],[RAB Kegiatan Umum]]/Table1[[#This Row],[Nilai RAB Jaringan
(Exclude Ppn)]]</f>
        <v>6.2934643486782751E-2</v>
      </c>
      <c r="AJ284" s="33">
        <f>Table1[[#This Row],[RAB Pemasangan]]/Table1[[#This Row],[Nilai RAB Jaringan
(Exclude Ppn)]]</f>
        <v>0.6293464174057789</v>
      </c>
      <c r="AK284" s="33">
        <f>Table1[[#This Row],[RAB Pengadaan]]/Table1[[#This Row],[Nilai RAB Jaringan
(Exclude Ppn)]]</f>
        <v>0.30469218401264697</v>
      </c>
      <c r="AL284" s="33">
        <f>Table1[[#This Row],[RAB Perizinan]]/Table1[[#This Row],[Nilai RAB Jaringan
(Exclude Ppn)]]</f>
        <v>3.026755094791334E-3</v>
      </c>
      <c r="AM284" s="42"/>
      <c r="AN284" s="256">
        <v>55</v>
      </c>
      <c r="AO284" s="256">
        <f>SUM(Table1[[#This Row],[Pipa 63 mm]:[Pipa 1,800 mm]])</f>
        <v>0</v>
      </c>
      <c r="AP284" s="256"/>
      <c r="AQ284" s="256"/>
      <c r="AR284" s="256"/>
      <c r="AS284" s="256"/>
      <c r="AT284" s="256"/>
      <c r="AU284" s="256"/>
      <c r="AV284" s="256"/>
      <c r="AW284" s="256"/>
      <c r="AX284" s="256"/>
      <c r="AY284" s="256"/>
      <c r="AZ284" s="256"/>
      <c r="BA284" s="256"/>
      <c r="BB284" s="256"/>
      <c r="BC284" s="256"/>
      <c r="BD284" s="256"/>
      <c r="BE284" s="256"/>
      <c r="BF284" s="256"/>
      <c r="BG284" s="256"/>
      <c r="BH284" s="256"/>
      <c r="BI284" s="256"/>
      <c r="BJ284" s="36">
        <f>SUM(Table1[[#This Row],[Pipa 63 mm2]:[Pipa 1,800 mm21]])</f>
        <v>71</v>
      </c>
      <c r="BK284" s="32"/>
      <c r="BL284" s="32"/>
      <c r="BM284" s="32"/>
      <c r="BN284" s="32">
        <v>71</v>
      </c>
      <c r="BO284" s="32"/>
      <c r="BP284" s="32"/>
      <c r="BQ284" s="32"/>
      <c r="BR284" s="32"/>
      <c r="BS284" s="32"/>
      <c r="BT284" s="32"/>
      <c r="BU284" s="32"/>
      <c r="BV284" s="32"/>
      <c r="BW284" s="32"/>
      <c r="BX284" s="32"/>
      <c r="BY284" s="32"/>
      <c r="BZ284" s="32"/>
      <c r="CA284" s="32"/>
      <c r="CB284" s="32"/>
      <c r="CC284" s="32"/>
      <c r="CD284" s="32"/>
      <c r="CE284" s="32">
        <v>0</v>
      </c>
      <c r="CF284" s="32"/>
      <c r="CG284" s="32"/>
      <c r="CH284" s="32"/>
      <c r="CI284" s="32">
        <f t="shared" si="13"/>
        <v>0</v>
      </c>
      <c r="CJ284" s="60">
        <f>IF((Table1[[#This Row],["Volume
BA MC-0"]]-Table1[[#This Row],[Total Panjang Pipa Aktual
(Sum-&gt;)3]]-Table1[[#This Row],[Total Volume
tidak dapat dipasang]])&gt;=0,Table1[[#This Row],["Volume
BA MC-0"]]-Table1[[#This Row],[Total Panjang Pipa Aktual
(Sum-&gt;)3]]-Table1[[#This Row],[Total Volume
tidak dapat dipasang]],0)</f>
        <v>0</v>
      </c>
      <c r="CK284" s="42"/>
      <c r="CL284" s="454" t="s">
        <v>1821</v>
      </c>
      <c r="CM284" s="34" t="s">
        <v>1821</v>
      </c>
      <c r="CN284" s="454" t="s">
        <v>1821</v>
      </c>
      <c r="CO284" s="454" t="s">
        <v>1821</v>
      </c>
      <c r="CP2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4" s="61">
        <f>IFERROR(Table1[[#This Row],[Progres Keg. Umum
(%)]]*Table1[[#This Row],[Nilai RAB Jaringan
(file pa aji)]],0)</f>
        <v>0</v>
      </c>
      <c r="CR284" s="61">
        <f>IFERROR(Table1[[#This Row],[Progres MOS
(%)]]*Table1[[#This Row],[Nilai RAB Jaringan
(file pa aji)]],0)</f>
        <v>0</v>
      </c>
      <c r="CS284" s="61">
        <f>IFERROR(Table1[[#This Row],[Progres Pemasangan
(%)]]*Table1[[#This Row],[Nilai RAB Jaringan
(file pa aji)]],0)</f>
        <v>0</v>
      </c>
      <c r="CT284" s="61">
        <f>IFERROR(Table1[[#This Row],[Progres Perizinan
(%)]]*Table1[[#This Row],[Nilai RAB Jaringan
(file pa aji)]],0)</f>
        <v>0</v>
      </c>
      <c r="CU284" s="789">
        <v>190122074</v>
      </c>
      <c r="CV284" s="299">
        <v>190122074</v>
      </c>
      <c r="CW284" s="552">
        <v>190122074</v>
      </c>
      <c r="CX284" s="789">
        <f>_xlfn.XLOOKUP(Table1[[#This Row],[Kode Program]],'[1]Breakdown VOWD Greenfield'!$E:$E,'[1]Breakdown VOWD Greenfield'!$AT:$AT)</f>
        <v>190122074</v>
      </c>
      <c r="CY284" s="42"/>
      <c r="CZ284" s="300">
        <v>45866</v>
      </c>
      <c r="DA284" s="300">
        <v>45893</v>
      </c>
      <c r="DB284" s="301">
        <v>45783</v>
      </c>
      <c r="DC284" s="286" t="s">
        <v>2246</v>
      </c>
      <c r="DD284" s="62">
        <v>190642074</v>
      </c>
      <c r="DE2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4" s="301">
        <v>45803</v>
      </c>
      <c r="DG284" s="286" t="s">
        <v>2247</v>
      </c>
      <c r="DH284" s="62">
        <v>190642074</v>
      </c>
      <c r="DI2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4" s="300">
        <v>45894</v>
      </c>
      <c r="DK284" s="300">
        <v>45956</v>
      </c>
      <c r="DL284" s="301">
        <v>45832</v>
      </c>
      <c r="DM284" s="286" t="s">
        <v>2248</v>
      </c>
      <c r="DN2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4" s="301">
        <v>45876</v>
      </c>
      <c r="DP284" s="286" t="s">
        <v>2249</v>
      </c>
      <c r="DQ284" s="308" t="s">
        <v>371</v>
      </c>
      <c r="DR2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4" s="300">
        <v>45894</v>
      </c>
      <c r="DT284" s="300" t="e">
        <v>#N/A</v>
      </c>
      <c r="DU284" s="300">
        <v>45935</v>
      </c>
      <c r="DV284" s="300" t="e">
        <v>#N/A</v>
      </c>
      <c r="DW284" s="301">
        <v>45832</v>
      </c>
      <c r="DX284" s="454" t="s">
        <v>2250</v>
      </c>
      <c r="DY284" s="304">
        <v>19</v>
      </c>
      <c r="DZ284" s="304">
        <v>19</v>
      </c>
      <c r="EA2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4" s="301"/>
      <c r="EC284" s="302">
        <v>16</v>
      </c>
      <c r="ED284" s="302">
        <v>16</v>
      </c>
      <c r="EE284" s="300"/>
      <c r="EF284" s="35">
        <v>0.84210526315789469</v>
      </c>
      <c r="EG284" s="35">
        <f>Table1[[#This Row],[Line PO (kolom  bantu)2]]/Table1[[#This Row],[Line PR]]</f>
        <v>0.84210526315789469</v>
      </c>
      <c r="EH284" s="286" t="str">
        <f>IF(Table1[[#This Row],[PO Material Aktual 
(%)]]&gt;=100%,"Selesai PO = 100%",IF(Table1[[#This Row],[PO Material Aktual 
(%)]]&gt;=50%,"Proses PO &gt; 100%",IF(Table1[[#This Row],[PO Material Aktual 
(%)]]&gt;0%,"Proses PO &gt; 50%",IF(Table1[[#This Row],[PO Material Aktual 
(%)]]=0,"Belum PO = 0%"))))</f>
        <v>Proses PO &gt; 100%</v>
      </c>
      <c r="EI28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4" s="300">
        <v>45936</v>
      </c>
      <c r="EK284" s="300" t="e">
        <v>#N/A</v>
      </c>
      <c r="EL284" s="300">
        <v>45984</v>
      </c>
      <c r="EM284" s="300" t="e">
        <v>#N/A</v>
      </c>
      <c r="EN284" s="301"/>
      <c r="EO284" s="302">
        <v>16</v>
      </c>
      <c r="EP284" s="286">
        <v>16</v>
      </c>
      <c r="EQ284" s="35">
        <v>0.84210526315789469</v>
      </c>
      <c r="ER284" s="35">
        <f>Table1[[#This Row],[Line MOS]]/Table1[[#This Row],[Line PR]]</f>
        <v>0.84210526315789469</v>
      </c>
      <c r="ES284" s="286" t="str">
        <f>IF(Table1[[#This Row],[Progres MOS]]&gt;=100%,"Selesai MOS = 100%",IF(Table1[[#This Row],[Progres MOS]]&gt;=50%,"Proses MOS &gt; 100%",IF(Table1[[#This Row],[Progres MOS]]&gt;0%,"Proses MOS &gt; 50%",IF(Table1[[#This Row],[Progres MOS]]=0,"Belum MOS = 0%"))))</f>
        <v>Proses MOS &gt; 100%</v>
      </c>
      <c r="ET2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4" s="42"/>
      <c r="EV284" s="300">
        <v>45894</v>
      </c>
      <c r="EW284" s="300" t="e">
        <v>#N/A</v>
      </c>
      <c r="EX284" s="300">
        <v>45984</v>
      </c>
      <c r="EY284" s="300" t="e">
        <v>#N/A</v>
      </c>
      <c r="EZ284" s="322" t="s">
        <v>298</v>
      </c>
      <c r="FA284" s="306" t="s">
        <v>259</v>
      </c>
      <c r="FB284" s="300" t="s">
        <v>260</v>
      </c>
      <c r="FC284" s="300"/>
      <c r="FD284" s="300" t="s">
        <v>260</v>
      </c>
      <c r="FE284" s="300">
        <v>45895</v>
      </c>
      <c r="FF284" s="300">
        <v>45929</v>
      </c>
      <c r="FG284" s="300" t="s">
        <v>260</v>
      </c>
      <c r="FH284" s="300" t="s">
        <v>260</v>
      </c>
      <c r="FI284" s="300">
        <v>46010</v>
      </c>
      <c r="FJ284" s="300" t="s">
        <v>260</v>
      </c>
      <c r="FK284" s="300">
        <v>46093</v>
      </c>
      <c r="FL284" s="306" t="s">
        <v>298</v>
      </c>
      <c r="FM284" s="306"/>
      <c r="FN284" s="284" t="str">
        <f>IF(Table1[[#This Row],[Tanggal Pengajuan Dokumen]]="","",Table1[[#This Row],[PLAN PERMIT
start]]-Table1[[#This Row],[Tanggal Pengajuan Dokumen]])</f>
        <v/>
      </c>
      <c r="FO284" s="407">
        <v>46086</v>
      </c>
      <c r="FP284" s="286"/>
      <c r="FQ284" s="308"/>
      <c r="FR284" s="308"/>
      <c r="FS284" s="308" t="str">
        <f t="shared" si="14"/>
        <v>Sudah Terbit</v>
      </c>
      <c r="FT2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4" s="314">
        <f ca="1">IF(Table1[[#This Row],[Status Izin]]="Selesai",Table1[[#This Row],[PLAN PERMIT
finish]]-Table1[[#This Row],[Tanggal Terbit/ Target Izin Terbit]],ROUNDUP(Table1[[#This Row],[PLAN PERMIT
finish]]-NOW(),0))</f>
        <v>-102</v>
      </c>
      <c r="FV2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4" s="314"/>
      <c r="FX284" s="42"/>
      <c r="FY284" s="310"/>
      <c r="FZ284" s="311"/>
      <c r="GA2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4" s="300">
        <v>45958</v>
      </c>
      <c r="GC284" s="408">
        <v>45959</v>
      </c>
      <c r="GD2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4" s="300">
        <v>45965</v>
      </c>
      <c r="GF284" s="408">
        <v>45959</v>
      </c>
      <c r="GG2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4" s="300">
        <v>45971</v>
      </c>
      <c r="GI284" s="300">
        <v>45977</v>
      </c>
      <c r="GJ284" s="322">
        <v>45965</v>
      </c>
      <c r="GK2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4" s="300">
        <v>45985</v>
      </c>
      <c r="GM284" s="300" t="e">
        <v>#N/A</v>
      </c>
      <c r="GN284" s="300">
        <v>46005</v>
      </c>
      <c r="GO284" s="300" t="e">
        <v>#N/A</v>
      </c>
      <c r="GP284" s="300"/>
      <c r="GQ2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4" s="300" t="s">
        <v>261</v>
      </c>
      <c r="GS284" s="300" t="s">
        <v>261</v>
      </c>
      <c r="GT284" s="324">
        <v>46087</v>
      </c>
      <c r="GU284" s="314" t="str">
        <f>IF(Table1[[#This Row],[Hydro Tes Actual
(tanggal)]]&lt;&gt;"","Sudah","Belum")</f>
        <v>Sudah</v>
      </c>
      <c r="GV284" s="300" t="s">
        <v>261</v>
      </c>
      <c r="GW284" s="300" t="s">
        <v>261</v>
      </c>
      <c r="GX284" s="301">
        <v>46118</v>
      </c>
      <c r="GY284" s="314" t="str">
        <f>IF(Table1[[#This Row],[Interkoneksi Actual
(tanggal)]]&lt;&gt;"","Sudah","Belum")</f>
        <v>Sudah</v>
      </c>
      <c r="GZ284" s="300" t="s">
        <v>261</v>
      </c>
      <c r="HA284" s="300" t="s">
        <v>261</v>
      </c>
      <c r="HB284" s="301">
        <v>46121</v>
      </c>
      <c r="HC284" s="314" t="str">
        <f>IF(Table1[[#This Row],[Flushing Actual
(tanggal)]]&lt;&gt;"","Sudah","Belum")</f>
        <v>Sudah</v>
      </c>
      <c r="HD284" s="300">
        <v>45992</v>
      </c>
      <c r="HE284" s="300" t="e">
        <v>#N/A</v>
      </c>
      <c r="HF284" s="300">
        <v>46005</v>
      </c>
      <c r="HG284" s="322">
        <v>46129</v>
      </c>
      <c r="HH2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4" s="300" t="s">
        <v>261</v>
      </c>
      <c r="HJ284" s="300" t="s">
        <v>261</v>
      </c>
      <c r="HK284" s="301"/>
      <c r="HL284" s="286"/>
      <c r="HM284" s="300">
        <v>46010</v>
      </c>
      <c r="HN284" s="300">
        <v>46010</v>
      </c>
      <c r="HO284" s="300" t="e">
        <v>#N/A</v>
      </c>
      <c r="HP284" s="620" t="s">
        <v>260</v>
      </c>
      <c r="HQ284" s="301"/>
      <c r="HR28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4" s="300">
        <v>46017</v>
      </c>
      <c r="HT284" s="300"/>
      <c r="HU284" s="300">
        <v>46017</v>
      </c>
      <c r="HV284" s="300"/>
      <c r="HW284" s="301"/>
      <c r="HX28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4" s="42"/>
      <c r="HZ284" s="322"/>
      <c r="IA284" s="322"/>
      <c r="IC284" s="585">
        <f>IFERROR(ROUND((Table1[[#This Row],[PLAN TC
finish]]-Table1[[#This Row],[PLAN MC-0
start]])/30,2),"")</f>
        <v>1.1299999999999999</v>
      </c>
      <c r="ID284">
        <f>DATEDIF(Table1[[#This Row],[PLAN MC-0
start]],Table1[[#This Row],[PLAN TC
finish]],"m")</f>
        <v>1</v>
      </c>
    </row>
    <row r="285" spans="1:238" s="4" customFormat="1" ht="15" customHeight="1" x14ac:dyDescent="0.25">
      <c r="B285" s="281">
        <f>SUBTOTAL(3,$D$5:D285)</f>
        <v>281</v>
      </c>
      <c r="C285" s="286">
        <v>281</v>
      </c>
      <c r="D285" s="308" t="s">
        <v>244</v>
      </c>
      <c r="E285" s="308" t="s">
        <v>2251</v>
      </c>
      <c r="F285" s="308" t="s">
        <v>2252</v>
      </c>
      <c r="G285" s="319">
        <v>46117</v>
      </c>
      <c r="H285" s="308" t="s">
        <v>681</v>
      </c>
      <c r="I285" s="308" t="s">
        <v>278</v>
      </c>
      <c r="J285" s="450" t="s">
        <v>1830</v>
      </c>
      <c r="K285" s="308" t="s">
        <v>1165</v>
      </c>
      <c r="L285" s="286" t="s">
        <v>250</v>
      </c>
      <c r="M285" s="325" t="s">
        <v>269</v>
      </c>
      <c r="N285" s="94">
        <v>96</v>
      </c>
      <c r="O285" s="31" t="s">
        <v>252</v>
      </c>
      <c r="P28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5" s="35">
        <v>1</v>
      </c>
      <c r="S285" s="34">
        <v>1</v>
      </c>
      <c r="T285" s="34">
        <f>Table1[[#This Row],[Progres Total Aktual
(%)]]</f>
        <v>1</v>
      </c>
      <c r="U285" s="85">
        <f>Table1[[#This Row],[Progres Aktual
(%)]]-Table1[[#This Row],[Target Progres
(%)]]</f>
        <v>0</v>
      </c>
      <c r="V285" s="75">
        <f>Table1[[#This Row],["Volume
BA MC-0"]]</f>
        <v>98.4</v>
      </c>
      <c r="W285" s="41">
        <f>Table1[[#This Row],[Total Panjang Pipa Aktual
(Sum-&gt;)3]]</f>
        <v>90</v>
      </c>
      <c r="X285" s="42"/>
      <c r="Y285" s="62" t="s">
        <v>2253</v>
      </c>
      <c r="Z285" s="62">
        <v>184312464</v>
      </c>
      <c r="AA285" s="62">
        <f>ROUND((Table1[[#This Row],[Nilai RAB Jaringan
(Exclude Ppn)]]-Table1[[#This Row],[RAB Perizinan]])*1.11+Table1[[#This Row],[RAB Perizinan]],0)</f>
        <v>184312464</v>
      </c>
      <c r="AB285" s="456">
        <f>SUM(Table1[[#This Row],[RAB Kegiatan Umum]:[RAB Perizinan]])</f>
        <v>166142400</v>
      </c>
      <c r="AC285" s="406">
        <v>11409377</v>
      </c>
      <c r="AD285" s="406">
        <v>114093770</v>
      </c>
      <c r="AE285" s="406">
        <v>39679253</v>
      </c>
      <c r="AF285" s="406">
        <v>960000</v>
      </c>
      <c r="AG285" s="453">
        <v>18963348</v>
      </c>
      <c r="AH285" s="33">
        <f>SUM(Table1[[#This Row],[Bobot Keg Umum]:[Bobot Perizinan]])</f>
        <v>0.99999999999999989</v>
      </c>
      <c r="AI285" s="33">
        <f>Table1[[#This Row],[RAB Kegiatan Umum]]/Table1[[#This Row],[Nilai RAB Jaringan
(Exclude Ppn)]]</f>
        <v>6.8672277516154817E-2</v>
      </c>
      <c r="AJ285" s="33">
        <f>Table1[[#This Row],[RAB Pemasangan]]/Table1[[#This Row],[Nilai RAB Jaringan
(Exclude Ppn)]]</f>
        <v>0.68672277516154812</v>
      </c>
      <c r="AK285" s="33">
        <f>Table1[[#This Row],[RAB Pengadaan]]/Table1[[#This Row],[Nilai RAB Jaringan
(Exclude Ppn)]]</f>
        <v>0.23882677149240653</v>
      </c>
      <c r="AL285" s="33">
        <f>Table1[[#This Row],[RAB Perizinan]]/Table1[[#This Row],[Nilai RAB Jaringan
(Exclude Ppn)]]</f>
        <v>5.7781758298905035E-3</v>
      </c>
      <c r="AM285" s="42"/>
      <c r="AN285" s="256">
        <v>98.4</v>
      </c>
      <c r="AO285" s="256">
        <f>SUM(Table1[[#This Row],[Pipa 63 mm]:[Pipa 1,800 mm]])</f>
        <v>0</v>
      </c>
      <c r="AP285" s="256"/>
      <c r="AQ285" s="256"/>
      <c r="AR285" s="256"/>
      <c r="AS285" s="256"/>
      <c r="AT285" s="256"/>
      <c r="AU285" s="256"/>
      <c r="AV285" s="256"/>
      <c r="AW285" s="256"/>
      <c r="AX285" s="256"/>
      <c r="AY285" s="256"/>
      <c r="AZ285" s="256"/>
      <c r="BA285" s="256"/>
      <c r="BB285" s="256"/>
      <c r="BC285" s="256"/>
      <c r="BD285" s="256"/>
      <c r="BE285" s="256"/>
      <c r="BF285" s="256"/>
      <c r="BG285" s="256"/>
      <c r="BH285" s="256"/>
      <c r="BI285" s="256"/>
      <c r="BJ285" s="36">
        <f>SUM(Table1[[#This Row],[Pipa 63 mm2]:[Pipa 1,800 mm21]])</f>
        <v>90</v>
      </c>
      <c r="BK285" s="32">
        <v>90</v>
      </c>
      <c r="BL285" s="32"/>
      <c r="BM285" s="32"/>
      <c r="BN285" s="32"/>
      <c r="BO285" s="32"/>
      <c r="BP285" s="32"/>
      <c r="BQ285" s="32"/>
      <c r="BR285" s="32"/>
      <c r="BS285" s="32"/>
      <c r="BT285" s="32"/>
      <c r="BU285" s="32"/>
      <c r="BV285" s="32"/>
      <c r="BW285" s="32"/>
      <c r="BX285" s="32"/>
      <c r="BY285" s="32"/>
      <c r="BZ285" s="32"/>
      <c r="CA285" s="32"/>
      <c r="CB285" s="32"/>
      <c r="CC285" s="32"/>
      <c r="CD285" s="32"/>
      <c r="CE285" s="32">
        <v>0</v>
      </c>
      <c r="CF285" s="32"/>
      <c r="CG285" s="32"/>
      <c r="CH285" s="32"/>
      <c r="CI285" s="32">
        <f t="shared" si="13"/>
        <v>0</v>
      </c>
      <c r="CJ285" s="60">
        <f>IF((Table1[[#This Row],["Volume
BA MC-0"]]-Table1[[#This Row],[Total Panjang Pipa Aktual
(Sum-&gt;)3]]-Table1[[#This Row],[Total Volume
tidak dapat dipasang]])&gt;=0,Table1[[#This Row],["Volume
BA MC-0"]]-Table1[[#This Row],[Total Panjang Pipa Aktual
(Sum-&gt;)3]]-Table1[[#This Row],[Total Volume
tidak dapat dipasang]],0)</f>
        <v>8.4000000000000057</v>
      </c>
      <c r="CK285" s="42"/>
      <c r="CL285" s="35" t="s">
        <v>1821</v>
      </c>
      <c r="CM285" s="35" t="s">
        <v>1821</v>
      </c>
      <c r="CN285" s="35" t="s">
        <v>1821</v>
      </c>
      <c r="CO285" s="35" t="s">
        <v>1821</v>
      </c>
      <c r="CP2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5" s="61">
        <f>IFERROR(Table1[[#This Row],[Progres Keg. Umum
(%)]]*Table1[[#This Row],[Nilai RAB Jaringan
(file pa aji)]],0)</f>
        <v>0</v>
      </c>
      <c r="CR285" s="61">
        <f>IFERROR(Table1[[#This Row],[Progres MOS
(%)]]*Table1[[#This Row],[Nilai RAB Jaringan
(file pa aji)]],0)</f>
        <v>0</v>
      </c>
      <c r="CS285" s="61">
        <f>IFERROR(Table1[[#This Row],[Progres Pemasangan
(%)]]*Table1[[#This Row],[Nilai RAB Jaringan
(file pa aji)]],0)</f>
        <v>0</v>
      </c>
      <c r="CT285" s="61">
        <f>IFERROR(Table1[[#This Row],[Progres Perizinan
(%)]]*Table1[[#This Row],[Nilai RAB Jaringan
(file pa aji)]],0)</f>
        <v>0</v>
      </c>
      <c r="CU285" s="789">
        <v>132209159</v>
      </c>
      <c r="CV285" s="299">
        <v>132209159</v>
      </c>
      <c r="CW285" s="552">
        <v>132209159</v>
      </c>
      <c r="CX285" s="789">
        <f>_xlfn.XLOOKUP(Table1[[#This Row],[Kode Program]],'[1]Breakdown VOWD Greenfield'!$E:$E,'[1]Breakdown VOWD Greenfield'!$AT:$AT)</f>
        <v>132209159</v>
      </c>
      <c r="CY285" s="42"/>
      <c r="CZ285" s="300">
        <v>45866</v>
      </c>
      <c r="DA285" s="300">
        <v>45893</v>
      </c>
      <c r="DB285" s="301">
        <v>45783</v>
      </c>
      <c r="DC285" s="286" t="s">
        <v>2254</v>
      </c>
      <c r="DD285" s="62">
        <v>184312464</v>
      </c>
      <c r="DE2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5" s="301">
        <v>45799</v>
      </c>
      <c r="DG285" s="286" t="s">
        <v>2255</v>
      </c>
      <c r="DH285" s="62">
        <v>184312464</v>
      </c>
      <c r="DI2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5" s="300">
        <v>45894</v>
      </c>
      <c r="DK285" s="300">
        <v>45956</v>
      </c>
      <c r="DL285" s="301">
        <v>45836</v>
      </c>
      <c r="DM285" s="286" t="s">
        <v>2256</v>
      </c>
      <c r="DN2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5" s="301">
        <v>45876</v>
      </c>
      <c r="DP285" s="286" t="s">
        <v>2257</v>
      </c>
      <c r="DQ285" s="308" t="s">
        <v>371</v>
      </c>
      <c r="DR2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5" s="300">
        <v>45894</v>
      </c>
      <c r="DT285" s="300" t="e">
        <v>#N/A</v>
      </c>
      <c r="DU285" s="300">
        <v>45935</v>
      </c>
      <c r="DV285" s="300" t="e">
        <v>#N/A</v>
      </c>
      <c r="DW285" s="301">
        <v>45836</v>
      </c>
      <c r="DX285" s="454" t="s">
        <v>2258</v>
      </c>
      <c r="DY285" s="302">
        <v>23</v>
      </c>
      <c r="DZ285" s="304">
        <v>23</v>
      </c>
      <c r="EA2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5" s="301">
        <v>46039</v>
      </c>
      <c r="EC285" s="302">
        <v>21</v>
      </c>
      <c r="ED285" s="302">
        <v>21</v>
      </c>
      <c r="EE285" s="395" t="s">
        <v>2259</v>
      </c>
      <c r="EF285" s="35">
        <v>1</v>
      </c>
      <c r="EG285" s="307">
        <v>1</v>
      </c>
      <c r="EH285" s="286" t="str">
        <f>IF(Table1[[#This Row],[PO Material Aktual 
(%)]]&gt;=100%,"Selesai PO = 100%",IF(Table1[[#This Row],[PO Material Aktual 
(%)]]&gt;=50%,"Proses PO &gt; 100%",IF(Table1[[#This Row],[PO Material Aktual 
(%)]]&gt;0%,"Proses PO &gt; 50%",IF(Table1[[#This Row],[PO Material Aktual 
(%)]]=0,"Belum PO = 0%"))))</f>
        <v>Selesai PO = 100%</v>
      </c>
      <c r="EI28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5" s="300">
        <v>45936</v>
      </c>
      <c r="EK285" s="300" t="e">
        <v>#N/A</v>
      </c>
      <c r="EL285" s="300">
        <v>45984</v>
      </c>
      <c r="EM285" s="300" t="e">
        <v>#N/A</v>
      </c>
      <c r="EN285" s="301">
        <v>46091</v>
      </c>
      <c r="EO285" s="302">
        <v>21</v>
      </c>
      <c r="EP285" s="286">
        <v>21</v>
      </c>
      <c r="EQ285" s="35">
        <v>0.91304347826086951</v>
      </c>
      <c r="ER285" s="35">
        <f>Table1[[#This Row],[Line MOS]]/Table1[[#This Row],[Line PR]]</f>
        <v>0.91304347826086951</v>
      </c>
      <c r="ES285" s="286" t="str">
        <f>IF(Table1[[#This Row],[Progres MOS]]&gt;=100%,"Selesai MOS = 100%",IF(Table1[[#This Row],[Progres MOS]]&gt;=50%,"Proses MOS &gt; 100%",IF(Table1[[#This Row],[Progres MOS]]&gt;0%,"Proses MOS &gt; 50%",IF(Table1[[#This Row],[Progres MOS]]=0,"Belum MOS = 0%"))))</f>
        <v>Proses MOS &gt; 100%</v>
      </c>
      <c r="ET2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5" s="42"/>
      <c r="EV285" s="300">
        <v>45894</v>
      </c>
      <c r="EW285" s="300" t="e">
        <v>#N/A</v>
      </c>
      <c r="EX285" s="300">
        <v>45984</v>
      </c>
      <c r="EY285" s="300" t="e">
        <v>#N/A</v>
      </c>
      <c r="EZ285" s="322" t="s">
        <v>298</v>
      </c>
      <c r="FA285" s="306" t="s">
        <v>259</v>
      </c>
      <c r="FB285" s="300" t="s">
        <v>260</v>
      </c>
      <c r="FC285" s="300"/>
      <c r="FD285" s="300" t="s">
        <v>260</v>
      </c>
      <c r="FE285" s="300">
        <v>45895</v>
      </c>
      <c r="FF285" s="300">
        <v>45929</v>
      </c>
      <c r="FG285" s="300" t="s">
        <v>260</v>
      </c>
      <c r="FH285" s="300" t="s">
        <v>260</v>
      </c>
      <c r="FI285" s="300">
        <v>46010</v>
      </c>
      <c r="FJ285" s="300" t="s">
        <v>260</v>
      </c>
      <c r="FK285" s="300">
        <v>46093</v>
      </c>
      <c r="FL285" s="306" t="s">
        <v>298</v>
      </c>
      <c r="FM285" s="306"/>
      <c r="FN285" s="284" t="str">
        <f>IF(Table1[[#This Row],[Tanggal Pengajuan Dokumen]]="","",Table1[[#This Row],[PLAN PERMIT
start]]-Table1[[#This Row],[Tanggal Pengajuan Dokumen]])</f>
        <v/>
      </c>
      <c r="FO285" s="407">
        <v>46086</v>
      </c>
      <c r="FP285" s="286"/>
      <c r="FQ285" s="308"/>
      <c r="FR285" s="308"/>
      <c r="FS285" s="308" t="str">
        <f t="shared" si="14"/>
        <v>Sudah Terbit</v>
      </c>
      <c r="FT2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5" s="314">
        <f ca="1">IF(Table1[[#This Row],[Status Izin]]="Selesai",Table1[[#This Row],[PLAN PERMIT
finish]]-Table1[[#This Row],[Tanggal Terbit/ Target Izin Terbit]],ROUNDUP(Table1[[#This Row],[PLAN PERMIT
finish]]-NOW(),0))</f>
        <v>-102</v>
      </c>
      <c r="FV2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5" s="314"/>
      <c r="FX285" s="42"/>
      <c r="FY285" s="310"/>
      <c r="FZ285" s="311"/>
      <c r="GA2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5" s="300">
        <v>45958</v>
      </c>
      <c r="GC285" s="408">
        <v>45959</v>
      </c>
      <c r="GD2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5" s="300">
        <v>45965</v>
      </c>
      <c r="GF285" s="408">
        <v>45959</v>
      </c>
      <c r="GG2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5" s="300">
        <v>45971</v>
      </c>
      <c r="GI285" s="300">
        <v>45977</v>
      </c>
      <c r="GJ285" s="322">
        <v>45965</v>
      </c>
      <c r="GK2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5" s="300">
        <v>45985</v>
      </c>
      <c r="GM285" s="300" t="e">
        <v>#N/A</v>
      </c>
      <c r="GN285" s="300">
        <v>46005</v>
      </c>
      <c r="GO285" s="300" t="e">
        <v>#N/A</v>
      </c>
      <c r="GP285" s="300"/>
      <c r="GQ2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5" s="300" t="s">
        <v>261</v>
      </c>
      <c r="GS285" s="300" t="s">
        <v>261</v>
      </c>
      <c r="GT285" s="324">
        <v>45983</v>
      </c>
      <c r="GU285" s="314" t="str">
        <f>IF(Table1[[#This Row],[Hydro Tes Actual
(tanggal)]]&lt;&gt;"","Sudah","Belum")</f>
        <v>Sudah</v>
      </c>
      <c r="GV285" s="300" t="s">
        <v>261</v>
      </c>
      <c r="GW285" s="300" t="s">
        <v>261</v>
      </c>
      <c r="GX285" s="301">
        <v>45983</v>
      </c>
      <c r="GY285" s="314" t="str">
        <f>IF(Table1[[#This Row],[Interkoneksi Actual
(tanggal)]]&lt;&gt;"","Sudah","Belum")</f>
        <v>Sudah</v>
      </c>
      <c r="GZ285" s="300" t="s">
        <v>261</v>
      </c>
      <c r="HA285" s="300" t="s">
        <v>261</v>
      </c>
      <c r="HB285" s="301">
        <v>45984</v>
      </c>
      <c r="HC285" s="314" t="str">
        <f>IF(Table1[[#This Row],[Flushing Actual
(tanggal)]]&lt;&gt;"","Sudah","Belum")</f>
        <v>Sudah</v>
      </c>
      <c r="HD285" s="300">
        <v>45992</v>
      </c>
      <c r="HE285" s="300" t="e">
        <v>#N/A</v>
      </c>
      <c r="HF285" s="300">
        <v>46005</v>
      </c>
      <c r="HG285" s="322">
        <v>46006</v>
      </c>
      <c r="HH2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5" s="300" t="s">
        <v>261</v>
      </c>
      <c r="HJ285" s="300" t="s">
        <v>261</v>
      </c>
      <c r="HK285" s="301"/>
      <c r="HL285" s="286"/>
      <c r="HM285" s="300">
        <v>46010</v>
      </c>
      <c r="HN285" s="300">
        <v>46010</v>
      </c>
      <c r="HO285" s="300" t="e">
        <v>#N/A</v>
      </c>
      <c r="HP285" s="300"/>
      <c r="HQ285" s="301">
        <v>46057</v>
      </c>
      <c r="HR28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5" s="300">
        <v>46017</v>
      </c>
      <c r="HT285" s="300"/>
      <c r="HU285" s="300">
        <v>46017</v>
      </c>
      <c r="HV285" s="300"/>
      <c r="HW285" s="301">
        <v>46064</v>
      </c>
      <c r="HX28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5" s="42"/>
      <c r="HZ285" s="322"/>
      <c r="IA285" s="322"/>
      <c r="IC285" s="585">
        <f>IFERROR(ROUND((Table1[[#This Row],[PLAN TC
finish]]-Table1[[#This Row],[PLAN MC-0
start]])/30,2),"")</f>
        <v>1.1299999999999999</v>
      </c>
      <c r="ID285">
        <f>DATEDIF(Table1[[#This Row],[PLAN MC-0
start]],Table1[[#This Row],[PLAN TC
finish]],"m")</f>
        <v>1</v>
      </c>
    </row>
    <row r="286" spans="1:238" s="4" customFormat="1" ht="15" customHeight="1" x14ac:dyDescent="0.25">
      <c r="B286" s="281">
        <f>SUBTOTAL(3,$D$5:D286)</f>
        <v>282</v>
      </c>
      <c r="C286" s="286">
        <v>282</v>
      </c>
      <c r="D286" s="308" t="s">
        <v>244</v>
      </c>
      <c r="E286" s="308" t="s">
        <v>2260</v>
      </c>
      <c r="F286" s="308" t="s">
        <v>2261</v>
      </c>
      <c r="G286" s="319">
        <v>46117</v>
      </c>
      <c r="H286" s="308" t="s">
        <v>681</v>
      </c>
      <c r="I286" s="308" t="s">
        <v>278</v>
      </c>
      <c r="J286" s="450" t="s">
        <v>1830</v>
      </c>
      <c r="K286" s="308" t="s">
        <v>1165</v>
      </c>
      <c r="L286" s="286" t="s">
        <v>250</v>
      </c>
      <c r="M286" s="325" t="s">
        <v>269</v>
      </c>
      <c r="N286" s="94">
        <v>114</v>
      </c>
      <c r="O286" s="31" t="s">
        <v>252</v>
      </c>
      <c r="P28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6" s="35">
        <v>1</v>
      </c>
      <c r="S286" s="34">
        <v>1</v>
      </c>
      <c r="T286" s="34">
        <f>Table1[[#This Row],[Progres Total Aktual
(%)]]</f>
        <v>1</v>
      </c>
      <c r="U286" s="85">
        <f>Table1[[#This Row],[Progres Aktual
(%)]]-Table1[[#This Row],[Target Progres
(%)]]</f>
        <v>0</v>
      </c>
      <c r="V286" s="75">
        <f>Table1[[#This Row],["Volume
BA MC-0"]]</f>
        <v>70</v>
      </c>
      <c r="W286" s="41">
        <f>Table1[[#This Row],[Total Panjang Pipa Aktual
(Sum-&gt;)3]]</f>
        <v>114</v>
      </c>
      <c r="X286" s="42"/>
      <c r="Y286" s="62" t="s">
        <v>2262</v>
      </c>
      <c r="Z286" s="62">
        <v>151164936</v>
      </c>
      <c r="AA286" s="62">
        <f>ROUND((Table1[[#This Row],[Nilai RAB Jaringan
(Exclude Ppn)]]-Table1[[#This Row],[RAB Perizinan]])*1.11+Table1[[#This Row],[RAB Perizinan]],0)</f>
        <v>190402526</v>
      </c>
      <c r="AB286" s="456">
        <f>SUM(Table1[[#This Row],[RAB Kegiatan Umum]:[RAB Perizinan]])</f>
        <v>171646780</v>
      </c>
      <c r="AC286" s="406">
        <v>12180094</v>
      </c>
      <c r="AD286" s="406">
        <v>121800938</v>
      </c>
      <c r="AE286" s="406">
        <v>36525748</v>
      </c>
      <c r="AF286" s="406">
        <v>1140000</v>
      </c>
      <c r="AG286" s="453">
        <v>25284464</v>
      </c>
      <c r="AH286" s="33">
        <f>SUM(Table1[[#This Row],[Bobot Keg Umum]:[Bobot Perizinan]])</f>
        <v>1</v>
      </c>
      <c r="AI286" s="33">
        <f>Table1[[#This Row],[RAB Kegiatan Umum]]/Table1[[#This Row],[Nilai RAB Jaringan
(Exclude Ppn)]]</f>
        <v>7.0960224246560288E-2</v>
      </c>
      <c r="AJ286" s="33">
        <f>Table1[[#This Row],[RAB Pemasangan]]/Table1[[#This Row],[Nilai RAB Jaringan
(Exclude Ppn)]]</f>
        <v>0.70960223081376772</v>
      </c>
      <c r="AK286" s="33">
        <f>Table1[[#This Row],[RAB Pengadaan]]/Table1[[#This Row],[Nilai RAB Jaringan
(Exclude Ppn)]]</f>
        <v>0.21279599885299333</v>
      </c>
      <c r="AL286" s="33">
        <f>Table1[[#This Row],[RAB Perizinan]]/Table1[[#This Row],[Nilai RAB Jaringan
(Exclude Ppn)]]</f>
        <v>6.6415460866787015E-3</v>
      </c>
      <c r="AM286" s="42"/>
      <c r="AN286" s="256">
        <v>70</v>
      </c>
      <c r="AO286" s="256">
        <f>SUM(Table1[[#This Row],[Pipa 63 mm]:[Pipa 1,800 mm]])</f>
        <v>0</v>
      </c>
      <c r="AP286" s="256"/>
      <c r="AQ286" s="256"/>
      <c r="AR286" s="256"/>
      <c r="AS286" s="256"/>
      <c r="AT286" s="256"/>
      <c r="AU286" s="256"/>
      <c r="AV286" s="256"/>
      <c r="AW286" s="256"/>
      <c r="AX286" s="256"/>
      <c r="AY286" s="256"/>
      <c r="AZ286" s="256"/>
      <c r="BA286" s="256"/>
      <c r="BB286" s="256"/>
      <c r="BC286" s="256"/>
      <c r="BD286" s="256"/>
      <c r="BE286" s="256"/>
      <c r="BF286" s="256"/>
      <c r="BG286" s="256"/>
      <c r="BH286" s="256"/>
      <c r="BI286" s="256"/>
      <c r="BJ286" s="36">
        <f>SUM(Table1[[#This Row],[Pipa 63 mm2]:[Pipa 1,800 mm21]])</f>
        <v>114</v>
      </c>
      <c r="BK286" s="32">
        <v>114</v>
      </c>
      <c r="BL286" s="32"/>
      <c r="BM286" s="32"/>
      <c r="BN286" s="32"/>
      <c r="BO286" s="32"/>
      <c r="BP286" s="32"/>
      <c r="BQ286" s="32"/>
      <c r="BR286" s="32"/>
      <c r="BS286" s="32"/>
      <c r="BT286" s="32"/>
      <c r="BU286" s="32"/>
      <c r="BV286" s="32"/>
      <c r="BW286" s="32"/>
      <c r="BX286" s="32"/>
      <c r="BY286" s="32"/>
      <c r="BZ286" s="32"/>
      <c r="CA286" s="32"/>
      <c r="CB286" s="32"/>
      <c r="CC286" s="32"/>
      <c r="CD286" s="32"/>
      <c r="CE286" s="32">
        <v>0</v>
      </c>
      <c r="CF286" s="32"/>
      <c r="CG286" s="32"/>
      <c r="CH286" s="32"/>
      <c r="CI286" s="32">
        <f t="shared" si="13"/>
        <v>0</v>
      </c>
      <c r="CJ286" s="60">
        <f>IF((Table1[[#This Row],["Volume
BA MC-0"]]-Table1[[#This Row],[Total Panjang Pipa Aktual
(Sum-&gt;)3]]-Table1[[#This Row],[Total Volume
tidak dapat dipasang]])&gt;=0,Table1[[#This Row],["Volume
BA MC-0"]]-Table1[[#This Row],[Total Panjang Pipa Aktual
(Sum-&gt;)3]]-Table1[[#This Row],[Total Volume
tidak dapat dipasang]],0)</f>
        <v>0</v>
      </c>
      <c r="CK286" s="42"/>
      <c r="CL286" s="454" t="s">
        <v>1821</v>
      </c>
      <c r="CM286" s="34" t="s">
        <v>1821</v>
      </c>
      <c r="CN286" s="454" t="s">
        <v>1821</v>
      </c>
      <c r="CO286" s="454" t="s">
        <v>1821</v>
      </c>
      <c r="CP2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6" s="61">
        <f>IFERROR(Table1[[#This Row],[Progres Keg. Umum
(%)]]*Table1[[#This Row],[Nilai RAB Jaringan
(file pa aji)]],0)</f>
        <v>0</v>
      </c>
      <c r="CR286" s="61">
        <f>IFERROR(Table1[[#This Row],[Progres MOS
(%)]]*Table1[[#This Row],[Nilai RAB Jaringan
(file pa aji)]],0)</f>
        <v>0</v>
      </c>
      <c r="CS286" s="61">
        <f>IFERROR(Table1[[#This Row],[Progres Pemasangan
(%)]]*Table1[[#This Row],[Nilai RAB Jaringan
(file pa aji)]],0)</f>
        <v>0</v>
      </c>
      <c r="CT286" s="61">
        <f>IFERROR(Table1[[#This Row],[Progres Perizinan
(%)]]*Table1[[#This Row],[Nilai RAB Jaringan
(file pa aji)]],0)</f>
        <v>0</v>
      </c>
      <c r="CU286" s="789">
        <v>153096185</v>
      </c>
      <c r="CV286" s="299">
        <v>153096185</v>
      </c>
      <c r="CW286" s="552">
        <v>153096185</v>
      </c>
      <c r="CX286" s="789">
        <f>_xlfn.XLOOKUP(Table1[[#This Row],[Kode Program]],'[1]Breakdown VOWD Greenfield'!$E:$E,'[1]Breakdown VOWD Greenfield'!$AT:$AT)</f>
        <v>153096185</v>
      </c>
      <c r="CY286" s="42"/>
      <c r="CZ286" s="300">
        <v>45866</v>
      </c>
      <c r="DA286" s="300">
        <v>45893</v>
      </c>
      <c r="DB286" s="301">
        <v>45783</v>
      </c>
      <c r="DC286" s="286" t="s">
        <v>2263</v>
      </c>
      <c r="DD286" s="62">
        <v>190402525</v>
      </c>
      <c r="DE2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6" s="301">
        <v>45799</v>
      </c>
      <c r="DG286" s="286" t="s">
        <v>2264</v>
      </c>
      <c r="DH286" s="62">
        <v>190402525</v>
      </c>
      <c r="DI2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6" s="300">
        <v>45894</v>
      </c>
      <c r="DK286" s="300">
        <v>45956</v>
      </c>
      <c r="DL286" s="301">
        <v>45836</v>
      </c>
      <c r="DM286" s="286" t="s">
        <v>2265</v>
      </c>
      <c r="DN2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6" s="301">
        <v>45876</v>
      </c>
      <c r="DP286" s="286" t="s">
        <v>2266</v>
      </c>
      <c r="DQ286" s="308" t="s">
        <v>371</v>
      </c>
      <c r="DR2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6" s="300">
        <v>45894</v>
      </c>
      <c r="DT286" s="300" t="e">
        <v>#N/A</v>
      </c>
      <c r="DU286" s="300">
        <v>45935</v>
      </c>
      <c r="DV286" s="300" t="e">
        <v>#N/A</v>
      </c>
      <c r="DW286" s="301">
        <v>45890</v>
      </c>
      <c r="DX286" s="454" t="s">
        <v>2267</v>
      </c>
      <c r="DY286" s="302">
        <v>33</v>
      </c>
      <c r="DZ286" s="304">
        <v>33</v>
      </c>
      <c r="EA2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6" s="301">
        <v>46039</v>
      </c>
      <c r="EC286" s="302">
        <v>30</v>
      </c>
      <c r="ED286" s="302">
        <v>30</v>
      </c>
      <c r="EE286" s="395" t="s">
        <v>2268</v>
      </c>
      <c r="EF286" s="35">
        <v>1</v>
      </c>
      <c r="EG286" s="307">
        <v>1</v>
      </c>
      <c r="EH286" s="286" t="str">
        <f>IF(Table1[[#This Row],[PO Material Aktual 
(%)]]&gt;=100%,"Selesai PO = 100%",IF(Table1[[#This Row],[PO Material Aktual 
(%)]]&gt;=50%,"Proses PO &gt; 100%",IF(Table1[[#This Row],[PO Material Aktual 
(%)]]&gt;0%,"Proses PO &gt; 50%",IF(Table1[[#This Row],[PO Material Aktual 
(%)]]=0,"Belum PO = 0%"))))</f>
        <v>Selesai PO = 100%</v>
      </c>
      <c r="EI28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6" s="300">
        <v>45936</v>
      </c>
      <c r="EK286" s="300" t="e">
        <v>#N/A</v>
      </c>
      <c r="EL286" s="300">
        <v>45984</v>
      </c>
      <c r="EM286" s="300" t="e">
        <v>#N/A</v>
      </c>
      <c r="EN286" s="301">
        <v>46091</v>
      </c>
      <c r="EO286" s="302">
        <v>29</v>
      </c>
      <c r="EP286" s="595">
        <v>29</v>
      </c>
      <c r="EQ286" s="35">
        <v>0.87878787878787878</v>
      </c>
      <c r="ER286" s="35">
        <f>Table1[[#This Row],[Line MOS]]/Table1[[#This Row],[Line PR]]</f>
        <v>0.87878787878787878</v>
      </c>
      <c r="ES286" s="286" t="str">
        <f>IF(Table1[[#This Row],[Progres MOS]]&gt;=100%,"Selesai MOS = 100%",IF(Table1[[#This Row],[Progres MOS]]&gt;=50%,"Proses MOS &gt; 100%",IF(Table1[[#This Row],[Progres MOS]]&gt;0%,"Proses MOS &gt; 50%",IF(Table1[[#This Row],[Progres MOS]]=0,"Belum MOS = 0%"))))</f>
        <v>Proses MOS &gt; 100%</v>
      </c>
      <c r="ET2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6" s="42"/>
      <c r="EV286" s="300">
        <v>45894</v>
      </c>
      <c r="EW286" s="300" t="e">
        <v>#N/A</v>
      </c>
      <c r="EX286" s="300">
        <v>45984</v>
      </c>
      <c r="EY286" s="300" t="e">
        <v>#N/A</v>
      </c>
      <c r="EZ286" s="322" t="s">
        <v>298</v>
      </c>
      <c r="FA286" s="306" t="s">
        <v>298</v>
      </c>
      <c r="FB286" s="300" t="s">
        <v>260</v>
      </c>
      <c r="FC286" s="300"/>
      <c r="FD286" s="300" t="s">
        <v>260</v>
      </c>
      <c r="FE286" s="300">
        <v>45895</v>
      </c>
      <c r="FF286" s="300">
        <v>45919</v>
      </c>
      <c r="FG286" s="300" t="s">
        <v>260</v>
      </c>
      <c r="FH286" s="300" t="s">
        <v>260</v>
      </c>
      <c r="FI286" s="300">
        <v>46010</v>
      </c>
      <c r="FJ286" s="300" t="s">
        <v>260</v>
      </c>
      <c r="FK286" s="300"/>
      <c r="FL286" s="306" t="s">
        <v>298</v>
      </c>
      <c r="FM286" s="306"/>
      <c r="FN286" s="284" t="str">
        <f>IF(Table1[[#This Row],[Tanggal Pengajuan Dokumen]]="","",Table1[[#This Row],[PLAN PERMIT
start]]-Table1[[#This Row],[Tanggal Pengajuan Dokumen]])</f>
        <v/>
      </c>
      <c r="FO286" s="407">
        <v>46086</v>
      </c>
      <c r="FP286" s="286"/>
      <c r="FQ286" s="308"/>
      <c r="FR286" s="308"/>
      <c r="FS286" s="308" t="str">
        <f t="shared" si="14"/>
        <v>On Going</v>
      </c>
      <c r="FT2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6" s="314">
        <f ca="1">IF(Table1[[#This Row],[Status Izin]]="Selesai",Table1[[#This Row],[PLAN PERMIT
finish]]-Table1[[#This Row],[Tanggal Terbit/ Target Izin Terbit]],ROUNDUP(Table1[[#This Row],[PLAN PERMIT
finish]]-NOW(),0))</f>
        <v>-220</v>
      </c>
      <c r="FV2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6" s="314"/>
      <c r="FX286" s="42"/>
      <c r="FY286" s="310"/>
      <c r="FZ286" s="311"/>
      <c r="GA2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6" s="300">
        <v>45958</v>
      </c>
      <c r="GC286" s="322">
        <v>45922</v>
      </c>
      <c r="GD2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6" s="300">
        <v>45965</v>
      </c>
      <c r="GF286" s="322">
        <v>45922</v>
      </c>
      <c r="GG2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6" s="300">
        <v>45971</v>
      </c>
      <c r="GI286" s="300">
        <v>45977</v>
      </c>
      <c r="GJ286" s="408">
        <v>45950</v>
      </c>
      <c r="GK2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6" s="300">
        <v>45985</v>
      </c>
      <c r="GM286" s="300" t="e">
        <v>#N/A</v>
      </c>
      <c r="GN286" s="300">
        <v>46005</v>
      </c>
      <c r="GO286" s="300" t="e">
        <v>#N/A</v>
      </c>
      <c r="GP286" s="300"/>
      <c r="GQ2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6" s="300" t="s">
        <v>261</v>
      </c>
      <c r="GS286" s="300" t="s">
        <v>261</v>
      </c>
      <c r="GT286" s="324">
        <v>46029</v>
      </c>
      <c r="GU286" s="314" t="str">
        <f>IF(Table1[[#This Row],[Hydro Tes Actual
(tanggal)]]&lt;&gt;"","Sudah","Belum")</f>
        <v>Sudah</v>
      </c>
      <c r="GV286" s="300" t="s">
        <v>261</v>
      </c>
      <c r="GW286" s="300" t="s">
        <v>261</v>
      </c>
      <c r="GX286" s="301">
        <v>46028</v>
      </c>
      <c r="GY286" s="314" t="str">
        <f>IF(Table1[[#This Row],[Interkoneksi Actual
(tanggal)]]&lt;&gt;"","Sudah","Belum")</f>
        <v>Sudah</v>
      </c>
      <c r="GZ286" s="300" t="s">
        <v>261</v>
      </c>
      <c r="HA286" s="300" t="s">
        <v>261</v>
      </c>
      <c r="HB286" s="301">
        <v>46034</v>
      </c>
      <c r="HC286" s="314" t="str">
        <f>IF(Table1[[#This Row],[Flushing Actual
(tanggal)]]&lt;&gt;"","Sudah","Belum")</f>
        <v>Sudah</v>
      </c>
      <c r="HD286" s="300">
        <v>45992</v>
      </c>
      <c r="HE286" s="300" t="e">
        <v>#N/A</v>
      </c>
      <c r="HF286" s="300">
        <v>46005</v>
      </c>
      <c r="HG286" s="322">
        <v>46041</v>
      </c>
      <c r="HH2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6" s="300" t="s">
        <v>261</v>
      </c>
      <c r="HJ286" s="300" t="s">
        <v>261</v>
      </c>
      <c r="HK286" s="301"/>
      <c r="HL286" s="286"/>
      <c r="HM286" s="300">
        <v>46010</v>
      </c>
      <c r="HN286" s="300">
        <v>46010</v>
      </c>
      <c r="HO286" s="300" t="e">
        <v>#N/A</v>
      </c>
      <c r="HP286" s="300"/>
      <c r="HQ286" s="301">
        <v>46106</v>
      </c>
      <c r="HR28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6" s="300">
        <v>46017</v>
      </c>
      <c r="HT286" s="300"/>
      <c r="HU286" s="300">
        <v>46017</v>
      </c>
      <c r="HV286" s="300"/>
      <c r="HW286" s="301">
        <v>46107</v>
      </c>
      <c r="HX28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6" s="42"/>
      <c r="HZ286" s="322"/>
      <c r="IA286" s="322"/>
      <c r="IC286" s="585">
        <f>IFERROR(ROUND((Table1[[#This Row],[PLAN TC
finish]]-Table1[[#This Row],[PLAN MC-0
start]])/30,2),"")</f>
        <v>1.1299999999999999</v>
      </c>
      <c r="ID286">
        <f>DATEDIF(Table1[[#This Row],[PLAN MC-0
start]],Table1[[#This Row],[PLAN TC
finish]],"m")</f>
        <v>1</v>
      </c>
    </row>
    <row r="287" spans="1:238" s="4" customFormat="1" ht="15" customHeight="1" x14ac:dyDescent="0.25">
      <c r="B287" s="281">
        <f>SUBTOTAL(3,$D$5:D287)</f>
        <v>283</v>
      </c>
      <c r="C287" s="286">
        <v>283</v>
      </c>
      <c r="D287" s="308" t="s">
        <v>244</v>
      </c>
      <c r="E287" s="308" t="s">
        <v>2269</v>
      </c>
      <c r="F287" s="308" t="s">
        <v>2270</v>
      </c>
      <c r="G287" s="319">
        <v>46117</v>
      </c>
      <c r="H287" s="308" t="s">
        <v>681</v>
      </c>
      <c r="I287" s="308" t="s">
        <v>278</v>
      </c>
      <c r="J287" s="450" t="s">
        <v>1818</v>
      </c>
      <c r="K287" s="308" t="s">
        <v>1165</v>
      </c>
      <c r="L287" s="286" t="s">
        <v>250</v>
      </c>
      <c r="M287" s="325" t="s">
        <v>269</v>
      </c>
      <c r="N287" s="94">
        <v>59</v>
      </c>
      <c r="O287" s="31" t="s">
        <v>252</v>
      </c>
      <c r="P28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87" s="35">
        <v>0.99999999999999978</v>
      </c>
      <c r="S287" s="34">
        <v>1</v>
      </c>
      <c r="T287" s="34">
        <f>Table1[[#This Row],[Progres Total Aktual
(%)]]</f>
        <v>1</v>
      </c>
      <c r="U287" s="85">
        <f>Table1[[#This Row],[Progres Aktual
(%)]]-Table1[[#This Row],[Target Progres
(%)]]</f>
        <v>0</v>
      </c>
      <c r="V287" s="75">
        <f>Table1[[#This Row],["Volume
BA MC-0"]]</f>
        <v>61.3</v>
      </c>
      <c r="W287" s="41">
        <f>Table1[[#This Row],[Total Panjang Pipa Aktual
(Sum-&gt;)3]]</f>
        <v>35</v>
      </c>
      <c r="X287" s="42"/>
      <c r="Y287" s="62" t="s">
        <v>2271</v>
      </c>
      <c r="Z287" s="62">
        <v>106576466</v>
      </c>
      <c r="AA287" s="62">
        <f>ROUND((Table1[[#This Row],[Nilai RAB Jaringan
(Exclude Ppn)]]-Table1[[#This Row],[RAB Perizinan]])*1.11+Table1[[#This Row],[RAB Perizinan]],0)</f>
        <v>106576465</v>
      </c>
      <c r="AB287" s="456">
        <f>SUM(Table1[[#This Row],[RAB Kegiatan Umum]:[RAB Perizinan]])</f>
        <v>96073302</v>
      </c>
      <c r="AC287" s="406">
        <v>6213389</v>
      </c>
      <c r="AD287" s="406">
        <v>62133887</v>
      </c>
      <c r="AE287" s="406">
        <v>27136026</v>
      </c>
      <c r="AF287" s="406">
        <v>590000</v>
      </c>
      <c r="AG287" s="453">
        <v>2107039</v>
      </c>
      <c r="AH287" s="33">
        <f>SUM(Table1[[#This Row],[Bobot Keg Umum]:[Bobot Perizinan]])</f>
        <v>0.99999999999999989</v>
      </c>
      <c r="AI287" s="33">
        <f>Table1[[#This Row],[RAB Kegiatan Umum]]/Table1[[#This Row],[Nilai RAB Jaringan
(Exclude Ppn)]]</f>
        <v>6.4673419885162273E-2</v>
      </c>
      <c r="AJ287" s="33">
        <f>Table1[[#This Row],[RAB Pemasangan]]/Table1[[#This Row],[Nilai RAB Jaringan
(Exclude Ppn)]]</f>
        <v>0.64673416762546576</v>
      </c>
      <c r="AK287" s="33">
        <f>Table1[[#This Row],[RAB Pengadaan]]/Table1[[#This Row],[Nilai RAB Jaringan
(Exclude Ppn)]]</f>
        <v>0.28245126830344602</v>
      </c>
      <c r="AL287" s="33">
        <f>Table1[[#This Row],[RAB Perizinan]]/Table1[[#This Row],[Nilai RAB Jaringan
(Exclude Ppn)]]</f>
        <v>6.141144185925867E-3</v>
      </c>
      <c r="AM287" s="42"/>
      <c r="AN287" s="256">
        <v>61.3</v>
      </c>
      <c r="AO287" s="256">
        <f>SUM(Table1[[#This Row],[Pipa 63 mm]:[Pipa 1,800 mm]])</f>
        <v>0</v>
      </c>
      <c r="AP287" s="256"/>
      <c r="AQ287" s="256"/>
      <c r="AR287" s="256"/>
      <c r="AS287" s="256"/>
      <c r="AT287" s="256"/>
      <c r="AU287" s="256"/>
      <c r="AV287" s="256"/>
      <c r="AW287" s="256"/>
      <c r="AX287" s="256"/>
      <c r="AY287" s="256"/>
      <c r="AZ287" s="256"/>
      <c r="BA287" s="256"/>
      <c r="BB287" s="256"/>
      <c r="BC287" s="256"/>
      <c r="BD287" s="256"/>
      <c r="BE287" s="256"/>
      <c r="BF287" s="256"/>
      <c r="BG287" s="256"/>
      <c r="BH287" s="256"/>
      <c r="BI287" s="256"/>
      <c r="BJ287" s="36">
        <f>SUM(Table1[[#This Row],[Pipa 63 mm2]:[Pipa 1,800 mm21]])</f>
        <v>35</v>
      </c>
      <c r="BK287" s="32">
        <v>35</v>
      </c>
      <c r="BL287" s="32"/>
      <c r="BM287" s="32"/>
      <c r="BN287" s="32"/>
      <c r="BO287" s="32"/>
      <c r="BP287" s="32"/>
      <c r="BQ287" s="32"/>
      <c r="BR287" s="32"/>
      <c r="BS287" s="32"/>
      <c r="BT287" s="32"/>
      <c r="BU287" s="32"/>
      <c r="BV287" s="32"/>
      <c r="BW287" s="32"/>
      <c r="BX287" s="32"/>
      <c r="BY287" s="32"/>
      <c r="BZ287" s="32"/>
      <c r="CA287" s="32"/>
      <c r="CB287" s="32"/>
      <c r="CC287" s="32"/>
      <c r="CD287" s="32"/>
      <c r="CE287" s="32">
        <v>0</v>
      </c>
      <c r="CF287" s="32"/>
      <c r="CG287" s="32"/>
      <c r="CH287" s="32"/>
      <c r="CI287" s="32">
        <f t="shared" ref="CI287:CI312" si="15">SUM(CE287:CH287)</f>
        <v>0</v>
      </c>
      <c r="CJ287" s="60">
        <f>IF((Table1[[#This Row],["Volume
BA MC-0"]]-Table1[[#This Row],[Total Panjang Pipa Aktual
(Sum-&gt;)3]]-Table1[[#This Row],[Total Volume
tidak dapat dipasang]])&gt;=0,Table1[[#This Row],["Volume
BA MC-0"]]-Table1[[#This Row],[Total Panjang Pipa Aktual
(Sum-&gt;)3]]-Table1[[#This Row],[Total Volume
tidak dapat dipasang]],0)</f>
        <v>26.299999999999997</v>
      </c>
      <c r="CK287" s="42"/>
      <c r="CL287" s="35" t="s">
        <v>1821</v>
      </c>
      <c r="CM287" s="35" t="s">
        <v>1821</v>
      </c>
      <c r="CN287" s="35" t="s">
        <v>1821</v>
      </c>
      <c r="CO287" s="35" t="s">
        <v>1821</v>
      </c>
      <c r="CP2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7" s="61">
        <f>IFERROR(Table1[[#This Row],[Progres Keg. Umum
(%)]]*Table1[[#This Row],[Nilai RAB Jaringan
(file pa aji)]],0)</f>
        <v>0</v>
      </c>
      <c r="CR287" s="61">
        <f>IFERROR(Table1[[#This Row],[Progres MOS
(%)]]*Table1[[#This Row],[Nilai RAB Jaringan
(file pa aji)]],0)</f>
        <v>0</v>
      </c>
      <c r="CS287" s="61">
        <f>IFERROR(Table1[[#This Row],[Progres Pemasangan
(%)]]*Table1[[#This Row],[Nilai RAB Jaringan
(file pa aji)]],0)</f>
        <v>0</v>
      </c>
      <c r="CT287" s="61">
        <f>IFERROR(Table1[[#This Row],[Progres Perizinan
(%)]]*Table1[[#This Row],[Nilai RAB Jaringan
(file pa aji)]],0)</f>
        <v>0</v>
      </c>
      <c r="CU287" s="789">
        <v>62672436</v>
      </c>
      <c r="CV287" s="299">
        <v>62672436</v>
      </c>
      <c r="CW287" s="552">
        <v>62672436</v>
      </c>
      <c r="CX287" s="789">
        <f>_xlfn.XLOOKUP(Table1[[#This Row],[Kode Program]],'[1]Breakdown VOWD Greenfield'!$E:$E,'[1]Breakdown VOWD Greenfield'!$AT:$AT)</f>
        <v>62672436</v>
      </c>
      <c r="CY287" s="42"/>
      <c r="CZ287" s="300">
        <v>45866</v>
      </c>
      <c r="DA287" s="300">
        <v>45893</v>
      </c>
      <c r="DB287" s="301">
        <v>45783</v>
      </c>
      <c r="DC287" s="286" t="s">
        <v>2272</v>
      </c>
      <c r="DD287" s="62">
        <v>106576466</v>
      </c>
      <c r="DE2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7" s="301">
        <v>45799</v>
      </c>
      <c r="DG287" s="286" t="s">
        <v>2273</v>
      </c>
      <c r="DH287" s="62">
        <v>106576466</v>
      </c>
      <c r="DI2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7" s="300">
        <v>45894</v>
      </c>
      <c r="DK287" s="300">
        <v>45956</v>
      </c>
      <c r="DL287" s="301">
        <v>45824</v>
      </c>
      <c r="DM287" s="286" t="s">
        <v>1371</v>
      </c>
      <c r="DN2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7" s="301">
        <v>45876</v>
      </c>
      <c r="DP287" s="286" t="s">
        <v>1372</v>
      </c>
      <c r="DQ287" s="308" t="s">
        <v>371</v>
      </c>
      <c r="DR2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7" s="300">
        <v>45894</v>
      </c>
      <c r="DT287" s="300" t="e">
        <v>#N/A</v>
      </c>
      <c r="DU287" s="300">
        <v>45935</v>
      </c>
      <c r="DV287" s="300" t="e">
        <v>#N/A</v>
      </c>
      <c r="DW287" s="301">
        <v>45824</v>
      </c>
      <c r="DX287" s="454" t="s">
        <v>2274</v>
      </c>
      <c r="DY287" s="304">
        <v>17</v>
      </c>
      <c r="DZ287" s="304">
        <v>17</v>
      </c>
      <c r="EA2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7" s="301"/>
      <c r="EC287" s="302">
        <v>16</v>
      </c>
      <c r="ED287" s="302">
        <v>16</v>
      </c>
      <c r="EE287" s="300"/>
      <c r="EF287" s="35">
        <v>0.94117647058823528</v>
      </c>
      <c r="EG287" s="35">
        <f>Table1[[#This Row],[Line PO (kolom  bantu)2]]/Table1[[#This Row],[Line PR]]</f>
        <v>0.94117647058823528</v>
      </c>
      <c r="EH287" s="286" t="str">
        <f>IF(Table1[[#This Row],[PO Material Aktual 
(%)]]&gt;=100%,"Selesai PO = 100%",IF(Table1[[#This Row],[PO Material Aktual 
(%)]]&gt;=50%,"Proses PO &gt; 100%",IF(Table1[[#This Row],[PO Material Aktual 
(%)]]&gt;0%,"Proses PO &gt; 50%",IF(Table1[[#This Row],[PO Material Aktual 
(%)]]=0,"Belum PO = 0%"))))</f>
        <v>Proses PO &gt; 100%</v>
      </c>
      <c r="EI28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7" s="300">
        <v>45936</v>
      </c>
      <c r="EK287" s="300" t="e">
        <v>#N/A</v>
      </c>
      <c r="EL287" s="300">
        <v>45984</v>
      </c>
      <c r="EM287" s="300" t="e">
        <v>#N/A</v>
      </c>
      <c r="EN287" s="301"/>
      <c r="EO287" s="302">
        <v>16</v>
      </c>
      <c r="EP287" s="286">
        <v>16</v>
      </c>
      <c r="EQ287" s="35">
        <v>0.94117647058823528</v>
      </c>
      <c r="ER287" s="35">
        <f>Table1[[#This Row],[Line MOS]]/Table1[[#This Row],[Line PR]]</f>
        <v>0.94117647058823528</v>
      </c>
      <c r="ES287" s="286" t="str">
        <f>IF(Table1[[#This Row],[Progres MOS]]&gt;=100%,"Selesai MOS = 100%",IF(Table1[[#This Row],[Progres MOS]]&gt;=50%,"Proses MOS &gt; 100%",IF(Table1[[#This Row],[Progres MOS]]&gt;0%,"Proses MOS &gt; 50%",IF(Table1[[#This Row],[Progres MOS]]=0,"Belum MOS = 0%"))))</f>
        <v>Proses MOS &gt; 100%</v>
      </c>
      <c r="ET2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7" s="42"/>
      <c r="EV287" s="300">
        <v>45894</v>
      </c>
      <c r="EW287" s="300" t="e">
        <v>#N/A</v>
      </c>
      <c r="EX287" s="300">
        <v>45984</v>
      </c>
      <c r="EY287" s="300" t="e">
        <v>#N/A</v>
      </c>
      <c r="EZ287" s="322" t="s">
        <v>298</v>
      </c>
      <c r="FA287" s="306" t="s">
        <v>259</v>
      </c>
      <c r="FB287" s="300" t="s">
        <v>260</v>
      </c>
      <c r="FC287" s="300"/>
      <c r="FD287" s="300" t="s">
        <v>260</v>
      </c>
      <c r="FE287" s="300">
        <v>45895</v>
      </c>
      <c r="FF287" s="300">
        <v>45929</v>
      </c>
      <c r="FG287" s="300" t="s">
        <v>260</v>
      </c>
      <c r="FH287" s="300" t="s">
        <v>260</v>
      </c>
      <c r="FI287" s="300">
        <v>46010</v>
      </c>
      <c r="FJ287" s="300" t="s">
        <v>260</v>
      </c>
      <c r="FK287" s="300">
        <v>46093</v>
      </c>
      <c r="FL287" s="306" t="s">
        <v>298</v>
      </c>
      <c r="FM287" s="306"/>
      <c r="FN287" s="284" t="str">
        <f>IF(Table1[[#This Row],[Tanggal Pengajuan Dokumen]]="","",Table1[[#This Row],[PLAN PERMIT
start]]-Table1[[#This Row],[Tanggal Pengajuan Dokumen]])</f>
        <v/>
      </c>
      <c r="FO287" s="407">
        <v>46086</v>
      </c>
      <c r="FP287" s="286"/>
      <c r="FQ287" s="308"/>
      <c r="FR287" s="308"/>
      <c r="FS287" s="308" t="str">
        <f t="shared" si="14"/>
        <v>Sudah Terbit</v>
      </c>
      <c r="FT2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7" s="314">
        <f ca="1">IF(Table1[[#This Row],[Status Izin]]="Selesai",Table1[[#This Row],[PLAN PERMIT
finish]]-Table1[[#This Row],[Tanggal Terbit/ Target Izin Terbit]],ROUNDUP(Table1[[#This Row],[PLAN PERMIT
finish]]-NOW(),0))</f>
        <v>-102</v>
      </c>
      <c r="FV2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7" s="314"/>
      <c r="FX287" s="42"/>
      <c r="FY287" s="310"/>
      <c r="FZ287" s="311"/>
      <c r="GA2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7" s="300">
        <v>45958</v>
      </c>
      <c r="GC287" s="408">
        <v>45959</v>
      </c>
      <c r="GD2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87" s="300">
        <v>45965</v>
      </c>
      <c r="GF287" s="408">
        <v>45959</v>
      </c>
      <c r="GG2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7" s="300">
        <v>45971</v>
      </c>
      <c r="GI287" s="300">
        <v>45977</v>
      </c>
      <c r="GJ287" s="322">
        <v>45964</v>
      </c>
      <c r="GK2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7" s="300">
        <v>45985</v>
      </c>
      <c r="GM287" s="300" t="e">
        <v>#N/A</v>
      </c>
      <c r="GN287" s="300">
        <v>46005</v>
      </c>
      <c r="GO287" s="300" t="e">
        <v>#N/A</v>
      </c>
      <c r="GP287" s="300"/>
      <c r="GQ2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7" s="300" t="s">
        <v>261</v>
      </c>
      <c r="GS287" s="300" t="s">
        <v>261</v>
      </c>
      <c r="GT287" s="324">
        <v>46148</v>
      </c>
      <c r="GU287" s="314" t="str">
        <f>IF(Table1[[#This Row],[Hydro Tes Actual
(tanggal)]]&lt;&gt;"","Sudah","Belum")</f>
        <v>Sudah</v>
      </c>
      <c r="GV287" s="300" t="s">
        <v>261</v>
      </c>
      <c r="GW287" s="300" t="s">
        <v>261</v>
      </c>
      <c r="GX287" s="301">
        <v>46148</v>
      </c>
      <c r="GY287" s="314" t="str">
        <f>IF(Table1[[#This Row],[Interkoneksi Actual
(tanggal)]]&lt;&gt;"","Sudah","Belum")</f>
        <v>Sudah</v>
      </c>
      <c r="GZ287" s="300" t="s">
        <v>261</v>
      </c>
      <c r="HA287" s="300" t="s">
        <v>261</v>
      </c>
      <c r="HB287" s="301">
        <v>46148</v>
      </c>
      <c r="HC287" s="314" t="str">
        <f>IF(Table1[[#This Row],[Flushing Actual
(tanggal)]]&lt;&gt;"","Sudah","Belum")</f>
        <v>Sudah</v>
      </c>
      <c r="HD287" s="300">
        <v>45992</v>
      </c>
      <c r="HE287" s="300" t="e">
        <v>#N/A</v>
      </c>
      <c r="HF287" s="300">
        <v>46005</v>
      </c>
      <c r="HG287" s="322">
        <v>46155</v>
      </c>
      <c r="HH2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7" s="300" t="s">
        <v>261</v>
      </c>
      <c r="HJ287" s="300" t="s">
        <v>261</v>
      </c>
      <c r="HK287" s="301"/>
      <c r="HL287" s="286"/>
      <c r="HM287" s="300">
        <v>46010</v>
      </c>
      <c r="HN287" s="300">
        <v>46010</v>
      </c>
      <c r="HO287" s="300" t="e">
        <v>#N/A</v>
      </c>
      <c r="HP287" s="620" t="s">
        <v>260</v>
      </c>
      <c r="HQ287" s="301"/>
      <c r="HR28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7" s="300">
        <v>46017</v>
      </c>
      <c r="HT287" s="300"/>
      <c r="HU287" s="300">
        <v>46017</v>
      </c>
      <c r="HV287" s="300"/>
      <c r="HW287" s="301"/>
      <c r="HX28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7" s="42"/>
      <c r="HZ287" s="322"/>
      <c r="IA287" s="322"/>
      <c r="IC287" s="585">
        <f>IFERROR(ROUND((Table1[[#This Row],[PLAN TC
finish]]-Table1[[#This Row],[PLAN MC-0
start]])/30,2),"")</f>
        <v>1.1299999999999999</v>
      </c>
      <c r="ID287">
        <f>DATEDIF(Table1[[#This Row],[PLAN MC-0
start]],Table1[[#This Row],[PLAN TC
finish]],"m")</f>
        <v>1</v>
      </c>
    </row>
    <row r="288" spans="1:238" s="4" customFormat="1" ht="15" customHeight="1" x14ac:dyDescent="0.25">
      <c r="B288" s="281">
        <f>SUBTOTAL(3,$D$5:D288)</f>
        <v>284</v>
      </c>
      <c r="C288" s="286">
        <v>284</v>
      </c>
      <c r="D288" s="308" t="s">
        <v>244</v>
      </c>
      <c r="E288" s="308" t="s">
        <v>2275</v>
      </c>
      <c r="F288" s="308" t="s">
        <v>2276</v>
      </c>
      <c r="G288" s="319">
        <v>46117</v>
      </c>
      <c r="H288" s="308" t="s">
        <v>681</v>
      </c>
      <c r="I288" s="308" t="s">
        <v>278</v>
      </c>
      <c r="J288" s="450" t="s">
        <v>1830</v>
      </c>
      <c r="K288" s="308" t="s">
        <v>1165</v>
      </c>
      <c r="L288" s="286" t="s">
        <v>250</v>
      </c>
      <c r="M288" s="325" t="s">
        <v>269</v>
      </c>
      <c r="N288" s="94">
        <v>537</v>
      </c>
      <c r="O288" s="31" t="s">
        <v>252</v>
      </c>
      <c r="P28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88" s="35">
        <v>1.0000000000000002</v>
      </c>
      <c r="S288" s="34">
        <v>1</v>
      </c>
      <c r="T288" s="34">
        <f>Table1[[#This Row],[Progres Total Aktual
(%)]]</f>
        <v>1</v>
      </c>
      <c r="U288" s="85">
        <f>Table1[[#This Row],[Progres Aktual
(%)]]-Table1[[#This Row],[Target Progres
(%)]]</f>
        <v>0</v>
      </c>
      <c r="V288" s="75">
        <f>Table1[[#This Row],["Volume
BA MC-0"]]</f>
        <v>525</v>
      </c>
      <c r="W288" s="41">
        <f>Table1[[#This Row],[Total Panjang Pipa Aktual
(Sum-&gt;)3]]</f>
        <v>489</v>
      </c>
      <c r="X288" s="42"/>
      <c r="Y288" s="62" t="s">
        <v>2277</v>
      </c>
      <c r="Z288" s="62">
        <v>1054494928</v>
      </c>
      <c r="AA288" s="62">
        <f>ROUND((Table1[[#This Row],[Nilai RAB Jaringan
(Exclude Ppn)]]-Table1[[#This Row],[RAB Perizinan]])*1.11+Table1[[#This Row],[RAB Perizinan]],0)</f>
        <v>1054494927</v>
      </c>
      <c r="AB288" s="456">
        <f>SUM(Table1[[#This Row],[RAB Kegiatan Umum]:[RAB Perizinan]])</f>
        <v>950527592</v>
      </c>
      <c r="AC288" s="406">
        <v>69033826</v>
      </c>
      <c r="AD288" s="406">
        <v>690338257</v>
      </c>
      <c r="AE288" s="406">
        <v>185785509</v>
      </c>
      <c r="AF288" s="406">
        <v>5370000</v>
      </c>
      <c r="AG288" s="453">
        <v>221239057</v>
      </c>
      <c r="AH288" s="33">
        <f>SUM(Table1[[#This Row],[Bobot Keg Umum]:[Bobot Perizinan]])</f>
        <v>1</v>
      </c>
      <c r="AI288" s="33">
        <f>Table1[[#This Row],[RAB Kegiatan Umum]]/Table1[[#This Row],[Nilai RAB Jaringan
(Exclude Ppn)]]</f>
        <v>7.2626851215067095E-2</v>
      </c>
      <c r="AJ288" s="33">
        <f>Table1[[#This Row],[RAB Pemasangan]]/Table1[[#This Row],[Nilai RAB Jaringan
(Exclude Ppn)]]</f>
        <v>0.72626850899452899</v>
      </c>
      <c r="AK288" s="33">
        <f>Table1[[#This Row],[RAB Pengadaan]]/Table1[[#This Row],[Nilai RAB Jaringan
(Exclude Ppn)]]</f>
        <v>0.19545514571448652</v>
      </c>
      <c r="AL288" s="33">
        <f>Table1[[#This Row],[RAB Perizinan]]/Table1[[#This Row],[Nilai RAB Jaringan
(Exclude Ppn)]]</f>
        <v>5.6494940759173667E-3</v>
      </c>
      <c r="AM288" s="42"/>
      <c r="AN288" s="256">
        <v>525</v>
      </c>
      <c r="AO288" s="256">
        <f>SUM(Table1[[#This Row],[Pipa 63 mm]:[Pipa 1,800 mm]])</f>
        <v>0</v>
      </c>
      <c r="AP288" s="256"/>
      <c r="AQ288" s="256"/>
      <c r="AR288" s="256"/>
      <c r="AS288" s="256"/>
      <c r="AT288" s="256"/>
      <c r="AU288" s="256"/>
      <c r="AV288" s="256"/>
      <c r="AW288" s="256"/>
      <c r="AX288" s="256"/>
      <c r="AY288" s="256"/>
      <c r="AZ288" s="256"/>
      <c r="BA288" s="256"/>
      <c r="BB288" s="256"/>
      <c r="BC288" s="256"/>
      <c r="BD288" s="256"/>
      <c r="BE288" s="256"/>
      <c r="BF288" s="256"/>
      <c r="BG288" s="256"/>
      <c r="BH288" s="256"/>
      <c r="BI288" s="256"/>
      <c r="BJ288" s="36">
        <f>SUM(Table1[[#This Row],[Pipa 63 mm2]:[Pipa 1,800 mm21]])</f>
        <v>489</v>
      </c>
      <c r="BK288" s="32">
        <v>273</v>
      </c>
      <c r="BL288" s="32"/>
      <c r="BM288" s="32">
        <v>216</v>
      </c>
      <c r="BN288" s="32"/>
      <c r="BO288" s="32"/>
      <c r="BP288" s="32"/>
      <c r="BQ288" s="32"/>
      <c r="BR288" s="32"/>
      <c r="BS288" s="32"/>
      <c r="BT288" s="32"/>
      <c r="BU288" s="32"/>
      <c r="BV288" s="32"/>
      <c r="BW288" s="32"/>
      <c r="BX288" s="32"/>
      <c r="BY288" s="32"/>
      <c r="BZ288" s="32"/>
      <c r="CA288" s="32"/>
      <c r="CB288" s="32"/>
      <c r="CC288" s="32"/>
      <c r="CD288" s="32"/>
      <c r="CE288" s="32">
        <v>0</v>
      </c>
      <c r="CF288" s="32"/>
      <c r="CG288" s="32"/>
      <c r="CH288" s="32"/>
      <c r="CI288" s="32">
        <f t="shared" si="15"/>
        <v>0</v>
      </c>
      <c r="CJ288" s="60">
        <f>IF((Table1[[#This Row],["Volume
BA MC-0"]]-Table1[[#This Row],[Total Panjang Pipa Aktual
(Sum-&gt;)3]]-Table1[[#This Row],[Total Volume
tidak dapat dipasang]])&gt;=0,Table1[[#This Row],["Volume
BA MC-0"]]-Table1[[#This Row],[Total Panjang Pipa Aktual
(Sum-&gt;)3]]-Table1[[#This Row],[Total Volume
tidak dapat dipasang]],0)</f>
        <v>36</v>
      </c>
      <c r="CK288" s="42"/>
      <c r="CL288" s="454" t="s">
        <v>1821</v>
      </c>
      <c r="CM288" s="34">
        <v>0.53538793491154357</v>
      </c>
      <c r="CN288" s="454" t="s">
        <v>1821</v>
      </c>
      <c r="CO288" s="454" t="s">
        <v>1821</v>
      </c>
      <c r="CP2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88" s="61">
        <f>IFERROR(Table1[[#This Row],[Progres Keg. Umum
(%)]]*Table1[[#This Row],[Nilai RAB Jaringan
(file pa aji)]],0)</f>
        <v>0</v>
      </c>
      <c r="CR288" s="61">
        <f>IFERROR(Table1[[#This Row],[Progres MOS
(%)]]*Table1[[#This Row],[Nilai RAB Jaringan
(file pa aji)]],0)</f>
        <v>564563861.87661684</v>
      </c>
      <c r="CS288" s="61">
        <f>IFERROR(Table1[[#This Row],[Progres Pemasangan
(%)]]*Table1[[#This Row],[Nilai RAB Jaringan
(file pa aji)]],0)</f>
        <v>0</v>
      </c>
      <c r="CT288" s="61">
        <f>IFERROR(Table1[[#This Row],[Progres Perizinan
(%)]]*Table1[[#This Row],[Nilai RAB Jaringan
(file pa aji)]],0)</f>
        <v>0</v>
      </c>
      <c r="CU288" s="789">
        <v>2220124815</v>
      </c>
      <c r="CV288" s="299">
        <v>2220124815</v>
      </c>
      <c r="CW288" s="552">
        <v>2220124815</v>
      </c>
      <c r="CX288" s="789">
        <f>_xlfn.XLOOKUP(Table1[[#This Row],[Kode Program]],'[1]Breakdown VOWD Greenfield'!$E:$E,'[1]Breakdown VOWD Greenfield'!$AT:$AT)</f>
        <v>2220124815</v>
      </c>
      <c r="CY288" s="42"/>
      <c r="CZ288" s="300">
        <v>45838</v>
      </c>
      <c r="DA288" s="300">
        <v>45865</v>
      </c>
      <c r="DB288" s="301">
        <v>45820</v>
      </c>
      <c r="DC288" s="286" t="s">
        <v>2278</v>
      </c>
      <c r="DD288" s="62">
        <v>1054494928</v>
      </c>
      <c r="DE2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8" s="301">
        <v>45825</v>
      </c>
      <c r="DG288" s="286" t="s">
        <v>2279</v>
      </c>
      <c r="DH288" s="62">
        <v>1054494928</v>
      </c>
      <c r="DI2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8" s="300">
        <v>45866</v>
      </c>
      <c r="DK288" s="300">
        <v>45928</v>
      </c>
      <c r="DL288" s="301">
        <v>45842</v>
      </c>
      <c r="DM288" s="286" t="s">
        <v>2280</v>
      </c>
      <c r="DN2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8" s="301">
        <v>45880</v>
      </c>
      <c r="DP288" s="286" t="s">
        <v>2281</v>
      </c>
      <c r="DQ288" s="308" t="s">
        <v>312</v>
      </c>
      <c r="DR2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8" s="300">
        <v>45866</v>
      </c>
      <c r="DT288" s="300" t="e">
        <v>#N/A</v>
      </c>
      <c r="DU288" s="300">
        <v>45907</v>
      </c>
      <c r="DV288" s="300" t="e">
        <v>#N/A</v>
      </c>
      <c r="DW288" s="301">
        <v>45842</v>
      </c>
      <c r="DX288" s="454" t="s">
        <v>2282</v>
      </c>
      <c r="DY288" s="302">
        <v>69</v>
      </c>
      <c r="DZ288" s="304">
        <v>69</v>
      </c>
      <c r="EA2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8" s="301">
        <v>46122</v>
      </c>
      <c r="EC288" s="302">
        <v>63</v>
      </c>
      <c r="ED288" s="302">
        <v>63</v>
      </c>
      <c r="EE288" s="395" t="s">
        <v>2283</v>
      </c>
      <c r="EF288" s="35">
        <v>1</v>
      </c>
      <c r="EG288" s="307">
        <v>1</v>
      </c>
      <c r="EH288" s="286" t="str">
        <f>IF(Table1[[#This Row],[PO Material Aktual 
(%)]]&gt;=100%,"Selesai PO = 100%",IF(Table1[[#This Row],[PO Material Aktual 
(%)]]&gt;=50%,"Proses PO &gt; 100%",IF(Table1[[#This Row],[PO Material Aktual 
(%)]]&gt;0%,"Proses PO &gt; 50%",IF(Table1[[#This Row],[PO Material Aktual 
(%)]]=0,"Belum PO = 0%"))))</f>
        <v>Selesai PO = 100%</v>
      </c>
      <c r="EI28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88" s="300">
        <v>45908</v>
      </c>
      <c r="EK288" s="300" t="e">
        <v>#N/A</v>
      </c>
      <c r="EL288" s="300">
        <v>45956</v>
      </c>
      <c r="EM288" s="300" t="e">
        <v>#N/A</v>
      </c>
      <c r="EN288" s="301">
        <v>46148</v>
      </c>
      <c r="EO288" s="302">
        <v>62</v>
      </c>
      <c r="EP288" s="595">
        <v>62</v>
      </c>
      <c r="EQ288" s="35">
        <v>0.89855072463768115</v>
      </c>
      <c r="ER288" s="35">
        <f>Table1[[#This Row],[Line MOS]]/Table1[[#This Row],[Line PR]]</f>
        <v>0.89855072463768115</v>
      </c>
      <c r="ES288" s="286" t="str">
        <f>IF(Table1[[#This Row],[Progres MOS]]&gt;=100%,"Selesai MOS = 100%",IF(Table1[[#This Row],[Progres MOS]]&gt;=50%,"Proses MOS &gt; 100%",IF(Table1[[#This Row],[Progres MOS]]&gt;0%,"Proses MOS &gt; 50%",IF(Table1[[#This Row],[Progres MOS]]=0,"Belum MOS = 0%"))))</f>
        <v>Proses MOS &gt; 100%</v>
      </c>
      <c r="ET2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88" s="42"/>
      <c r="EV288" s="300">
        <v>45866</v>
      </c>
      <c r="EW288" s="300" t="e">
        <v>#N/A</v>
      </c>
      <c r="EX288" s="300">
        <v>45956</v>
      </c>
      <c r="EY288" s="300" t="e">
        <v>#N/A</v>
      </c>
      <c r="EZ288" s="322" t="s">
        <v>298</v>
      </c>
      <c r="FA288" s="306" t="s">
        <v>259</v>
      </c>
      <c r="FB288" s="300" t="s">
        <v>260</v>
      </c>
      <c r="FC288" s="300">
        <v>45946</v>
      </c>
      <c r="FD288" s="300" t="s">
        <v>260</v>
      </c>
      <c r="FE288" s="300">
        <v>45966</v>
      </c>
      <c r="FF288" s="300">
        <v>45993</v>
      </c>
      <c r="FG288" s="300" t="s">
        <v>260</v>
      </c>
      <c r="FH288" s="300" t="s">
        <v>260</v>
      </c>
      <c r="FI288" s="300">
        <v>46013</v>
      </c>
      <c r="FJ288" s="300" t="s">
        <v>260</v>
      </c>
      <c r="FK288" s="300">
        <v>46135</v>
      </c>
      <c r="FL288" s="306" t="s">
        <v>298</v>
      </c>
      <c r="FM288" s="322">
        <v>45946</v>
      </c>
      <c r="FN288" s="308">
        <f>IF(Table1[[#This Row],[Tanggal Pengajuan Dokumen]]="","",Table1[[#This Row],[PLAN PERMIT
start]]-Table1[[#This Row],[Tanggal Pengajuan Dokumen]])</f>
        <v>-80</v>
      </c>
      <c r="FO288" s="407">
        <v>46097</v>
      </c>
      <c r="FP288" s="286"/>
      <c r="FQ288" s="308"/>
      <c r="FR288" s="308"/>
      <c r="FS288" s="308" t="str">
        <f t="shared" si="14"/>
        <v>Sudah Terbit</v>
      </c>
      <c r="FT2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88" s="314">
        <f ca="1">IF(Table1[[#This Row],[Status Izin]]="Selesai",Table1[[#This Row],[PLAN PERMIT
finish]]-Table1[[#This Row],[Tanggal Terbit/ Target Izin Terbit]],ROUNDUP(Table1[[#This Row],[PLAN PERMIT
finish]]-NOW(),0))</f>
        <v>-141</v>
      </c>
      <c r="FV2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8" s="314"/>
      <c r="FX288" s="42"/>
      <c r="FY288" s="310"/>
      <c r="FZ288" s="311"/>
      <c r="GA2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8" s="300">
        <v>45930</v>
      </c>
      <c r="GC288" s="322">
        <v>45896</v>
      </c>
      <c r="GD2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8" s="300">
        <v>45937</v>
      </c>
      <c r="GF288" s="322">
        <v>45896</v>
      </c>
      <c r="GG2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8" s="300">
        <v>45943</v>
      </c>
      <c r="GI288" s="300">
        <v>45949</v>
      </c>
      <c r="GJ288" s="322">
        <v>45903</v>
      </c>
      <c r="GK2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8" s="300">
        <v>45957</v>
      </c>
      <c r="GM288" s="300" t="e">
        <v>#N/A</v>
      </c>
      <c r="GN288" s="300">
        <v>46005</v>
      </c>
      <c r="GO288" s="300" t="e">
        <v>#N/A</v>
      </c>
      <c r="GP288" s="300"/>
      <c r="GQ2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8" s="300" t="s">
        <v>261</v>
      </c>
      <c r="GS288" s="300" t="s">
        <v>261</v>
      </c>
      <c r="GT288" s="458" t="s">
        <v>2284</v>
      </c>
      <c r="GU288" s="314" t="str">
        <f>IF(Table1[[#This Row],[Hydro Tes Actual
(tanggal)]]&lt;&gt;"","Sudah","Belum")</f>
        <v>Sudah</v>
      </c>
      <c r="GV288" s="300" t="s">
        <v>261</v>
      </c>
      <c r="GW288" s="300" t="s">
        <v>261</v>
      </c>
      <c r="GX288" s="365" t="s">
        <v>2285</v>
      </c>
      <c r="GY288" s="314" t="str">
        <f>IF(Table1[[#This Row],[Interkoneksi Actual
(tanggal)]]&lt;&gt;"","Sudah","Belum")</f>
        <v>Sudah</v>
      </c>
      <c r="GZ288" s="300" t="s">
        <v>261</v>
      </c>
      <c r="HA288" s="300" t="s">
        <v>261</v>
      </c>
      <c r="HB288" s="301">
        <v>46093</v>
      </c>
      <c r="HC288" s="314" t="str">
        <f>IF(Table1[[#This Row],[Flushing Actual
(tanggal)]]&lt;&gt;"","Sudah","Belum")</f>
        <v>Sudah</v>
      </c>
      <c r="HD288" s="300">
        <v>45985</v>
      </c>
      <c r="HE288" s="300" t="e">
        <v>#N/A</v>
      </c>
      <c r="HF288" s="300">
        <v>45998</v>
      </c>
      <c r="HG288" s="322">
        <v>46096</v>
      </c>
      <c r="HH2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88" s="300" t="s">
        <v>261</v>
      </c>
      <c r="HJ288" s="300" t="s">
        <v>261</v>
      </c>
      <c r="HK288" s="301"/>
      <c r="HL288" s="286"/>
      <c r="HM288" s="300">
        <v>46010</v>
      </c>
      <c r="HN288" s="300">
        <v>46010</v>
      </c>
      <c r="HO288" s="300" t="e">
        <v>#N/A</v>
      </c>
      <c r="HP288" s="300"/>
      <c r="HQ288" s="301">
        <v>46112</v>
      </c>
      <c r="HR28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88" s="300">
        <v>46017</v>
      </c>
      <c r="HT288" s="300"/>
      <c r="HU288" s="300">
        <v>46017</v>
      </c>
      <c r="HV288" s="300"/>
      <c r="HW288" s="301">
        <v>46114</v>
      </c>
      <c r="HX28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88" s="42"/>
      <c r="HZ288" s="322"/>
      <c r="IA288" s="322"/>
      <c r="IC288" s="585">
        <f>IFERROR(ROUND((Table1[[#This Row],[PLAN TC
finish]]-Table1[[#This Row],[PLAN MC-0
start]])/30,2),"")</f>
        <v>1.83</v>
      </c>
      <c r="ID288">
        <f>DATEDIF(Table1[[#This Row],[PLAN MC-0
start]],Table1[[#This Row],[PLAN TC
finish]],"m")</f>
        <v>1</v>
      </c>
    </row>
    <row r="289" spans="1:238" s="4" customFormat="1" ht="15" customHeight="1" x14ac:dyDescent="0.25">
      <c r="B289" s="281">
        <f>SUBTOTAL(3,$D$5:D289)</f>
        <v>285</v>
      </c>
      <c r="C289" s="286">
        <v>285</v>
      </c>
      <c r="D289" s="308" t="s">
        <v>244</v>
      </c>
      <c r="E289" s="308" t="s">
        <v>2286</v>
      </c>
      <c r="F289" s="308" t="s">
        <v>2287</v>
      </c>
      <c r="G289" s="319">
        <v>46117</v>
      </c>
      <c r="H289" s="308" t="s">
        <v>681</v>
      </c>
      <c r="I289" s="308" t="s">
        <v>278</v>
      </c>
      <c r="J289" s="450" t="s">
        <v>1818</v>
      </c>
      <c r="K289" s="308" t="s">
        <v>1165</v>
      </c>
      <c r="L289" s="286" t="s">
        <v>250</v>
      </c>
      <c r="M289" s="325" t="s">
        <v>269</v>
      </c>
      <c r="N289" s="94">
        <v>667</v>
      </c>
      <c r="O289" s="31" t="s">
        <v>252</v>
      </c>
      <c r="P28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89" s="35">
        <v>1</v>
      </c>
      <c r="S289" s="34">
        <v>1</v>
      </c>
      <c r="T289" s="34">
        <f>Table1[[#This Row],[Progres Total Aktual
(%)]]</f>
        <v>0.44441597712839143</v>
      </c>
      <c r="U289" s="85">
        <f>Table1[[#This Row],[Progres Aktual
(%)]]-Table1[[#This Row],[Target Progres
(%)]]</f>
        <v>-0.55558402287160857</v>
      </c>
      <c r="V289" s="75">
        <f>Table1[[#This Row],["Volume
BA MC-0"]]</f>
        <v>888.5</v>
      </c>
      <c r="W289" s="41">
        <f>Table1[[#This Row],[Total Panjang Pipa Aktual
(Sum-&gt;)3]]</f>
        <v>574.20000000000005</v>
      </c>
      <c r="X289" s="42"/>
      <c r="Y289" s="62" t="s">
        <v>2288</v>
      </c>
      <c r="Z289" s="62">
        <v>1117663079</v>
      </c>
      <c r="AA289" s="62">
        <f>ROUND((Table1[[#This Row],[Nilai RAB Jaringan
(Exclude Ppn)]]-Table1[[#This Row],[RAB Perizinan]])*1.11+Table1[[#This Row],[RAB Perizinan]],0)</f>
        <v>1117663078</v>
      </c>
      <c r="AB289" s="456">
        <f>SUM(Table1[[#This Row],[RAB Kegiatan Umum]:[RAB Perizinan]])</f>
        <v>1007564665</v>
      </c>
      <c r="AC289" s="406">
        <v>68710655</v>
      </c>
      <c r="AD289" s="406">
        <v>687106548</v>
      </c>
      <c r="AE289" s="406">
        <v>245077462</v>
      </c>
      <c r="AF289" s="406">
        <v>6670000</v>
      </c>
      <c r="AG289" s="453">
        <v>421407726</v>
      </c>
      <c r="AH289" s="33">
        <f>SUM(Table1[[#This Row],[Bobot Keg Umum]:[Bobot Perizinan]])</f>
        <v>1</v>
      </c>
      <c r="AI289" s="33">
        <f>Table1[[#This Row],[RAB Kegiatan Umum]]/Table1[[#This Row],[Nilai RAB Jaringan
(Exclude Ppn)]]</f>
        <v>6.8194784302008052E-2</v>
      </c>
      <c r="AJ289" s="33">
        <f>Table1[[#This Row],[RAB Pemasangan]]/Table1[[#This Row],[Nilai RAB Jaringan
(Exclude Ppn)]]</f>
        <v>0.6819478410350962</v>
      </c>
      <c r="AK289" s="33">
        <f>Table1[[#This Row],[RAB Pengadaan]]/Table1[[#This Row],[Nilai RAB Jaringan
(Exclude Ppn)]]</f>
        <v>0.24323745215896392</v>
      </c>
      <c r="AL289" s="33">
        <f>Table1[[#This Row],[RAB Perizinan]]/Table1[[#This Row],[Nilai RAB Jaringan
(Exclude Ppn)]]</f>
        <v>6.619922503931795E-3</v>
      </c>
      <c r="AM289" s="42"/>
      <c r="AN289" s="256">
        <v>888.5</v>
      </c>
      <c r="AO289" s="256">
        <f>SUM(Table1[[#This Row],[Pipa 63 mm]:[Pipa 1,800 mm]])</f>
        <v>0</v>
      </c>
      <c r="AP289" s="256"/>
      <c r="AQ289" s="256"/>
      <c r="AR289" s="256"/>
      <c r="AS289" s="256"/>
      <c r="AT289" s="256"/>
      <c r="AU289" s="256"/>
      <c r="AV289" s="256"/>
      <c r="AW289" s="256"/>
      <c r="AX289" s="256"/>
      <c r="AY289" s="256"/>
      <c r="AZ289" s="256"/>
      <c r="BA289" s="256"/>
      <c r="BB289" s="256"/>
      <c r="BC289" s="256"/>
      <c r="BD289" s="256"/>
      <c r="BE289" s="256"/>
      <c r="BF289" s="256"/>
      <c r="BG289" s="256"/>
      <c r="BH289" s="256"/>
      <c r="BI289" s="256"/>
      <c r="BJ289" s="36">
        <f>SUM(Table1[[#This Row],[Pipa 63 mm2]:[Pipa 1,800 mm21]])</f>
        <v>574.20000000000005</v>
      </c>
      <c r="BK289" s="32">
        <v>465.7</v>
      </c>
      <c r="BL289" s="32">
        <v>57</v>
      </c>
      <c r="BM289" s="32">
        <v>14</v>
      </c>
      <c r="BN289" s="32">
        <v>37.5</v>
      </c>
      <c r="BO289" s="32"/>
      <c r="BP289" s="32"/>
      <c r="BQ289" s="32"/>
      <c r="BR289" s="32"/>
      <c r="BS289" s="32"/>
      <c r="BT289" s="32"/>
      <c r="BU289" s="32"/>
      <c r="BV289" s="32"/>
      <c r="BW289" s="32"/>
      <c r="BX289" s="32"/>
      <c r="BY289" s="32"/>
      <c r="BZ289" s="32"/>
      <c r="CA289" s="32"/>
      <c r="CB289" s="32"/>
      <c r="CC289" s="32"/>
      <c r="CD289" s="32"/>
      <c r="CE289" s="32">
        <v>0</v>
      </c>
      <c r="CF289" s="32"/>
      <c r="CG289" s="32"/>
      <c r="CH289" s="32"/>
      <c r="CI289" s="32">
        <f t="shared" si="15"/>
        <v>0</v>
      </c>
      <c r="CJ289" s="60">
        <f>IF((Table1[[#This Row],["Volume
BA MC-0"]]-Table1[[#This Row],[Total Panjang Pipa Aktual
(Sum-&gt;)3]]-Table1[[#This Row],[Total Volume
tidak dapat dipasang]])&gt;=0,Table1[[#This Row],["Volume
BA MC-0"]]-Table1[[#This Row],[Total Panjang Pipa Aktual
(Sum-&gt;)3]]-Table1[[#This Row],[Total Volume
tidak dapat dipasang]],0)</f>
        <v>314.29999999999995</v>
      </c>
      <c r="CK289" s="42"/>
      <c r="CL289" s="35" t="s">
        <v>1821</v>
      </c>
      <c r="CM289" s="35" t="s">
        <v>1821</v>
      </c>
      <c r="CN289" s="35" t="s">
        <v>1821</v>
      </c>
      <c r="CO289" s="35" t="s">
        <v>1821</v>
      </c>
      <c r="CP2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0.44441597712839143</v>
      </c>
      <c r="CQ289" s="61">
        <f>IFERROR(Table1[[#This Row],[Progres Keg. Umum
(%)]]*Table1[[#This Row],[Nilai RAB Jaringan
(file pa aji)]],0)</f>
        <v>0</v>
      </c>
      <c r="CR289" s="61">
        <f>IFERROR(Table1[[#This Row],[Progres MOS
(%)]]*Table1[[#This Row],[Nilai RAB Jaringan
(file pa aji)]],0)</f>
        <v>0</v>
      </c>
      <c r="CS289" s="61">
        <f>IFERROR(Table1[[#This Row],[Progres Pemasangan
(%)]]*Table1[[#This Row],[Nilai RAB Jaringan
(file pa aji)]],0)</f>
        <v>0</v>
      </c>
      <c r="CT289" s="61">
        <f>IFERROR(Table1[[#This Row],[Progres Perizinan
(%)]]*Table1[[#This Row],[Nilai RAB Jaringan
(file pa aji)]],0)</f>
        <v>0</v>
      </c>
      <c r="CU289" s="789">
        <v>496707328.90969557</v>
      </c>
      <c r="CV289" s="299">
        <v>496707328.90969557</v>
      </c>
      <c r="CW289" s="552">
        <v>0</v>
      </c>
      <c r="CX289" s="789">
        <f>_xlfn.XLOOKUP(Table1[[#This Row],[Kode Program]],'[1]Breakdown VOWD Greenfield'!$E:$E,'[1]Breakdown VOWD Greenfield'!$AT:$AT)</f>
        <v>0</v>
      </c>
      <c r="CY289" s="42"/>
      <c r="CZ289" s="300">
        <v>45838</v>
      </c>
      <c r="DA289" s="300">
        <v>45865</v>
      </c>
      <c r="DB289" s="301">
        <v>45820</v>
      </c>
      <c r="DC289" s="286" t="s">
        <v>2289</v>
      </c>
      <c r="DD289" s="62">
        <v>1117663079</v>
      </c>
      <c r="DE2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89" s="301">
        <v>45825</v>
      </c>
      <c r="DG289" s="286" t="s">
        <v>2290</v>
      </c>
      <c r="DH289" s="62">
        <v>1117663079</v>
      </c>
      <c r="DI2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89" s="300">
        <v>45866</v>
      </c>
      <c r="DK289" s="300">
        <v>45928</v>
      </c>
      <c r="DL289" s="301">
        <v>45847</v>
      </c>
      <c r="DM289" s="286" t="s">
        <v>2291</v>
      </c>
      <c r="DN2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89" s="301">
        <v>45917</v>
      </c>
      <c r="DP289" s="286" t="s">
        <v>2292</v>
      </c>
      <c r="DQ289" s="308" t="s">
        <v>312</v>
      </c>
      <c r="DR2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89" s="300">
        <v>45866</v>
      </c>
      <c r="DT289" s="300" t="e">
        <v>#N/A</v>
      </c>
      <c r="DU289" s="300">
        <v>45907</v>
      </c>
      <c r="DV289" s="300" t="e">
        <v>#N/A</v>
      </c>
      <c r="DW289" s="301">
        <v>45847</v>
      </c>
      <c r="DX289" s="454" t="s">
        <v>2293</v>
      </c>
      <c r="DY289" s="304">
        <v>53</v>
      </c>
      <c r="DZ289" s="304">
        <v>53</v>
      </c>
      <c r="EA2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89" s="301"/>
      <c r="EC289" s="302">
        <v>45</v>
      </c>
      <c r="ED289" s="302">
        <v>45</v>
      </c>
      <c r="EE289" s="300"/>
      <c r="EF289" s="35">
        <v>0.84905660377358494</v>
      </c>
      <c r="EG289" s="35">
        <f>Table1[[#This Row],[Line PO (kolom  bantu)2]]/Table1[[#This Row],[Line PR]]</f>
        <v>0.84905660377358494</v>
      </c>
      <c r="EH289" s="286" t="str">
        <f>IF(Table1[[#This Row],[PO Material Aktual 
(%)]]&gt;=100%,"Selesai PO = 100%",IF(Table1[[#This Row],[PO Material Aktual 
(%)]]&gt;=50%,"Proses PO &gt; 100%",IF(Table1[[#This Row],[PO Material Aktual 
(%)]]&gt;0%,"Proses PO &gt; 50%",IF(Table1[[#This Row],[PO Material Aktual 
(%)]]=0,"Belum PO = 0%"))))</f>
        <v>Proses PO &gt; 100%</v>
      </c>
      <c r="EI28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89" s="300">
        <v>45908</v>
      </c>
      <c r="EK289" s="300" t="e">
        <v>#N/A</v>
      </c>
      <c r="EL289" s="300">
        <v>45956</v>
      </c>
      <c r="EM289" s="300" t="e">
        <v>#N/A</v>
      </c>
      <c r="EN289" s="301"/>
      <c r="EO289" s="302">
        <v>45</v>
      </c>
      <c r="EP289" s="286">
        <v>45</v>
      </c>
      <c r="EQ289" s="35">
        <v>0.84905660377358494</v>
      </c>
      <c r="ER289" s="35">
        <f>Table1[[#This Row],[Line MOS]]/Table1[[#This Row],[Line PR]]</f>
        <v>0.84905660377358494</v>
      </c>
      <c r="ES289" s="286" t="str">
        <f>IF(Table1[[#This Row],[Progres MOS]]&gt;=100%,"Selesai MOS = 100%",IF(Table1[[#This Row],[Progres MOS]]&gt;=50%,"Proses MOS &gt; 100%",IF(Table1[[#This Row],[Progres MOS]]&gt;0%,"Proses MOS &gt; 50%",IF(Table1[[#This Row],[Progres MOS]]=0,"Belum MOS = 0%"))))</f>
        <v>Proses MOS &gt; 100%</v>
      </c>
      <c r="ET2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89" s="42"/>
      <c r="EV289" s="300">
        <v>45866</v>
      </c>
      <c r="EW289" s="300" t="e">
        <v>#N/A</v>
      </c>
      <c r="EX289" s="300">
        <v>45956</v>
      </c>
      <c r="EY289" s="300" t="e">
        <v>#N/A</v>
      </c>
      <c r="EZ289" s="322" t="s">
        <v>298</v>
      </c>
      <c r="FA289" s="306" t="s">
        <v>259</v>
      </c>
      <c r="FB289" s="300" t="s">
        <v>260</v>
      </c>
      <c r="FC289" s="300">
        <v>45946</v>
      </c>
      <c r="FD289" s="300" t="s">
        <v>260</v>
      </c>
      <c r="FE289" s="300">
        <v>45966</v>
      </c>
      <c r="FF289" s="300">
        <v>45993</v>
      </c>
      <c r="FG289" s="300" t="s">
        <v>260</v>
      </c>
      <c r="FH289" s="300" t="s">
        <v>260</v>
      </c>
      <c r="FI289" s="300">
        <v>46013</v>
      </c>
      <c r="FJ289" s="300" t="s">
        <v>260</v>
      </c>
      <c r="FK289" s="300">
        <v>46135</v>
      </c>
      <c r="FL289" s="306" t="s">
        <v>298</v>
      </c>
      <c r="FM289" s="322">
        <v>45946</v>
      </c>
      <c r="FN289" s="308">
        <f>IF(Table1[[#This Row],[Tanggal Pengajuan Dokumen]]="","",Table1[[#This Row],[PLAN PERMIT
start]]-Table1[[#This Row],[Tanggal Pengajuan Dokumen]])</f>
        <v>-80</v>
      </c>
      <c r="FO289" s="407">
        <v>46097</v>
      </c>
      <c r="FP289" s="286" t="s">
        <v>2087</v>
      </c>
      <c r="FQ289" s="308"/>
      <c r="FR289" s="308"/>
      <c r="FS289" s="308" t="str">
        <f t="shared" si="14"/>
        <v>On Going</v>
      </c>
      <c r="FT2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89" s="314">
        <f ca="1">IF(Table1[[#This Row],[Status Izin]]="Selesai",Table1[[#This Row],[PLAN PERMIT
finish]]-Table1[[#This Row],[Tanggal Terbit/ Target Izin Terbit]],ROUNDUP(Table1[[#This Row],[PLAN PERMIT
finish]]-NOW(),0))</f>
        <v>-248</v>
      </c>
      <c r="FV2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89" s="314"/>
      <c r="FX289" s="42"/>
      <c r="FY289" s="310"/>
      <c r="FZ289" s="311"/>
      <c r="GA2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89" s="300">
        <v>45930</v>
      </c>
      <c r="GC289" s="322">
        <v>45896</v>
      </c>
      <c r="GD2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89" s="300">
        <v>45937</v>
      </c>
      <c r="GF289" s="322">
        <v>45896</v>
      </c>
      <c r="GG2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89" s="300">
        <v>45943</v>
      </c>
      <c r="GI289" s="300">
        <v>45949</v>
      </c>
      <c r="GJ289" s="322">
        <v>45908</v>
      </c>
      <c r="GK2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89" s="300">
        <v>45957</v>
      </c>
      <c r="GM289" s="300" t="e">
        <v>#N/A</v>
      </c>
      <c r="GN289" s="300">
        <v>46005</v>
      </c>
      <c r="GO289" s="300" t="e">
        <v>#N/A</v>
      </c>
      <c r="GP289" s="300"/>
      <c r="GQ2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89" s="300" t="s">
        <v>261</v>
      </c>
      <c r="GS289" s="300" t="s">
        <v>261</v>
      </c>
      <c r="GT289" s="458" t="s">
        <v>2294</v>
      </c>
      <c r="GU289" s="314" t="str">
        <f>IF(Table1[[#This Row],[Hydro Tes Actual
(tanggal)]]&lt;&gt;"","Sudah","Belum")</f>
        <v>Sudah</v>
      </c>
      <c r="GV289" s="300" t="s">
        <v>261</v>
      </c>
      <c r="GW289" s="300" t="s">
        <v>261</v>
      </c>
      <c r="GX289" s="301"/>
      <c r="GY289" s="314" t="str">
        <f>IF(Table1[[#This Row],[Interkoneksi Actual
(tanggal)]]&lt;&gt;"","Sudah","Belum")</f>
        <v>Belum</v>
      </c>
      <c r="GZ289" s="300" t="s">
        <v>261</v>
      </c>
      <c r="HA289" s="300" t="s">
        <v>261</v>
      </c>
      <c r="HB289" s="301"/>
      <c r="HC289" s="314" t="str">
        <f>IF(Table1[[#This Row],[Flushing Actual
(tanggal)]]&lt;&gt;"","Sudah","Belum")</f>
        <v>Belum</v>
      </c>
      <c r="HD289" s="300">
        <v>45985</v>
      </c>
      <c r="HE289" s="300" t="e">
        <v>#N/A</v>
      </c>
      <c r="HF289" s="300">
        <v>45998</v>
      </c>
      <c r="HG289" s="322"/>
      <c r="HH2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89" s="300" t="s">
        <v>261</v>
      </c>
      <c r="HJ289" s="300" t="s">
        <v>261</v>
      </c>
      <c r="HK289" s="301"/>
      <c r="HL289" s="286"/>
      <c r="HM289" s="300">
        <v>46010</v>
      </c>
      <c r="HN289" s="300">
        <v>46010</v>
      </c>
      <c r="HO289" s="300">
        <v>46201</v>
      </c>
      <c r="HP289" s="300"/>
      <c r="HQ289" s="301"/>
      <c r="HR28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89" s="300">
        <v>46017</v>
      </c>
      <c r="HT289" s="300"/>
      <c r="HU289" s="300">
        <v>46017</v>
      </c>
      <c r="HV289" s="300">
        <v>46206</v>
      </c>
      <c r="HW289" s="301"/>
      <c r="HX28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89" s="42"/>
      <c r="HZ289" s="322"/>
      <c r="IA289" s="322"/>
      <c r="IC289" s="585">
        <f>IFERROR(ROUND((Table1[[#This Row],[PLAN TC
finish]]-Table1[[#This Row],[PLAN MC-0
start]])/30,2),"")</f>
        <v>1.83</v>
      </c>
      <c r="ID289">
        <f>DATEDIF(Table1[[#This Row],[PLAN MC-0
start]],Table1[[#This Row],[PLAN TC
finish]],"m")</f>
        <v>1</v>
      </c>
    </row>
    <row r="290" spans="1:238" s="4" customFormat="1" ht="15" customHeight="1" x14ac:dyDescent="0.25">
      <c r="B290" s="281">
        <f>SUBTOTAL(3,$D$5:D290)</f>
        <v>286</v>
      </c>
      <c r="C290" s="286">
        <v>286</v>
      </c>
      <c r="D290" s="308" t="s">
        <v>244</v>
      </c>
      <c r="E290" s="308" t="s">
        <v>2295</v>
      </c>
      <c r="F290" s="308" t="s">
        <v>2296</v>
      </c>
      <c r="G290" s="319">
        <v>46117</v>
      </c>
      <c r="H290" s="308" t="s">
        <v>681</v>
      </c>
      <c r="I290" s="308" t="s">
        <v>278</v>
      </c>
      <c r="J290" s="450" t="s">
        <v>1818</v>
      </c>
      <c r="K290" s="308" t="s">
        <v>1165</v>
      </c>
      <c r="L290" s="286" t="s">
        <v>250</v>
      </c>
      <c r="M290" s="325" t="s">
        <v>269</v>
      </c>
      <c r="N290" s="94">
        <v>375</v>
      </c>
      <c r="O290" s="31" t="s">
        <v>252</v>
      </c>
      <c r="P29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290" s="35">
        <v>1</v>
      </c>
      <c r="S290" s="34">
        <v>1</v>
      </c>
      <c r="T290" s="34">
        <f>Table1[[#This Row],[Progres Total Aktual
(%)]]</f>
        <v>0.37463435534012463</v>
      </c>
      <c r="U290" s="85">
        <f>Table1[[#This Row],[Progres Aktual
(%)]]-Table1[[#This Row],[Target Progres
(%)]]</f>
        <v>-0.62536564465987543</v>
      </c>
      <c r="V290" s="75">
        <f>Table1[[#This Row],["Volume
BA MC-0"]]</f>
        <v>390</v>
      </c>
      <c r="W290" s="41">
        <f>Table1[[#This Row],[Total Panjang Pipa Aktual
(Sum-&gt;)3]]</f>
        <v>282</v>
      </c>
      <c r="X290" s="42"/>
      <c r="Y290" s="62" t="s">
        <v>2288</v>
      </c>
      <c r="Z290" s="62">
        <v>2140671314</v>
      </c>
      <c r="AA290" s="62">
        <f>ROUND((Table1[[#This Row],[Nilai RAB Jaringan
(Exclude Ppn)]]-Table1[[#This Row],[RAB Perizinan]])*1.11+Table1[[#This Row],[RAB Perizinan]],0)</f>
        <v>2140671313</v>
      </c>
      <c r="AB290" s="456">
        <f>SUM(Table1[[#This Row],[RAB Kegiatan Umum]:[RAB Perizinan]])</f>
        <v>1929598030</v>
      </c>
      <c r="AC290" s="406">
        <v>149537486</v>
      </c>
      <c r="AD290" s="406">
        <v>1495374851</v>
      </c>
      <c r="AE290" s="406">
        <v>273935693</v>
      </c>
      <c r="AF290" s="406">
        <v>10750000</v>
      </c>
      <c r="AG290" s="453">
        <v>0</v>
      </c>
      <c r="AH290" s="33">
        <f>SUM(Table1[[#This Row],[Bobot Keg Umum]:[Bobot Perizinan]])</f>
        <v>1</v>
      </c>
      <c r="AI290" s="33">
        <f>Table1[[#This Row],[RAB Kegiatan Umum]]/Table1[[#This Row],[Nilai RAB Jaringan
(Exclude Ppn)]]</f>
        <v>7.749670329006296E-2</v>
      </c>
      <c r="AJ290" s="33">
        <f>Table1[[#This Row],[RAB Pemasangan]]/Table1[[#This Row],[Nilai RAB Jaringan
(Exclude Ppn)]]</f>
        <v>0.7749670282364457</v>
      </c>
      <c r="AK290" s="33">
        <f>Table1[[#This Row],[RAB Pengadaan]]/Table1[[#This Row],[Nilai RAB Jaringan
(Exclude Ppn)]]</f>
        <v>0.1419651599665035</v>
      </c>
      <c r="AL290" s="33">
        <f>Table1[[#This Row],[RAB Perizinan]]/Table1[[#This Row],[Nilai RAB Jaringan
(Exclude Ppn)]]</f>
        <v>5.5711085069878518E-3</v>
      </c>
      <c r="AM290" s="42"/>
      <c r="AN290" s="256">
        <v>390</v>
      </c>
      <c r="AO290" s="256">
        <f>SUM(Table1[[#This Row],[Pipa 63 mm]:[Pipa 1,800 mm]])</f>
        <v>0</v>
      </c>
      <c r="AP290" s="256"/>
      <c r="AQ290" s="256"/>
      <c r="AR290" s="256"/>
      <c r="AS290" s="256"/>
      <c r="AT290" s="256"/>
      <c r="AU290" s="256"/>
      <c r="AV290" s="256"/>
      <c r="AW290" s="256"/>
      <c r="AX290" s="256"/>
      <c r="AY290" s="256"/>
      <c r="AZ290" s="256"/>
      <c r="BA290" s="256"/>
      <c r="BB290" s="256"/>
      <c r="BC290" s="256"/>
      <c r="BD290" s="256"/>
      <c r="BE290" s="256"/>
      <c r="BF290" s="256"/>
      <c r="BG290" s="256"/>
      <c r="BH290" s="256"/>
      <c r="BI290" s="256"/>
      <c r="BJ290" s="36">
        <f>SUM(Table1[[#This Row],[Pipa 63 mm2]:[Pipa 1,800 mm21]])</f>
        <v>282</v>
      </c>
      <c r="BK290" s="32"/>
      <c r="BL290" s="32"/>
      <c r="BM290" s="32"/>
      <c r="BN290" s="32">
        <v>282</v>
      </c>
      <c r="BO290" s="32"/>
      <c r="BP290" s="32"/>
      <c r="BQ290" s="32"/>
      <c r="BR290" s="32"/>
      <c r="BS290" s="32"/>
      <c r="BT290" s="32"/>
      <c r="BU290" s="32"/>
      <c r="BV290" s="32"/>
      <c r="BW290" s="32"/>
      <c r="BX290" s="32"/>
      <c r="BY290" s="32"/>
      <c r="BZ290" s="32"/>
      <c r="CA290" s="32"/>
      <c r="CB290" s="32"/>
      <c r="CC290" s="32"/>
      <c r="CD290" s="32"/>
      <c r="CE290" s="32">
        <v>0</v>
      </c>
      <c r="CF290" s="32"/>
      <c r="CG290" s="32"/>
      <c r="CH290" s="32"/>
      <c r="CI290" s="32">
        <f t="shared" si="15"/>
        <v>0</v>
      </c>
      <c r="CJ290" s="60">
        <f>IF((Table1[[#This Row],["Volume
BA MC-0"]]-Table1[[#This Row],[Total Panjang Pipa Aktual
(Sum-&gt;)3]]-Table1[[#This Row],[Total Volume
tidak dapat dipasang]])&gt;=0,Table1[[#This Row],["Volume
BA MC-0"]]-Table1[[#This Row],[Total Panjang Pipa Aktual
(Sum-&gt;)3]]-Table1[[#This Row],[Total Volume
tidak dapat dipasang]],0)</f>
        <v>108</v>
      </c>
      <c r="CK290" s="42"/>
      <c r="CL290" s="454" t="s">
        <v>1821</v>
      </c>
      <c r="CM290" s="34" t="s">
        <v>1821</v>
      </c>
      <c r="CN290" s="454" t="s">
        <v>1821</v>
      </c>
      <c r="CO290" s="454" t="s">
        <v>1821</v>
      </c>
      <c r="CP2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0.37463435534012463</v>
      </c>
      <c r="CQ290" s="61">
        <f>IFERROR(Table1[[#This Row],[Progres Keg. Umum
(%)]]*Table1[[#This Row],[Nilai RAB Jaringan
(file pa aji)]],0)</f>
        <v>0</v>
      </c>
      <c r="CR290" s="61">
        <f>IFERROR(Table1[[#This Row],[Progres MOS
(%)]]*Table1[[#This Row],[Nilai RAB Jaringan
(file pa aji)]],0)</f>
        <v>0</v>
      </c>
      <c r="CS290" s="61">
        <f>IFERROR(Table1[[#This Row],[Progres Pemasangan
(%)]]*Table1[[#This Row],[Nilai RAB Jaringan
(file pa aji)]],0)</f>
        <v>0</v>
      </c>
      <c r="CT290" s="61">
        <f>IFERROR(Table1[[#This Row],[Progres Perizinan
(%)]]*Table1[[#This Row],[Nilai RAB Jaringan
(file pa aji)]],0)</f>
        <v>0</v>
      </c>
      <c r="CU290" s="789">
        <v>801969017.3408531</v>
      </c>
      <c r="CV290" s="299">
        <v>801969017.3408531</v>
      </c>
      <c r="CW290" s="552">
        <v>0</v>
      </c>
      <c r="CX290" s="789">
        <f>_xlfn.XLOOKUP(Table1[[#This Row],[Kode Program]],'[1]Breakdown VOWD Greenfield'!$E:$E,'[1]Breakdown VOWD Greenfield'!$AT:$AT)</f>
        <v>0</v>
      </c>
      <c r="CY290" s="42"/>
      <c r="CZ290" s="300">
        <v>45838</v>
      </c>
      <c r="DA290" s="300">
        <v>45865</v>
      </c>
      <c r="DB290" s="301">
        <v>45820</v>
      </c>
      <c r="DC290" s="286" t="s">
        <v>2297</v>
      </c>
      <c r="DD290" s="62">
        <v>2140671315</v>
      </c>
      <c r="DE2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0" s="301">
        <v>45825</v>
      </c>
      <c r="DG290" s="286" t="s">
        <v>2298</v>
      </c>
      <c r="DH290" s="62">
        <v>2140671315</v>
      </c>
      <c r="DI2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0" s="300">
        <v>45866</v>
      </c>
      <c r="DK290" s="300">
        <v>45928</v>
      </c>
      <c r="DL290" s="301">
        <v>45847</v>
      </c>
      <c r="DM290" s="286" t="s">
        <v>2299</v>
      </c>
      <c r="DN2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0" s="301">
        <v>45917</v>
      </c>
      <c r="DP290" s="286" t="s">
        <v>2300</v>
      </c>
      <c r="DQ290" s="308" t="s">
        <v>312</v>
      </c>
      <c r="DR2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0" s="300">
        <v>45866</v>
      </c>
      <c r="DT290" s="300" t="e">
        <v>#N/A</v>
      </c>
      <c r="DU290" s="300">
        <v>45907</v>
      </c>
      <c r="DV290" s="300" t="e">
        <v>#N/A</v>
      </c>
      <c r="DW290" s="301">
        <v>45846</v>
      </c>
      <c r="DX290" s="454" t="s">
        <v>2301</v>
      </c>
      <c r="DY290" s="304">
        <v>42</v>
      </c>
      <c r="DZ290" s="304">
        <v>42</v>
      </c>
      <c r="EA2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0" s="301"/>
      <c r="EC290" s="302">
        <v>38</v>
      </c>
      <c r="ED290" s="302">
        <v>38</v>
      </c>
      <c r="EE290" s="300"/>
      <c r="EF290" s="35">
        <v>0.90476190476190477</v>
      </c>
      <c r="EG290" s="35">
        <f>Table1[[#This Row],[Line PO (kolom  bantu)2]]/Table1[[#This Row],[Line PR]]</f>
        <v>0.90476190476190477</v>
      </c>
      <c r="EH290" s="286" t="str">
        <f>IF(Table1[[#This Row],[PO Material Aktual 
(%)]]&gt;=100%,"Selesai PO = 100%",IF(Table1[[#This Row],[PO Material Aktual 
(%)]]&gt;=50%,"Proses PO &gt; 100%",IF(Table1[[#This Row],[PO Material Aktual 
(%)]]&gt;0%,"Proses PO &gt; 50%",IF(Table1[[#This Row],[PO Material Aktual 
(%)]]=0,"Belum PO = 0%"))))</f>
        <v>Proses PO &gt; 100%</v>
      </c>
      <c r="EI29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0" s="300">
        <v>45908</v>
      </c>
      <c r="EK290" s="300" t="e">
        <v>#N/A</v>
      </c>
      <c r="EL290" s="300">
        <v>45956</v>
      </c>
      <c r="EM290" s="300" t="e">
        <v>#N/A</v>
      </c>
      <c r="EN290" s="301"/>
      <c r="EO290" s="302">
        <v>38</v>
      </c>
      <c r="EP290" s="286">
        <v>38</v>
      </c>
      <c r="EQ290" s="35">
        <v>0.90476190476190477</v>
      </c>
      <c r="ER290" s="35">
        <f>Table1[[#This Row],[Line MOS]]/Table1[[#This Row],[Line PR]]</f>
        <v>0.90476190476190477</v>
      </c>
      <c r="ES290" s="286" t="str">
        <f>IF(Table1[[#This Row],[Progres MOS]]&gt;=100%,"Selesai MOS = 100%",IF(Table1[[#This Row],[Progres MOS]]&gt;=50%,"Proses MOS &gt; 100%",IF(Table1[[#This Row],[Progres MOS]]&gt;0%,"Proses MOS &gt; 50%",IF(Table1[[#This Row],[Progres MOS]]=0,"Belum MOS = 0%"))))</f>
        <v>Proses MOS &gt; 100%</v>
      </c>
      <c r="ET2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0" s="42"/>
      <c r="EV290" s="300">
        <v>45866</v>
      </c>
      <c r="EW290" s="300" t="e">
        <v>#N/A</v>
      </c>
      <c r="EX290" s="300">
        <v>45956</v>
      </c>
      <c r="EY290" s="300" t="e">
        <v>#N/A</v>
      </c>
      <c r="EZ290" s="322" t="s">
        <v>298</v>
      </c>
      <c r="FA290" s="306" t="s">
        <v>259</v>
      </c>
      <c r="FB290" s="300" t="s">
        <v>260</v>
      </c>
      <c r="FC290" s="300">
        <v>45946</v>
      </c>
      <c r="FD290" s="300" t="s">
        <v>260</v>
      </c>
      <c r="FE290" s="300">
        <v>45966</v>
      </c>
      <c r="FF290" s="300">
        <v>45993</v>
      </c>
      <c r="FG290" s="300" t="s">
        <v>260</v>
      </c>
      <c r="FH290" s="300" t="s">
        <v>260</v>
      </c>
      <c r="FI290" s="300">
        <v>46013</v>
      </c>
      <c r="FJ290" s="300" t="s">
        <v>260</v>
      </c>
      <c r="FK290" s="300">
        <v>46135</v>
      </c>
      <c r="FL290" s="306" t="s">
        <v>298</v>
      </c>
      <c r="FM290" s="322">
        <v>45946</v>
      </c>
      <c r="FN290" s="308">
        <f>IF(Table1[[#This Row],[Tanggal Pengajuan Dokumen]]="","",Table1[[#This Row],[PLAN PERMIT
start]]-Table1[[#This Row],[Tanggal Pengajuan Dokumen]])</f>
        <v>-80</v>
      </c>
      <c r="FO290" s="407">
        <v>46097</v>
      </c>
      <c r="FP290" s="286"/>
      <c r="FQ290" s="308"/>
      <c r="FR290" s="308"/>
      <c r="FS290" s="308" t="str">
        <f t="shared" si="14"/>
        <v>Sudah Terbit</v>
      </c>
      <c r="FT2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0" s="314">
        <f ca="1">IF(Table1[[#This Row],[Status Izin]]="Selesai",Table1[[#This Row],[PLAN PERMIT
finish]]-Table1[[#This Row],[Tanggal Terbit/ Target Izin Terbit]],ROUNDUP(Table1[[#This Row],[PLAN PERMIT
finish]]-NOW(),0))</f>
        <v>-141</v>
      </c>
      <c r="FV2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0" s="314"/>
      <c r="FX290" s="42"/>
      <c r="FY290" s="310"/>
      <c r="FZ290" s="311"/>
      <c r="GA2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0" s="300">
        <v>45930</v>
      </c>
      <c r="GC290" s="322">
        <v>45896</v>
      </c>
      <c r="GD2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0" s="300">
        <v>45937</v>
      </c>
      <c r="GF290" s="322">
        <v>45896</v>
      </c>
      <c r="GG2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0" s="300">
        <v>45943</v>
      </c>
      <c r="GI290" s="300">
        <v>45949</v>
      </c>
      <c r="GJ290" s="322">
        <v>45908</v>
      </c>
      <c r="GK2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0" s="300">
        <v>45957</v>
      </c>
      <c r="GM290" s="300" t="e">
        <v>#N/A</v>
      </c>
      <c r="GN290" s="300">
        <v>46005</v>
      </c>
      <c r="GO290" s="300" t="e">
        <v>#N/A</v>
      </c>
      <c r="GP290" s="300"/>
      <c r="GQ2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0" s="300" t="s">
        <v>261</v>
      </c>
      <c r="GS290" s="300" t="s">
        <v>261</v>
      </c>
      <c r="GT290" s="324"/>
      <c r="GU290" s="314" t="str">
        <f>IF(Table1[[#This Row],[Hydro Tes Actual
(tanggal)]]&lt;&gt;"","Sudah","Belum")</f>
        <v>Belum</v>
      </c>
      <c r="GV290" s="300" t="s">
        <v>261</v>
      </c>
      <c r="GW290" s="300" t="s">
        <v>261</v>
      </c>
      <c r="GX290" s="301"/>
      <c r="GY290" s="314" t="str">
        <f>IF(Table1[[#This Row],[Interkoneksi Actual
(tanggal)]]&lt;&gt;"","Sudah","Belum")</f>
        <v>Belum</v>
      </c>
      <c r="GZ290" s="300" t="s">
        <v>261</v>
      </c>
      <c r="HA290" s="300" t="s">
        <v>261</v>
      </c>
      <c r="HB290" s="301"/>
      <c r="HC290" s="314" t="str">
        <f>IF(Table1[[#This Row],[Flushing Actual
(tanggal)]]&lt;&gt;"","Sudah","Belum")</f>
        <v>Belum</v>
      </c>
      <c r="HD290" s="300">
        <v>45985</v>
      </c>
      <c r="HE290" s="300" t="e">
        <v>#N/A</v>
      </c>
      <c r="HF290" s="300">
        <v>45998</v>
      </c>
      <c r="HG290" s="322"/>
      <c r="HH2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0" s="300" t="s">
        <v>261</v>
      </c>
      <c r="HJ290" s="300" t="s">
        <v>261</v>
      </c>
      <c r="HK290" s="301"/>
      <c r="HL290" s="286"/>
      <c r="HM290" s="300">
        <v>46010</v>
      </c>
      <c r="HN290" s="300">
        <v>46010</v>
      </c>
      <c r="HO290" s="300">
        <v>46201</v>
      </c>
      <c r="HP290" s="300"/>
      <c r="HQ290" s="301"/>
      <c r="HR29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0" s="300">
        <v>46017</v>
      </c>
      <c r="HT290" s="300"/>
      <c r="HU290" s="300">
        <v>46017</v>
      </c>
      <c r="HV290" s="300">
        <v>46206</v>
      </c>
      <c r="HW290" s="301"/>
      <c r="HX29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0" s="42"/>
      <c r="HZ290" s="322"/>
      <c r="IA290" s="322"/>
      <c r="IC290" s="585">
        <f>IFERROR(ROUND((Table1[[#This Row],[PLAN TC
finish]]-Table1[[#This Row],[PLAN MC-0
start]])/30,2),"")</f>
        <v>1.83</v>
      </c>
      <c r="ID290">
        <f>DATEDIF(Table1[[#This Row],[PLAN MC-0
start]],Table1[[#This Row],[PLAN TC
finish]],"m")</f>
        <v>1</v>
      </c>
    </row>
    <row r="291" spans="1:238" s="30" customFormat="1" ht="15" customHeight="1" x14ac:dyDescent="0.25">
      <c r="A291" s="72"/>
      <c r="B291" s="281">
        <f>SUBTOTAL(3,$D$5:D291)</f>
        <v>287</v>
      </c>
      <c r="C291" s="337">
        <v>287</v>
      </c>
      <c r="D291" s="336" t="s">
        <v>244</v>
      </c>
      <c r="E291" s="336" t="s">
        <v>2302</v>
      </c>
      <c r="F291" s="336" t="s">
        <v>2303</v>
      </c>
      <c r="G291" s="334">
        <v>46117</v>
      </c>
      <c r="H291" s="336" t="s">
        <v>681</v>
      </c>
      <c r="I291" s="336" t="s">
        <v>278</v>
      </c>
      <c r="J291" s="355" t="s">
        <v>389</v>
      </c>
      <c r="K291" s="336" t="s">
        <v>1165</v>
      </c>
      <c r="L291" s="337" t="s">
        <v>250</v>
      </c>
      <c r="M291" s="362" t="s">
        <v>269</v>
      </c>
      <c r="N291" s="338">
        <v>4062</v>
      </c>
      <c r="O291" s="339" t="s">
        <v>252</v>
      </c>
      <c r="P29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1" s="355" t="s">
        <v>389</v>
      </c>
      <c r="R291" s="341">
        <v>0.87018039221962973</v>
      </c>
      <c r="S291" s="34">
        <v>1</v>
      </c>
      <c r="T291" s="459">
        <f>Table1[[#This Row],[Progres Total Aktual
(%)]]</f>
        <v>0</v>
      </c>
      <c r="U291" s="460">
        <f>Table1[[#This Row],[Progres Aktual
(%)]]-Table1[[#This Row],[Target Progres
(%)]]</f>
        <v>-1</v>
      </c>
      <c r="V291" s="461">
        <f>Table1[[#This Row],["Volume
BA MC-0"]]</f>
        <v>0</v>
      </c>
      <c r="W291" s="462">
        <f>Table1[[#This Row],[Total Panjang Pipa Aktual
(Sum-&gt;)3]]</f>
        <v>0</v>
      </c>
      <c r="X291" s="42"/>
      <c r="Y291" s="345" t="s">
        <v>2304</v>
      </c>
      <c r="Z291" s="345">
        <v>8208811390</v>
      </c>
      <c r="AA291" s="345">
        <f>ROUND((Table1[[#This Row],[Nilai RAB Jaringan
(Exclude Ppn)]]-Table1[[#This Row],[RAB Perizinan]])*1.11+Table1[[#This Row],[RAB Perizinan]],0)</f>
        <v>8175476577</v>
      </c>
      <c r="AB291" s="463">
        <f>SUM(Table1[[#This Row],[RAB Kegiatan Umum]:[RAB Perizinan]])</f>
        <v>7370013313</v>
      </c>
      <c r="AC291" s="409">
        <v>480919764</v>
      </c>
      <c r="AD291" s="409">
        <v>4809197634</v>
      </c>
      <c r="AE291" s="409">
        <v>2032275915</v>
      </c>
      <c r="AF291" s="409">
        <v>47620000</v>
      </c>
      <c r="AG291" s="464">
        <v>754319830</v>
      </c>
      <c r="AH291" s="465">
        <f>SUM(Table1[[#This Row],[Bobot Keg Umum]:[Bobot Perizinan]])</f>
        <v>1</v>
      </c>
      <c r="AI291" s="465">
        <f>Table1[[#This Row],[RAB Kegiatan Umum]]/Table1[[#This Row],[Nilai RAB Jaringan
(Exclude Ppn)]]</f>
        <v>6.5253581448991876E-2</v>
      </c>
      <c r="AJ291" s="465">
        <f>Table1[[#This Row],[RAB Pemasangan]]/Table1[[#This Row],[Nilai RAB Jaringan
(Exclude Ppn)]]</f>
        <v>0.65253581367580904</v>
      </c>
      <c r="AK291" s="465">
        <f>Table1[[#This Row],[RAB Pengadaan]]/Table1[[#This Row],[Nilai RAB Jaringan
(Exclude Ppn)]]</f>
        <v>0.27574928683171568</v>
      </c>
      <c r="AL291" s="465">
        <f>Table1[[#This Row],[RAB Perizinan]]/Table1[[#This Row],[Nilai RAB Jaringan
(Exclude Ppn)]]</f>
        <v>6.461318043483431E-3</v>
      </c>
      <c r="AM291" s="42"/>
      <c r="AN291" s="346">
        <v>0</v>
      </c>
      <c r="AO291" s="346">
        <f>SUM(Table1[[#This Row],[Pipa 63 mm]:[Pipa 1,800 mm]])</f>
        <v>0</v>
      </c>
      <c r="AP291" s="346"/>
      <c r="AQ291" s="346"/>
      <c r="AR291" s="346"/>
      <c r="AS291" s="346"/>
      <c r="AT291" s="346"/>
      <c r="AU291" s="346"/>
      <c r="AV291" s="346"/>
      <c r="AW291" s="346"/>
      <c r="AX291" s="346"/>
      <c r="AY291" s="346"/>
      <c r="AZ291" s="346"/>
      <c r="BA291" s="346"/>
      <c r="BB291" s="346"/>
      <c r="BC291" s="346"/>
      <c r="BD291" s="346"/>
      <c r="BE291" s="346"/>
      <c r="BF291" s="346"/>
      <c r="BG291" s="346"/>
      <c r="BH291" s="346"/>
      <c r="BI291" s="346"/>
      <c r="BJ291" s="347">
        <f>SUM(Table1[[#This Row],[Pipa 63 mm2]:[Pipa 1,800 mm21]])</f>
        <v>0</v>
      </c>
      <c r="BK291" s="348"/>
      <c r="BL291" s="348"/>
      <c r="BM291" s="348"/>
      <c r="BN291" s="348"/>
      <c r="BO291" s="348"/>
      <c r="BP291" s="348"/>
      <c r="BQ291" s="348"/>
      <c r="BR291" s="348"/>
      <c r="BS291" s="348"/>
      <c r="BT291" s="348"/>
      <c r="BU291" s="348"/>
      <c r="BV291" s="348"/>
      <c r="BW291" s="348"/>
      <c r="BX291" s="348"/>
      <c r="BY291" s="348"/>
      <c r="BZ291" s="348"/>
      <c r="CA291" s="348"/>
      <c r="CB291" s="348"/>
      <c r="CC291" s="348"/>
      <c r="CD291" s="348"/>
      <c r="CE291" s="348">
        <v>0</v>
      </c>
      <c r="CF291" s="348"/>
      <c r="CG291" s="348"/>
      <c r="CH291" s="348"/>
      <c r="CI291" s="348">
        <f t="shared" si="15"/>
        <v>0</v>
      </c>
      <c r="CJ291" s="410">
        <f>IF((Table1[[#This Row],["Volume
BA MC-0"]]-Table1[[#This Row],[Total Panjang Pipa Aktual
(Sum-&gt;)3]]-Table1[[#This Row],[Total Volume
tidak dapat dipasang]])&gt;=0,Table1[[#This Row],["Volume
BA MC-0"]]-Table1[[#This Row],[Total Panjang Pipa Aktual
(Sum-&gt;)3]]-Table1[[#This Row],[Total Volume
tidak dapat dipasang]],0)</f>
        <v>0</v>
      </c>
      <c r="CK291" s="42"/>
      <c r="CL291" s="341" t="s">
        <v>1821</v>
      </c>
      <c r="CM291" s="341" t="s">
        <v>1821</v>
      </c>
      <c r="CN291" s="341" t="s">
        <v>1821</v>
      </c>
      <c r="CO291" s="341" t="s">
        <v>1821</v>
      </c>
      <c r="CP29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1" s="350">
        <f>IFERROR(Table1[[#This Row],[Progres Keg. Umum
(%)]]*Table1[[#This Row],[Nilai RAB Jaringan
(file pa aji)]],0)</f>
        <v>0</v>
      </c>
      <c r="CR291" s="350">
        <f>IFERROR(Table1[[#This Row],[Progres MOS
(%)]]*Table1[[#This Row],[Nilai RAB Jaringan
(file pa aji)]],0)</f>
        <v>0</v>
      </c>
      <c r="CS291" s="350">
        <f>IFERROR(Table1[[#This Row],[Progres Pemasangan
(%)]]*Table1[[#This Row],[Nilai RAB Jaringan
(file pa aji)]],0)</f>
        <v>0</v>
      </c>
      <c r="CT291" s="350">
        <f>IFERROR(Table1[[#This Row],[Progres Perizinan
(%)]]*Table1[[#This Row],[Nilai RAB Jaringan
(file pa aji)]],0)</f>
        <v>0</v>
      </c>
      <c r="CU291" s="789">
        <v>0</v>
      </c>
      <c r="CV291" s="299">
        <v>0</v>
      </c>
      <c r="CW291" s="551">
        <v>0</v>
      </c>
      <c r="CX291" s="789">
        <f>_xlfn.XLOOKUP(Table1[[#This Row],[Kode Program]],'[1]Breakdown VOWD Greenfield'!$E:$E,'[1]Breakdown VOWD Greenfield'!$AT:$AT)</f>
        <v>0</v>
      </c>
      <c r="CY291" s="42"/>
      <c r="CZ291" s="356">
        <v>45838</v>
      </c>
      <c r="DA291" s="356">
        <v>45865</v>
      </c>
      <c r="DB291" s="358">
        <v>45820</v>
      </c>
      <c r="DC291" s="337" t="s">
        <v>2305</v>
      </c>
      <c r="DD291" s="345">
        <v>8234537951</v>
      </c>
      <c r="DE2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1" s="358">
        <v>45825</v>
      </c>
      <c r="DG291" s="337" t="s">
        <v>2306</v>
      </c>
      <c r="DH291" s="345">
        <v>8234537951</v>
      </c>
      <c r="DI291" s="337"/>
      <c r="DJ291" s="356">
        <v>45866</v>
      </c>
      <c r="DK291" s="356">
        <v>45928</v>
      </c>
      <c r="DL291" s="358">
        <v>45842</v>
      </c>
      <c r="DM291" s="337" t="s">
        <v>2307</v>
      </c>
      <c r="DN291" s="352"/>
      <c r="DO291" s="358">
        <v>45888</v>
      </c>
      <c r="DP291" s="337" t="s">
        <v>2308</v>
      </c>
      <c r="DQ291" s="336" t="s">
        <v>312</v>
      </c>
      <c r="DR291" s="352"/>
      <c r="DS291" s="356">
        <v>45866</v>
      </c>
      <c r="DT291" s="356" t="e">
        <v>#N/A</v>
      </c>
      <c r="DU291" s="356">
        <v>45907</v>
      </c>
      <c r="DV291" s="356" t="e">
        <v>#N/A</v>
      </c>
      <c r="DW291" s="358">
        <v>45842</v>
      </c>
      <c r="DX291" s="337" t="s">
        <v>2309</v>
      </c>
      <c r="DY291" s="412"/>
      <c r="DZ291" s="412"/>
      <c r="EA291" s="352"/>
      <c r="EB291" s="358"/>
      <c r="EC291" s="412"/>
      <c r="ED291" s="412"/>
      <c r="EE291" s="356"/>
      <c r="EF291" s="341"/>
      <c r="EG291" s="341"/>
      <c r="EH291" s="337"/>
      <c r="EI29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1" s="356">
        <v>45908</v>
      </c>
      <c r="EK291" s="356" t="e">
        <v>#N/A</v>
      </c>
      <c r="EL291" s="356">
        <v>46019</v>
      </c>
      <c r="EM291" s="356" t="e">
        <v>#N/A</v>
      </c>
      <c r="EN291" s="358"/>
      <c r="EO291" s="412"/>
      <c r="EP291" s="337"/>
      <c r="EQ291" s="341"/>
      <c r="ER291" s="341"/>
      <c r="ES291" s="337"/>
      <c r="ET2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1" s="42"/>
      <c r="EV291" s="356">
        <v>45866</v>
      </c>
      <c r="EW291" s="356" t="e">
        <v>#N/A</v>
      </c>
      <c r="EX291" s="356">
        <v>45956</v>
      </c>
      <c r="EY291" s="356" t="e">
        <v>#N/A</v>
      </c>
      <c r="EZ291" s="354" t="s">
        <v>298</v>
      </c>
      <c r="FA291" s="355" t="s">
        <v>389</v>
      </c>
      <c r="FB291" s="356" t="s">
        <v>260</v>
      </c>
      <c r="FC291" s="300">
        <v>45946</v>
      </c>
      <c r="FD291" s="356" t="s">
        <v>260</v>
      </c>
      <c r="FE291" s="356">
        <v>45966</v>
      </c>
      <c r="FF291" s="356">
        <v>45993</v>
      </c>
      <c r="FG291" s="356" t="s">
        <v>260</v>
      </c>
      <c r="FH291" s="356" t="s">
        <v>260</v>
      </c>
      <c r="FI291" s="356">
        <v>46013</v>
      </c>
      <c r="FJ291" s="356" t="s">
        <v>260</v>
      </c>
      <c r="FK291" s="356">
        <v>46135</v>
      </c>
      <c r="FL291" s="413" t="s">
        <v>298</v>
      </c>
      <c r="FM291" s="354">
        <v>45946</v>
      </c>
      <c r="FN291" s="336">
        <f>IF(Table1[[#This Row],[Tanggal Pengajuan Dokumen]]="","",Table1[[#This Row],[PLAN PERMIT
start]]-Table1[[#This Row],[Tanggal Pengajuan Dokumen]])</f>
        <v>-80</v>
      </c>
      <c r="FO291" s="414"/>
      <c r="FP291" s="337"/>
      <c r="FQ291" s="336"/>
      <c r="FR291" s="336"/>
      <c r="FS291" s="336" t="str">
        <f t="shared" si="14"/>
        <v>On Going</v>
      </c>
      <c r="FT29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1" s="357">
        <f ca="1">IF(Table1[[#This Row],[Status Izin]]="Selesai",Table1[[#This Row],[PLAN PERMIT
finish]]-Table1[[#This Row],[Tanggal Terbit/ Target Izin Terbit]],ROUNDUP(Table1[[#This Row],[PLAN PERMIT
finish]]-NOW(),0))</f>
        <v>-248</v>
      </c>
      <c r="FV29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1" s="357"/>
      <c r="FX291" s="42"/>
      <c r="FY291" s="310"/>
      <c r="FZ291" s="311"/>
      <c r="GA2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1" s="356">
        <v>45930</v>
      </c>
      <c r="GC291" s="354">
        <v>45840</v>
      </c>
      <c r="GD29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1" s="356">
        <v>45937</v>
      </c>
      <c r="GF291" s="354">
        <v>45840</v>
      </c>
      <c r="GG29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1" s="356">
        <v>45943</v>
      </c>
      <c r="GI291" s="356">
        <v>45949</v>
      </c>
      <c r="GJ291" s="354">
        <v>45842</v>
      </c>
      <c r="GK29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1" s="356">
        <v>45957</v>
      </c>
      <c r="GM291" s="356" t="e">
        <v>#N/A</v>
      </c>
      <c r="GN291" s="356">
        <v>46096</v>
      </c>
      <c r="GO291" s="356" t="e">
        <v>#N/A</v>
      </c>
      <c r="GP291" s="356"/>
      <c r="GQ29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1" s="356" t="s">
        <v>261</v>
      </c>
      <c r="GS291" s="356" t="s">
        <v>261</v>
      </c>
      <c r="GT291" s="360"/>
      <c r="GU291" s="357" t="str">
        <f>IF(Table1[[#This Row],[Hydro Tes Actual
(tanggal)]]&lt;&gt;"","Sudah","Belum")</f>
        <v>Belum</v>
      </c>
      <c r="GV291" s="356" t="s">
        <v>261</v>
      </c>
      <c r="GW291" s="356" t="s">
        <v>261</v>
      </c>
      <c r="GX291" s="358"/>
      <c r="GY291" s="357" t="str">
        <f>IF(Table1[[#This Row],[Interkoneksi Actual
(tanggal)]]&lt;&gt;"","Sudah","Belum")</f>
        <v>Belum</v>
      </c>
      <c r="GZ291" s="356" t="s">
        <v>261</v>
      </c>
      <c r="HA291" s="356" t="s">
        <v>261</v>
      </c>
      <c r="HB291" s="358"/>
      <c r="HC291" s="357" t="str">
        <f>IF(Table1[[#This Row],[Flushing Actual
(tanggal)]]&lt;&gt;"","Sudah","Belum")</f>
        <v>Belum</v>
      </c>
      <c r="HD291" s="356">
        <v>46069</v>
      </c>
      <c r="HE291" s="356" t="e">
        <v>#N/A</v>
      </c>
      <c r="HF291" s="356">
        <v>46082</v>
      </c>
      <c r="HG291" s="354"/>
      <c r="HH29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1" s="356" t="s">
        <v>261</v>
      </c>
      <c r="HJ291" s="356" t="s">
        <v>261</v>
      </c>
      <c r="HK291" s="358"/>
      <c r="HL291" s="337"/>
      <c r="HM291" s="356">
        <v>46101</v>
      </c>
      <c r="HN291" s="356">
        <v>46101</v>
      </c>
      <c r="HO291" s="356" t="e">
        <v>#N/A</v>
      </c>
      <c r="HP291" s="356"/>
      <c r="HQ291" s="358"/>
      <c r="HR29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1" s="356">
        <v>46117</v>
      </c>
      <c r="HT291" s="356"/>
      <c r="HU291" s="356">
        <v>46117</v>
      </c>
      <c r="HV291" s="356"/>
      <c r="HW291" s="358"/>
      <c r="HX29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1" s="42"/>
      <c r="HZ291" s="354" t="s">
        <v>2134</v>
      </c>
      <c r="IA291" s="354" t="s">
        <v>2310</v>
      </c>
      <c r="IC291" s="585">
        <f>IFERROR(ROUND((Table1[[#This Row],[PLAN TC
finish]]-Table1[[#This Row],[PLAN MC-0
start]])/30,2),"")</f>
        <v>4.63</v>
      </c>
      <c r="ID291">
        <f>DATEDIF(Table1[[#This Row],[PLAN MC-0
start]],Table1[[#This Row],[PLAN TC
finish]],"m")</f>
        <v>4</v>
      </c>
    </row>
    <row r="292" spans="1:238" s="4" customFormat="1" ht="15" customHeight="1" x14ac:dyDescent="0.25">
      <c r="B292" s="281">
        <f>SUBTOTAL(3,$D$5:D292)</f>
        <v>288</v>
      </c>
      <c r="C292" s="286">
        <v>288</v>
      </c>
      <c r="D292" s="308" t="s">
        <v>244</v>
      </c>
      <c r="E292" s="308" t="s">
        <v>2311</v>
      </c>
      <c r="F292" s="308" t="s">
        <v>2312</v>
      </c>
      <c r="G292" s="319">
        <v>46117</v>
      </c>
      <c r="H292" s="308" t="s">
        <v>681</v>
      </c>
      <c r="I292" s="308" t="s">
        <v>278</v>
      </c>
      <c r="J292" s="450" t="s">
        <v>1818</v>
      </c>
      <c r="K292" s="308" t="s">
        <v>1165</v>
      </c>
      <c r="L292" s="286" t="s">
        <v>250</v>
      </c>
      <c r="M292" s="325" t="s">
        <v>269</v>
      </c>
      <c r="N292" s="94">
        <v>4259</v>
      </c>
      <c r="O292" s="31" t="s">
        <v>252</v>
      </c>
      <c r="P29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292" s="35">
        <v>0.86346899331538607</v>
      </c>
      <c r="S292" s="34">
        <v>1</v>
      </c>
      <c r="T292" s="34">
        <f>Table1[[#This Row],[Progres Total Aktual
(%)]]</f>
        <v>6.8644169337324076E-2</v>
      </c>
      <c r="U292" s="85">
        <f>Table1[[#This Row],[Progres Aktual
(%)]]-Table1[[#This Row],[Target Progres
(%)]]</f>
        <v>-0.93135583066267591</v>
      </c>
      <c r="V292" s="75">
        <f>Table1[[#This Row],["Volume
BA MC-0"]]</f>
        <v>4051</v>
      </c>
      <c r="W292" s="41">
        <f>Table1[[#This Row],[Total Panjang Pipa Aktual
(Sum-&gt;)3]]</f>
        <v>3705.66</v>
      </c>
      <c r="X292" s="42"/>
      <c r="Y292" s="62" t="s">
        <v>2313</v>
      </c>
      <c r="Z292" s="62">
        <v>6653875358</v>
      </c>
      <c r="AA292" s="62">
        <f>ROUND((Table1[[#This Row],[Nilai RAB Jaringan
(Exclude Ppn)]]-Table1[[#This Row],[RAB Perizinan]])*1.11+Table1[[#This Row],[RAB Perizinan]],0)</f>
        <v>6653875358</v>
      </c>
      <c r="AB292" s="456">
        <f>SUM(Table1[[#This Row],[RAB Kegiatan Umum]:[RAB Perizinan]])</f>
        <v>5998702934.8999996</v>
      </c>
      <c r="AC292" s="406">
        <v>437189377.89999998</v>
      </c>
      <c r="AD292" s="406">
        <v>4371893779</v>
      </c>
      <c r="AE292" s="406">
        <v>1147029778</v>
      </c>
      <c r="AF292" s="406">
        <v>42590000</v>
      </c>
      <c r="AG292" s="453">
        <v>421407726</v>
      </c>
      <c r="AH292" s="33">
        <f>SUM(Table1[[#This Row],[Bobot Keg Umum]:[Bobot Perizinan]])</f>
        <v>1</v>
      </c>
      <c r="AI292" s="33">
        <f>Table1[[#This Row],[RAB Kegiatan Umum]]/Table1[[#This Row],[Nilai RAB Jaringan
(Exclude Ppn)]]</f>
        <v>7.288065147491557E-2</v>
      </c>
      <c r="AJ292" s="33">
        <f>Table1[[#This Row],[RAB Pemasangan]]/Table1[[#This Row],[Nilai RAB Jaringan
(Exclude Ppn)]]</f>
        <v>0.7288065147491557</v>
      </c>
      <c r="AK292" s="33">
        <f>Table1[[#This Row],[RAB Pengadaan]]/Table1[[#This Row],[Nilai RAB Jaringan
(Exclude Ppn)]]</f>
        <v>0.19121296561072687</v>
      </c>
      <c r="AL292" s="33">
        <f>Table1[[#This Row],[RAB Perizinan]]/Table1[[#This Row],[Nilai RAB Jaringan
(Exclude Ppn)]]</f>
        <v>7.0998681652019481E-3</v>
      </c>
      <c r="AM292" s="42"/>
      <c r="AN292" s="256">
        <v>4051</v>
      </c>
      <c r="AO292" s="256">
        <f>SUM(Table1[[#This Row],[Pipa 63 mm]:[Pipa 1,800 mm]])</f>
        <v>0</v>
      </c>
      <c r="AP292" s="256"/>
      <c r="AQ292" s="256"/>
      <c r="AR292" s="256"/>
      <c r="AS292" s="256"/>
      <c r="AT292" s="256"/>
      <c r="AU292" s="256"/>
      <c r="AV292" s="256"/>
      <c r="AW292" s="256"/>
      <c r="AX292" s="256"/>
      <c r="AY292" s="256"/>
      <c r="AZ292" s="256"/>
      <c r="BA292" s="256"/>
      <c r="BB292" s="256"/>
      <c r="BC292" s="256"/>
      <c r="BD292" s="256"/>
      <c r="BE292" s="256"/>
      <c r="BF292" s="256"/>
      <c r="BG292" s="256"/>
      <c r="BH292" s="256"/>
      <c r="BI292" s="256"/>
      <c r="BJ292" s="36">
        <f>SUM(Table1[[#This Row],[Pipa 63 mm2]:[Pipa 1,800 mm21]])</f>
        <v>3705.66</v>
      </c>
      <c r="BK292" s="32">
        <v>2758.46</v>
      </c>
      <c r="BL292" s="32">
        <v>947.2</v>
      </c>
      <c r="BM292" s="32"/>
      <c r="BN292" s="32"/>
      <c r="BO292" s="32"/>
      <c r="BP292" s="32"/>
      <c r="BQ292" s="32"/>
      <c r="BR292" s="32"/>
      <c r="BS292" s="32"/>
      <c r="BT292" s="32"/>
      <c r="BU292" s="32"/>
      <c r="BV292" s="32"/>
      <c r="BW292" s="32"/>
      <c r="BX292" s="32"/>
      <c r="BY292" s="32"/>
      <c r="BZ292" s="32"/>
      <c r="CA292" s="32"/>
      <c r="CB292" s="32"/>
      <c r="CC292" s="32"/>
      <c r="CD292" s="32"/>
      <c r="CE292" s="32">
        <v>0</v>
      </c>
      <c r="CF292" s="32"/>
      <c r="CG292" s="32"/>
      <c r="CH292" s="32"/>
      <c r="CI292" s="32">
        <f t="shared" si="15"/>
        <v>0</v>
      </c>
      <c r="CJ292" s="60">
        <f>IF((Table1[[#This Row],["Volume
BA MC-0"]]-Table1[[#This Row],[Total Panjang Pipa Aktual
(Sum-&gt;)3]]-Table1[[#This Row],[Total Volume
tidak dapat dipasang]])&gt;=0,Table1[[#This Row],["Volume
BA MC-0"]]-Table1[[#This Row],[Total Panjang Pipa Aktual
(Sum-&gt;)3]]-Table1[[#This Row],[Total Volume
tidak dapat dipasang]],0)</f>
        <v>345.34000000000015</v>
      </c>
      <c r="CK292" s="42"/>
      <c r="CL292" s="454" t="s">
        <v>1821</v>
      </c>
      <c r="CM292" s="34" t="s">
        <v>1821</v>
      </c>
      <c r="CN292" s="454" t="s">
        <v>1821</v>
      </c>
      <c r="CO292" s="454" t="s">
        <v>1821</v>
      </c>
      <c r="CP2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6.8644169337324076E-2</v>
      </c>
      <c r="CQ292" s="61">
        <f>IFERROR(Table1[[#This Row],[Progres Keg. Umum
(%)]]*Table1[[#This Row],[Nilai RAB Jaringan
(file pa aji)]],0)</f>
        <v>0</v>
      </c>
      <c r="CR292" s="61">
        <f>IFERROR(Table1[[#This Row],[Progres MOS
(%)]]*Table1[[#This Row],[Nilai RAB Jaringan
(file pa aji)]],0)</f>
        <v>0</v>
      </c>
      <c r="CS292" s="61">
        <f>IFERROR(Table1[[#This Row],[Progres Pemasangan
(%)]]*Table1[[#This Row],[Nilai RAB Jaringan
(file pa aji)]],0)</f>
        <v>0</v>
      </c>
      <c r="CT292" s="61">
        <f>IFERROR(Table1[[#This Row],[Progres Perizinan
(%)]]*Table1[[#This Row],[Nilai RAB Jaringan
(file pa aji)]],0)</f>
        <v>0</v>
      </c>
      <c r="CU292" s="789">
        <v>456749746.82399982</v>
      </c>
      <c r="CV292" s="299">
        <v>456749746.82399982</v>
      </c>
      <c r="CW292" s="552">
        <v>0</v>
      </c>
      <c r="CX292" s="789">
        <f>_xlfn.XLOOKUP(Table1[[#This Row],[Kode Program]],'[1]Breakdown VOWD Greenfield'!$E:$E,'[1]Breakdown VOWD Greenfield'!$AT:$AT)</f>
        <v>0</v>
      </c>
      <c r="CY292" s="42"/>
      <c r="CZ292" s="300">
        <v>45838</v>
      </c>
      <c r="DA292" s="300">
        <v>45865</v>
      </c>
      <c r="DB292" s="301">
        <v>45820</v>
      </c>
      <c r="DC292" s="286" t="s">
        <v>2314</v>
      </c>
      <c r="DD292" s="62">
        <v>6653875358</v>
      </c>
      <c r="DE2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2" s="301">
        <v>45831</v>
      </c>
      <c r="DG292" s="286" t="s">
        <v>2315</v>
      </c>
      <c r="DH292" s="62">
        <v>6653875358</v>
      </c>
      <c r="DI29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2" s="300">
        <v>45866</v>
      </c>
      <c r="DK292" s="300">
        <v>45928</v>
      </c>
      <c r="DL292" s="301">
        <v>45896</v>
      </c>
      <c r="DM292" s="286" t="s">
        <v>2316</v>
      </c>
      <c r="DN2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2" s="301">
        <v>45950</v>
      </c>
      <c r="DP292" s="286" t="s">
        <v>2317</v>
      </c>
      <c r="DQ292" s="308" t="s">
        <v>2318</v>
      </c>
      <c r="DR2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292" s="300">
        <v>45866</v>
      </c>
      <c r="DT292" s="300" t="e">
        <v>#N/A</v>
      </c>
      <c r="DU292" s="300">
        <v>45907</v>
      </c>
      <c r="DV292" s="300" t="e">
        <v>#N/A</v>
      </c>
      <c r="DW292" s="301">
        <v>45896</v>
      </c>
      <c r="DX292" s="286" t="s">
        <v>2319</v>
      </c>
      <c r="DY292" s="304">
        <v>78</v>
      </c>
      <c r="DZ292" s="304">
        <v>78</v>
      </c>
      <c r="EA2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2" s="301">
        <v>46006</v>
      </c>
      <c r="EC292" s="302">
        <v>62</v>
      </c>
      <c r="ED292" s="302">
        <v>62</v>
      </c>
      <c r="EE292" s="300" t="s">
        <v>2320</v>
      </c>
      <c r="EF292" s="35">
        <v>0.79487179487179482</v>
      </c>
      <c r="EG292" s="35">
        <f>Table1[[#This Row],[Line PO (kolom  bantu)2]]/Table1[[#This Row],[Line PR]]</f>
        <v>0.79487179487179482</v>
      </c>
      <c r="EH292" s="286" t="str">
        <f>IF(Table1[[#This Row],[PO Material Aktual 
(%)]]&gt;=100%,"Selesai PO = 100%",IF(Table1[[#This Row],[PO Material Aktual 
(%)]]&gt;=50%,"Proses PO &gt; 100%",IF(Table1[[#This Row],[PO Material Aktual 
(%)]]&gt;0%,"Proses PO &gt; 50%",IF(Table1[[#This Row],[PO Material Aktual 
(%)]]=0,"Belum PO = 0%"))))</f>
        <v>Proses PO &gt; 100%</v>
      </c>
      <c r="EI29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2" s="300">
        <v>45908</v>
      </c>
      <c r="EK292" s="300" t="e">
        <v>#N/A</v>
      </c>
      <c r="EL292" s="300">
        <v>46019</v>
      </c>
      <c r="EM292" s="300" t="e">
        <v>#N/A</v>
      </c>
      <c r="EN292" s="301"/>
      <c r="EO292" s="302">
        <v>62</v>
      </c>
      <c r="EP292" s="286">
        <v>62</v>
      </c>
      <c r="EQ292" s="35">
        <v>0.79487179487179482</v>
      </c>
      <c r="ER292" s="35">
        <f>Table1[[#This Row],[Line MOS]]/Table1[[#This Row],[Line PR]]</f>
        <v>0.79487179487179482</v>
      </c>
      <c r="ES292" s="286" t="str">
        <f>IF(Table1[[#This Row],[Progres MOS]]&gt;=100%,"Selesai MOS = 100%",IF(Table1[[#This Row],[Progres MOS]]&gt;=50%,"Proses MOS &gt; 100%",IF(Table1[[#This Row],[Progres MOS]]&gt;0%,"Proses MOS &gt; 50%",IF(Table1[[#This Row],[Progres MOS]]=0,"Belum MOS = 0%"))))</f>
        <v>Proses MOS &gt; 100%</v>
      </c>
      <c r="ET2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2" s="42"/>
      <c r="EV292" s="300">
        <v>45866</v>
      </c>
      <c r="EW292" s="300" t="e">
        <v>#N/A</v>
      </c>
      <c r="EX292" s="300">
        <v>45956</v>
      </c>
      <c r="EY292" s="300" t="e">
        <v>#N/A</v>
      </c>
      <c r="EZ292" s="322" t="s">
        <v>298</v>
      </c>
      <c r="FA292" s="306" t="s">
        <v>259</v>
      </c>
      <c r="FB292" s="300" t="s">
        <v>260</v>
      </c>
      <c r="FC292" s="300">
        <v>45909</v>
      </c>
      <c r="FD292" s="300" t="s">
        <v>260</v>
      </c>
      <c r="FE292" s="300">
        <v>45966</v>
      </c>
      <c r="FF292" s="300">
        <v>45993</v>
      </c>
      <c r="FG292" s="300" t="s">
        <v>260</v>
      </c>
      <c r="FH292" s="300" t="s">
        <v>260</v>
      </c>
      <c r="FI292" s="300">
        <v>46013</v>
      </c>
      <c r="FJ292" s="300" t="s">
        <v>260</v>
      </c>
      <c r="FK292" s="300">
        <v>46114</v>
      </c>
      <c r="FL292" s="306" t="s">
        <v>298</v>
      </c>
      <c r="FM292" s="322">
        <v>45909</v>
      </c>
      <c r="FN292" s="308">
        <f>IF(Table1[[#This Row],[Tanggal Pengajuan Dokumen]]="","",Table1[[#This Row],[PLAN PERMIT
start]]-Table1[[#This Row],[Tanggal Pengajuan Dokumen]])</f>
        <v>-43</v>
      </c>
      <c r="FO292" s="407">
        <v>46097</v>
      </c>
      <c r="FP292" s="286"/>
      <c r="FQ292" s="308"/>
      <c r="FR292" s="308"/>
      <c r="FS292" s="308" t="str">
        <f t="shared" si="14"/>
        <v>Sudah Terbit</v>
      </c>
      <c r="FT29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2" s="314">
        <f ca="1">IF(Table1[[#This Row],[Status Izin]]="Selesai",Table1[[#This Row],[PLAN PERMIT
finish]]-Table1[[#This Row],[Tanggal Terbit/ Target Izin Terbit]],ROUNDUP(Table1[[#This Row],[PLAN PERMIT
finish]]-NOW(),0))</f>
        <v>-141</v>
      </c>
      <c r="FV29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2" s="314"/>
      <c r="FX292" s="42"/>
      <c r="FY292" s="310"/>
      <c r="FZ292" s="311"/>
      <c r="GA2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2" s="300">
        <v>45930</v>
      </c>
      <c r="GC292" s="322">
        <v>45922</v>
      </c>
      <c r="GD29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2" s="300">
        <v>45937</v>
      </c>
      <c r="GF292" s="322">
        <v>45922</v>
      </c>
      <c r="GG29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2" s="300">
        <v>45943</v>
      </c>
      <c r="GI292" s="300">
        <v>45949</v>
      </c>
      <c r="GJ292" s="322">
        <v>45940</v>
      </c>
      <c r="GK29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2" s="300">
        <v>45957</v>
      </c>
      <c r="GM292" s="300" t="e">
        <v>#N/A</v>
      </c>
      <c r="GN292" s="300">
        <v>46096</v>
      </c>
      <c r="GO292" s="300" t="e">
        <v>#N/A</v>
      </c>
      <c r="GP292" s="300"/>
      <c r="GQ29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2" s="300" t="s">
        <v>261</v>
      </c>
      <c r="GS292" s="300" t="s">
        <v>261</v>
      </c>
      <c r="GT292" s="458" t="s">
        <v>2321</v>
      </c>
      <c r="GU292" s="314" t="str">
        <f>IF(Table1[[#This Row],[Hydro Tes Actual
(tanggal)]]&lt;&gt;"","Sudah","Belum")</f>
        <v>Sudah</v>
      </c>
      <c r="GV292" s="300" t="s">
        <v>261</v>
      </c>
      <c r="GW292" s="300" t="s">
        <v>261</v>
      </c>
      <c r="GX292" s="301">
        <v>46112</v>
      </c>
      <c r="GY292" s="314" t="str">
        <f>IF(Table1[[#This Row],[Interkoneksi Actual
(tanggal)]]&lt;&gt;"","Sudah","Belum")</f>
        <v>Sudah</v>
      </c>
      <c r="GZ292" s="300" t="s">
        <v>261</v>
      </c>
      <c r="HA292" s="300" t="s">
        <v>261</v>
      </c>
      <c r="HB292" s="301">
        <v>46094</v>
      </c>
      <c r="HC292" s="314" t="str">
        <f>IF(Table1[[#This Row],[Flushing Actual
(tanggal)]]&lt;&gt;"","Sudah","Belum")</f>
        <v>Sudah</v>
      </c>
      <c r="HD292" s="300">
        <v>46069</v>
      </c>
      <c r="HE292" s="300" t="e">
        <v>#N/A</v>
      </c>
      <c r="HF292" s="300">
        <v>46082</v>
      </c>
      <c r="HG292" s="400">
        <v>46164</v>
      </c>
      <c r="HH29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2" s="300" t="s">
        <v>261</v>
      </c>
      <c r="HJ292" s="300" t="s">
        <v>261</v>
      </c>
      <c r="HK292" s="301"/>
      <c r="HL292" s="286"/>
      <c r="HM292" s="300">
        <v>46101</v>
      </c>
      <c r="HN292" s="300">
        <v>46101</v>
      </c>
      <c r="HO292" s="300" t="e">
        <v>#N/A</v>
      </c>
      <c r="HP292" s="620" t="s">
        <v>260</v>
      </c>
      <c r="HQ292" s="301"/>
      <c r="HR29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2" s="300">
        <v>46117</v>
      </c>
      <c r="HT292" s="300"/>
      <c r="HU292" s="300">
        <v>46117</v>
      </c>
      <c r="HV292" s="300"/>
      <c r="HW292" s="301"/>
      <c r="HX29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2" s="42"/>
      <c r="HZ292" s="322"/>
      <c r="IA292" s="322" t="s">
        <v>2322</v>
      </c>
      <c r="IC292" s="585">
        <f>IFERROR(ROUND((Table1[[#This Row],[PLAN TC
finish]]-Table1[[#This Row],[PLAN MC-0
start]])/30,2),"")</f>
        <v>4.63</v>
      </c>
      <c r="ID292">
        <f>DATEDIF(Table1[[#This Row],[PLAN MC-0
start]],Table1[[#This Row],[PLAN TC
finish]],"m")</f>
        <v>4</v>
      </c>
    </row>
    <row r="293" spans="1:238" s="4" customFormat="1" ht="15" customHeight="1" x14ac:dyDescent="0.25">
      <c r="B293" s="281">
        <f>SUBTOTAL(3,$D$5:D293)</f>
        <v>289</v>
      </c>
      <c r="C293" s="286">
        <v>289</v>
      </c>
      <c r="D293" s="308" t="s">
        <v>244</v>
      </c>
      <c r="E293" s="308" t="s">
        <v>2323</v>
      </c>
      <c r="F293" s="308" t="s">
        <v>2324</v>
      </c>
      <c r="G293" s="319">
        <v>46117</v>
      </c>
      <c r="H293" s="308" t="s">
        <v>681</v>
      </c>
      <c r="I293" s="308" t="s">
        <v>278</v>
      </c>
      <c r="J293" s="450" t="s">
        <v>1830</v>
      </c>
      <c r="K293" s="308" t="s">
        <v>1165</v>
      </c>
      <c r="L293" s="286" t="s">
        <v>250</v>
      </c>
      <c r="M293" s="325" t="s">
        <v>269</v>
      </c>
      <c r="N293" s="94">
        <v>314</v>
      </c>
      <c r="O293" s="31" t="s">
        <v>252</v>
      </c>
      <c r="P29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3" s="35">
        <v>1</v>
      </c>
      <c r="S293" s="34">
        <v>1</v>
      </c>
      <c r="T293" s="34">
        <f>Table1[[#This Row],[Progres Total Aktual
(%)]]</f>
        <v>1</v>
      </c>
      <c r="U293" s="85">
        <f>Table1[[#This Row],[Progres Aktual
(%)]]-Table1[[#This Row],[Target Progres
(%)]]</f>
        <v>0</v>
      </c>
      <c r="V293" s="75">
        <f>Table1[[#This Row],["Volume
BA MC-0"]]</f>
        <v>314</v>
      </c>
      <c r="W293" s="41">
        <f>Table1[[#This Row],[Total Panjang Pipa Aktual
(Sum-&gt;)3]]</f>
        <v>314</v>
      </c>
      <c r="X293" s="42"/>
      <c r="Y293" s="62" t="s">
        <v>2313</v>
      </c>
      <c r="Z293" s="62">
        <v>839525811</v>
      </c>
      <c r="AA293" s="62">
        <f>ROUND((Table1[[#This Row],[Nilai RAB Jaringan
(Exclude Ppn)]]-Table1[[#This Row],[RAB Perizinan]])*1.11+Table1[[#This Row],[RAB Perizinan]],0)</f>
        <v>839525811</v>
      </c>
      <c r="AB293" s="456">
        <f>SUM(Table1[[#This Row],[RAB Kegiatan Umum]:[RAB Perizinan]])</f>
        <v>756640730.5</v>
      </c>
      <c r="AC293" s="406">
        <v>52613020.5</v>
      </c>
      <c r="AD293" s="406">
        <v>526130205</v>
      </c>
      <c r="AE293" s="406">
        <v>174757505</v>
      </c>
      <c r="AF293" s="406">
        <v>3140000</v>
      </c>
      <c r="AG293" s="453">
        <v>0</v>
      </c>
      <c r="AH293" s="33">
        <f>SUM(Table1[[#This Row],[Bobot Keg Umum]:[Bobot Perizinan]])</f>
        <v>1</v>
      </c>
      <c r="AI293" s="33">
        <f>Table1[[#This Row],[RAB Kegiatan Umum]]/Table1[[#This Row],[Nilai RAB Jaringan
(Exclude Ppn)]]</f>
        <v>6.9535009654096328E-2</v>
      </c>
      <c r="AJ293" s="33">
        <f>Table1[[#This Row],[RAB Pemasangan]]/Table1[[#This Row],[Nilai RAB Jaringan
(Exclude Ppn)]]</f>
        <v>0.69535009654096336</v>
      </c>
      <c r="AK293" s="33">
        <f>Table1[[#This Row],[RAB Pengadaan]]/Table1[[#This Row],[Nilai RAB Jaringan
(Exclude Ppn)]]</f>
        <v>0.23096497182291192</v>
      </c>
      <c r="AL293" s="33">
        <f>Table1[[#This Row],[RAB Perizinan]]/Table1[[#This Row],[Nilai RAB Jaringan
(Exclude Ppn)]]</f>
        <v>4.1499219820284308E-3</v>
      </c>
      <c r="AM293" s="42"/>
      <c r="AN293" s="256">
        <v>314</v>
      </c>
      <c r="AO293" s="256">
        <f>SUM(Table1[[#This Row],[Pipa 63 mm]:[Pipa 1,800 mm]])</f>
        <v>0</v>
      </c>
      <c r="AP293" s="256"/>
      <c r="AQ293" s="256"/>
      <c r="AR293" s="256"/>
      <c r="AS293" s="256"/>
      <c r="AT293" s="256"/>
      <c r="AU293" s="256"/>
      <c r="AV293" s="256"/>
      <c r="AW293" s="256"/>
      <c r="AX293" s="256"/>
      <c r="AY293" s="256"/>
      <c r="AZ293" s="256"/>
      <c r="BA293" s="256"/>
      <c r="BB293" s="256"/>
      <c r="BC293" s="256"/>
      <c r="BD293" s="256"/>
      <c r="BE293" s="256"/>
      <c r="BF293" s="256"/>
      <c r="BG293" s="256"/>
      <c r="BH293" s="256"/>
      <c r="BI293" s="256"/>
      <c r="BJ293" s="36">
        <f>SUM(Table1[[#This Row],[Pipa 63 mm2]:[Pipa 1,800 mm21]])</f>
        <v>314</v>
      </c>
      <c r="BK293" s="32"/>
      <c r="BL293" s="32"/>
      <c r="BM293" s="32"/>
      <c r="BN293" s="32">
        <v>314</v>
      </c>
      <c r="BO293" s="32"/>
      <c r="BP293" s="32"/>
      <c r="BQ293" s="32"/>
      <c r="BR293" s="32"/>
      <c r="BS293" s="32"/>
      <c r="BT293" s="32"/>
      <c r="BU293" s="32"/>
      <c r="BV293" s="32"/>
      <c r="BW293" s="32"/>
      <c r="BX293" s="32"/>
      <c r="BY293" s="32"/>
      <c r="BZ293" s="32"/>
      <c r="CA293" s="32"/>
      <c r="CB293" s="32"/>
      <c r="CC293" s="32"/>
      <c r="CD293" s="32"/>
      <c r="CE293" s="32">
        <v>0</v>
      </c>
      <c r="CF293" s="32"/>
      <c r="CG293" s="32"/>
      <c r="CH293" s="32"/>
      <c r="CI293" s="32">
        <f t="shared" si="15"/>
        <v>0</v>
      </c>
      <c r="CJ293" s="60">
        <f>IF((Table1[[#This Row],["Volume
BA MC-0"]]-Table1[[#This Row],[Total Panjang Pipa Aktual
(Sum-&gt;)3]]-Table1[[#This Row],[Total Volume
tidak dapat dipasang]])&gt;=0,Table1[[#This Row],["Volume
BA MC-0"]]-Table1[[#This Row],[Total Panjang Pipa Aktual
(Sum-&gt;)3]]-Table1[[#This Row],[Total Volume
tidak dapat dipasang]],0)</f>
        <v>0</v>
      </c>
      <c r="CK293" s="42"/>
      <c r="CL293" s="35">
        <v>7.0000000000000001E-3</v>
      </c>
      <c r="CM293" s="35">
        <v>0.17519999999999999</v>
      </c>
      <c r="CN293" s="35">
        <v>0.6462</v>
      </c>
      <c r="CO293" s="35">
        <v>0</v>
      </c>
      <c r="CP2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3" s="61">
        <f>IFERROR(Table1[[#This Row],[Progres Keg. Umum
(%)]]*Table1[[#This Row],[Nilai RAB Jaringan
(file pa aji)]],0)</f>
        <v>5876680.6770000001</v>
      </c>
      <c r="CR293" s="61">
        <f>IFERROR(Table1[[#This Row],[Progres MOS
(%)]]*Table1[[#This Row],[Nilai RAB Jaringan
(file pa aji)]],0)</f>
        <v>147084922.08719999</v>
      </c>
      <c r="CS293" s="61">
        <f>IFERROR(Table1[[#This Row],[Progres Pemasangan
(%)]]*Table1[[#This Row],[Nilai RAB Jaringan
(file pa aji)]],0)</f>
        <v>542501579.06819999</v>
      </c>
      <c r="CT293" s="61">
        <f>IFERROR(Table1[[#This Row],[Progres Perizinan
(%)]]*Table1[[#This Row],[Nilai RAB Jaringan
(file pa aji)]],0)</f>
        <v>0</v>
      </c>
      <c r="CU293" s="789">
        <v>1427175431</v>
      </c>
      <c r="CV293" s="299">
        <v>1427175431</v>
      </c>
      <c r="CW293" s="552">
        <v>1427175431</v>
      </c>
      <c r="CX293" s="789">
        <f>_xlfn.XLOOKUP(Table1[[#This Row],[Kode Program]],'[1]Breakdown VOWD Greenfield'!$E:$E,'[1]Breakdown VOWD Greenfield'!$AT:$AT)</f>
        <v>1427175431</v>
      </c>
      <c r="CY293" s="42"/>
      <c r="CZ293" s="300">
        <v>45838</v>
      </c>
      <c r="DA293" s="300">
        <v>45865</v>
      </c>
      <c r="DB293" s="301">
        <v>45820</v>
      </c>
      <c r="DC293" s="286" t="s">
        <v>2325</v>
      </c>
      <c r="DD293" s="62">
        <v>839525811</v>
      </c>
      <c r="DE2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3" s="301">
        <v>45831</v>
      </c>
      <c r="DG293" s="286" t="s">
        <v>2326</v>
      </c>
      <c r="DH293" s="62">
        <v>839525811</v>
      </c>
      <c r="DI29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3" s="300">
        <v>45866</v>
      </c>
      <c r="DK293" s="300">
        <v>45928</v>
      </c>
      <c r="DL293" s="301">
        <v>45842</v>
      </c>
      <c r="DM293" s="286" t="s">
        <v>2327</v>
      </c>
      <c r="DN2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3" s="301">
        <v>45880</v>
      </c>
      <c r="DP293" s="286" t="s">
        <v>2328</v>
      </c>
      <c r="DQ293" s="308" t="s">
        <v>312</v>
      </c>
      <c r="DR2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3" s="300">
        <v>45866</v>
      </c>
      <c r="DT293" s="300" t="e">
        <v>#N/A</v>
      </c>
      <c r="DU293" s="300">
        <v>45907</v>
      </c>
      <c r="DV293" s="300" t="e">
        <v>#N/A</v>
      </c>
      <c r="DW293" s="301">
        <v>45842</v>
      </c>
      <c r="DX293" s="454" t="s">
        <v>2329</v>
      </c>
      <c r="DY293" s="302">
        <v>16</v>
      </c>
      <c r="DZ293" s="304">
        <v>16</v>
      </c>
      <c r="EA2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3" s="301">
        <v>46006</v>
      </c>
      <c r="EC293" s="302">
        <v>15</v>
      </c>
      <c r="ED293" s="302">
        <v>15</v>
      </c>
      <c r="EE293" s="300" t="s">
        <v>2330</v>
      </c>
      <c r="EF293" s="35">
        <v>0.9375</v>
      </c>
      <c r="EG293" s="35">
        <f>Table1[[#This Row],[Line PO (kolom  bantu)2]]/Table1[[#This Row],[Line PR]]</f>
        <v>0.9375</v>
      </c>
      <c r="EH293" s="286" t="str">
        <f>IF(Table1[[#This Row],[PO Material Aktual 
(%)]]&gt;=100%,"Selesai PO = 100%",IF(Table1[[#This Row],[PO Material Aktual 
(%)]]&gt;=50%,"Proses PO &gt; 100%",IF(Table1[[#This Row],[PO Material Aktual 
(%)]]&gt;0%,"Proses PO &gt; 50%",IF(Table1[[#This Row],[PO Material Aktual 
(%)]]=0,"Belum PO = 0%"))))</f>
        <v>Proses PO &gt; 100%</v>
      </c>
      <c r="EI29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3" s="300">
        <v>45908</v>
      </c>
      <c r="EK293" s="300" t="e">
        <v>#N/A</v>
      </c>
      <c r="EL293" s="300">
        <v>45956</v>
      </c>
      <c r="EM293" s="300" t="e">
        <v>#N/A</v>
      </c>
      <c r="EN293" s="301">
        <v>46156</v>
      </c>
      <c r="EO293" s="302">
        <v>15</v>
      </c>
      <c r="EP293" s="286">
        <v>15</v>
      </c>
      <c r="EQ293" s="35">
        <v>0.9375</v>
      </c>
      <c r="ER293" s="35">
        <f>Table1[[#This Row],[Line MOS]]/Table1[[#This Row],[Line PR]]</f>
        <v>0.9375</v>
      </c>
      <c r="ES293" s="286" t="str">
        <f>IF(Table1[[#This Row],[Progres MOS]]&gt;=100%,"Selesai MOS = 100%",IF(Table1[[#This Row],[Progres MOS]]&gt;=50%,"Proses MOS &gt; 100%",IF(Table1[[#This Row],[Progres MOS]]&gt;0%,"Proses MOS &gt; 50%",IF(Table1[[#This Row],[Progres MOS]]=0,"Belum MOS = 0%"))))</f>
        <v>Proses MOS &gt; 100%</v>
      </c>
      <c r="ET2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3" s="42"/>
      <c r="EV293" s="300">
        <v>45866</v>
      </c>
      <c r="EW293" s="300" t="e">
        <v>#N/A</v>
      </c>
      <c r="EX293" s="300">
        <v>45956</v>
      </c>
      <c r="EY293" s="300" t="e">
        <v>#N/A</v>
      </c>
      <c r="EZ293" s="322" t="s">
        <v>298</v>
      </c>
      <c r="FA293" s="306" t="s">
        <v>259</v>
      </c>
      <c r="FB293" s="300" t="s">
        <v>260</v>
      </c>
      <c r="FC293" s="300">
        <v>45909</v>
      </c>
      <c r="FD293" s="300" t="s">
        <v>260</v>
      </c>
      <c r="FE293" s="300">
        <v>45966</v>
      </c>
      <c r="FF293" s="300">
        <v>45993</v>
      </c>
      <c r="FG293" s="300" t="s">
        <v>260</v>
      </c>
      <c r="FH293" s="300" t="s">
        <v>260</v>
      </c>
      <c r="FI293" s="300">
        <v>46013</v>
      </c>
      <c r="FJ293" s="300" t="s">
        <v>260</v>
      </c>
      <c r="FK293" s="300">
        <v>46114</v>
      </c>
      <c r="FL293" s="306" t="s">
        <v>298</v>
      </c>
      <c r="FM293" s="322">
        <v>45909</v>
      </c>
      <c r="FN293" s="308">
        <f>IF(Table1[[#This Row],[Tanggal Pengajuan Dokumen]]="","",Table1[[#This Row],[PLAN PERMIT
start]]-Table1[[#This Row],[Tanggal Pengajuan Dokumen]])</f>
        <v>-43</v>
      </c>
      <c r="FO293" s="407">
        <v>46097</v>
      </c>
      <c r="FP293" s="286"/>
      <c r="FQ293" s="308"/>
      <c r="FR293" s="308"/>
      <c r="FS293" s="308" t="str">
        <f t="shared" si="14"/>
        <v>Sudah Terbit</v>
      </c>
      <c r="FT29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293" s="314">
        <f ca="1">IF(Table1[[#This Row],[Status Izin]]="Selesai",Table1[[#This Row],[PLAN PERMIT
finish]]-Table1[[#This Row],[Tanggal Terbit/ Target Izin Terbit]],ROUNDUP(Table1[[#This Row],[PLAN PERMIT
finish]]-NOW(),0))</f>
        <v>-141</v>
      </c>
      <c r="FV29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3" s="314"/>
      <c r="FX293" s="42"/>
      <c r="FY293" s="310"/>
      <c r="FZ293" s="311"/>
      <c r="GA2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3" s="300">
        <v>45930</v>
      </c>
      <c r="GC293" s="322">
        <v>45922</v>
      </c>
      <c r="GD29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3" s="300">
        <v>45937</v>
      </c>
      <c r="GF293" s="322">
        <v>45922</v>
      </c>
      <c r="GG29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3" s="300">
        <v>45943</v>
      </c>
      <c r="GI293" s="300">
        <v>45949</v>
      </c>
      <c r="GJ293" s="322">
        <v>45908</v>
      </c>
      <c r="GK29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3" s="300">
        <v>45957</v>
      </c>
      <c r="GM293" s="300" t="e">
        <v>#N/A</v>
      </c>
      <c r="GN293" s="300">
        <v>46005</v>
      </c>
      <c r="GO293" s="300" t="e">
        <v>#N/A</v>
      </c>
      <c r="GP293" s="300"/>
      <c r="GQ29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3" s="300" t="s">
        <v>261</v>
      </c>
      <c r="GS293" s="300" t="s">
        <v>261</v>
      </c>
      <c r="GT293" s="458" t="s">
        <v>2331</v>
      </c>
      <c r="GU293" s="314" t="str">
        <f>IF(Table1[[#This Row],[Hydro Tes Actual
(tanggal)]]&lt;&gt;"","Sudah","Belum")</f>
        <v>Sudah</v>
      </c>
      <c r="GV293" s="300" t="s">
        <v>261</v>
      </c>
      <c r="GW293" s="300" t="s">
        <v>261</v>
      </c>
      <c r="GX293" s="301">
        <v>45947</v>
      </c>
      <c r="GY293" s="314" t="str">
        <f>IF(Table1[[#This Row],[Interkoneksi Actual
(tanggal)]]&lt;&gt;"","Sudah","Belum")</f>
        <v>Sudah</v>
      </c>
      <c r="GZ293" s="300" t="s">
        <v>261</v>
      </c>
      <c r="HA293" s="300" t="s">
        <v>261</v>
      </c>
      <c r="HB293" s="301">
        <v>46058</v>
      </c>
      <c r="HC293" s="314" t="str">
        <f>IF(Table1[[#This Row],[Flushing Actual
(tanggal)]]&lt;&gt;"","Sudah","Belum")</f>
        <v>Sudah</v>
      </c>
      <c r="HD293" s="300">
        <v>45985</v>
      </c>
      <c r="HE293" s="300" t="e">
        <v>#N/A</v>
      </c>
      <c r="HF293" s="300">
        <v>45998</v>
      </c>
      <c r="HG293" s="322">
        <v>46065</v>
      </c>
      <c r="HH29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3" s="300" t="s">
        <v>261</v>
      </c>
      <c r="HJ293" s="300" t="s">
        <v>261</v>
      </c>
      <c r="HK293" s="301"/>
      <c r="HL293" s="286"/>
      <c r="HM293" s="300">
        <v>46010</v>
      </c>
      <c r="HN293" s="300">
        <v>46010</v>
      </c>
      <c r="HO293" s="300" t="e">
        <v>#N/A</v>
      </c>
      <c r="HP293" s="300"/>
      <c r="HQ293" s="301">
        <v>46106</v>
      </c>
      <c r="HR29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3" s="300">
        <v>46017</v>
      </c>
      <c r="HT293" s="300"/>
      <c r="HU293" s="300">
        <v>46017</v>
      </c>
      <c r="HV293" s="300"/>
      <c r="HW293" s="301">
        <v>46108</v>
      </c>
      <c r="HX29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3" s="42"/>
      <c r="HZ293" s="322"/>
      <c r="IA293" s="322"/>
      <c r="IC293" s="585">
        <f>IFERROR(ROUND((Table1[[#This Row],[PLAN TC
finish]]-Table1[[#This Row],[PLAN MC-0
start]])/30,2),"")</f>
        <v>1.83</v>
      </c>
      <c r="ID293">
        <f>DATEDIF(Table1[[#This Row],[PLAN MC-0
start]],Table1[[#This Row],[PLAN TC
finish]],"m")</f>
        <v>1</v>
      </c>
    </row>
    <row r="294" spans="1:238" s="30" customFormat="1" ht="15" customHeight="1" x14ac:dyDescent="0.25">
      <c r="A294" s="72"/>
      <c r="B294" s="281">
        <f>SUBTOTAL(3,$D$5:D294)</f>
        <v>290</v>
      </c>
      <c r="C294" s="337">
        <v>290</v>
      </c>
      <c r="D294" s="336" t="s">
        <v>244</v>
      </c>
      <c r="E294" s="336" t="s">
        <v>2332</v>
      </c>
      <c r="F294" s="336" t="s">
        <v>2333</v>
      </c>
      <c r="G294" s="334">
        <v>46117</v>
      </c>
      <c r="H294" s="336" t="s">
        <v>681</v>
      </c>
      <c r="I294" s="336" t="s">
        <v>278</v>
      </c>
      <c r="J294" s="355" t="s">
        <v>389</v>
      </c>
      <c r="K294" s="336" t="s">
        <v>1165</v>
      </c>
      <c r="L294" s="337" t="s">
        <v>250</v>
      </c>
      <c r="M294" s="362" t="s">
        <v>269</v>
      </c>
      <c r="N294" s="338">
        <v>32</v>
      </c>
      <c r="O294" s="339" t="s">
        <v>252</v>
      </c>
      <c r="P29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4" s="355" t="s">
        <v>389</v>
      </c>
      <c r="R294" s="341">
        <v>1.0000000000000002</v>
      </c>
      <c r="S294" s="34">
        <v>1</v>
      </c>
      <c r="T294" s="459">
        <f>Table1[[#This Row],[Progres Total Aktual
(%)]]</f>
        <v>0</v>
      </c>
      <c r="U294" s="460">
        <f>Table1[[#This Row],[Progres Aktual
(%)]]-Table1[[#This Row],[Target Progres
(%)]]</f>
        <v>-1</v>
      </c>
      <c r="V294" s="461">
        <f>Table1[[#This Row],["Volume
BA MC-0"]]</f>
        <v>60</v>
      </c>
      <c r="W294" s="462">
        <f>Table1[[#This Row],[Total Panjang Pipa Aktual
(Sum-&gt;)3]]</f>
        <v>0</v>
      </c>
      <c r="X294" s="42"/>
      <c r="Y294" s="345" t="s">
        <v>2334</v>
      </c>
      <c r="Z294" s="345">
        <v>94715691</v>
      </c>
      <c r="AA294" s="345">
        <f>ROUND((Table1[[#This Row],[Nilai RAB Jaringan
(Exclude Ppn)]]-Table1[[#This Row],[RAB Perizinan]])*1.11+Table1[[#This Row],[RAB Perizinan]],0)</f>
        <v>94715690</v>
      </c>
      <c r="AB294" s="463">
        <f>SUM(Table1[[#This Row],[RAB Kegiatan Umum]:[RAB Perizinan]])</f>
        <v>85361162</v>
      </c>
      <c r="AC294" s="409">
        <v>5641680</v>
      </c>
      <c r="AD294" s="409">
        <v>56416802</v>
      </c>
      <c r="AE294" s="409">
        <v>22982680</v>
      </c>
      <c r="AF294" s="409">
        <v>320000</v>
      </c>
      <c r="AG294" s="464">
        <v>2107039</v>
      </c>
      <c r="AH294" s="465">
        <f>SUM(Table1[[#This Row],[Bobot Keg Umum]:[Bobot Perizinan]])</f>
        <v>1</v>
      </c>
      <c r="AI294" s="465">
        <f>Table1[[#This Row],[RAB Kegiatan Umum]]/Table1[[#This Row],[Nilai RAB Jaringan
(Exclude Ppn)]]</f>
        <v>6.6091883800738327E-2</v>
      </c>
      <c r="AJ294" s="465">
        <f>Table1[[#This Row],[RAB Pemasangan]]/Table1[[#This Row],[Nilai RAB Jaringan
(Exclude Ppn)]]</f>
        <v>0.66091886143724243</v>
      </c>
      <c r="AK294" s="465">
        <f>Table1[[#This Row],[RAB Pengadaan]]/Table1[[#This Row],[Nilai RAB Jaringan
(Exclude Ppn)]]</f>
        <v>0.26924047730278083</v>
      </c>
      <c r="AL294" s="465">
        <f>Table1[[#This Row],[RAB Perizinan]]/Table1[[#This Row],[Nilai RAB Jaringan
(Exclude Ppn)]]</f>
        <v>3.7487774592384298E-3</v>
      </c>
      <c r="AM294" s="42"/>
      <c r="AN294" s="346">
        <v>60</v>
      </c>
      <c r="AO294" s="346">
        <f>SUM(Table1[[#This Row],[Pipa 63 mm]:[Pipa 1,800 mm]])</f>
        <v>0</v>
      </c>
      <c r="AP294" s="346"/>
      <c r="AQ294" s="346"/>
      <c r="AR294" s="346"/>
      <c r="AS294" s="346"/>
      <c r="AT294" s="346"/>
      <c r="AU294" s="346"/>
      <c r="AV294" s="346"/>
      <c r="AW294" s="346"/>
      <c r="AX294" s="346"/>
      <c r="AY294" s="346"/>
      <c r="AZ294" s="346"/>
      <c r="BA294" s="346"/>
      <c r="BB294" s="346"/>
      <c r="BC294" s="346"/>
      <c r="BD294" s="346"/>
      <c r="BE294" s="346"/>
      <c r="BF294" s="346"/>
      <c r="BG294" s="346"/>
      <c r="BH294" s="346"/>
      <c r="BI294" s="346"/>
      <c r="BJ294" s="347">
        <f>SUM(Table1[[#This Row],[Pipa 63 mm2]:[Pipa 1,800 mm21]])</f>
        <v>0</v>
      </c>
      <c r="BK294" s="348"/>
      <c r="BL294" s="348"/>
      <c r="BM294" s="348"/>
      <c r="BN294" s="348"/>
      <c r="BO294" s="348"/>
      <c r="BP294" s="348"/>
      <c r="BQ294" s="348"/>
      <c r="BR294" s="348"/>
      <c r="BS294" s="348"/>
      <c r="BT294" s="348"/>
      <c r="BU294" s="348"/>
      <c r="BV294" s="348"/>
      <c r="BW294" s="348"/>
      <c r="BX294" s="348"/>
      <c r="BY294" s="348"/>
      <c r="BZ294" s="348"/>
      <c r="CA294" s="348"/>
      <c r="CB294" s="348"/>
      <c r="CC294" s="348"/>
      <c r="CD294" s="348"/>
      <c r="CE294" s="348">
        <v>0</v>
      </c>
      <c r="CF294" s="348"/>
      <c r="CG294" s="348"/>
      <c r="CH294" s="348"/>
      <c r="CI294" s="348">
        <f t="shared" si="15"/>
        <v>0</v>
      </c>
      <c r="CJ294" s="410">
        <f>IF((Table1[[#This Row],["Volume
BA MC-0"]]-Table1[[#This Row],[Total Panjang Pipa Aktual
(Sum-&gt;)3]]-Table1[[#This Row],[Total Volume
tidak dapat dipasang]])&gt;=0,Table1[[#This Row],["Volume
BA MC-0"]]-Table1[[#This Row],[Total Panjang Pipa Aktual
(Sum-&gt;)3]]-Table1[[#This Row],[Total Volume
tidak dapat dipasang]],0)</f>
        <v>60</v>
      </c>
      <c r="CK294" s="42"/>
      <c r="CL294" s="466" t="s">
        <v>1821</v>
      </c>
      <c r="CM294" s="459" t="s">
        <v>1821</v>
      </c>
      <c r="CN294" s="466" t="s">
        <v>1821</v>
      </c>
      <c r="CO294" s="466" t="s">
        <v>1821</v>
      </c>
      <c r="CP29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4" s="350">
        <f>IFERROR(Table1[[#This Row],[Progres Keg. Umum
(%)]]*Table1[[#This Row],[Nilai RAB Jaringan
(file pa aji)]],0)</f>
        <v>0</v>
      </c>
      <c r="CR294" s="350">
        <f>IFERROR(Table1[[#This Row],[Progres MOS
(%)]]*Table1[[#This Row],[Nilai RAB Jaringan
(file pa aji)]],0)</f>
        <v>0</v>
      </c>
      <c r="CS294" s="350">
        <f>IFERROR(Table1[[#This Row],[Progres Pemasangan
(%)]]*Table1[[#This Row],[Nilai RAB Jaringan
(file pa aji)]],0)</f>
        <v>0</v>
      </c>
      <c r="CT294" s="350">
        <f>IFERROR(Table1[[#This Row],[Progres Perizinan
(%)]]*Table1[[#This Row],[Nilai RAB Jaringan
(file pa aji)]],0)</f>
        <v>0</v>
      </c>
      <c r="CU294" s="789">
        <v>0</v>
      </c>
      <c r="CV294" s="299">
        <v>0</v>
      </c>
      <c r="CW294" s="551">
        <v>0</v>
      </c>
      <c r="CX294" s="789">
        <f>_xlfn.XLOOKUP(Table1[[#This Row],[Kode Program]],'[1]Breakdown VOWD Greenfield'!$E:$E,'[1]Breakdown VOWD Greenfield'!$AT:$AT)</f>
        <v>0</v>
      </c>
      <c r="CY294" s="42"/>
      <c r="CZ294" s="356">
        <v>45866</v>
      </c>
      <c r="DA294" s="356">
        <v>45893</v>
      </c>
      <c r="DB294" s="358">
        <v>45859</v>
      </c>
      <c r="DC294" s="337" t="s">
        <v>2335</v>
      </c>
      <c r="DD294" s="345">
        <v>94715690</v>
      </c>
      <c r="DE2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4" s="358">
        <v>45863</v>
      </c>
      <c r="DG294" s="337" t="s">
        <v>2336</v>
      </c>
      <c r="DH294" s="345">
        <v>94715690</v>
      </c>
      <c r="DI294" s="337"/>
      <c r="DJ294" s="356">
        <v>45894</v>
      </c>
      <c r="DK294" s="356">
        <v>45956</v>
      </c>
      <c r="DL294" s="358">
        <v>45943</v>
      </c>
      <c r="DM294" s="337" t="s">
        <v>2337</v>
      </c>
      <c r="DN294" s="352"/>
      <c r="DO294" s="358">
        <v>45950</v>
      </c>
      <c r="DP294" s="337" t="s">
        <v>2338</v>
      </c>
      <c r="DQ294" s="336" t="s">
        <v>365</v>
      </c>
      <c r="DR294" s="352"/>
      <c r="DS294" s="356">
        <v>45894</v>
      </c>
      <c r="DT294" s="356" t="e">
        <v>#N/A</v>
      </c>
      <c r="DU294" s="356">
        <v>45935</v>
      </c>
      <c r="DV294" s="356" t="e">
        <v>#N/A</v>
      </c>
      <c r="DW294" s="358">
        <v>45943</v>
      </c>
      <c r="DX294" s="466" t="s">
        <v>2339</v>
      </c>
      <c r="DY294" s="412"/>
      <c r="DZ294" s="412"/>
      <c r="EA294" s="352"/>
      <c r="EB294" s="358"/>
      <c r="EC294" s="412"/>
      <c r="ED294" s="412"/>
      <c r="EE294" s="356"/>
      <c r="EF294" s="341"/>
      <c r="EG294" s="341"/>
      <c r="EH294" s="337"/>
      <c r="EI29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4" s="356">
        <v>45936</v>
      </c>
      <c r="EK294" s="356" t="e">
        <v>#N/A</v>
      </c>
      <c r="EL294" s="356">
        <v>45984</v>
      </c>
      <c r="EM294" s="356" t="e">
        <v>#N/A</v>
      </c>
      <c r="EN294" s="358"/>
      <c r="EO294" s="412"/>
      <c r="EP294" s="337"/>
      <c r="EQ294" s="341"/>
      <c r="ER294" s="341"/>
      <c r="ES294" s="337"/>
      <c r="ET2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4" s="42"/>
      <c r="EV294" s="356">
        <v>45894</v>
      </c>
      <c r="EW294" s="356" t="e">
        <v>#N/A</v>
      </c>
      <c r="EX294" s="356">
        <v>45984</v>
      </c>
      <c r="EY294" s="356" t="e">
        <v>#N/A</v>
      </c>
      <c r="EZ294" s="354" t="s">
        <v>298</v>
      </c>
      <c r="FA294" s="355" t="s">
        <v>389</v>
      </c>
      <c r="FB294" s="356" t="s">
        <v>260</v>
      </c>
      <c r="FC294" s="300">
        <v>45940</v>
      </c>
      <c r="FD294" s="356" t="s">
        <v>260</v>
      </c>
      <c r="FE294" s="356">
        <v>45966</v>
      </c>
      <c r="FF294" s="356">
        <v>45995</v>
      </c>
      <c r="FG294" s="356" t="s">
        <v>260</v>
      </c>
      <c r="FH294" s="356" t="s">
        <v>260</v>
      </c>
      <c r="FI294" s="356">
        <v>46022</v>
      </c>
      <c r="FJ294" s="356" t="s">
        <v>260</v>
      </c>
      <c r="FK294" s="356"/>
      <c r="FL294" s="413" t="s">
        <v>298</v>
      </c>
      <c r="FM294" s="354">
        <v>45940</v>
      </c>
      <c r="FN294" s="336">
        <f>IF(Table1[[#This Row],[Tanggal Pengajuan Dokumen]]="","",Table1[[#This Row],[PLAN PERMIT
start]]-Table1[[#This Row],[Tanggal Pengajuan Dokumen]])</f>
        <v>-46</v>
      </c>
      <c r="FO294" s="414">
        <v>46097</v>
      </c>
      <c r="FP294" s="337"/>
      <c r="FQ294" s="336"/>
      <c r="FR294" s="336"/>
      <c r="FS294" s="336" t="str">
        <f t="shared" si="14"/>
        <v>On Going</v>
      </c>
      <c r="FT29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4" s="357">
        <f ca="1">IF(Table1[[#This Row],[Status Izin]]="Selesai",Table1[[#This Row],[PLAN PERMIT
finish]]-Table1[[#This Row],[Tanggal Terbit/ Target Izin Terbit]],ROUNDUP(Table1[[#This Row],[PLAN PERMIT
finish]]-NOW(),0))</f>
        <v>-220</v>
      </c>
      <c r="FV29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4" s="357"/>
      <c r="FX294" s="42"/>
      <c r="FY294" s="310"/>
      <c r="FZ294" s="311"/>
      <c r="GA2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4" s="356">
        <v>45958</v>
      </c>
      <c r="GC294" s="467">
        <v>45959</v>
      </c>
      <c r="GD29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4" s="356">
        <v>45965</v>
      </c>
      <c r="GF294" s="467">
        <v>45959</v>
      </c>
      <c r="GG29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4" s="356">
        <v>45971</v>
      </c>
      <c r="GI294" s="356">
        <v>45977</v>
      </c>
      <c r="GJ294" s="354">
        <v>45965</v>
      </c>
      <c r="GK29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4" s="356">
        <v>45985</v>
      </c>
      <c r="GM294" s="356" t="e">
        <v>#N/A</v>
      </c>
      <c r="GN294" s="356">
        <v>46005</v>
      </c>
      <c r="GO294" s="356" t="e">
        <v>#N/A</v>
      </c>
      <c r="GP294" s="356"/>
      <c r="GQ29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4" s="356" t="s">
        <v>261</v>
      </c>
      <c r="GS294" s="356" t="s">
        <v>261</v>
      </c>
      <c r="GT294" s="360"/>
      <c r="GU294" s="357" t="str">
        <f>IF(Table1[[#This Row],[Hydro Tes Actual
(tanggal)]]&lt;&gt;"","Sudah","Belum")</f>
        <v>Belum</v>
      </c>
      <c r="GV294" s="356" t="s">
        <v>261</v>
      </c>
      <c r="GW294" s="356" t="s">
        <v>261</v>
      </c>
      <c r="GX294" s="358"/>
      <c r="GY294" s="357" t="str">
        <f>IF(Table1[[#This Row],[Interkoneksi Actual
(tanggal)]]&lt;&gt;"","Sudah","Belum")</f>
        <v>Belum</v>
      </c>
      <c r="GZ294" s="356" t="s">
        <v>261</v>
      </c>
      <c r="HA294" s="356" t="s">
        <v>261</v>
      </c>
      <c r="HB294" s="358"/>
      <c r="HC294" s="357" t="str">
        <f>IF(Table1[[#This Row],[Flushing Actual
(tanggal)]]&lt;&gt;"","Sudah","Belum")</f>
        <v>Belum</v>
      </c>
      <c r="HD294" s="356">
        <v>45992</v>
      </c>
      <c r="HE294" s="356" t="e">
        <v>#N/A</v>
      </c>
      <c r="HF294" s="356">
        <v>46005</v>
      </c>
      <c r="HG294" s="354"/>
      <c r="HH29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4" s="356" t="s">
        <v>261</v>
      </c>
      <c r="HJ294" s="356" t="s">
        <v>261</v>
      </c>
      <c r="HK294" s="358"/>
      <c r="HL294" s="337"/>
      <c r="HM294" s="356">
        <v>46010</v>
      </c>
      <c r="HN294" s="356">
        <v>46010</v>
      </c>
      <c r="HO294" s="356" t="e">
        <v>#N/A</v>
      </c>
      <c r="HP294" s="356"/>
      <c r="HQ294" s="358"/>
      <c r="HR29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4" s="356">
        <v>46017</v>
      </c>
      <c r="HT294" s="356"/>
      <c r="HU294" s="356">
        <v>46017</v>
      </c>
      <c r="HV294" s="356"/>
      <c r="HW294" s="358"/>
      <c r="HX29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4" s="42"/>
      <c r="HZ294" s="354" t="s">
        <v>2199</v>
      </c>
      <c r="IA294" s="354"/>
      <c r="IC294" s="585">
        <f>IFERROR(ROUND((Table1[[#This Row],[PLAN TC
finish]]-Table1[[#This Row],[PLAN MC-0
start]])/30,2),"")</f>
        <v>1.1299999999999999</v>
      </c>
      <c r="ID294">
        <f>DATEDIF(Table1[[#This Row],[PLAN MC-0
start]],Table1[[#This Row],[PLAN TC
finish]],"m")</f>
        <v>1</v>
      </c>
    </row>
    <row r="295" spans="1:238" s="4" customFormat="1" ht="15" customHeight="1" x14ac:dyDescent="0.25">
      <c r="B295" s="281">
        <f>SUBTOTAL(3,$D$5:D295)</f>
        <v>291</v>
      </c>
      <c r="C295" s="286">
        <v>291</v>
      </c>
      <c r="D295" s="308" t="s">
        <v>244</v>
      </c>
      <c r="E295" s="308" t="s">
        <v>2340</v>
      </c>
      <c r="F295" s="308" t="s">
        <v>2341</v>
      </c>
      <c r="G295" s="319">
        <v>46117</v>
      </c>
      <c r="H295" s="308" t="s">
        <v>681</v>
      </c>
      <c r="I295" s="308" t="s">
        <v>278</v>
      </c>
      <c r="J295" s="450" t="s">
        <v>1818</v>
      </c>
      <c r="K295" s="308" t="s">
        <v>1165</v>
      </c>
      <c r="L295" s="286" t="s">
        <v>250</v>
      </c>
      <c r="M295" s="325" t="s">
        <v>269</v>
      </c>
      <c r="N295" s="94">
        <v>116</v>
      </c>
      <c r="O295" s="31" t="s">
        <v>252</v>
      </c>
      <c r="P29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Flushing</v>
      </c>
      <c r="R295" s="35">
        <v>1.0000000000000002</v>
      </c>
      <c r="S295" s="34">
        <v>1</v>
      </c>
      <c r="T295" s="34">
        <f>Table1[[#This Row],[Progres Total Aktual
(%)]]</f>
        <v>0.14636874996210567</v>
      </c>
      <c r="U295" s="85">
        <f>Table1[[#This Row],[Progres Aktual
(%)]]-Table1[[#This Row],[Target Progres
(%)]]</f>
        <v>-0.85363125003789431</v>
      </c>
      <c r="V295" s="75">
        <f>Table1[[#This Row],["Volume
BA MC-0"]]</f>
        <v>125</v>
      </c>
      <c r="W295" s="41">
        <f>Table1[[#This Row],[Total Panjang Pipa Aktual
(Sum-&gt;)3]]</f>
        <v>120</v>
      </c>
      <c r="X295" s="42"/>
      <c r="Y295" s="62" t="s">
        <v>2342</v>
      </c>
      <c r="Z295" s="62">
        <v>224168666</v>
      </c>
      <c r="AA295" s="62">
        <f>ROUND((Table1[[#This Row],[Nilai RAB Jaringan
(Exclude Ppn)]]-Table1[[#This Row],[RAB Perizinan]])*1.11+Table1[[#This Row],[RAB Perizinan]],0)</f>
        <v>263884510</v>
      </c>
      <c r="AB295" s="456">
        <f>SUM(Table1[[#This Row],[RAB Kegiatan Umum]:[RAB Perizinan]])</f>
        <v>237848748</v>
      </c>
      <c r="AC295" s="406">
        <v>15526704</v>
      </c>
      <c r="AD295" s="406">
        <v>155267041</v>
      </c>
      <c r="AE295" s="406">
        <v>65895003</v>
      </c>
      <c r="AF295" s="406">
        <v>1160000</v>
      </c>
      <c r="AG295" s="453">
        <v>8428155</v>
      </c>
      <c r="AH295" s="33">
        <f>SUM(Table1[[#This Row],[Bobot Keg Umum]:[Bobot Perizinan]])</f>
        <v>1</v>
      </c>
      <c r="AI295" s="33">
        <f>Table1[[#This Row],[RAB Kegiatan Umum]]/Table1[[#This Row],[Nilai RAB Jaringan
(Exclude Ppn)]]</f>
        <v>6.5279738197318568E-2</v>
      </c>
      <c r="AJ295" s="33">
        <f>Table1[[#This Row],[RAB Pemasangan]]/Table1[[#This Row],[Nilai RAB Jaringan
(Exclude Ppn)]]</f>
        <v>0.65279738617753835</v>
      </c>
      <c r="AK295" s="33">
        <f>Table1[[#This Row],[RAB Pengadaan]]/Table1[[#This Row],[Nilai RAB Jaringan
(Exclude Ppn)]]</f>
        <v>0.27704582661919247</v>
      </c>
      <c r="AL295" s="33">
        <f>Table1[[#This Row],[RAB Perizinan]]/Table1[[#This Row],[Nilai RAB Jaringan
(Exclude Ppn)]]</f>
        <v>4.8770490059506224E-3</v>
      </c>
      <c r="AM295" s="42"/>
      <c r="AN295" s="256">
        <v>125</v>
      </c>
      <c r="AO295" s="256">
        <f>SUM(Table1[[#This Row],[Pipa 63 mm]:[Pipa 1,800 mm]])</f>
        <v>0</v>
      </c>
      <c r="AP295" s="256"/>
      <c r="AQ295" s="256"/>
      <c r="AR295" s="256"/>
      <c r="AS295" s="256"/>
      <c r="AT295" s="256"/>
      <c r="AU295" s="256"/>
      <c r="AV295" s="256"/>
      <c r="AW295" s="256"/>
      <c r="AX295" s="256"/>
      <c r="AY295" s="256"/>
      <c r="AZ295" s="256"/>
      <c r="BA295" s="256"/>
      <c r="BB295" s="256"/>
      <c r="BC295" s="256"/>
      <c r="BD295" s="256"/>
      <c r="BE295" s="256"/>
      <c r="BF295" s="256"/>
      <c r="BG295" s="256"/>
      <c r="BH295" s="256"/>
      <c r="BI295" s="256"/>
      <c r="BJ295" s="36">
        <f>SUM(Table1[[#This Row],[Pipa 63 mm2]:[Pipa 1,800 mm21]])</f>
        <v>120</v>
      </c>
      <c r="BK295" s="32">
        <v>120</v>
      </c>
      <c r="BL295" s="32"/>
      <c r="BM295" s="32"/>
      <c r="BN295" s="32"/>
      <c r="BO295" s="32"/>
      <c r="BP295" s="32"/>
      <c r="BQ295" s="32"/>
      <c r="BR295" s="32"/>
      <c r="BS295" s="32"/>
      <c r="BT295" s="32"/>
      <c r="BU295" s="32"/>
      <c r="BV295" s="32"/>
      <c r="BW295" s="32"/>
      <c r="BX295" s="32"/>
      <c r="BY295" s="32"/>
      <c r="BZ295" s="32"/>
      <c r="CA295" s="32"/>
      <c r="CB295" s="32"/>
      <c r="CC295" s="32"/>
      <c r="CD295" s="32"/>
      <c r="CE295" s="32">
        <v>0</v>
      </c>
      <c r="CF295" s="32"/>
      <c r="CG295" s="32"/>
      <c r="CH295" s="32"/>
      <c r="CI295" s="32">
        <f t="shared" si="15"/>
        <v>0</v>
      </c>
      <c r="CJ295" s="60">
        <f>IF((Table1[[#This Row],["Volume
BA MC-0"]]-Table1[[#This Row],[Total Panjang Pipa Aktual
(Sum-&gt;)3]]-Table1[[#This Row],[Total Volume
tidak dapat dipasang]])&gt;=0,Table1[[#This Row],["Volume
BA MC-0"]]-Table1[[#This Row],[Total Panjang Pipa Aktual
(Sum-&gt;)3]]-Table1[[#This Row],[Total Volume
tidak dapat dipasang]],0)</f>
        <v>5</v>
      </c>
      <c r="CK295" s="42"/>
      <c r="CL295" s="35" t="s">
        <v>1821</v>
      </c>
      <c r="CM295" s="35" t="s">
        <v>1821</v>
      </c>
      <c r="CN295" s="35" t="s">
        <v>1821</v>
      </c>
      <c r="CO295" s="35" t="s">
        <v>1821</v>
      </c>
      <c r="CP29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0.14636874996210567</v>
      </c>
      <c r="CQ295" s="61">
        <f>IFERROR(Table1[[#This Row],[Progres Keg. Umum
(%)]]*Table1[[#This Row],[Nilai RAB Jaringan
(file pa aji)]],0)</f>
        <v>0</v>
      </c>
      <c r="CR295" s="61">
        <f>IFERROR(Table1[[#This Row],[Progres MOS
(%)]]*Table1[[#This Row],[Nilai RAB Jaringan
(file pa aji)]],0)</f>
        <v>0</v>
      </c>
      <c r="CS295" s="61">
        <f>IFERROR(Table1[[#This Row],[Progres Pemasangan
(%)]]*Table1[[#This Row],[Nilai RAB Jaringan
(file pa aji)]],0)</f>
        <v>0</v>
      </c>
      <c r="CT295" s="61">
        <f>IFERROR(Table1[[#This Row],[Progres Perizinan
(%)]]*Table1[[#This Row],[Nilai RAB Jaringan
(file pa aji)]],0)</f>
        <v>0</v>
      </c>
      <c r="CU295" s="789">
        <v>38624445.863062769</v>
      </c>
      <c r="CV295" s="299">
        <v>38624445.863062769</v>
      </c>
      <c r="CW295" s="552">
        <v>0</v>
      </c>
      <c r="CX295" s="789">
        <f>_xlfn.XLOOKUP(Table1[[#This Row],[Kode Program]],'[1]Breakdown VOWD Greenfield'!$E:$E,'[1]Breakdown VOWD Greenfield'!$AT:$AT)</f>
        <v>0</v>
      </c>
      <c r="CY295" s="42"/>
      <c r="CZ295" s="300">
        <v>45866</v>
      </c>
      <c r="DA295" s="300">
        <v>45893</v>
      </c>
      <c r="DB295" s="301">
        <v>45859</v>
      </c>
      <c r="DC295" s="286" t="s">
        <v>2343</v>
      </c>
      <c r="DD295" s="62">
        <v>263884510</v>
      </c>
      <c r="DE2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5" s="301">
        <v>45866</v>
      </c>
      <c r="DG295" s="286" t="s">
        <v>2344</v>
      </c>
      <c r="DH295" s="62">
        <v>263884510</v>
      </c>
      <c r="DI2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5" s="300">
        <v>45894</v>
      </c>
      <c r="DK295" s="300">
        <v>45956</v>
      </c>
      <c r="DL295" s="301">
        <v>45943</v>
      </c>
      <c r="DM295" s="286" t="s">
        <v>2345</v>
      </c>
      <c r="DN2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5" s="301">
        <v>45952</v>
      </c>
      <c r="DP295" s="286" t="s">
        <v>2346</v>
      </c>
      <c r="DQ295" s="308" t="s">
        <v>783</v>
      </c>
      <c r="DR2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5" s="300">
        <v>45894</v>
      </c>
      <c r="DT295" s="300" t="e">
        <v>#N/A</v>
      </c>
      <c r="DU295" s="300">
        <v>45935</v>
      </c>
      <c r="DV295" s="300" t="e">
        <v>#N/A</v>
      </c>
      <c r="DW295" s="301">
        <v>45943</v>
      </c>
      <c r="DX295" s="454" t="s">
        <v>2347</v>
      </c>
      <c r="DY295" s="304">
        <v>33</v>
      </c>
      <c r="DZ295" s="304">
        <v>33</v>
      </c>
      <c r="EA2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5" s="301"/>
      <c r="EC295" s="302">
        <v>30</v>
      </c>
      <c r="ED295" s="302">
        <v>30</v>
      </c>
      <c r="EE295" s="300"/>
      <c r="EF295" s="35">
        <v>0.90909090909090906</v>
      </c>
      <c r="EG295" s="35">
        <f>Table1[[#This Row],[Line PO (kolom  bantu)2]]/Table1[[#This Row],[Line PR]]</f>
        <v>0.90909090909090906</v>
      </c>
      <c r="EH295" s="286" t="str">
        <f>IF(Table1[[#This Row],[PO Material Aktual 
(%)]]&gt;=100%,"Selesai PO = 100%",IF(Table1[[#This Row],[PO Material Aktual 
(%)]]&gt;=50%,"Proses PO &gt; 100%",IF(Table1[[#This Row],[PO Material Aktual 
(%)]]&gt;0%,"Proses PO &gt; 50%",IF(Table1[[#This Row],[PO Material Aktual 
(%)]]=0,"Belum PO = 0%"))))</f>
        <v>Proses PO &gt; 100%</v>
      </c>
      <c r="EI29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5" s="300">
        <v>45936</v>
      </c>
      <c r="EK295" s="300" t="e">
        <v>#N/A</v>
      </c>
      <c r="EL295" s="300">
        <v>45984</v>
      </c>
      <c r="EM295" s="300" t="e">
        <v>#N/A</v>
      </c>
      <c r="EN295" s="301"/>
      <c r="EO295" s="302">
        <v>30</v>
      </c>
      <c r="EP295" s="286">
        <v>30</v>
      </c>
      <c r="EQ295" s="35">
        <v>0.90909090909090906</v>
      </c>
      <c r="ER295" s="35">
        <f>Table1[[#This Row],[Line MOS]]/Table1[[#This Row],[Line PR]]</f>
        <v>0.90909090909090906</v>
      </c>
      <c r="ES295" s="286" t="str">
        <f>IF(Table1[[#This Row],[Progres MOS]]&gt;=100%,"Selesai MOS = 100%",IF(Table1[[#This Row],[Progres MOS]]&gt;=50%,"Proses MOS &gt; 100%",IF(Table1[[#This Row],[Progres MOS]]&gt;0%,"Proses MOS &gt; 50%",IF(Table1[[#This Row],[Progres MOS]]=0,"Belum MOS = 0%"))))</f>
        <v>Proses MOS &gt; 100%</v>
      </c>
      <c r="ET2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5" s="42"/>
      <c r="EV295" s="300">
        <v>45894</v>
      </c>
      <c r="EW295" s="300" t="e">
        <v>#N/A</v>
      </c>
      <c r="EX295" s="300">
        <v>45984</v>
      </c>
      <c r="EY295" s="300" t="e">
        <v>#N/A</v>
      </c>
      <c r="EZ295" s="322" t="s">
        <v>298</v>
      </c>
      <c r="FA295" s="306" t="s">
        <v>298</v>
      </c>
      <c r="FB295" s="300" t="s">
        <v>260</v>
      </c>
      <c r="FC295" s="300">
        <v>45943</v>
      </c>
      <c r="FD295" s="300" t="s">
        <v>260</v>
      </c>
      <c r="FE295" s="300">
        <v>45966</v>
      </c>
      <c r="FF295" s="300">
        <v>45993</v>
      </c>
      <c r="FG295" s="300" t="s">
        <v>260</v>
      </c>
      <c r="FH295" s="300" t="s">
        <v>260</v>
      </c>
      <c r="FI295" s="300">
        <v>46010</v>
      </c>
      <c r="FJ295" s="300" t="s">
        <v>260</v>
      </c>
      <c r="FK295" s="300"/>
      <c r="FL295" s="306" t="s">
        <v>298</v>
      </c>
      <c r="FM295" s="322">
        <v>45943</v>
      </c>
      <c r="FN295" s="308">
        <f>IF(Table1[[#This Row],[Tanggal Pengajuan Dokumen]]="","",Table1[[#This Row],[PLAN PERMIT
start]]-Table1[[#This Row],[Tanggal Pengajuan Dokumen]])</f>
        <v>-49</v>
      </c>
      <c r="FO295" s="407">
        <v>46097</v>
      </c>
      <c r="FP295" s="286"/>
      <c r="FQ295" s="308"/>
      <c r="FR295" s="308"/>
      <c r="FS295" s="308" t="str">
        <f t="shared" si="14"/>
        <v>On Going</v>
      </c>
      <c r="FT2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5" s="314">
        <f ca="1">IF(Table1[[#This Row],[Status Izin]]="Selesai",Table1[[#This Row],[PLAN PERMIT
finish]]-Table1[[#This Row],[Tanggal Terbit/ Target Izin Terbit]],ROUNDUP(Table1[[#This Row],[PLAN PERMIT
finish]]-NOW(),0))</f>
        <v>-220</v>
      </c>
      <c r="FV2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5" s="314"/>
      <c r="FX295" s="42"/>
      <c r="FY295" s="310"/>
      <c r="FZ295" s="311"/>
      <c r="GA2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5" s="300">
        <v>45958</v>
      </c>
      <c r="GC295" s="408">
        <v>45959</v>
      </c>
      <c r="GD2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5" s="300">
        <v>45965</v>
      </c>
      <c r="GF295" s="408">
        <v>45959</v>
      </c>
      <c r="GG2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5" s="300">
        <v>45971</v>
      </c>
      <c r="GI295" s="300">
        <v>45977</v>
      </c>
      <c r="GJ295" s="322">
        <v>45964</v>
      </c>
      <c r="GK2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5" s="300">
        <v>45985</v>
      </c>
      <c r="GM295" s="300" t="e">
        <v>#N/A</v>
      </c>
      <c r="GN295" s="300">
        <v>46005</v>
      </c>
      <c r="GO295" s="300" t="e">
        <v>#N/A</v>
      </c>
      <c r="GP295" s="300"/>
      <c r="GQ2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5" s="300" t="s">
        <v>261</v>
      </c>
      <c r="GS295" s="300" t="s">
        <v>261</v>
      </c>
      <c r="GT295" s="324">
        <v>46181</v>
      </c>
      <c r="GU295" s="314" t="str">
        <f>IF(Table1[[#This Row],[Hydro Tes Actual
(tanggal)]]&lt;&gt;"","Sudah","Belum")</f>
        <v>Sudah</v>
      </c>
      <c r="GV295" s="300" t="s">
        <v>261</v>
      </c>
      <c r="GW295" s="300" t="s">
        <v>261</v>
      </c>
      <c r="GX295" s="301">
        <v>46191</v>
      </c>
      <c r="GY295" s="314" t="str">
        <f>IF(Table1[[#This Row],[Interkoneksi Actual
(tanggal)]]&lt;&gt;"","Sudah","Belum")</f>
        <v>Sudah</v>
      </c>
      <c r="GZ295" s="300" t="s">
        <v>261</v>
      </c>
      <c r="HA295" s="300" t="s">
        <v>261</v>
      </c>
      <c r="HB295" s="301">
        <v>46195</v>
      </c>
      <c r="HC295" s="314" t="str">
        <f>IF(Table1[[#This Row],[Flushing Actual
(tanggal)]]&lt;&gt;"","Sudah","Belum")</f>
        <v>Sudah</v>
      </c>
      <c r="HD295" s="300">
        <v>45992</v>
      </c>
      <c r="HE295" s="300" t="e">
        <v>#N/A</v>
      </c>
      <c r="HF295" s="300">
        <v>46005</v>
      </c>
      <c r="HG295" s="322"/>
      <c r="HH2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5" s="300" t="s">
        <v>261</v>
      </c>
      <c r="HJ295" s="300" t="s">
        <v>261</v>
      </c>
      <c r="HK295" s="301"/>
      <c r="HL295" s="286"/>
      <c r="HM295" s="300">
        <v>46010</v>
      </c>
      <c r="HN295" s="300">
        <v>46010</v>
      </c>
      <c r="HO295" s="300">
        <v>46202</v>
      </c>
      <c r="HP295" s="300"/>
      <c r="HQ295" s="301"/>
      <c r="HR29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5" s="300">
        <v>46017</v>
      </c>
      <c r="HT295" s="300"/>
      <c r="HU295" s="300">
        <v>46017</v>
      </c>
      <c r="HV295" s="300">
        <v>46206</v>
      </c>
      <c r="HW295" s="301"/>
      <c r="HX29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5" s="42"/>
      <c r="HZ295" s="322"/>
      <c r="IA295" s="322"/>
      <c r="IC295" s="585">
        <f>IFERROR(ROUND((Table1[[#This Row],[PLAN TC
finish]]-Table1[[#This Row],[PLAN MC-0
start]])/30,2),"")</f>
        <v>1.1299999999999999</v>
      </c>
      <c r="ID295">
        <f>DATEDIF(Table1[[#This Row],[PLAN MC-0
start]],Table1[[#This Row],[PLAN TC
finish]],"m")</f>
        <v>1</v>
      </c>
    </row>
    <row r="296" spans="1:238" s="30" customFormat="1" ht="15" customHeight="1" x14ac:dyDescent="0.25">
      <c r="A296" s="72"/>
      <c r="B296" s="281">
        <f>SUBTOTAL(3,$D$5:D296)</f>
        <v>292</v>
      </c>
      <c r="C296" s="337">
        <v>292</v>
      </c>
      <c r="D296" s="336" t="s">
        <v>244</v>
      </c>
      <c r="E296" s="336" t="s">
        <v>2348</v>
      </c>
      <c r="F296" s="336" t="s">
        <v>2349</v>
      </c>
      <c r="G296" s="334">
        <v>46117</v>
      </c>
      <c r="H296" s="336" t="s">
        <v>681</v>
      </c>
      <c r="I296" s="336" t="s">
        <v>278</v>
      </c>
      <c r="J296" s="355" t="s">
        <v>389</v>
      </c>
      <c r="K296" s="336" t="s">
        <v>1165</v>
      </c>
      <c r="L296" s="337" t="s">
        <v>250</v>
      </c>
      <c r="M296" s="362" t="s">
        <v>269</v>
      </c>
      <c r="N296" s="338">
        <v>401</v>
      </c>
      <c r="O296" s="339" t="s">
        <v>252</v>
      </c>
      <c r="P29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6" s="355" t="s">
        <v>389</v>
      </c>
      <c r="R296" s="341">
        <v>0.99999999999999978</v>
      </c>
      <c r="S296" s="34">
        <v>1</v>
      </c>
      <c r="T296" s="459">
        <f>Table1[[#This Row],[Progres Total Aktual
(%)]]</f>
        <v>0</v>
      </c>
      <c r="U296" s="460">
        <f>Table1[[#This Row],[Progres Aktual
(%)]]-Table1[[#This Row],[Target Progres
(%)]]</f>
        <v>-1</v>
      </c>
      <c r="V296" s="461">
        <f>Table1[[#This Row],["Volume
BA MC-0"]]</f>
        <v>0</v>
      </c>
      <c r="W296" s="462">
        <f>Table1[[#This Row],[Total Panjang Pipa Aktual
(Sum-&gt;)3]]</f>
        <v>0</v>
      </c>
      <c r="X296" s="42"/>
      <c r="Y296" s="345" t="s">
        <v>2350</v>
      </c>
      <c r="Z296" s="345">
        <v>579283058</v>
      </c>
      <c r="AA296" s="345">
        <f>ROUND((Table1[[#This Row],[Nilai RAB Jaringan
(Exclude Ppn)]]-Table1[[#This Row],[RAB Perizinan]])*1.11+Table1[[#This Row],[RAB Perizinan]],0)</f>
        <v>579283058</v>
      </c>
      <c r="AB296" s="463">
        <f>SUM(Table1[[#This Row],[RAB Kegiatan Umum]:[RAB Perizinan]])</f>
        <v>522274016</v>
      </c>
      <c r="AC296" s="409">
        <v>37347840</v>
      </c>
      <c r="AD296" s="409">
        <v>373478395</v>
      </c>
      <c r="AE296" s="409">
        <v>107437781</v>
      </c>
      <c r="AF296" s="409">
        <v>4010000</v>
      </c>
      <c r="AG296" s="464">
        <v>2107039</v>
      </c>
      <c r="AH296" s="465">
        <f>SUM(Table1[[#This Row],[Bobot Keg Umum]:[Bobot Perizinan]])</f>
        <v>0.99999999999999989</v>
      </c>
      <c r="AI296" s="465">
        <f>Table1[[#This Row],[RAB Kegiatan Umum]]/Table1[[#This Row],[Nilai RAB Jaringan
(Exclude Ppn)]]</f>
        <v>7.1510048089392222E-2</v>
      </c>
      <c r="AJ296" s="465">
        <f>Table1[[#This Row],[RAB Pemasangan]]/Table1[[#This Row],[Nilai RAB Jaringan
(Exclude Ppn)]]</f>
        <v>0.71510047132040355</v>
      </c>
      <c r="AK296" s="465">
        <f>Table1[[#This Row],[RAB Pengadaan]]/Table1[[#This Row],[Nilai RAB Jaringan
(Exclude Ppn)]]</f>
        <v>0.20571151868294363</v>
      </c>
      <c r="AL296" s="465">
        <f>Table1[[#This Row],[RAB Perizinan]]/Table1[[#This Row],[Nilai RAB Jaringan
(Exclude Ppn)]]</f>
        <v>7.6779619072605745E-3</v>
      </c>
      <c r="AM296" s="42"/>
      <c r="AN296" s="346">
        <v>0</v>
      </c>
      <c r="AO296" s="346">
        <f>SUM(Table1[[#This Row],[Pipa 63 mm]:[Pipa 1,800 mm]])</f>
        <v>0</v>
      </c>
      <c r="AP296" s="346"/>
      <c r="AQ296" s="346"/>
      <c r="AR296" s="346"/>
      <c r="AS296" s="346"/>
      <c r="AT296" s="346"/>
      <c r="AU296" s="346"/>
      <c r="AV296" s="346"/>
      <c r="AW296" s="346"/>
      <c r="AX296" s="346"/>
      <c r="AY296" s="346"/>
      <c r="AZ296" s="346"/>
      <c r="BA296" s="346"/>
      <c r="BB296" s="346"/>
      <c r="BC296" s="346"/>
      <c r="BD296" s="346"/>
      <c r="BE296" s="346"/>
      <c r="BF296" s="346"/>
      <c r="BG296" s="346"/>
      <c r="BH296" s="346"/>
      <c r="BI296" s="346"/>
      <c r="BJ296" s="347">
        <f>SUM(Table1[[#This Row],[Pipa 63 mm2]:[Pipa 1,800 mm21]])</f>
        <v>0</v>
      </c>
      <c r="BK296" s="348"/>
      <c r="BL296" s="348"/>
      <c r="BM296" s="348"/>
      <c r="BN296" s="348"/>
      <c r="BO296" s="348"/>
      <c r="BP296" s="348"/>
      <c r="BQ296" s="348"/>
      <c r="BR296" s="348"/>
      <c r="BS296" s="348"/>
      <c r="BT296" s="348"/>
      <c r="BU296" s="348"/>
      <c r="BV296" s="348"/>
      <c r="BW296" s="348"/>
      <c r="BX296" s="348"/>
      <c r="BY296" s="348"/>
      <c r="BZ296" s="348"/>
      <c r="CA296" s="348"/>
      <c r="CB296" s="348"/>
      <c r="CC296" s="348"/>
      <c r="CD296" s="348"/>
      <c r="CE296" s="348">
        <v>0</v>
      </c>
      <c r="CF296" s="348"/>
      <c r="CG296" s="348"/>
      <c r="CH296" s="348"/>
      <c r="CI296" s="348">
        <f t="shared" si="15"/>
        <v>0</v>
      </c>
      <c r="CJ296" s="348">
        <f>IF((Table1[[#This Row],["Volume
BA MC-0"]]-Table1[[#This Row],[Total Panjang Pipa Aktual
(Sum-&gt;)3]]-Table1[[#This Row],[Total Volume
tidak dapat dipasang]])&gt;=0,Table1[[#This Row],["Volume
BA MC-0"]]-Table1[[#This Row],[Total Panjang Pipa Aktual
(Sum-&gt;)3]]-Table1[[#This Row],[Total Volume
tidak dapat dipasang]],0)</f>
        <v>0</v>
      </c>
      <c r="CK296" s="42"/>
      <c r="CL296" s="466" t="s">
        <v>1821</v>
      </c>
      <c r="CM296" s="459" t="s">
        <v>1821</v>
      </c>
      <c r="CN296" s="466" t="s">
        <v>1821</v>
      </c>
      <c r="CO296" s="466" t="s">
        <v>1821</v>
      </c>
      <c r="CP296"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296" s="350">
        <f>IFERROR(Table1[[#This Row],[Progres Keg. Umum
(%)]]*Table1[[#This Row],[Nilai RAB Jaringan
(file pa aji)]],0)</f>
        <v>0</v>
      </c>
      <c r="CR296" s="350">
        <f>IFERROR(Table1[[#This Row],[Progres MOS
(%)]]*Table1[[#This Row],[Nilai RAB Jaringan
(file pa aji)]],0)</f>
        <v>0</v>
      </c>
      <c r="CS296" s="350">
        <f>IFERROR(Table1[[#This Row],[Progres Pemasangan
(%)]]*Table1[[#This Row],[Nilai RAB Jaringan
(file pa aji)]],0)</f>
        <v>0</v>
      </c>
      <c r="CT296" s="350">
        <f>IFERROR(Table1[[#This Row],[Progres Perizinan
(%)]]*Table1[[#This Row],[Nilai RAB Jaringan
(file pa aji)]],0)</f>
        <v>0</v>
      </c>
      <c r="CU296" s="789">
        <v>0</v>
      </c>
      <c r="CV296" s="299">
        <v>0</v>
      </c>
      <c r="CW296" s="551">
        <v>0</v>
      </c>
      <c r="CX296" s="789">
        <f>_xlfn.XLOOKUP(Table1[[#This Row],[Kode Program]],'[1]Breakdown VOWD Greenfield'!$E:$E,'[1]Breakdown VOWD Greenfield'!$AT:$AT)</f>
        <v>0</v>
      </c>
      <c r="CY296" s="42"/>
      <c r="CZ296" s="356">
        <v>45866</v>
      </c>
      <c r="DA296" s="356">
        <v>45893</v>
      </c>
      <c r="DB296" s="358"/>
      <c r="DC296" s="337"/>
      <c r="DD296" s="345"/>
      <c r="DE2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296" s="358"/>
      <c r="DG296" s="337"/>
      <c r="DH296" s="345"/>
      <c r="DI296" s="337"/>
      <c r="DJ296" s="356">
        <v>45894</v>
      </c>
      <c r="DK296" s="356">
        <v>45963</v>
      </c>
      <c r="DL296" s="358"/>
      <c r="DM296" s="337"/>
      <c r="DN296" s="352"/>
      <c r="DO296" s="358"/>
      <c r="DP296" s="337"/>
      <c r="DQ296" s="336"/>
      <c r="DR296" s="352"/>
      <c r="DS296" s="356">
        <v>45894</v>
      </c>
      <c r="DT296" s="356" t="e">
        <v>#N/A</v>
      </c>
      <c r="DU296" s="356">
        <v>45935</v>
      </c>
      <c r="DV296" s="356" t="e">
        <v>#N/A</v>
      </c>
      <c r="DW296" s="358"/>
      <c r="DX296" s="337"/>
      <c r="DY296" s="412"/>
      <c r="DZ296" s="412"/>
      <c r="EA296" s="352"/>
      <c r="EB296" s="358"/>
      <c r="EC296" s="412"/>
      <c r="ED296" s="412"/>
      <c r="EE296" s="356"/>
      <c r="EF296" s="341"/>
      <c r="EG296" s="341"/>
      <c r="EH296" s="337"/>
      <c r="EI296"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296" s="356">
        <v>45936</v>
      </c>
      <c r="EK296" s="356" t="e">
        <v>#N/A</v>
      </c>
      <c r="EL296" s="356">
        <v>45991</v>
      </c>
      <c r="EM296" s="356" t="e">
        <v>#N/A</v>
      </c>
      <c r="EN296" s="358"/>
      <c r="EO296" s="412"/>
      <c r="EP296" s="337"/>
      <c r="EQ296" s="341"/>
      <c r="ER296" s="341"/>
      <c r="ES296" s="337"/>
      <c r="ET2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296" s="42"/>
      <c r="EV296" s="356">
        <v>45894</v>
      </c>
      <c r="EW296" s="356" t="e">
        <v>#N/A</v>
      </c>
      <c r="EX296" s="356">
        <v>45991</v>
      </c>
      <c r="EY296" s="356" t="e">
        <v>#N/A</v>
      </c>
      <c r="EZ296" s="354" t="s">
        <v>298</v>
      </c>
      <c r="FA296" s="355" t="s">
        <v>389</v>
      </c>
      <c r="FB296" s="356" t="s">
        <v>260</v>
      </c>
      <c r="FC296" s="300"/>
      <c r="FD296" s="356"/>
      <c r="FE296" s="356"/>
      <c r="FF296" s="356"/>
      <c r="FG296" s="356"/>
      <c r="FH296" s="356"/>
      <c r="FI296" s="356"/>
      <c r="FJ296" s="356"/>
      <c r="FK296" s="356"/>
      <c r="FL296" s="413" t="str">
        <f>Table1[[#This Row],[IPPJU]]</f>
        <v>9.Proses Penerbitan Izin</v>
      </c>
      <c r="FM296" s="413"/>
      <c r="FN296" s="335" t="str">
        <f>IF(Table1[[#This Row],[Tanggal Pengajuan Dokumen]]="","",Table1[[#This Row],[PLAN PERMIT
start]]-Table1[[#This Row],[Tanggal Pengajuan Dokumen]])</f>
        <v/>
      </c>
      <c r="FO296" s="414">
        <v>46097</v>
      </c>
      <c r="FP296" s="337"/>
      <c r="FQ296" s="336"/>
      <c r="FR296" s="336"/>
      <c r="FS296" s="336" t="str">
        <f t="shared" si="14"/>
        <v>On Going</v>
      </c>
      <c r="FT29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6" s="357">
        <f ca="1">IF(Table1[[#This Row],[Status Izin]]="Selesai",Table1[[#This Row],[PLAN PERMIT
finish]]-Table1[[#This Row],[Tanggal Terbit/ Target Izin Terbit]],ROUNDUP(Table1[[#This Row],[PLAN PERMIT
finish]]-NOW(),0))</f>
        <v>-213</v>
      </c>
      <c r="FV29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6" s="357"/>
      <c r="FX296" s="42"/>
      <c r="FY296" s="310"/>
      <c r="FZ296" s="311"/>
      <c r="GA2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6" s="356">
        <v>45965</v>
      </c>
      <c r="GC296" s="354">
        <v>45922</v>
      </c>
      <c r="GD29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6" s="356">
        <v>45972</v>
      </c>
      <c r="GF296" s="354">
        <v>45922</v>
      </c>
      <c r="GG29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6" s="356">
        <v>45978</v>
      </c>
      <c r="GI296" s="356">
        <v>45984</v>
      </c>
      <c r="GJ296" s="354"/>
      <c r="GK29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296" s="356">
        <v>45992</v>
      </c>
      <c r="GM296" s="356" t="e">
        <v>#N/A</v>
      </c>
      <c r="GN296" s="356">
        <v>46033</v>
      </c>
      <c r="GO296" s="356" t="e">
        <v>#N/A</v>
      </c>
      <c r="GP296" s="356"/>
      <c r="GQ29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6" s="356" t="s">
        <v>261</v>
      </c>
      <c r="GS296" s="356" t="s">
        <v>261</v>
      </c>
      <c r="GT296" s="360"/>
      <c r="GU296" s="357" t="str">
        <f>IF(Table1[[#This Row],[Hydro Tes Actual
(tanggal)]]&lt;&gt;"","Sudah","Belum")</f>
        <v>Belum</v>
      </c>
      <c r="GV296" s="356" t="s">
        <v>261</v>
      </c>
      <c r="GW296" s="356" t="s">
        <v>261</v>
      </c>
      <c r="GX296" s="358"/>
      <c r="GY296" s="357" t="str">
        <f>IF(Table1[[#This Row],[Interkoneksi Actual
(tanggal)]]&lt;&gt;"","Sudah","Belum")</f>
        <v>Belum</v>
      </c>
      <c r="GZ296" s="356" t="s">
        <v>261</v>
      </c>
      <c r="HA296" s="356" t="s">
        <v>261</v>
      </c>
      <c r="HB296" s="358"/>
      <c r="HC296" s="357" t="str">
        <f>IF(Table1[[#This Row],[Flushing Actual
(tanggal)]]&lt;&gt;"","Sudah","Belum")</f>
        <v>Belum</v>
      </c>
      <c r="HD296" s="356">
        <v>46013</v>
      </c>
      <c r="HE296" s="356" t="e">
        <v>#N/A</v>
      </c>
      <c r="HF296" s="356">
        <v>46026</v>
      </c>
      <c r="HG296" s="354"/>
      <c r="HH29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296" s="356" t="s">
        <v>261</v>
      </c>
      <c r="HJ296" s="356" t="s">
        <v>261</v>
      </c>
      <c r="HK296" s="358"/>
      <c r="HL296" s="337"/>
      <c r="HM296" s="356">
        <v>46038</v>
      </c>
      <c r="HN296" s="356">
        <v>46038</v>
      </c>
      <c r="HO296" s="356" t="e">
        <v>#N/A</v>
      </c>
      <c r="HP296" s="356"/>
      <c r="HQ296" s="358"/>
      <c r="HR296"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296" s="356">
        <v>46045</v>
      </c>
      <c r="HT296" s="356"/>
      <c r="HU296" s="356">
        <v>46045</v>
      </c>
      <c r="HV296" s="356"/>
      <c r="HW296" s="358"/>
      <c r="HX29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296" s="42"/>
      <c r="HZ296" s="354" t="s">
        <v>2199</v>
      </c>
      <c r="IA296" s="354"/>
      <c r="IC296" s="585">
        <f>IFERROR(ROUND((Table1[[#This Row],[PLAN TC
finish]]-Table1[[#This Row],[PLAN MC-0
start]])/30,2),"")</f>
        <v>1.6</v>
      </c>
      <c r="ID296">
        <f>DATEDIF(Table1[[#This Row],[PLAN MC-0
start]],Table1[[#This Row],[PLAN TC
finish]],"m")</f>
        <v>1</v>
      </c>
    </row>
    <row r="297" spans="1:238" s="4" customFormat="1" ht="15" customHeight="1" x14ac:dyDescent="0.25">
      <c r="B297" s="281">
        <f>SUBTOTAL(3,$D$5:D297)</f>
        <v>293</v>
      </c>
      <c r="C297" s="286">
        <v>293</v>
      </c>
      <c r="D297" s="308" t="s">
        <v>244</v>
      </c>
      <c r="E297" s="308" t="s">
        <v>2351</v>
      </c>
      <c r="F297" s="308" t="s">
        <v>2352</v>
      </c>
      <c r="G297" s="319">
        <v>46117</v>
      </c>
      <c r="H297" s="308" t="s">
        <v>681</v>
      </c>
      <c r="I297" s="308" t="s">
        <v>278</v>
      </c>
      <c r="J297" s="450" t="s">
        <v>1830</v>
      </c>
      <c r="K297" s="308" t="s">
        <v>1165</v>
      </c>
      <c r="L297" s="286" t="s">
        <v>250</v>
      </c>
      <c r="M297" s="325" t="s">
        <v>269</v>
      </c>
      <c r="N297" s="94">
        <v>106</v>
      </c>
      <c r="O297" s="31" t="s">
        <v>252</v>
      </c>
      <c r="P29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7" s="35">
        <v>0.99999999999999989</v>
      </c>
      <c r="S297" s="34">
        <v>1</v>
      </c>
      <c r="T297" s="34">
        <f>Table1[[#This Row],[Progres Total Aktual
(%)]]</f>
        <v>1</v>
      </c>
      <c r="U297" s="85">
        <f>Table1[[#This Row],[Progres Aktual
(%)]]-Table1[[#This Row],[Target Progres
(%)]]</f>
        <v>0</v>
      </c>
      <c r="V297" s="75">
        <f>Table1[[#This Row],["Volume
BA MC-0"]]</f>
        <v>112.4</v>
      </c>
      <c r="W297" s="41">
        <f>Table1[[#This Row],[Total Panjang Pipa Aktual
(Sum-&gt;)3]]</f>
        <v>101.7</v>
      </c>
      <c r="X297" s="42"/>
      <c r="Y297" s="62" t="s">
        <v>2353</v>
      </c>
      <c r="Z297" s="62">
        <v>164269165</v>
      </c>
      <c r="AA297" s="62">
        <f>ROUND((Table1[[#This Row],[Nilai RAB Jaringan
(Exclude Ppn)]]-Table1[[#This Row],[RAB Perizinan]])*1.11+Table1[[#This Row],[RAB Perizinan]],0)</f>
        <v>164269164</v>
      </c>
      <c r="AB297" s="456">
        <f>SUM(Table1[[#This Row],[RAB Kegiatan Umum]:[RAB Perizinan]])</f>
        <v>148095283</v>
      </c>
      <c r="AC297" s="406">
        <v>9778221</v>
      </c>
      <c r="AD297" s="406">
        <v>97782206</v>
      </c>
      <c r="AE297" s="406">
        <v>39474856</v>
      </c>
      <c r="AF297" s="406">
        <v>1060000</v>
      </c>
      <c r="AG297" s="453">
        <v>25284464</v>
      </c>
      <c r="AH297" s="33">
        <f>SUM(Table1[[#This Row],[Bobot Keg Umum]:[Bobot Perizinan]])</f>
        <v>0.99999999999999989</v>
      </c>
      <c r="AI297" s="33">
        <f>Table1[[#This Row],[RAB Kegiatan Umum]]/Table1[[#This Row],[Nilai RAB Jaringan
(Exclude Ppn)]]</f>
        <v>6.6026552648540474E-2</v>
      </c>
      <c r="AJ297" s="33">
        <f>Table1[[#This Row],[RAB Pemasangan]]/Table1[[#This Row],[Nilai RAB Jaringan
(Exclude Ppn)]]</f>
        <v>0.66026549947576652</v>
      </c>
      <c r="AK297" s="33">
        <f>Table1[[#This Row],[RAB Pengadaan]]/Table1[[#This Row],[Nilai RAB Jaringan
(Exclude Ppn)]]</f>
        <v>0.26655039377587736</v>
      </c>
      <c r="AL297" s="33">
        <f>Table1[[#This Row],[RAB Perizinan]]/Table1[[#This Row],[Nilai RAB Jaringan
(Exclude Ppn)]]</f>
        <v>7.1575540998155898E-3</v>
      </c>
      <c r="AM297" s="42"/>
      <c r="AN297" s="256">
        <v>112.4</v>
      </c>
      <c r="AO297" s="256">
        <f>SUM(Table1[[#This Row],[Pipa 63 mm]:[Pipa 1,800 mm]])</f>
        <v>0</v>
      </c>
      <c r="AP297" s="256"/>
      <c r="AQ297" s="256"/>
      <c r="AR297" s="256"/>
      <c r="AS297" s="256"/>
      <c r="AT297" s="256"/>
      <c r="AU297" s="256"/>
      <c r="AV297" s="256"/>
      <c r="AW297" s="256"/>
      <c r="AX297" s="256"/>
      <c r="AY297" s="256"/>
      <c r="AZ297" s="256"/>
      <c r="BA297" s="256"/>
      <c r="BB297" s="256"/>
      <c r="BC297" s="256"/>
      <c r="BD297" s="256"/>
      <c r="BE297" s="256"/>
      <c r="BF297" s="256"/>
      <c r="BG297" s="256"/>
      <c r="BH297" s="256"/>
      <c r="BI297" s="256"/>
      <c r="BJ297" s="36">
        <f>SUM(Table1[[#This Row],[Pipa 63 mm2]:[Pipa 1,800 mm21]])</f>
        <v>101.7</v>
      </c>
      <c r="BK297" s="32">
        <v>101.7</v>
      </c>
      <c r="BL297" s="32"/>
      <c r="BM297" s="32"/>
      <c r="BN297" s="32"/>
      <c r="BO297" s="32"/>
      <c r="BP297" s="32"/>
      <c r="BQ297" s="32"/>
      <c r="BR297" s="32"/>
      <c r="BS297" s="32"/>
      <c r="BT297" s="32"/>
      <c r="BU297" s="32"/>
      <c r="BV297" s="32"/>
      <c r="BW297" s="32"/>
      <c r="BX297" s="32"/>
      <c r="BY297" s="32"/>
      <c r="BZ297" s="32"/>
      <c r="CA297" s="32"/>
      <c r="CB297" s="32"/>
      <c r="CC297" s="32"/>
      <c r="CD297" s="32"/>
      <c r="CE297" s="32">
        <v>0</v>
      </c>
      <c r="CF297" s="32"/>
      <c r="CG297" s="32"/>
      <c r="CH297" s="32"/>
      <c r="CI297" s="32">
        <f t="shared" si="15"/>
        <v>0</v>
      </c>
      <c r="CJ297" s="60">
        <f>IF((Table1[[#This Row],["Volume
BA MC-0"]]-Table1[[#This Row],[Total Panjang Pipa Aktual
(Sum-&gt;)3]]-Table1[[#This Row],[Total Volume
tidak dapat dipasang]])&gt;=0,Table1[[#This Row],["Volume
BA MC-0"]]-Table1[[#This Row],[Total Panjang Pipa Aktual
(Sum-&gt;)3]]-Table1[[#This Row],[Total Volume
tidak dapat dipasang]],0)</f>
        <v>10.700000000000003</v>
      </c>
      <c r="CK297" s="42"/>
      <c r="CL297" s="35" t="s">
        <v>1821</v>
      </c>
      <c r="CM297" s="35" t="s">
        <v>1821</v>
      </c>
      <c r="CN297" s="35" t="s">
        <v>1821</v>
      </c>
      <c r="CO297" s="35" t="s">
        <v>1821</v>
      </c>
      <c r="CP29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7" s="61">
        <f>IFERROR(Table1[[#This Row],[Progres Keg. Umum
(%)]]*Table1[[#This Row],[Nilai RAB Jaringan
(file pa aji)]],0)</f>
        <v>0</v>
      </c>
      <c r="CR297" s="61">
        <f>IFERROR(Table1[[#This Row],[Progres MOS
(%)]]*Table1[[#This Row],[Nilai RAB Jaringan
(file pa aji)]],0)</f>
        <v>0</v>
      </c>
      <c r="CS297" s="61">
        <f>IFERROR(Table1[[#This Row],[Progres Pemasangan
(%)]]*Table1[[#This Row],[Nilai RAB Jaringan
(file pa aji)]],0)</f>
        <v>0</v>
      </c>
      <c r="CT297" s="61">
        <f>IFERROR(Table1[[#This Row],[Progres Perizinan
(%)]]*Table1[[#This Row],[Nilai RAB Jaringan
(file pa aji)]],0)</f>
        <v>0</v>
      </c>
      <c r="CU297" s="789">
        <v>153144272</v>
      </c>
      <c r="CV297" s="299">
        <v>153144272</v>
      </c>
      <c r="CW297" s="552">
        <v>153144272</v>
      </c>
      <c r="CX297" s="789">
        <f>_xlfn.XLOOKUP(Table1[[#This Row],[Kode Program]],'[1]Breakdown VOWD Greenfield'!$E:$E,'[1]Breakdown VOWD Greenfield'!$AT:$AT)</f>
        <v>153144272</v>
      </c>
      <c r="CY297" s="42"/>
      <c r="CZ297" s="300">
        <v>45866</v>
      </c>
      <c r="DA297" s="300">
        <v>45893</v>
      </c>
      <c r="DB297" s="301">
        <v>45859</v>
      </c>
      <c r="DC297" s="286" t="s">
        <v>2354</v>
      </c>
      <c r="DD297" s="62">
        <v>164269165</v>
      </c>
      <c r="DE2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7" s="301">
        <v>45863</v>
      </c>
      <c r="DG297" s="286" t="s">
        <v>2355</v>
      </c>
      <c r="DH297" s="62">
        <v>164269165</v>
      </c>
      <c r="DI2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7" s="300">
        <v>45894</v>
      </c>
      <c r="DK297" s="300">
        <v>45956</v>
      </c>
      <c r="DL297" s="301">
        <v>45943</v>
      </c>
      <c r="DM297" s="286" t="s">
        <v>2356</v>
      </c>
      <c r="DN2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7" s="301">
        <v>45953</v>
      </c>
      <c r="DP297" s="286" t="s">
        <v>2357</v>
      </c>
      <c r="DQ297" s="308" t="s">
        <v>365</v>
      </c>
      <c r="DR2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7" s="300">
        <v>45894</v>
      </c>
      <c r="DT297" s="300" t="e">
        <v>#N/A</v>
      </c>
      <c r="DU297" s="300">
        <v>45935</v>
      </c>
      <c r="DV297" s="300" t="e">
        <v>#N/A</v>
      </c>
      <c r="DW297" s="301">
        <v>45943</v>
      </c>
      <c r="DX297" s="454" t="s">
        <v>2358</v>
      </c>
      <c r="DY297" s="302">
        <v>21</v>
      </c>
      <c r="DZ297" s="304">
        <v>21</v>
      </c>
      <c r="EA2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7" s="301">
        <v>46008</v>
      </c>
      <c r="EC297" s="302">
        <v>20</v>
      </c>
      <c r="ED297" s="302">
        <v>20</v>
      </c>
      <c r="EE297" s="395" t="s">
        <v>2359</v>
      </c>
      <c r="EF297" s="35">
        <v>1</v>
      </c>
      <c r="EG297" s="307">
        <v>1</v>
      </c>
      <c r="EH297" s="286" t="str">
        <f>IF(Table1[[#This Row],[PO Material Aktual 
(%)]]&gt;=100%,"Selesai PO = 100%",IF(Table1[[#This Row],[PO Material Aktual 
(%)]]&gt;=50%,"Proses PO &gt; 100%",IF(Table1[[#This Row],[PO Material Aktual 
(%)]]&gt;0%,"Proses PO &gt; 50%",IF(Table1[[#This Row],[PO Material Aktual 
(%)]]=0,"Belum PO = 0%"))))</f>
        <v>Selesai PO = 100%</v>
      </c>
      <c r="EI29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7" s="300">
        <v>45936</v>
      </c>
      <c r="EK297" s="300" t="e">
        <v>#N/A</v>
      </c>
      <c r="EL297" s="300">
        <v>45984</v>
      </c>
      <c r="EM297" s="300" t="e">
        <v>#N/A</v>
      </c>
      <c r="EN297" s="301">
        <v>46064</v>
      </c>
      <c r="EO297" s="302">
        <v>19</v>
      </c>
      <c r="EP297" s="595">
        <v>19</v>
      </c>
      <c r="EQ297" s="35">
        <v>0.90476190476190477</v>
      </c>
      <c r="ER297" s="35">
        <f>Table1[[#This Row],[Line MOS]]/Table1[[#This Row],[Line PR]]</f>
        <v>0.90476190476190477</v>
      </c>
      <c r="ES297" s="286" t="str">
        <f>IF(Table1[[#This Row],[Progres MOS]]&gt;=100%,"Selesai MOS = 100%",IF(Table1[[#This Row],[Progres MOS]]&gt;=50%,"Proses MOS &gt; 100%",IF(Table1[[#This Row],[Progres MOS]]&gt;0%,"Proses MOS &gt; 50%",IF(Table1[[#This Row],[Progres MOS]]=0,"Belum MOS = 0%"))))</f>
        <v>Proses MOS &gt; 100%</v>
      </c>
      <c r="ET2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7" s="42"/>
      <c r="EV297" s="300">
        <v>45894</v>
      </c>
      <c r="EW297" s="300" t="e">
        <v>#N/A</v>
      </c>
      <c r="EX297" s="300">
        <v>45984</v>
      </c>
      <c r="EY297" s="300" t="e">
        <v>#N/A</v>
      </c>
      <c r="EZ297" s="322" t="s">
        <v>298</v>
      </c>
      <c r="FA297" s="306" t="s">
        <v>298</v>
      </c>
      <c r="FB297" s="300" t="s">
        <v>260</v>
      </c>
      <c r="FC297" s="300">
        <v>45912</v>
      </c>
      <c r="FD297" s="300" t="s">
        <v>260</v>
      </c>
      <c r="FE297" s="300">
        <v>45966</v>
      </c>
      <c r="FF297" s="300">
        <v>45995</v>
      </c>
      <c r="FG297" s="300" t="s">
        <v>260</v>
      </c>
      <c r="FH297" s="300" t="s">
        <v>260</v>
      </c>
      <c r="FI297" s="300">
        <v>46003</v>
      </c>
      <c r="FJ297" s="300" t="s">
        <v>260</v>
      </c>
      <c r="FK297" s="300"/>
      <c r="FL297" s="306" t="s">
        <v>298</v>
      </c>
      <c r="FM297" s="322">
        <v>45912</v>
      </c>
      <c r="FN297" s="308">
        <f>IF(Table1[[#This Row],[Tanggal Pengajuan Dokumen]]="","",Table1[[#This Row],[PLAN PERMIT
start]]-Table1[[#This Row],[Tanggal Pengajuan Dokumen]])</f>
        <v>-18</v>
      </c>
      <c r="FO297" s="407">
        <v>46086</v>
      </c>
      <c r="FP297" s="286"/>
      <c r="FQ297" s="308"/>
      <c r="FR297" s="308"/>
      <c r="FS297" s="308" t="str">
        <f t="shared" si="14"/>
        <v>On Going</v>
      </c>
      <c r="FT2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7" s="314">
        <f ca="1">IF(Table1[[#This Row],[Status Izin]]="Selesai",Table1[[#This Row],[PLAN PERMIT
finish]]-Table1[[#This Row],[Tanggal Terbit/ Target Izin Terbit]],ROUNDUP(Table1[[#This Row],[PLAN PERMIT
finish]]-NOW(),0))</f>
        <v>-220</v>
      </c>
      <c r="FV2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7" s="314"/>
      <c r="FX297" s="42"/>
      <c r="FY297" s="310"/>
      <c r="FZ297" s="311"/>
      <c r="GA2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7" s="300">
        <v>45958</v>
      </c>
      <c r="GC297" s="408">
        <v>45959</v>
      </c>
      <c r="GD2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297" s="300">
        <v>45965</v>
      </c>
      <c r="GF297" s="408">
        <v>45959</v>
      </c>
      <c r="GG2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7" s="300">
        <v>45971</v>
      </c>
      <c r="GI297" s="300">
        <v>45977</v>
      </c>
      <c r="GJ297" s="322">
        <v>45966</v>
      </c>
      <c r="GK2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7" s="300">
        <v>45985</v>
      </c>
      <c r="GM297" s="300" t="e">
        <v>#N/A</v>
      </c>
      <c r="GN297" s="300">
        <v>46005</v>
      </c>
      <c r="GO297" s="300" t="e">
        <v>#N/A</v>
      </c>
      <c r="GP297" s="300"/>
      <c r="GQ2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7" s="300" t="s">
        <v>261</v>
      </c>
      <c r="GS297" s="300" t="s">
        <v>261</v>
      </c>
      <c r="GT297" s="324">
        <v>46077</v>
      </c>
      <c r="GU297" s="314" t="str">
        <f>IF(Table1[[#This Row],[Hydro Tes Actual
(tanggal)]]&lt;&gt;"","Sudah","Belum")</f>
        <v>Sudah</v>
      </c>
      <c r="GV297" s="300" t="s">
        <v>261</v>
      </c>
      <c r="GW297" s="300" t="s">
        <v>261</v>
      </c>
      <c r="GX297" s="301">
        <v>46078</v>
      </c>
      <c r="GY297" s="314" t="str">
        <f>IF(Table1[[#This Row],[Interkoneksi Actual
(tanggal)]]&lt;&gt;"","Sudah","Belum")</f>
        <v>Sudah</v>
      </c>
      <c r="GZ297" s="300" t="s">
        <v>261</v>
      </c>
      <c r="HA297" s="300" t="s">
        <v>261</v>
      </c>
      <c r="HB297" s="301">
        <v>46078</v>
      </c>
      <c r="HC297" s="314" t="str">
        <f>IF(Table1[[#This Row],[Flushing Actual
(tanggal)]]&lt;&gt;"","Sudah","Belum")</f>
        <v>Sudah</v>
      </c>
      <c r="HD297" s="300">
        <v>45992</v>
      </c>
      <c r="HE297" s="300" t="e">
        <v>#N/A</v>
      </c>
      <c r="HF297" s="300">
        <v>46005</v>
      </c>
      <c r="HG297" s="322">
        <v>46083</v>
      </c>
      <c r="HH2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7" s="300" t="s">
        <v>261</v>
      </c>
      <c r="HJ297" s="300" t="s">
        <v>261</v>
      </c>
      <c r="HK297" s="301"/>
      <c r="HL297" s="286"/>
      <c r="HM297" s="300">
        <v>46010</v>
      </c>
      <c r="HN297" s="300">
        <v>46010</v>
      </c>
      <c r="HO297" s="300" t="e">
        <v>#N/A</v>
      </c>
      <c r="HP297" s="300"/>
      <c r="HQ297" s="301">
        <v>46095</v>
      </c>
      <c r="HR29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7" s="300">
        <v>46017</v>
      </c>
      <c r="HT297" s="300"/>
      <c r="HU297" s="300">
        <v>46017</v>
      </c>
      <c r="HV297" s="300"/>
      <c r="HW297" s="301">
        <v>46099</v>
      </c>
      <c r="HX29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7" s="42"/>
      <c r="HZ297" s="322"/>
      <c r="IA297" s="322"/>
      <c r="IC297" s="585">
        <f>IFERROR(ROUND((Table1[[#This Row],[PLAN TC
finish]]-Table1[[#This Row],[PLAN MC-0
start]])/30,2),"")</f>
        <v>1.1299999999999999</v>
      </c>
      <c r="ID297">
        <f>DATEDIF(Table1[[#This Row],[PLAN MC-0
start]],Table1[[#This Row],[PLAN TC
finish]],"m")</f>
        <v>1</v>
      </c>
    </row>
    <row r="298" spans="1:238" s="4" customFormat="1" ht="15" customHeight="1" x14ac:dyDescent="0.25">
      <c r="B298" s="281">
        <f>SUBTOTAL(3,$D$5:D298)</f>
        <v>294</v>
      </c>
      <c r="C298" s="286">
        <v>294</v>
      </c>
      <c r="D298" s="308" t="s">
        <v>244</v>
      </c>
      <c r="E298" s="308" t="s">
        <v>2360</v>
      </c>
      <c r="F298" s="308" t="s">
        <v>2361</v>
      </c>
      <c r="G298" s="319">
        <v>46117</v>
      </c>
      <c r="H298" s="308" t="s">
        <v>681</v>
      </c>
      <c r="I298" s="308" t="s">
        <v>278</v>
      </c>
      <c r="J298" s="450" t="s">
        <v>1830</v>
      </c>
      <c r="K298" s="308" t="s">
        <v>1165</v>
      </c>
      <c r="L298" s="286" t="s">
        <v>250</v>
      </c>
      <c r="M298" s="325" t="s">
        <v>269</v>
      </c>
      <c r="N298" s="94">
        <v>50</v>
      </c>
      <c r="O298" s="31" t="s">
        <v>252</v>
      </c>
      <c r="P29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8" s="35">
        <v>1.0000000000000002</v>
      </c>
      <c r="S298" s="34">
        <v>1</v>
      </c>
      <c r="T298" s="34">
        <f>Table1[[#This Row],[Progres Total Aktual
(%)]]</f>
        <v>1</v>
      </c>
      <c r="U298" s="85">
        <f>Table1[[#This Row],[Progres Aktual
(%)]]-Table1[[#This Row],[Target Progres
(%)]]</f>
        <v>0</v>
      </c>
      <c r="V298" s="75">
        <f>Table1[[#This Row],["Volume
BA MC-0"]]</f>
        <v>50</v>
      </c>
      <c r="W298" s="41">
        <f>Table1[[#This Row],[Total Panjang Pipa Aktual
(Sum-&gt;)3]]</f>
        <v>50</v>
      </c>
      <c r="X298" s="42"/>
      <c r="Y298" s="62" t="s">
        <v>2362</v>
      </c>
      <c r="Z298" s="62">
        <v>72202637</v>
      </c>
      <c r="AA298" s="62">
        <f>ROUND((Table1[[#This Row],[Nilai RAB Jaringan
(Exclude Ppn)]]-Table1[[#This Row],[RAB Perizinan]])*1.11+Table1[[#This Row],[RAB Perizinan]],0)</f>
        <v>72202637</v>
      </c>
      <c r="AB298" s="456">
        <f>SUM(Table1[[#This Row],[RAB Kegiatan Umum]:[RAB Perizinan]])</f>
        <v>65096970</v>
      </c>
      <c r="AC298" s="406">
        <v>5164746</v>
      </c>
      <c r="AD298" s="406">
        <v>51647461</v>
      </c>
      <c r="AE298" s="406">
        <v>7784763</v>
      </c>
      <c r="AF298" s="406">
        <v>500000</v>
      </c>
      <c r="AG298" s="453">
        <v>6321116</v>
      </c>
      <c r="AH298" s="33">
        <f>SUM(Table1[[#This Row],[Bobot Keg Umum]:[Bobot Perizinan]])</f>
        <v>1.0000000000000002</v>
      </c>
      <c r="AI298" s="33">
        <f>Table1[[#This Row],[RAB Kegiatan Umum]]/Table1[[#This Row],[Nilai RAB Jaringan
(Exclude Ppn)]]</f>
        <v>7.9339268786243047E-2</v>
      </c>
      <c r="AJ298" s="33">
        <f>Table1[[#This Row],[RAB Pemasangan]]/Table1[[#This Row],[Nilai RAB Jaringan
(Exclude Ppn)]]</f>
        <v>0.79339270322412858</v>
      </c>
      <c r="AK298" s="33">
        <f>Table1[[#This Row],[RAB Pengadaan]]/Table1[[#This Row],[Nilai RAB Jaringan
(Exclude Ppn)]]</f>
        <v>0.11958717894243004</v>
      </c>
      <c r="AL298" s="33">
        <f>Table1[[#This Row],[RAB Perizinan]]/Table1[[#This Row],[Nilai RAB Jaringan
(Exclude Ppn)]]</f>
        <v>7.6808490471983563E-3</v>
      </c>
      <c r="AM298" s="42"/>
      <c r="AN298" s="256">
        <v>50</v>
      </c>
      <c r="AO298" s="256">
        <f>SUM(Table1[[#This Row],[Pipa 63 mm]:[Pipa 1,800 mm]])</f>
        <v>0</v>
      </c>
      <c r="AP298" s="256"/>
      <c r="AQ298" s="256"/>
      <c r="AR298" s="256"/>
      <c r="AS298" s="256"/>
      <c r="AT298" s="256"/>
      <c r="AU298" s="256"/>
      <c r="AV298" s="256"/>
      <c r="AW298" s="256"/>
      <c r="AX298" s="256"/>
      <c r="AY298" s="256"/>
      <c r="AZ298" s="256"/>
      <c r="BA298" s="256"/>
      <c r="BB298" s="256"/>
      <c r="BC298" s="256"/>
      <c r="BD298" s="256"/>
      <c r="BE298" s="256"/>
      <c r="BF298" s="256"/>
      <c r="BG298" s="256"/>
      <c r="BH298" s="256"/>
      <c r="BI298" s="256"/>
      <c r="BJ298" s="36">
        <f>SUM(Table1[[#This Row],[Pipa 63 mm2]:[Pipa 1,800 mm21]])</f>
        <v>50</v>
      </c>
      <c r="BK298" s="32">
        <v>50</v>
      </c>
      <c r="BL298" s="32"/>
      <c r="BM298" s="32"/>
      <c r="BN298" s="32"/>
      <c r="BO298" s="32"/>
      <c r="BP298" s="32"/>
      <c r="BQ298" s="32"/>
      <c r="BR298" s="32"/>
      <c r="BS298" s="32"/>
      <c r="BT298" s="32"/>
      <c r="BU298" s="32"/>
      <c r="BV298" s="32"/>
      <c r="BW298" s="32"/>
      <c r="BX298" s="32"/>
      <c r="BY298" s="32"/>
      <c r="BZ298" s="32"/>
      <c r="CA298" s="32"/>
      <c r="CB298" s="32"/>
      <c r="CC298" s="32"/>
      <c r="CD298" s="32"/>
      <c r="CE298" s="32">
        <v>0</v>
      </c>
      <c r="CF298" s="32"/>
      <c r="CG298" s="32"/>
      <c r="CH298" s="32"/>
      <c r="CI298" s="32">
        <f t="shared" si="15"/>
        <v>0</v>
      </c>
      <c r="CJ298" s="60">
        <f>IF((Table1[[#This Row],["Volume
BA MC-0"]]-Table1[[#This Row],[Total Panjang Pipa Aktual
(Sum-&gt;)3]]-Table1[[#This Row],[Total Volume
tidak dapat dipasang]])&gt;=0,Table1[[#This Row],["Volume
BA MC-0"]]-Table1[[#This Row],[Total Panjang Pipa Aktual
(Sum-&gt;)3]]-Table1[[#This Row],[Total Volume
tidak dapat dipasang]],0)</f>
        <v>0</v>
      </c>
      <c r="CK298" s="42"/>
      <c r="CL298" s="454" t="s">
        <v>1821</v>
      </c>
      <c r="CM298" s="34" t="s">
        <v>1821</v>
      </c>
      <c r="CN298" s="454" t="s">
        <v>1821</v>
      </c>
      <c r="CO298" s="454" t="s">
        <v>1821</v>
      </c>
      <c r="CP29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8" s="61">
        <f>IFERROR(Table1[[#This Row],[Progres Keg. Umum
(%)]]*Table1[[#This Row],[Nilai RAB Jaringan
(file pa aji)]],0)</f>
        <v>0</v>
      </c>
      <c r="CR298" s="61">
        <f>IFERROR(Table1[[#This Row],[Progres MOS
(%)]]*Table1[[#This Row],[Nilai RAB Jaringan
(file pa aji)]],0)</f>
        <v>0</v>
      </c>
      <c r="CS298" s="61">
        <f>IFERROR(Table1[[#This Row],[Progres Pemasangan
(%)]]*Table1[[#This Row],[Nilai RAB Jaringan
(file pa aji)]],0)</f>
        <v>0</v>
      </c>
      <c r="CT298" s="61">
        <f>IFERROR(Table1[[#This Row],[Progres Perizinan
(%)]]*Table1[[#This Row],[Nilai RAB Jaringan
(file pa aji)]],0)</f>
        <v>0</v>
      </c>
      <c r="CU298" s="789">
        <v>207545840</v>
      </c>
      <c r="CV298" s="299">
        <v>207545840</v>
      </c>
      <c r="CW298" s="552">
        <v>207545840</v>
      </c>
      <c r="CX298" s="789">
        <f>_xlfn.XLOOKUP(Table1[[#This Row],[Kode Program]],'[1]Breakdown VOWD Greenfield'!$E:$E,'[1]Breakdown VOWD Greenfield'!$AT:$AT)</f>
        <v>207545840</v>
      </c>
      <c r="CY298" s="42"/>
      <c r="CZ298" s="300">
        <v>45866</v>
      </c>
      <c r="DA298" s="300">
        <v>45893</v>
      </c>
      <c r="DB298" s="301">
        <v>45860</v>
      </c>
      <c r="DC298" s="286" t="s">
        <v>2363</v>
      </c>
      <c r="DD298" s="62">
        <v>72202637</v>
      </c>
      <c r="DE2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8" s="301">
        <v>45867</v>
      </c>
      <c r="DG298" s="286" t="s">
        <v>2364</v>
      </c>
      <c r="DH298" s="62">
        <v>72202637</v>
      </c>
      <c r="DI2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8" s="300">
        <v>45894</v>
      </c>
      <c r="DK298" s="300">
        <v>45956</v>
      </c>
      <c r="DL298" s="301">
        <v>45943</v>
      </c>
      <c r="DM298" s="286" t="s">
        <v>2365</v>
      </c>
      <c r="DN2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8" s="301">
        <v>45950</v>
      </c>
      <c r="DP298" s="286" t="s">
        <v>2366</v>
      </c>
      <c r="DQ298" s="308" t="s">
        <v>365</v>
      </c>
      <c r="DR2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8" s="300">
        <v>45894</v>
      </c>
      <c r="DT298" s="300" t="e">
        <v>#N/A</v>
      </c>
      <c r="DU298" s="300">
        <v>45935</v>
      </c>
      <c r="DV298" s="300" t="e">
        <v>#N/A</v>
      </c>
      <c r="DW298" s="301">
        <v>45943</v>
      </c>
      <c r="DX298" s="286" t="s">
        <v>2367</v>
      </c>
      <c r="DY298" s="302">
        <v>13</v>
      </c>
      <c r="DZ298" s="304">
        <v>13</v>
      </c>
      <c r="EA2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298" s="301">
        <v>46006</v>
      </c>
      <c r="EC298" s="302">
        <v>12</v>
      </c>
      <c r="ED298" s="302">
        <v>12</v>
      </c>
      <c r="EE298" s="395" t="s">
        <v>2368</v>
      </c>
      <c r="EF298" s="35">
        <v>1</v>
      </c>
      <c r="EG298" s="307">
        <v>1</v>
      </c>
      <c r="EH298" s="286" t="str">
        <f>IF(Table1[[#This Row],[PO Material Aktual 
(%)]]&gt;=100%,"Selesai PO = 100%",IF(Table1[[#This Row],[PO Material Aktual 
(%)]]&gt;=50%,"Proses PO &gt; 100%",IF(Table1[[#This Row],[PO Material Aktual 
(%)]]&gt;0%,"Proses PO &gt; 50%",IF(Table1[[#This Row],[PO Material Aktual 
(%)]]=0,"Belum PO = 0%"))))</f>
        <v>Selesai PO = 100%</v>
      </c>
      <c r="EI29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8" s="300">
        <v>45936</v>
      </c>
      <c r="EK298" s="300" t="e">
        <v>#N/A</v>
      </c>
      <c r="EL298" s="300">
        <v>45984</v>
      </c>
      <c r="EM298" s="300" t="e">
        <v>#N/A</v>
      </c>
      <c r="EN298" s="301">
        <v>46051</v>
      </c>
      <c r="EO298" s="302">
        <v>12</v>
      </c>
      <c r="EP298" s="286">
        <v>12</v>
      </c>
      <c r="EQ298" s="35">
        <v>0.92307692307692313</v>
      </c>
      <c r="ER298" s="35">
        <f>Table1[[#This Row],[Line MOS]]/Table1[[#This Row],[Line PR]]</f>
        <v>0.92307692307692313</v>
      </c>
      <c r="ES298" s="286" t="str">
        <f>IF(Table1[[#This Row],[Progres MOS]]&gt;=100%,"Selesai MOS = 100%",IF(Table1[[#This Row],[Progres MOS]]&gt;=50%,"Proses MOS &gt; 100%",IF(Table1[[#This Row],[Progres MOS]]&gt;0%,"Proses MOS &gt; 50%",IF(Table1[[#This Row],[Progres MOS]]=0,"Belum MOS = 0%"))))</f>
        <v>Proses MOS &gt; 100%</v>
      </c>
      <c r="ET2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8" s="42"/>
      <c r="EV298" s="300">
        <v>45894</v>
      </c>
      <c r="EW298" s="300" t="e">
        <v>#N/A</v>
      </c>
      <c r="EX298" s="300">
        <v>45984</v>
      </c>
      <c r="EY298" s="300" t="e">
        <v>#N/A</v>
      </c>
      <c r="EZ298" s="322" t="s">
        <v>298</v>
      </c>
      <c r="FA298" s="306" t="s">
        <v>298</v>
      </c>
      <c r="FB298" s="300" t="s">
        <v>260</v>
      </c>
      <c r="FC298" s="300">
        <v>45943</v>
      </c>
      <c r="FD298" s="300" t="s">
        <v>260</v>
      </c>
      <c r="FE298" s="300">
        <v>45966</v>
      </c>
      <c r="FF298" s="300">
        <v>45993</v>
      </c>
      <c r="FG298" s="300" t="s">
        <v>260</v>
      </c>
      <c r="FH298" s="300" t="s">
        <v>260</v>
      </c>
      <c r="FI298" s="300">
        <v>46010</v>
      </c>
      <c r="FJ298" s="300" t="s">
        <v>260</v>
      </c>
      <c r="FK298" s="300"/>
      <c r="FL298" s="306" t="s">
        <v>298</v>
      </c>
      <c r="FM298" s="322">
        <v>45943</v>
      </c>
      <c r="FN298" s="308">
        <f>IF(Table1[[#This Row],[Tanggal Pengajuan Dokumen]]="","",Table1[[#This Row],[PLAN PERMIT
start]]-Table1[[#This Row],[Tanggal Pengajuan Dokumen]])</f>
        <v>-49</v>
      </c>
      <c r="FO298" s="407">
        <v>46097</v>
      </c>
      <c r="FP298" s="286"/>
      <c r="FQ298" s="308"/>
      <c r="FR298" s="308"/>
      <c r="FS298" s="308" t="str">
        <f t="shared" si="14"/>
        <v>On Going</v>
      </c>
      <c r="FT2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8" s="314">
        <f ca="1">IF(Table1[[#This Row],[Status Izin]]="Selesai",Table1[[#This Row],[PLAN PERMIT
finish]]-Table1[[#This Row],[Tanggal Terbit/ Target Izin Terbit]],ROUNDUP(Table1[[#This Row],[PLAN PERMIT
finish]]-NOW(),0))</f>
        <v>-220</v>
      </c>
      <c r="FV2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8" s="314"/>
      <c r="FX298" s="42"/>
      <c r="FY298" s="310"/>
      <c r="FZ298" s="311"/>
      <c r="GA2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8" s="300">
        <v>45958</v>
      </c>
      <c r="GC298" s="322">
        <v>45909</v>
      </c>
      <c r="GD2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8" s="300">
        <v>45965</v>
      </c>
      <c r="GF298" s="322">
        <v>45909</v>
      </c>
      <c r="GG2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8" s="300">
        <v>45971</v>
      </c>
      <c r="GI298" s="300">
        <v>45977</v>
      </c>
      <c r="GJ298" s="322">
        <v>45951</v>
      </c>
      <c r="GK2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8" s="300">
        <v>45985</v>
      </c>
      <c r="GM298" s="300" t="e">
        <v>#N/A</v>
      </c>
      <c r="GN298" s="300">
        <v>46005</v>
      </c>
      <c r="GO298" s="300" t="e">
        <v>#N/A</v>
      </c>
      <c r="GP298" s="300"/>
      <c r="GQ2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8" s="300" t="s">
        <v>261</v>
      </c>
      <c r="GS298" s="300" t="s">
        <v>261</v>
      </c>
      <c r="GT298" s="324">
        <v>46013</v>
      </c>
      <c r="GU298" s="314" t="str">
        <f>IF(Table1[[#This Row],[Hydro Tes Actual
(tanggal)]]&lt;&gt;"","Sudah","Belum")</f>
        <v>Sudah</v>
      </c>
      <c r="GV298" s="300" t="s">
        <v>261</v>
      </c>
      <c r="GW298" s="300" t="s">
        <v>261</v>
      </c>
      <c r="GX298" s="301">
        <v>46018</v>
      </c>
      <c r="GY298" s="314" t="str">
        <f>IF(Table1[[#This Row],[Interkoneksi Actual
(tanggal)]]&lt;&gt;"","Sudah","Belum")</f>
        <v>Sudah</v>
      </c>
      <c r="GZ298" s="300" t="s">
        <v>261</v>
      </c>
      <c r="HA298" s="300" t="s">
        <v>261</v>
      </c>
      <c r="HB298" s="301">
        <v>46018</v>
      </c>
      <c r="HC298" s="314" t="str">
        <f>IF(Table1[[#This Row],[Flushing Actual
(tanggal)]]&lt;&gt;"","Sudah","Belum")</f>
        <v>Sudah</v>
      </c>
      <c r="HD298" s="300">
        <v>45992</v>
      </c>
      <c r="HE298" s="300" t="e">
        <v>#N/A</v>
      </c>
      <c r="HF298" s="300">
        <v>46005</v>
      </c>
      <c r="HG298" s="322">
        <v>46035</v>
      </c>
      <c r="HH2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8" s="300" t="s">
        <v>261</v>
      </c>
      <c r="HJ298" s="300" t="s">
        <v>261</v>
      </c>
      <c r="HK298" s="301"/>
      <c r="HL298" s="286"/>
      <c r="HM298" s="300">
        <v>46010</v>
      </c>
      <c r="HN298" s="300">
        <v>46010</v>
      </c>
      <c r="HO298" s="300" t="e">
        <v>#N/A</v>
      </c>
      <c r="HP298" s="300"/>
      <c r="HQ298" s="301">
        <v>46095</v>
      </c>
      <c r="HR29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8" s="300">
        <v>46017</v>
      </c>
      <c r="HT298" s="300"/>
      <c r="HU298" s="300">
        <v>46017</v>
      </c>
      <c r="HV298" s="300"/>
      <c r="HW298" s="301">
        <v>46098</v>
      </c>
      <c r="HX29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8" s="42"/>
      <c r="HZ298" s="322"/>
      <c r="IA298" s="322"/>
      <c r="IC298" s="585">
        <f>IFERROR(ROUND((Table1[[#This Row],[PLAN TC
finish]]-Table1[[#This Row],[PLAN MC-0
start]])/30,2),"")</f>
        <v>1.1299999999999999</v>
      </c>
      <c r="ID298">
        <f>DATEDIF(Table1[[#This Row],[PLAN MC-0
start]],Table1[[#This Row],[PLAN TC
finish]],"m")</f>
        <v>1</v>
      </c>
    </row>
    <row r="299" spans="1:238" s="4" customFormat="1" ht="15" customHeight="1" x14ac:dyDescent="0.25">
      <c r="B299" s="281">
        <f>SUBTOTAL(3,$D$5:D299)</f>
        <v>295</v>
      </c>
      <c r="C299" s="286">
        <v>295</v>
      </c>
      <c r="D299" s="308" t="s">
        <v>244</v>
      </c>
      <c r="E299" s="308" t="s">
        <v>2369</v>
      </c>
      <c r="F299" s="308" t="s">
        <v>2370</v>
      </c>
      <c r="G299" s="319">
        <v>46117</v>
      </c>
      <c r="H299" s="308" t="s">
        <v>681</v>
      </c>
      <c r="I299" s="308" t="s">
        <v>278</v>
      </c>
      <c r="J299" s="450" t="s">
        <v>1830</v>
      </c>
      <c r="K299" s="308" t="s">
        <v>1165</v>
      </c>
      <c r="L299" s="286" t="s">
        <v>250</v>
      </c>
      <c r="M299" s="325" t="s">
        <v>269</v>
      </c>
      <c r="N299" s="94">
        <v>218</v>
      </c>
      <c r="O299" s="31" t="s">
        <v>252</v>
      </c>
      <c r="P29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2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299" s="35">
        <v>0.99999999999999989</v>
      </c>
      <c r="S299" s="34">
        <v>1</v>
      </c>
      <c r="T299" s="34">
        <f>Table1[[#This Row],[Progres Total Aktual
(%)]]</f>
        <v>1</v>
      </c>
      <c r="U299" s="85">
        <f>Table1[[#This Row],[Progres Aktual
(%)]]-Table1[[#This Row],[Target Progres
(%)]]</f>
        <v>0</v>
      </c>
      <c r="V299" s="75">
        <f>Table1[[#This Row],["Volume
BA MC-0"]]</f>
        <v>217</v>
      </c>
      <c r="W299" s="41">
        <f>Table1[[#This Row],[Total Panjang Pipa Aktual
(Sum-&gt;)3]]</f>
        <v>171</v>
      </c>
      <c r="X299" s="42"/>
      <c r="Y299" s="62" t="s">
        <v>2371</v>
      </c>
      <c r="Z299" s="62">
        <v>1214391484</v>
      </c>
      <c r="AA299" s="62">
        <f>ROUND((Table1[[#This Row],[Nilai RAB Jaringan
(Exclude Ppn)]]-Table1[[#This Row],[RAB Perizinan]])*1.11+Table1[[#This Row],[RAB Perizinan]],0)</f>
        <v>437623061</v>
      </c>
      <c r="AB299" s="456">
        <f>SUM(Table1[[#This Row],[RAB Kegiatan Umum]:[RAB Perizinan]])</f>
        <v>394471046</v>
      </c>
      <c r="AC299" s="406">
        <v>26302175</v>
      </c>
      <c r="AD299" s="406">
        <v>263021748</v>
      </c>
      <c r="AE299" s="406">
        <v>102967123</v>
      </c>
      <c r="AF299" s="406">
        <v>2180000</v>
      </c>
      <c r="AG299" s="453">
        <v>44247812</v>
      </c>
      <c r="AH299" s="33">
        <f>SUM(Table1[[#This Row],[Bobot Keg Umum]:[Bobot Perizinan]])</f>
        <v>1</v>
      </c>
      <c r="AI299" s="33">
        <f>Table1[[#This Row],[RAB Kegiatan Umum]]/Table1[[#This Row],[Nilai RAB Jaringan
(Exclude Ppn)]]</f>
        <v>6.6677073683121479E-2</v>
      </c>
      <c r="AJ299" s="33">
        <f>Table1[[#This Row],[RAB Pemasangan]]/Table1[[#This Row],[Nilai RAB Jaringan
(Exclude Ppn)]]</f>
        <v>0.66677073176113411</v>
      </c>
      <c r="AK299" s="33">
        <f>Table1[[#This Row],[RAB Pengadaan]]/Table1[[#This Row],[Nilai RAB Jaringan
(Exclude Ppn)]]</f>
        <v>0.26102580669507491</v>
      </c>
      <c r="AL299" s="33">
        <f>Table1[[#This Row],[RAB Perizinan]]/Table1[[#This Row],[Nilai RAB Jaringan
(Exclude Ppn)]]</f>
        <v>5.5263878606694999E-3</v>
      </c>
      <c r="AM299" s="42"/>
      <c r="AN299" s="256">
        <v>217</v>
      </c>
      <c r="AO299" s="256">
        <f>SUM(Table1[[#This Row],[Pipa 63 mm]:[Pipa 1,800 mm]])</f>
        <v>0</v>
      </c>
      <c r="AP299" s="256"/>
      <c r="AQ299" s="256"/>
      <c r="AR299" s="256"/>
      <c r="AS299" s="256"/>
      <c r="AT299" s="256"/>
      <c r="AU299" s="256"/>
      <c r="AV299" s="256"/>
      <c r="AW299" s="256"/>
      <c r="AX299" s="256"/>
      <c r="AY299" s="256"/>
      <c r="AZ299" s="256"/>
      <c r="BA299" s="256"/>
      <c r="BB299" s="256"/>
      <c r="BC299" s="256"/>
      <c r="BD299" s="256"/>
      <c r="BE299" s="256"/>
      <c r="BF299" s="256"/>
      <c r="BG299" s="256"/>
      <c r="BH299" s="256"/>
      <c r="BI299" s="256"/>
      <c r="BJ299" s="36">
        <f>SUM(Table1[[#This Row],[Pipa 63 mm2]:[Pipa 1,800 mm21]])</f>
        <v>171</v>
      </c>
      <c r="BK299" s="32">
        <v>171</v>
      </c>
      <c r="BL299" s="32"/>
      <c r="BM299" s="32"/>
      <c r="BN299" s="32"/>
      <c r="BO299" s="32"/>
      <c r="BP299" s="32"/>
      <c r="BQ299" s="32"/>
      <c r="BR299" s="32"/>
      <c r="BS299" s="32"/>
      <c r="BT299" s="32"/>
      <c r="BU299" s="32"/>
      <c r="BV299" s="32"/>
      <c r="BW299" s="32"/>
      <c r="BX299" s="32"/>
      <c r="BY299" s="32"/>
      <c r="BZ299" s="32"/>
      <c r="CA299" s="32"/>
      <c r="CB299" s="32"/>
      <c r="CC299" s="32"/>
      <c r="CD299" s="32"/>
      <c r="CE299" s="32">
        <v>0</v>
      </c>
      <c r="CF299" s="32"/>
      <c r="CG299" s="32"/>
      <c r="CH299" s="32"/>
      <c r="CI299" s="32">
        <f t="shared" si="15"/>
        <v>0</v>
      </c>
      <c r="CJ299" s="60">
        <f>IF((Table1[[#This Row],["Volume
BA MC-0"]]-Table1[[#This Row],[Total Panjang Pipa Aktual
(Sum-&gt;)3]]-Table1[[#This Row],[Total Volume
tidak dapat dipasang]])&gt;=0,Table1[[#This Row],["Volume
BA MC-0"]]-Table1[[#This Row],[Total Panjang Pipa Aktual
(Sum-&gt;)3]]-Table1[[#This Row],[Total Volume
tidak dapat dipasang]],0)</f>
        <v>46</v>
      </c>
      <c r="CK299" s="42"/>
      <c r="CL299" s="35" t="s">
        <v>1821</v>
      </c>
      <c r="CM299" s="35" t="s">
        <v>1821</v>
      </c>
      <c r="CN299" s="35" t="s">
        <v>1821</v>
      </c>
      <c r="CO299" s="35" t="s">
        <v>1821</v>
      </c>
      <c r="CP29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299" s="61">
        <f>IFERROR(Table1[[#This Row],[Progres Keg. Umum
(%)]]*Table1[[#This Row],[Nilai RAB Jaringan
(file pa aji)]],0)</f>
        <v>0</v>
      </c>
      <c r="CR299" s="61">
        <f>IFERROR(Table1[[#This Row],[Progres MOS
(%)]]*Table1[[#This Row],[Nilai RAB Jaringan
(file pa aji)]],0)</f>
        <v>0</v>
      </c>
      <c r="CS299" s="61">
        <f>IFERROR(Table1[[#This Row],[Progres Pemasangan
(%)]]*Table1[[#This Row],[Nilai RAB Jaringan
(file pa aji)]],0)</f>
        <v>0</v>
      </c>
      <c r="CT299" s="61">
        <f>IFERROR(Table1[[#This Row],[Progres Perizinan
(%)]]*Table1[[#This Row],[Nilai RAB Jaringan
(file pa aji)]],0)</f>
        <v>0</v>
      </c>
      <c r="CU299" s="789">
        <v>1133590061</v>
      </c>
      <c r="CV299" s="299">
        <v>1133590061</v>
      </c>
      <c r="CW299" s="552">
        <v>1133590061</v>
      </c>
      <c r="CX299" s="789">
        <f>_xlfn.XLOOKUP(Table1[[#This Row],[Kode Program]],'[1]Breakdown VOWD Greenfield'!$E:$E,'[1]Breakdown VOWD Greenfield'!$AT:$AT)</f>
        <v>1133590061</v>
      </c>
      <c r="CY299" s="42"/>
      <c r="CZ299" s="300">
        <v>45866</v>
      </c>
      <c r="DA299" s="300">
        <v>45893</v>
      </c>
      <c r="DB299" s="301">
        <v>45867</v>
      </c>
      <c r="DC299" s="286" t="s">
        <v>2372</v>
      </c>
      <c r="DD299" s="62">
        <v>437623061</v>
      </c>
      <c r="DE2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299" s="301">
        <v>45884</v>
      </c>
      <c r="DG299" s="286" t="s">
        <v>2373</v>
      </c>
      <c r="DH299" s="62">
        <v>437623061</v>
      </c>
      <c r="DI2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299" s="300">
        <v>45894</v>
      </c>
      <c r="DK299" s="300">
        <v>45956</v>
      </c>
      <c r="DL299" s="301">
        <v>45910</v>
      </c>
      <c r="DM299" s="286" t="s">
        <v>2374</v>
      </c>
      <c r="DN2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299" s="301">
        <v>45946</v>
      </c>
      <c r="DP299" s="286" t="s">
        <v>2375</v>
      </c>
      <c r="DQ299" s="308" t="s">
        <v>312</v>
      </c>
      <c r="DR2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299" s="300">
        <v>45894</v>
      </c>
      <c r="DT299" s="300" t="e">
        <v>#N/A</v>
      </c>
      <c r="DU299" s="300">
        <v>45935</v>
      </c>
      <c r="DV299" s="300" t="e">
        <v>#N/A</v>
      </c>
      <c r="DW299" s="301">
        <v>45910</v>
      </c>
      <c r="DX299" s="454" t="s">
        <v>2376</v>
      </c>
      <c r="DY299" s="302">
        <v>33</v>
      </c>
      <c r="DZ299" s="304">
        <v>33</v>
      </c>
      <c r="EA2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299" s="301">
        <v>46127</v>
      </c>
      <c r="EC299" s="302">
        <v>29</v>
      </c>
      <c r="ED299" s="302">
        <v>29</v>
      </c>
      <c r="EE299" s="395" t="s">
        <v>2377</v>
      </c>
      <c r="EF299" s="35">
        <v>1</v>
      </c>
      <c r="EG299" s="307">
        <v>1</v>
      </c>
      <c r="EH299" s="286" t="str">
        <f>IF(Table1[[#This Row],[PO Material Aktual 
(%)]]&gt;=100%,"Selesai PO = 100%",IF(Table1[[#This Row],[PO Material Aktual 
(%)]]&gt;=50%,"Proses PO &gt; 100%",IF(Table1[[#This Row],[PO Material Aktual 
(%)]]&gt;0%,"Proses PO &gt; 50%",IF(Table1[[#This Row],[PO Material Aktual 
(%)]]=0,"Belum PO = 0%"))))</f>
        <v>Selesai PO = 100%</v>
      </c>
      <c r="EI29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299" s="300">
        <v>45936</v>
      </c>
      <c r="EK299" s="300" t="e">
        <v>#N/A</v>
      </c>
      <c r="EL299" s="300">
        <v>45984</v>
      </c>
      <c r="EM299" s="300" t="e">
        <v>#N/A</v>
      </c>
      <c r="EN299" s="301">
        <v>46148</v>
      </c>
      <c r="EO299" s="302">
        <v>28</v>
      </c>
      <c r="EP299" s="595">
        <v>28</v>
      </c>
      <c r="EQ299" s="35">
        <v>0.84848484848484851</v>
      </c>
      <c r="ER299" s="35">
        <f>Table1[[#This Row],[Line MOS]]/Table1[[#This Row],[Line PR]]</f>
        <v>0.84848484848484851</v>
      </c>
      <c r="ES299" s="286" t="str">
        <f>IF(Table1[[#This Row],[Progres MOS]]&gt;=100%,"Selesai MOS = 100%",IF(Table1[[#This Row],[Progres MOS]]&gt;=50%,"Proses MOS &gt; 100%",IF(Table1[[#This Row],[Progres MOS]]&gt;0%,"Proses MOS &gt; 50%",IF(Table1[[#This Row],[Progres MOS]]=0,"Belum MOS = 0%"))))</f>
        <v>Proses MOS &gt; 100%</v>
      </c>
      <c r="ET2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299" s="42"/>
      <c r="EV299" s="300">
        <v>45894</v>
      </c>
      <c r="EW299" s="300" t="e">
        <v>#N/A</v>
      </c>
      <c r="EX299" s="300">
        <v>45984</v>
      </c>
      <c r="EY299" s="300" t="e">
        <v>#N/A</v>
      </c>
      <c r="EZ299" s="322" t="s">
        <v>298</v>
      </c>
      <c r="FA299" s="354"/>
      <c r="FB299" s="300" t="s">
        <v>260</v>
      </c>
      <c r="FC299" s="300" t="s">
        <v>282</v>
      </c>
      <c r="FD299" s="300" t="s">
        <v>282</v>
      </c>
      <c r="FE299" s="300" t="s">
        <v>282</v>
      </c>
      <c r="FF299" s="300" t="s">
        <v>282</v>
      </c>
      <c r="FG299" s="300" t="s">
        <v>282</v>
      </c>
      <c r="FH299" s="300" t="s">
        <v>282</v>
      </c>
      <c r="FI299" s="300" t="s">
        <v>282</v>
      </c>
      <c r="FJ299" s="300" t="s">
        <v>282</v>
      </c>
      <c r="FK299" s="300"/>
      <c r="FL299" s="306" t="str">
        <f>Table1[[#This Row],[IPPJU]]</f>
        <v>9.Proses Penerbitan Izin</v>
      </c>
      <c r="FM299" s="306"/>
      <c r="FN299" s="284" t="str">
        <f>IF(Table1[[#This Row],[Tanggal Pengajuan Dokumen]]="","",Table1[[#This Row],[PLAN PERMIT
start]]-Table1[[#This Row],[Tanggal Pengajuan Dokumen]])</f>
        <v/>
      </c>
      <c r="FO299" s="407">
        <v>46097</v>
      </c>
      <c r="FP299" s="286"/>
      <c r="FQ299" s="308"/>
      <c r="FR299" s="308"/>
      <c r="FS299" s="308" t="str">
        <f t="shared" si="14"/>
        <v>On Going</v>
      </c>
      <c r="FT2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299" s="314">
        <f ca="1">IF(Table1[[#This Row],[Status Izin]]="Selesai",Table1[[#This Row],[PLAN PERMIT
finish]]-Table1[[#This Row],[Tanggal Terbit/ Target Izin Terbit]],ROUNDUP(Table1[[#This Row],[PLAN PERMIT
finish]]-NOW(),0))</f>
        <v>-220</v>
      </c>
      <c r="FV2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299" s="314"/>
      <c r="FX299" s="42"/>
      <c r="FY299" s="310"/>
      <c r="FZ299" s="311"/>
      <c r="GA2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299" s="300">
        <v>45958</v>
      </c>
      <c r="GC299" s="322">
        <v>45909</v>
      </c>
      <c r="GD2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299" s="300">
        <v>45965</v>
      </c>
      <c r="GF299" s="322">
        <v>45909</v>
      </c>
      <c r="GG2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299" s="300">
        <v>45971</v>
      </c>
      <c r="GI299" s="300">
        <v>45977</v>
      </c>
      <c r="GJ299" s="322">
        <v>45912</v>
      </c>
      <c r="GK2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299" s="300">
        <v>45985</v>
      </c>
      <c r="GM299" s="300" t="e">
        <v>#N/A</v>
      </c>
      <c r="GN299" s="300">
        <v>46005</v>
      </c>
      <c r="GO299" s="300" t="e">
        <v>#N/A</v>
      </c>
      <c r="GP299" s="300"/>
      <c r="GQ2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299" s="300" t="s">
        <v>261</v>
      </c>
      <c r="GS299" s="300" t="s">
        <v>261</v>
      </c>
      <c r="GT299" s="324">
        <v>45982</v>
      </c>
      <c r="GU299" s="314" t="str">
        <f>IF(Table1[[#This Row],[Hydro Tes Actual
(tanggal)]]&lt;&gt;"","Sudah","Belum")</f>
        <v>Sudah</v>
      </c>
      <c r="GV299" s="300" t="s">
        <v>261</v>
      </c>
      <c r="GW299" s="300" t="s">
        <v>261</v>
      </c>
      <c r="GX299" s="301">
        <v>45981</v>
      </c>
      <c r="GY299" s="314" t="str">
        <f>IF(Table1[[#This Row],[Interkoneksi Actual
(tanggal)]]&lt;&gt;"","Sudah","Belum")</f>
        <v>Sudah</v>
      </c>
      <c r="GZ299" s="300" t="s">
        <v>261</v>
      </c>
      <c r="HA299" s="300" t="s">
        <v>261</v>
      </c>
      <c r="HB299" s="301">
        <v>46009</v>
      </c>
      <c r="HC299" s="314" t="str">
        <f>IF(Table1[[#This Row],[Flushing Actual
(tanggal)]]&lt;&gt;"","Sudah","Belum")</f>
        <v>Sudah</v>
      </c>
      <c r="HD299" s="300">
        <v>45992</v>
      </c>
      <c r="HE299" s="300" t="e">
        <v>#N/A</v>
      </c>
      <c r="HF299" s="300">
        <v>46005</v>
      </c>
      <c r="HG299" s="322">
        <v>46036</v>
      </c>
      <c r="HH2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299" s="300" t="s">
        <v>261</v>
      </c>
      <c r="HJ299" s="300" t="s">
        <v>261</v>
      </c>
      <c r="HK299" s="301"/>
      <c r="HL299" s="286"/>
      <c r="HM299" s="300">
        <v>46010</v>
      </c>
      <c r="HN299" s="300">
        <v>46010</v>
      </c>
      <c r="HO299" s="300" t="e">
        <v>#N/A</v>
      </c>
      <c r="HP299" s="300"/>
      <c r="HQ299" s="301">
        <v>46092</v>
      </c>
      <c r="HR29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299" s="300">
        <v>46017</v>
      </c>
      <c r="HT299" s="300"/>
      <c r="HU299" s="300">
        <v>46017</v>
      </c>
      <c r="HV299" s="300"/>
      <c r="HW299" s="301">
        <v>46098</v>
      </c>
      <c r="HX29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299" s="42"/>
      <c r="HZ299" s="322"/>
      <c r="IA299" s="322"/>
      <c r="IC299" s="585">
        <f>IFERROR(ROUND((Table1[[#This Row],[PLAN TC
finish]]-Table1[[#This Row],[PLAN MC-0
start]])/30,2),"")</f>
        <v>1.1299999999999999</v>
      </c>
      <c r="ID299">
        <f>DATEDIF(Table1[[#This Row],[PLAN MC-0
start]],Table1[[#This Row],[PLAN TC
finish]],"m")</f>
        <v>1</v>
      </c>
    </row>
    <row r="300" spans="1:238" s="30" customFormat="1" ht="15" customHeight="1" x14ac:dyDescent="0.25">
      <c r="A300" s="72"/>
      <c r="B300" s="281">
        <f>SUBTOTAL(3,$D$5:D300)</f>
        <v>296</v>
      </c>
      <c r="C300" s="337">
        <v>296</v>
      </c>
      <c r="D300" s="336" t="s">
        <v>244</v>
      </c>
      <c r="E300" s="336" t="s">
        <v>2378</v>
      </c>
      <c r="F300" s="336" t="s">
        <v>2379</v>
      </c>
      <c r="G300" s="334">
        <v>46117</v>
      </c>
      <c r="H300" s="336" t="s">
        <v>681</v>
      </c>
      <c r="I300" s="336" t="s">
        <v>278</v>
      </c>
      <c r="J300" s="355" t="s">
        <v>389</v>
      </c>
      <c r="K300" s="336" t="s">
        <v>1165</v>
      </c>
      <c r="L300" s="337" t="s">
        <v>250</v>
      </c>
      <c r="M300" s="362" t="s">
        <v>269</v>
      </c>
      <c r="N300" s="338">
        <v>470</v>
      </c>
      <c r="O300" s="339" t="s">
        <v>252</v>
      </c>
      <c r="P300"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0" s="355" t="s">
        <v>389</v>
      </c>
      <c r="R300" s="341">
        <v>0.99999999999999989</v>
      </c>
      <c r="S300" s="34">
        <v>1</v>
      </c>
      <c r="T300" s="459">
        <f>Table1[[#This Row],[Progres Total Aktual
(%)]]</f>
        <v>0</v>
      </c>
      <c r="U300" s="460">
        <f>Table1[[#This Row],[Progres Aktual
(%)]]-Table1[[#This Row],[Target Progres
(%)]]</f>
        <v>-1</v>
      </c>
      <c r="V300" s="461">
        <f>Table1[[#This Row],["Volume
BA MC-0"]]</f>
        <v>401.5</v>
      </c>
      <c r="W300" s="462">
        <f>Table1[[#This Row],[Total Panjang Pipa Aktual
(Sum-&gt;)3]]</f>
        <v>0</v>
      </c>
      <c r="X300" s="42"/>
      <c r="Y300" s="345" t="s">
        <v>2380</v>
      </c>
      <c r="Z300" s="345">
        <v>589854972</v>
      </c>
      <c r="AA300" s="345">
        <f>ROUND((Table1[[#This Row],[Nilai RAB Jaringan
(Exclude Ppn)]]-Table1[[#This Row],[RAB Perizinan]])*1.11+Table1[[#This Row],[RAB Perizinan]],0)</f>
        <v>666195366</v>
      </c>
      <c r="AB300" s="409">
        <f>SUM(Table1[[#This Row],[RAB Kegiatan Umum]:[RAB Perizinan]])</f>
        <v>600641771</v>
      </c>
      <c r="AC300" s="409">
        <v>41382894</v>
      </c>
      <c r="AD300" s="409">
        <v>413828944</v>
      </c>
      <c r="AE300" s="409">
        <v>140729933</v>
      </c>
      <c r="AF300" s="409">
        <v>4700000</v>
      </c>
      <c r="AG300" s="464">
        <v>124315280</v>
      </c>
      <c r="AH300" s="465">
        <f>SUM(Table1[[#This Row],[Bobot Keg Umum]:[Bobot Perizinan]])</f>
        <v>1</v>
      </c>
      <c r="AI300" s="465">
        <f>Table1[[#This Row],[RAB Kegiatan Umum]]/Table1[[#This Row],[Nilai RAB Jaringan
(Exclude Ppn)]]</f>
        <v>6.8897795654641547E-2</v>
      </c>
      <c r="AJ300" s="465">
        <f>Table1[[#This Row],[RAB Pemasangan]]/Table1[[#This Row],[Nilai RAB Jaringan
(Exclude Ppn)]]</f>
        <v>0.68897796320595894</v>
      </c>
      <c r="AK300" s="465">
        <f>Table1[[#This Row],[RAB Pengadaan]]/Table1[[#This Row],[Nilai RAB Jaringan
(Exclude Ppn)]]</f>
        <v>0.23429927753059984</v>
      </c>
      <c r="AL300" s="465">
        <f>Table1[[#This Row],[RAB Perizinan]]/Table1[[#This Row],[Nilai RAB Jaringan
(Exclude Ppn)]]</f>
        <v>7.8249636087996954E-3</v>
      </c>
      <c r="AM300" s="42"/>
      <c r="AN300" s="346">
        <f>21+368+12.5</f>
        <v>401.5</v>
      </c>
      <c r="AO300" s="346">
        <f>SUM(Table1[[#This Row],[Pipa 63 mm]:[Pipa 1,800 mm]])</f>
        <v>0</v>
      </c>
      <c r="AP300" s="346"/>
      <c r="AQ300" s="346"/>
      <c r="AR300" s="346"/>
      <c r="AS300" s="346"/>
      <c r="AT300" s="346"/>
      <c r="AU300" s="346"/>
      <c r="AV300" s="346"/>
      <c r="AW300" s="346"/>
      <c r="AX300" s="346"/>
      <c r="AY300" s="346"/>
      <c r="AZ300" s="346"/>
      <c r="BA300" s="346"/>
      <c r="BB300" s="346"/>
      <c r="BC300" s="346"/>
      <c r="BD300" s="346"/>
      <c r="BE300" s="346"/>
      <c r="BF300" s="346"/>
      <c r="BG300" s="346"/>
      <c r="BH300" s="346"/>
      <c r="BI300" s="346"/>
      <c r="BJ300" s="347">
        <f>SUM(Table1[[#This Row],[Pipa 63 mm2]:[Pipa 1,800 mm21]])</f>
        <v>0</v>
      </c>
      <c r="BK300" s="348"/>
      <c r="BL300" s="348"/>
      <c r="BM300" s="348"/>
      <c r="BN300" s="348"/>
      <c r="BO300" s="348"/>
      <c r="BP300" s="348"/>
      <c r="BQ300" s="348"/>
      <c r="BR300" s="348"/>
      <c r="BS300" s="348"/>
      <c r="BT300" s="348"/>
      <c r="BU300" s="348"/>
      <c r="BV300" s="348"/>
      <c r="BW300" s="348"/>
      <c r="BX300" s="348"/>
      <c r="BY300" s="348"/>
      <c r="BZ300" s="348"/>
      <c r="CA300" s="348"/>
      <c r="CB300" s="348"/>
      <c r="CC300" s="348"/>
      <c r="CD300" s="348"/>
      <c r="CE300" s="348">
        <v>0</v>
      </c>
      <c r="CF300" s="348"/>
      <c r="CG300" s="348"/>
      <c r="CH300" s="348"/>
      <c r="CI300" s="348">
        <f t="shared" si="15"/>
        <v>0</v>
      </c>
      <c r="CJ300" s="410">
        <f>IF((Table1[[#This Row],["Volume
BA MC-0"]]-Table1[[#This Row],[Total Panjang Pipa Aktual
(Sum-&gt;)3]]-Table1[[#This Row],[Total Volume
tidak dapat dipasang]])&gt;=0,Table1[[#This Row],["Volume
BA MC-0"]]-Table1[[#This Row],[Total Panjang Pipa Aktual
(Sum-&gt;)3]]-Table1[[#This Row],[Total Volume
tidak dapat dipasang]],0)</f>
        <v>401.5</v>
      </c>
      <c r="CK300" s="42"/>
      <c r="CL300" s="466" t="s">
        <v>1821</v>
      </c>
      <c r="CM300" s="459" t="s">
        <v>1821</v>
      </c>
      <c r="CN300" s="466" t="s">
        <v>1821</v>
      </c>
      <c r="CO300" s="466" t="s">
        <v>1821</v>
      </c>
      <c r="CP300"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0" s="350">
        <f>IFERROR(Table1[[#This Row],[Progres Keg. Umum
(%)]]*Table1[[#This Row],[Nilai RAB Jaringan
(file pa aji)]],0)</f>
        <v>0</v>
      </c>
      <c r="CR300" s="350">
        <f>IFERROR(Table1[[#This Row],[Progres MOS
(%)]]*Table1[[#This Row],[Nilai RAB Jaringan
(file pa aji)]],0)</f>
        <v>0</v>
      </c>
      <c r="CS300" s="350">
        <f>IFERROR(Table1[[#This Row],[Progres Pemasangan
(%)]]*Table1[[#This Row],[Nilai RAB Jaringan
(file pa aji)]],0)</f>
        <v>0</v>
      </c>
      <c r="CT300" s="350">
        <f>IFERROR(Table1[[#This Row],[Progres Perizinan
(%)]]*Table1[[#This Row],[Nilai RAB Jaringan
(file pa aji)]],0)</f>
        <v>0</v>
      </c>
      <c r="CU300" s="789">
        <v>0</v>
      </c>
      <c r="CV300" s="299">
        <v>0</v>
      </c>
      <c r="CW300" s="551">
        <v>0</v>
      </c>
      <c r="CX300" s="789">
        <f>_xlfn.XLOOKUP(Table1[[#This Row],[Kode Program]],'[1]Breakdown VOWD Greenfield'!$E:$E,'[1]Breakdown VOWD Greenfield'!$AT:$AT)</f>
        <v>0</v>
      </c>
      <c r="CY300" s="42"/>
      <c r="CZ300" s="356">
        <v>45866</v>
      </c>
      <c r="DA300" s="356">
        <v>45893</v>
      </c>
      <c r="DB300" s="358">
        <v>45865</v>
      </c>
      <c r="DC300" s="337" t="s">
        <v>2381</v>
      </c>
      <c r="DD300" s="345">
        <v>666195366</v>
      </c>
      <c r="DE3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0" s="358">
        <v>45785</v>
      </c>
      <c r="DG300" s="337" t="s">
        <v>2382</v>
      </c>
      <c r="DH300" s="345">
        <v>666195366</v>
      </c>
      <c r="DI300" s="337"/>
      <c r="DJ300" s="356">
        <v>45894</v>
      </c>
      <c r="DK300" s="356">
        <v>45963</v>
      </c>
      <c r="DL300" s="358">
        <v>45896</v>
      </c>
      <c r="DM300" s="337" t="s">
        <v>2383</v>
      </c>
      <c r="DN300" s="352"/>
      <c r="DO300" s="358">
        <v>45968</v>
      </c>
      <c r="DP300" s="337" t="s">
        <v>2384</v>
      </c>
      <c r="DQ300" s="336" t="s">
        <v>783</v>
      </c>
      <c r="DR300" s="352"/>
      <c r="DS300" s="356">
        <v>45894</v>
      </c>
      <c r="DT300" s="356" t="e">
        <v>#N/A</v>
      </c>
      <c r="DU300" s="356">
        <v>45935</v>
      </c>
      <c r="DV300" s="356" t="e">
        <v>#N/A</v>
      </c>
      <c r="DW300" s="358">
        <v>45825</v>
      </c>
      <c r="DX300" s="337" t="s">
        <v>2225</v>
      </c>
      <c r="DY300" s="412"/>
      <c r="DZ300" s="412"/>
      <c r="EA300" s="352"/>
      <c r="EB300" s="358"/>
      <c r="EC300" s="412"/>
      <c r="ED300" s="412"/>
      <c r="EE300" s="356"/>
      <c r="EF300" s="341"/>
      <c r="EG300" s="341"/>
      <c r="EH300" s="337"/>
      <c r="EI30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0" s="356">
        <v>45936</v>
      </c>
      <c r="EK300" s="356" t="e">
        <v>#N/A</v>
      </c>
      <c r="EL300" s="356">
        <v>45991</v>
      </c>
      <c r="EM300" s="356" t="e">
        <v>#N/A</v>
      </c>
      <c r="EN300" s="358"/>
      <c r="EO300" s="412"/>
      <c r="EP300" s="337"/>
      <c r="EQ300" s="341"/>
      <c r="ER300" s="341"/>
      <c r="ES300" s="337"/>
      <c r="ET3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0" s="42"/>
      <c r="EV300" s="356">
        <v>45894</v>
      </c>
      <c r="EW300" s="356" t="e">
        <v>#N/A</v>
      </c>
      <c r="EX300" s="356">
        <v>45991</v>
      </c>
      <c r="EY300" s="356" t="e">
        <v>#N/A</v>
      </c>
      <c r="EZ300" s="354" t="s">
        <v>298</v>
      </c>
      <c r="FA300" s="355" t="s">
        <v>389</v>
      </c>
      <c r="FB300" s="356" t="s">
        <v>260</v>
      </c>
      <c r="FC300" s="300">
        <v>45943</v>
      </c>
      <c r="FD300" s="356" t="s">
        <v>260</v>
      </c>
      <c r="FE300" s="356">
        <v>45966</v>
      </c>
      <c r="FF300" s="356">
        <v>45995</v>
      </c>
      <c r="FG300" s="356" t="s">
        <v>260</v>
      </c>
      <c r="FH300" s="356" t="s">
        <v>260</v>
      </c>
      <c r="FI300" s="356">
        <v>46010</v>
      </c>
      <c r="FJ300" s="356" t="s">
        <v>260</v>
      </c>
      <c r="FK300" s="356"/>
      <c r="FL300" s="413" t="s">
        <v>298</v>
      </c>
      <c r="FM300" s="354">
        <v>45943</v>
      </c>
      <c r="FN300" s="336">
        <f>IF(Table1[[#This Row],[Tanggal Pengajuan Dokumen]]="","",Table1[[#This Row],[PLAN PERMIT
start]]-Table1[[#This Row],[Tanggal Pengajuan Dokumen]])</f>
        <v>-49</v>
      </c>
      <c r="FO300" s="414">
        <v>46097</v>
      </c>
      <c r="FP300" s="337"/>
      <c r="FQ300" s="336"/>
      <c r="FR300" s="336"/>
      <c r="FS300" s="336" t="str">
        <f t="shared" si="14"/>
        <v>On Going</v>
      </c>
      <c r="FT300"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0" s="357">
        <f ca="1">IF(Table1[[#This Row],[Status Izin]]="Selesai",Table1[[#This Row],[PLAN PERMIT
finish]]-Table1[[#This Row],[Tanggal Terbit/ Target Izin Terbit]],ROUNDUP(Table1[[#This Row],[PLAN PERMIT
finish]]-NOW(),0))</f>
        <v>-213</v>
      </c>
      <c r="FV300"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0" s="357"/>
      <c r="FX300" s="42"/>
      <c r="FY300" s="310"/>
      <c r="FZ300" s="311"/>
      <c r="GA3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0" s="356">
        <v>45965</v>
      </c>
      <c r="GC300" s="354">
        <v>45909</v>
      </c>
      <c r="GD300"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0" s="356">
        <v>45972</v>
      </c>
      <c r="GF300" s="354">
        <v>45909</v>
      </c>
      <c r="GG300"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0" s="356">
        <v>45978</v>
      </c>
      <c r="GI300" s="356">
        <v>45984</v>
      </c>
      <c r="GJ300" s="354">
        <v>45951</v>
      </c>
      <c r="GK300"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0" s="356">
        <v>45992</v>
      </c>
      <c r="GM300" s="356" t="e">
        <v>#N/A</v>
      </c>
      <c r="GN300" s="356">
        <v>46033</v>
      </c>
      <c r="GO300" s="356" t="e">
        <v>#N/A</v>
      </c>
      <c r="GP300" s="356"/>
      <c r="GQ300"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0" s="356" t="s">
        <v>261</v>
      </c>
      <c r="GS300" s="356" t="s">
        <v>261</v>
      </c>
      <c r="GT300" s="360"/>
      <c r="GU300" s="357" t="str">
        <f>IF(Table1[[#This Row],[Hydro Tes Actual
(tanggal)]]&lt;&gt;"","Sudah","Belum")</f>
        <v>Belum</v>
      </c>
      <c r="GV300" s="356" t="s">
        <v>261</v>
      </c>
      <c r="GW300" s="356" t="s">
        <v>261</v>
      </c>
      <c r="GX300" s="358"/>
      <c r="GY300" s="357" t="str">
        <f>IF(Table1[[#This Row],[Interkoneksi Actual
(tanggal)]]&lt;&gt;"","Sudah","Belum")</f>
        <v>Belum</v>
      </c>
      <c r="GZ300" s="356" t="s">
        <v>261</v>
      </c>
      <c r="HA300" s="356" t="s">
        <v>261</v>
      </c>
      <c r="HB300" s="358"/>
      <c r="HC300" s="357" t="str">
        <f>IF(Table1[[#This Row],[Flushing Actual
(tanggal)]]&lt;&gt;"","Sudah","Belum")</f>
        <v>Belum</v>
      </c>
      <c r="HD300" s="356">
        <v>46013</v>
      </c>
      <c r="HE300" s="356" t="e">
        <v>#N/A</v>
      </c>
      <c r="HF300" s="356">
        <v>46026</v>
      </c>
      <c r="HG300" s="354"/>
      <c r="HH300"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0" s="356" t="s">
        <v>261</v>
      </c>
      <c r="HJ300" s="356" t="s">
        <v>261</v>
      </c>
      <c r="HK300" s="358"/>
      <c r="HL300" s="337"/>
      <c r="HM300" s="356">
        <v>46038</v>
      </c>
      <c r="HN300" s="356">
        <v>46038</v>
      </c>
      <c r="HO300" s="356" t="e">
        <v>#N/A</v>
      </c>
      <c r="HP300" s="356"/>
      <c r="HQ300" s="358"/>
      <c r="HR300"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0" s="356">
        <v>46045</v>
      </c>
      <c r="HT300" s="356"/>
      <c r="HU300" s="356">
        <v>46045</v>
      </c>
      <c r="HV300" s="356"/>
      <c r="HW300" s="358"/>
      <c r="HX300"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0" s="42"/>
      <c r="HZ300" s="354" t="s">
        <v>2199</v>
      </c>
      <c r="IA300" s="354"/>
      <c r="IC300" s="585">
        <f>IFERROR(ROUND((Table1[[#This Row],[PLAN TC
finish]]-Table1[[#This Row],[PLAN MC-0
start]])/30,2),"")</f>
        <v>1.6</v>
      </c>
      <c r="ID300">
        <f>DATEDIF(Table1[[#This Row],[PLAN MC-0
start]],Table1[[#This Row],[PLAN TC
finish]],"m")</f>
        <v>1</v>
      </c>
    </row>
    <row r="301" spans="1:238" s="30" customFormat="1" ht="15" customHeight="1" x14ac:dyDescent="0.25">
      <c r="A301" s="72"/>
      <c r="B301" s="281">
        <f>SUBTOTAL(3,$D$5:D301)</f>
        <v>297</v>
      </c>
      <c r="C301" s="337">
        <v>297</v>
      </c>
      <c r="D301" s="336" t="s">
        <v>244</v>
      </c>
      <c r="E301" s="336" t="s">
        <v>2385</v>
      </c>
      <c r="F301" s="336" t="s">
        <v>2386</v>
      </c>
      <c r="G301" s="334">
        <v>46117</v>
      </c>
      <c r="H301" s="336" t="s">
        <v>681</v>
      </c>
      <c r="I301" s="336" t="s">
        <v>278</v>
      </c>
      <c r="J301" s="355" t="s">
        <v>389</v>
      </c>
      <c r="K301" s="336" t="s">
        <v>1165</v>
      </c>
      <c r="L301" s="337" t="s">
        <v>250</v>
      </c>
      <c r="M301" s="362" t="s">
        <v>269</v>
      </c>
      <c r="N301" s="338">
        <v>121</v>
      </c>
      <c r="O301" s="339" t="s">
        <v>252</v>
      </c>
      <c r="P301"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1" s="355" t="s">
        <v>389</v>
      </c>
      <c r="R301" s="341">
        <v>1.0000000000000002</v>
      </c>
      <c r="S301" s="34">
        <v>1</v>
      </c>
      <c r="T301" s="459">
        <f>Table1[[#This Row],[Progres Total Aktual
(%)]]</f>
        <v>0</v>
      </c>
      <c r="U301" s="460">
        <f>Table1[[#This Row],[Progres Aktual
(%)]]-Table1[[#This Row],[Target Progres
(%)]]</f>
        <v>-1</v>
      </c>
      <c r="V301" s="461">
        <f>Table1[[#This Row],["Volume
BA MC-0"]]</f>
        <v>115</v>
      </c>
      <c r="W301" s="462">
        <f>Table1[[#This Row],[Total Panjang Pipa Aktual
(Sum-&gt;)3]]</f>
        <v>0</v>
      </c>
      <c r="X301" s="42"/>
      <c r="Y301" s="345" t="s">
        <v>2387</v>
      </c>
      <c r="Z301" s="345">
        <v>169308555</v>
      </c>
      <c r="AA301" s="345">
        <f>ROUND((Table1[[#This Row],[Nilai RAB Jaringan
(Exclude Ppn)]]-Table1[[#This Row],[RAB Perizinan]])*1.11+Table1[[#This Row],[RAB Perizinan]],0)</f>
        <v>169308554</v>
      </c>
      <c r="AB301" s="463">
        <f>SUM(Table1[[#This Row],[RAB Kegiatan Umum]:[RAB Perizinan]])</f>
        <v>152650139</v>
      </c>
      <c r="AC301" s="409">
        <v>10354350</v>
      </c>
      <c r="AD301" s="409">
        <v>103543498</v>
      </c>
      <c r="AE301" s="409">
        <v>37542291</v>
      </c>
      <c r="AF301" s="409">
        <v>1210000</v>
      </c>
      <c r="AG301" s="464">
        <v>37926696</v>
      </c>
      <c r="AH301" s="465">
        <f>SUM(Table1[[#This Row],[Bobot Keg Umum]:[Bobot Perizinan]])</f>
        <v>0.99999999999999989</v>
      </c>
      <c r="AI301" s="465">
        <f>Table1[[#This Row],[RAB Kegiatan Umum]]/Table1[[#This Row],[Nilai RAB Jaringan
(Exclude Ppn)]]</f>
        <v>6.7830596603649346E-2</v>
      </c>
      <c r="AJ301" s="465">
        <f>Table1[[#This Row],[RAB Pemasangan]]/Table1[[#This Row],[Nilai RAB Jaringan
(Exclude Ppn)]]</f>
        <v>0.67830595293463836</v>
      </c>
      <c r="AK301" s="465">
        <f>Table1[[#This Row],[RAB Pengadaan]]/Table1[[#This Row],[Nilai RAB Jaringan
(Exclude Ppn)]]</f>
        <v>0.24593682813482404</v>
      </c>
      <c r="AL301" s="465">
        <f>Table1[[#This Row],[RAB Perizinan]]/Table1[[#This Row],[Nilai RAB Jaringan
(Exclude Ppn)]]</f>
        <v>7.9266223268882833E-3</v>
      </c>
      <c r="AM301" s="42"/>
      <c r="AN301" s="346">
        <v>115</v>
      </c>
      <c r="AO301" s="346">
        <f>SUM(Table1[[#This Row],[Pipa 63 mm]:[Pipa 1,800 mm]])</f>
        <v>0</v>
      </c>
      <c r="AP301" s="346"/>
      <c r="AQ301" s="346"/>
      <c r="AR301" s="346"/>
      <c r="AS301" s="346"/>
      <c r="AT301" s="346"/>
      <c r="AU301" s="346"/>
      <c r="AV301" s="346"/>
      <c r="AW301" s="346"/>
      <c r="AX301" s="346"/>
      <c r="AY301" s="346"/>
      <c r="AZ301" s="346"/>
      <c r="BA301" s="346"/>
      <c r="BB301" s="346"/>
      <c r="BC301" s="346"/>
      <c r="BD301" s="346"/>
      <c r="BE301" s="346"/>
      <c r="BF301" s="346"/>
      <c r="BG301" s="346"/>
      <c r="BH301" s="346"/>
      <c r="BI301" s="346"/>
      <c r="BJ301" s="347">
        <f>SUM(Table1[[#This Row],[Pipa 63 mm2]:[Pipa 1,800 mm21]])</f>
        <v>0</v>
      </c>
      <c r="BK301" s="348"/>
      <c r="BL301" s="348"/>
      <c r="BM301" s="348"/>
      <c r="BN301" s="348"/>
      <c r="BO301" s="348"/>
      <c r="BP301" s="348"/>
      <c r="BQ301" s="348"/>
      <c r="BR301" s="348"/>
      <c r="BS301" s="348"/>
      <c r="BT301" s="348"/>
      <c r="BU301" s="348"/>
      <c r="BV301" s="348"/>
      <c r="BW301" s="348"/>
      <c r="BX301" s="348"/>
      <c r="BY301" s="348"/>
      <c r="BZ301" s="348"/>
      <c r="CA301" s="348"/>
      <c r="CB301" s="348"/>
      <c r="CC301" s="348"/>
      <c r="CD301" s="348"/>
      <c r="CE301" s="348">
        <v>0</v>
      </c>
      <c r="CF301" s="348"/>
      <c r="CG301" s="348"/>
      <c r="CH301" s="348"/>
      <c r="CI301" s="348">
        <f t="shared" si="15"/>
        <v>0</v>
      </c>
      <c r="CJ301" s="410">
        <f>IF((Table1[[#This Row],["Volume
BA MC-0"]]-Table1[[#This Row],[Total Panjang Pipa Aktual
(Sum-&gt;)3]]-Table1[[#This Row],[Total Volume
tidak dapat dipasang]])&gt;=0,Table1[[#This Row],["Volume
BA MC-0"]]-Table1[[#This Row],[Total Panjang Pipa Aktual
(Sum-&gt;)3]]-Table1[[#This Row],[Total Volume
tidak dapat dipasang]],0)</f>
        <v>115</v>
      </c>
      <c r="CK301" s="42"/>
      <c r="CL301" s="341" t="s">
        <v>1821</v>
      </c>
      <c r="CM301" s="341" t="s">
        <v>1821</v>
      </c>
      <c r="CN301" s="341" t="s">
        <v>1821</v>
      </c>
      <c r="CO301" s="341" t="s">
        <v>1821</v>
      </c>
      <c r="CP301"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1" s="350">
        <f>IFERROR(Table1[[#This Row],[Progres Keg. Umum
(%)]]*Table1[[#This Row],[Nilai RAB Jaringan
(file pa aji)]],0)</f>
        <v>0</v>
      </c>
      <c r="CR301" s="350">
        <f>IFERROR(Table1[[#This Row],[Progres MOS
(%)]]*Table1[[#This Row],[Nilai RAB Jaringan
(file pa aji)]],0)</f>
        <v>0</v>
      </c>
      <c r="CS301" s="350">
        <f>IFERROR(Table1[[#This Row],[Progres Pemasangan
(%)]]*Table1[[#This Row],[Nilai RAB Jaringan
(file pa aji)]],0)</f>
        <v>0</v>
      </c>
      <c r="CT301" s="350">
        <f>IFERROR(Table1[[#This Row],[Progres Perizinan
(%)]]*Table1[[#This Row],[Nilai RAB Jaringan
(file pa aji)]],0)</f>
        <v>0</v>
      </c>
      <c r="CU301" s="789">
        <v>0</v>
      </c>
      <c r="CV301" s="299">
        <v>0</v>
      </c>
      <c r="CW301" s="551">
        <v>0</v>
      </c>
      <c r="CX301" s="789">
        <f>_xlfn.XLOOKUP(Table1[[#This Row],[Kode Program]],'[1]Breakdown VOWD Greenfield'!$E:$E,'[1]Breakdown VOWD Greenfield'!$AT:$AT)</f>
        <v>0</v>
      </c>
      <c r="CY301" s="42"/>
      <c r="CZ301" s="356">
        <v>45866</v>
      </c>
      <c r="DA301" s="356">
        <v>45893</v>
      </c>
      <c r="DB301" s="358">
        <v>45865</v>
      </c>
      <c r="DC301" s="337" t="s">
        <v>2388</v>
      </c>
      <c r="DD301" s="468">
        <v>169308554</v>
      </c>
      <c r="DE3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1" s="358">
        <v>45884</v>
      </c>
      <c r="DG301" s="337" t="s">
        <v>2389</v>
      </c>
      <c r="DH301" s="468">
        <v>169308554</v>
      </c>
      <c r="DI301" s="337"/>
      <c r="DJ301" s="356">
        <v>45894</v>
      </c>
      <c r="DK301" s="356">
        <v>45956</v>
      </c>
      <c r="DL301" s="358">
        <v>45943</v>
      </c>
      <c r="DM301" s="337" t="s">
        <v>2390</v>
      </c>
      <c r="DN301" s="352"/>
      <c r="DO301" s="358">
        <v>45968</v>
      </c>
      <c r="DP301" s="337" t="s">
        <v>2391</v>
      </c>
      <c r="DQ301" s="336" t="s">
        <v>783</v>
      </c>
      <c r="DR301" s="352"/>
      <c r="DS301" s="356">
        <v>45894</v>
      </c>
      <c r="DT301" s="356" t="e">
        <v>#N/A</v>
      </c>
      <c r="DU301" s="356">
        <v>45935</v>
      </c>
      <c r="DV301" s="356" t="e">
        <v>#N/A</v>
      </c>
      <c r="DW301" s="358">
        <v>45825</v>
      </c>
      <c r="DX301" s="337" t="s">
        <v>2225</v>
      </c>
      <c r="DY301" s="412"/>
      <c r="DZ301" s="412"/>
      <c r="EA301" s="352"/>
      <c r="EB301" s="358"/>
      <c r="EC301" s="412"/>
      <c r="ED301" s="412"/>
      <c r="EE301" s="356"/>
      <c r="EF301" s="341"/>
      <c r="EG301" s="341"/>
      <c r="EH301" s="337"/>
      <c r="EI301"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1" s="356">
        <v>45936</v>
      </c>
      <c r="EK301" s="356" t="e">
        <v>#N/A</v>
      </c>
      <c r="EL301" s="356">
        <v>45984</v>
      </c>
      <c r="EM301" s="356" t="e">
        <v>#N/A</v>
      </c>
      <c r="EN301" s="358"/>
      <c r="EO301" s="412"/>
      <c r="EP301" s="337"/>
      <c r="EQ301" s="341"/>
      <c r="ER301" s="341"/>
      <c r="ES301" s="337"/>
      <c r="ET3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1" s="42"/>
      <c r="EV301" s="356">
        <v>45894</v>
      </c>
      <c r="EW301" s="356" t="e">
        <v>#N/A</v>
      </c>
      <c r="EX301" s="356">
        <v>45984</v>
      </c>
      <c r="EY301" s="356" t="e">
        <v>#N/A</v>
      </c>
      <c r="EZ301" s="354" t="s">
        <v>298</v>
      </c>
      <c r="FA301" s="355" t="s">
        <v>389</v>
      </c>
      <c r="FB301" s="356" t="s">
        <v>260</v>
      </c>
      <c r="FC301" s="300">
        <v>45943</v>
      </c>
      <c r="FD301" s="356" t="s">
        <v>260</v>
      </c>
      <c r="FE301" s="356">
        <v>45966</v>
      </c>
      <c r="FF301" s="356">
        <v>45995</v>
      </c>
      <c r="FG301" s="356" t="s">
        <v>260</v>
      </c>
      <c r="FH301" s="356" t="s">
        <v>260</v>
      </c>
      <c r="FI301" s="356">
        <v>46010</v>
      </c>
      <c r="FJ301" s="356" t="s">
        <v>260</v>
      </c>
      <c r="FK301" s="356"/>
      <c r="FL301" s="413" t="s">
        <v>298</v>
      </c>
      <c r="FM301" s="354">
        <v>45943</v>
      </c>
      <c r="FN301" s="336">
        <f>IF(Table1[[#This Row],[Tanggal Pengajuan Dokumen]]="","",Table1[[#This Row],[PLAN PERMIT
start]]-Table1[[#This Row],[Tanggal Pengajuan Dokumen]])</f>
        <v>-49</v>
      </c>
      <c r="FO301" s="414">
        <v>46097</v>
      </c>
      <c r="FP301" s="337"/>
      <c r="FQ301" s="336"/>
      <c r="FR301" s="336"/>
      <c r="FS301" s="336" t="str">
        <f t="shared" si="14"/>
        <v>On Going</v>
      </c>
      <c r="FT301"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1" s="357">
        <f ca="1">IF(Table1[[#This Row],[Status Izin]]="Selesai",Table1[[#This Row],[PLAN PERMIT
finish]]-Table1[[#This Row],[Tanggal Terbit/ Target Izin Terbit]],ROUNDUP(Table1[[#This Row],[PLAN PERMIT
finish]]-NOW(),0))</f>
        <v>-220</v>
      </c>
      <c r="FV301"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1" s="357"/>
      <c r="FX301" s="42"/>
      <c r="FY301" s="310"/>
      <c r="FZ301" s="311"/>
      <c r="GA3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1" s="356">
        <v>45958</v>
      </c>
      <c r="GC301" s="354">
        <v>45909</v>
      </c>
      <c r="GD301"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1" s="356">
        <v>45965</v>
      </c>
      <c r="GF301" s="354">
        <v>45909</v>
      </c>
      <c r="GG301"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1" s="356">
        <v>45971</v>
      </c>
      <c r="GI301" s="356">
        <v>45977</v>
      </c>
      <c r="GJ301" s="354">
        <v>45951</v>
      </c>
      <c r="GK301"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1" s="356">
        <v>45985</v>
      </c>
      <c r="GM301" s="356" t="e">
        <v>#N/A</v>
      </c>
      <c r="GN301" s="356">
        <v>46005</v>
      </c>
      <c r="GO301" s="356" t="e">
        <v>#N/A</v>
      </c>
      <c r="GP301" s="356"/>
      <c r="GQ301"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1" s="356" t="s">
        <v>261</v>
      </c>
      <c r="GS301" s="356" t="s">
        <v>261</v>
      </c>
      <c r="GT301" s="360"/>
      <c r="GU301" s="357" t="str">
        <f>IF(Table1[[#This Row],[Hydro Tes Actual
(tanggal)]]&lt;&gt;"","Sudah","Belum")</f>
        <v>Belum</v>
      </c>
      <c r="GV301" s="356" t="s">
        <v>261</v>
      </c>
      <c r="GW301" s="356" t="s">
        <v>261</v>
      </c>
      <c r="GX301" s="358"/>
      <c r="GY301" s="357" t="str">
        <f>IF(Table1[[#This Row],[Interkoneksi Actual
(tanggal)]]&lt;&gt;"","Sudah","Belum")</f>
        <v>Belum</v>
      </c>
      <c r="GZ301" s="356" t="s">
        <v>261</v>
      </c>
      <c r="HA301" s="356" t="s">
        <v>261</v>
      </c>
      <c r="HB301" s="358"/>
      <c r="HC301" s="357" t="str">
        <f>IF(Table1[[#This Row],[Flushing Actual
(tanggal)]]&lt;&gt;"","Sudah","Belum")</f>
        <v>Belum</v>
      </c>
      <c r="HD301" s="356">
        <v>45992</v>
      </c>
      <c r="HE301" s="356" t="e">
        <v>#N/A</v>
      </c>
      <c r="HF301" s="356">
        <v>46005</v>
      </c>
      <c r="HG301" s="354"/>
      <c r="HH301"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1" s="356" t="s">
        <v>261</v>
      </c>
      <c r="HJ301" s="356" t="s">
        <v>261</v>
      </c>
      <c r="HK301" s="358"/>
      <c r="HL301" s="337"/>
      <c r="HM301" s="356">
        <v>46010</v>
      </c>
      <c r="HN301" s="356">
        <v>46010</v>
      </c>
      <c r="HO301" s="356" t="e">
        <v>#N/A</v>
      </c>
      <c r="HP301" s="356"/>
      <c r="HQ301" s="358"/>
      <c r="HR301"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1" s="356">
        <v>46017</v>
      </c>
      <c r="HT301" s="356"/>
      <c r="HU301" s="356">
        <v>46017</v>
      </c>
      <c r="HV301" s="356"/>
      <c r="HW301" s="358"/>
      <c r="HX301"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1" s="42"/>
      <c r="HZ301" s="354" t="s">
        <v>2199</v>
      </c>
      <c r="IA301" s="354"/>
      <c r="IC301" s="585">
        <f>IFERROR(ROUND((Table1[[#This Row],[PLAN TC
finish]]-Table1[[#This Row],[PLAN MC-0
start]])/30,2),"")</f>
        <v>1.1299999999999999</v>
      </c>
      <c r="ID301">
        <f>DATEDIF(Table1[[#This Row],[PLAN MC-0
start]],Table1[[#This Row],[PLAN TC
finish]],"m")</f>
        <v>1</v>
      </c>
    </row>
    <row r="302" spans="1:238" s="4" customFormat="1" ht="15" customHeight="1" x14ac:dyDescent="0.25">
      <c r="B302" s="281">
        <f>SUBTOTAL(3,$D$5:D302)</f>
        <v>298</v>
      </c>
      <c r="C302" s="286">
        <v>298</v>
      </c>
      <c r="D302" s="308" t="s">
        <v>244</v>
      </c>
      <c r="E302" s="308" t="s">
        <v>2392</v>
      </c>
      <c r="F302" s="308" t="s">
        <v>2393</v>
      </c>
      <c r="G302" s="319">
        <v>46117</v>
      </c>
      <c r="H302" s="308" t="s">
        <v>681</v>
      </c>
      <c r="I302" s="308" t="s">
        <v>278</v>
      </c>
      <c r="J302" s="450" t="s">
        <v>1830</v>
      </c>
      <c r="K302" s="308" t="s">
        <v>1165</v>
      </c>
      <c r="L302" s="286" t="s">
        <v>250</v>
      </c>
      <c r="M302" s="325" t="s">
        <v>269</v>
      </c>
      <c r="N302" s="94">
        <v>101</v>
      </c>
      <c r="O302" s="31" t="s">
        <v>252</v>
      </c>
      <c r="P30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2" s="35">
        <v>0.99999999999999978</v>
      </c>
      <c r="S302" s="34">
        <v>1</v>
      </c>
      <c r="T302" s="34">
        <f>Table1[[#This Row],[Progres Total Aktual
(%)]]</f>
        <v>1</v>
      </c>
      <c r="U302" s="85">
        <f>Table1[[#This Row],[Progres Aktual
(%)]]-Table1[[#This Row],[Target Progres
(%)]]</f>
        <v>0</v>
      </c>
      <c r="V302" s="75">
        <f>Table1[[#This Row],["Volume
BA MC-0"]]</f>
        <v>96.5</v>
      </c>
      <c r="W302" s="41">
        <f>Table1[[#This Row],[Total Panjang Pipa Aktual
(Sum-&gt;)3]]</f>
        <v>83</v>
      </c>
      <c r="X302" s="42"/>
      <c r="Y302" s="62" t="s">
        <v>2394</v>
      </c>
      <c r="Z302" s="62">
        <v>145239240</v>
      </c>
      <c r="AA302" s="62">
        <f>ROUND((Table1[[#This Row],[Nilai RAB Jaringan
(Exclude Ppn)]]-Table1[[#This Row],[RAB Perizinan]])*1.11+Table1[[#This Row],[RAB Perizinan]],0)</f>
        <v>145239240</v>
      </c>
      <c r="AB302" s="456">
        <f>SUM(Table1[[#This Row],[RAB Kegiatan Umum]:[RAB Perizinan]])</f>
        <v>130946252</v>
      </c>
      <c r="AC302" s="406">
        <v>8017036</v>
      </c>
      <c r="AD302" s="406">
        <v>80170362</v>
      </c>
      <c r="AE302" s="406">
        <v>41748854</v>
      </c>
      <c r="AF302" s="406">
        <v>1010000</v>
      </c>
      <c r="AG302" s="453">
        <v>42140773</v>
      </c>
      <c r="AH302" s="33">
        <f>SUM(Table1[[#This Row],[Bobot Keg Umum]:[Bobot Perizinan]])</f>
        <v>1.0000000000000002</v>
      </c>
      <c r="AI302" s="33">
        <f>Table1[[#This Row],[RAB Kegiatan Umum]]/Table1[[#This Row],[Nilai RAB Jaringan
(Exclude Ppn)]]</f>
        <v>6.1223867636929385E-2</v>
      </c>
      <c r="AJ302" s="33">
        <f>Table1[[#This Row],[RAB Pemasangan]]/Table1[[#This Row],[Nilai RAB Jaringan
(Exclude Ppn)]]</f>
        <v>0.61223869164273603</v>
      </c>
      <c r="AK302" s="33">
        <f>Table1[[#This Row],[RAB Pengadaan]]/Table1[[#This Row],[Nilai RAB Jaringan
(Exclude Ppn)]]</f>
        <v>0.31882435245263835</v>
      </c>
      <c r="AL302" s="33">
        <f>Table1[[#This Row],[RAB Perizinan]]/Table1[[#This Row],[Nilai RAB Jaringan
(Exclude Ppn)]]</f>
        <v>7.7130882676962756E-3</v>
      </c>
      <c r="AM302" s="42"/>
      <c r="AN302" s="256">
        <v>96.5</v>
      </c>
      <c r="AO302" s="256">
        <f>SUM(Table1[[#This Row],[Pipa 63 mm]:[Pipa 1,800 mm]])</f>
        <v>0</v>
      </c>
      <c r="AP302" s="256"/>
      <c r="AQ302" s="256"/>
      <c r="AR302" s="256"/>
      <c r="AS302" s="256"/>
      <c r="AT302" s="256"/>
      <c r="AU302" s="256"/>
      <c r="AV302" s="256"/>
      <c r="AW302" s="256"/>
      <c r="AX302" s="256"/>
      <c r="AY302" s="256"/>
      <c r="AZ302" s="256"/>
      <c r="BA302" s="256"/>
      <c r="BB302" s="256"/>
      <c r="BC302" s="256"/>
      <c r="BD302" s="256"/>
      <c r="BE302" s="256"/>
      <c r="BF302" s="256"/>
      <c r="BG302" s="256"/>
      <c r="BH302" s="256"/>
      <c r="BI302" s="256"/>
      <c r="BJ302" s="36">
        <f>SUM(Table1[[#This Row],[Pipa 63 mm2]:[Pipa 1,800 mm21]])</f>
        <v>83</v>
      </c>
      <c r="BK302" s="32">
        <v>83</v>
      </c>
      <c r="BL302" s="32"/>
      <c r="BM302" s="32"/>
      <c r="BN302" s="32"/>
      <c r="BO302" s="32"/>
      <c r="BP302" s="32"/>
      <c r="BQ302" s="32"/>
      <c r="BR302" s="32"/>
      <c r="BS302" s="32"/>
      <c r="BT302" s="32"/>
      <c r="BU302" s="32"/>
      <c r="BV302" s="32"/>
      <c r="BW302" s="32"/>
      <c r="BX302" s="32"/>
      <c r="BY302" s="32"/>
      <c r="BZ302" s="32"/>
      <c r="CA302" s="32"/>
      <c r="CB302" s="32"/>
      <c r="CC302" s="32"/>
      <c r="CD302" s="32"/>
      <c r="CE302" s="32">
        <v>0</v>
      </c>
      <c r="CF302" s="32"/>
      <c r="CG302" s="32"/>
      <c r="CH302" s="32"/>
      <c r="CI302" s="32">
        <f t="shared" si="15"/>
        <v>0</v>
      </c>
      <c r="CJ302" s="60">
        <f>IF((Table1[[#This Row],["Volume
BA MC-0"]]-Table1[[#This Row],[Total Panjang Pipa Aktual
(Sum-&gt;)3]]-Table1[[#This Row],[Total Volume
tidak dapat dipasang]])&gt;=0,Table1[[#This Row],["Volume
BA MC-0"]]-Table1[[#This Row],[Total Panjang Pipa Aktual
(Sum-&gt;)3]]-Table1[[#This Row],[Total Volume
tidak dapat dipasang]],0)</f>
        <v>13.5</v>
      </c>
      <c r="CK302" s="42"/>
      <c r="CL302" s="454" t="s">
        <v>1821</v>
      </c>
      <c r="CM302" s="34" t="s">
        <v>1821</v>
      </c>
      <c r="CN302" s="454" t="s">
        <v>1821</v>
      </c>
      <c r="CO302" s="454" t="s">
        <v>1821</v>
      </c>
      <c r="CP30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2" s="61">
        <f>IFERROR(Table1[[#This Row],[Progres Keg. Umum
(%)]]*Table1[[#This Row],[Nilai RAB Jaringan
(file pa aji)]],0)</f>
        <v>0</v>
      </c>
      <c r="CR302" s="61">
        <f>IFERROR(Table1[[#This Row],[Progres MOS
(%)]]*Table1[[#This Row],[Nilai RAB Jaringan
(file pa aji)]],0)</f>
        <v>0</v>
      </c>
      <c r="CS302" s="61">
        <f>IFERROR(Table1[[#This Row],[Progres Pemasangan
(%)]]*Table1[[#This Row],[Nilai RAB Jaringan
(file pa aji)]],0)</f>
        <v>0</v>
      </c>
      <c r="CT302" s="61">
        <f>IFERROR(Table1[[#This Row],[Progres Perizinan
(%)]]*Table1[[#This Row],[Nilai RAB Jaringan
(file pa aji)]],0)</f>
        <v>0</v>
      </c>
      <c r="CU302" s="789">
        <v>132431518</v>
      </c>
      <c r="CV302" s="299">
        <v>132431518</v>
      </c>
      <c r="CW302" s="552">
        <v>132431518</v>
      </c>
      <c r="CX302" s="789">
        <f>_xlfn.XLOOKUP(Table1[[#This Row],[Kode Program]],'[1]Breakdown VOWD Greenfield'!$E:$E,'[1]Breakdown VOWD Greenfield'!$AT:$AT)</f>
        <v>132431518</v>
      </c>
      <c r="CY302" s="42"/>
      <c r="CZ302" s="300">
        <v>45866</v>
      </c>
      <c r="DA302" s="300">
        <v>45893</v>
      </c>
      <c r="DB302" s="301">
        <v>45943</v>
      </c>
      <c r="DC302" s="286" t="s">
        <v>2395</v>
      </c>
      <c r="DD302" s="469">
        <v>145239240</v>
      </c>
      <c r="DE3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2" s="301">
        <v>45957</v>
      </c>
      <c r="DG302" s="286" t="s">
        <v>2396</v>
      </c>
      <c r="DH302" s="469">
        <v>145239240</v>
      </c>
      <c r="DI3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2" s="300">
        <v>45894</v>
      </c>
      <c r="DK302" s="300">
        <v>45956</v>
      </c>
      <c r="DL302" s="301">
        <v>45964</v>
      </c>
      <c r="DM302" s="286" t="s">
        <v>2397</v>
      </c>
      <c r="DN3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2" s="301">
        <v>45968</v>
      </c>
      <c r="DP302" s="286" t="s">
        <v>2391</v>
      </c>
      <c r="DQ302" s="308" t="s">
        <v>783</v>
      </c>
      <c r="DR3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2" s="300">
        <v>45894</v>
      </c>
      <c r="DT302" s="300" t="e">
        <v>#N/A</v>
      </c>
      <c r="DU302" s="300">
        <v>45935</v>
      </c>
      <c r="DV302" s="300" t="e">
        <v>#N/A</v>
      </c>
      <c r="DW302" s="301">
        <v>45964</v>
      </c>
      <c r="DX302" s="286" t="s">
        <v>2398</v>
      </c>
      <c r="DY302" s="302">
        <v>33</v>
      </c>
      <c r="DZ302" s="304">
        <v>33</v>
      </c>
      <c r="EA3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2" s="301">
        <v>46008</v>
      </c>
      <c r="EC302" s="302">
        <v>30</v>
      </c>
      <c r="ED302" s="302">
        <v>30</v>
      </c>
      <c r="EE302" s="395" t="s">
        <v>2399</v>
      </c>
      <c r="EF302" s="35">
        <v>1</v>
      </c>
      <c r="EG302" s="307">
        <v>1</v>
      </c>
      <c r="EH302" s="286" t="str">
        <f>IF(Table1[[#This Row],[PO Material Aktual 
(%)]]&gt;=100%,"Selesai PO = 100%",IF(Table1[[#This Row],[PO Material Aktual 
(%)]]&gt;=50%,"Proses PO &gt; 100%",IF(Table1[[#This Row],[PO Material Aktual 
(%)]]&gt;0%,"Proses PO &gt; 50%",IF(Table1[[#This Row],[PO Material Aktual 
(%)]]=0,"Belum PO = 0%"))))</f>
        <v>Selesai PO = 100%</v>
      </c>
      <c r="EI30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2" s="300">
        <v>45936</v>
      </c>
      <c r="EK302" s="300" t="e">
        <v>#N/A</v>
      </c>
      <c r="EL302" s="300">
        <v>45984</v>
      </c>
      <c r="EM302" s="300" t="e">
        <v>#N/A</v>
      </c>
      <c r="EN302" s="301">
        <v>46091</v>
      </c>
      <c r="EO302" s="302">
        <v>29</v>
      </c>
      <c r="EP302" s="595">
        <v>29</v>
      </c>
      <c r="EQ302" s="35">
        <v>0.87878787878787878</v>
      </c>
      <c r="ER302" s="35">
        <f>Table1[[#This Row],[Line MOS]]/Table1[[#This Row],[Line PR]]</f>
        <v>0.87878787878787878</v>
      </c>
      <c r="ES302" s="286" t="str">
        <f>IF(Table1[[#This Row],[Progres MOS]]&gt;=100%,"Selesai MOS = 100%",IF(Table1[[#This Row],[Progres MOS]]&gt;=50%,"Proses MOS &gt; 100%",IF(Table1[[#This Row],[Progres MOS]]&gt;0%,"Proses MOS &gt; 50%",IF(Table1[[#This Row],[Progres MOS]]=0,"Belum MOS = 0%"))))</f>
        <v>Proses MOS &gt; 100%</v>
      </c>
      <c r="ET3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2" s="42"/>
      <c r="EV302" s="300">
        <v>45894</v>
      </c>
      <c r="EW302" s="300" t="e">
        <v>#N/A</v>
      </c>
      <c r="EX302" s="300">
        <v>45984</v>
      </c>
      <c r="EY302" s="300" t="e">
        <v>#N/A</v>
      </c>
      <c r="EZ302" s="322" t="s">
        <v>298</v>
      </c>
      <c r="FA302" s="306" t="s">
        <v>259</v>
      </c>
      <c r="FB302" s="300" t="s">
        <v>260</v>
      </c>
      <c r="FC302" s="300">
        <v>45943</v>
      </c>
      <c r="FD302" s="300" t="s">
        <v>260</v>
      </c>
      <c r="FE302" s="300">
        <v>45966</v>
      </c>
      <c r="FF302" s="300">
        <v>45995</v>
      </c>
      <c r="FG302" s="300" t="s">
        <v>260</v>
      </c>
      <c r="FH302" s="300" t="s">
        <v>260</v>
      </c>
      <c r="FI302" s="300">
        <v>46010</v>
      </c>
      <c r="FJ302" s="300" t="s">
        <v>260</v>
      </c>
      <c r="FK302" s="300">
        <v>46114</v>
      </c>
      <c r="FL302" s="306" t="s">
        <v>298</v>
      </c>
      <c r="FM302" s="322">
        <v>45943</v>
      </c>
      <c r="FN302" s="308">
        <f>IF(Table1[[#This Row],[Tanggal Pengajuan Dokumen]]="","",Table1[[#This Row],[PLAN PERMIT
start]]-Table1[[#This Row],[Tanggal Pengajuan Dokumen]])</f>
        <v>-49</v>
      </c>
      <c r="FO302" s="407">
        <v>46097</v>
      </c>
      <c r="FP302" s="286"/>
      <c r="FQ302" s="308"/>
      <c r="FR302" s="308"/>
      <c r="FS302" s="308" t="str">
        <f t="shared" si="14"/>
        <v>Sudah Terbit</v>
      </c>
      <c r="FT3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2" s="314">
        <f ca="1">IF(Table1[[#This Row],[Status Izin]]="Selesai",Table1[[#This Row],[PLAN PERMIT
finish]]-Table1[[#This Row],[Tanggal Terbit/ Target Izin Terbit]],ROUNDUP(Table1[[#This Row],[PLAN PERMIT
finish]]-NOW(),0))</f>
        <v>-113</v>
      </c>
      <c r="FV3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2" s="314"/>
      <c r="FX302" s="42"/>
      <c r="FY302" s="310"/>
      <c r="FZ302" s="311"/>
      <c r="GA3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2" s="300">
        <v>45958</v>
      </c>
      <c r="GC302" s="322">
        <v>45978</v>
      </c>
      <c r="GD3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02" s="300">
        <v>45965</v>
      </c>
      <c r="GF302" s="322">
        <v>45978</v>
      </c>
      <c r="GG3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02" s="300">
        <v>45971</v>
      </c>
      <c r="GI302" s="300">
        <v>45977</v>
      </c>
      <c r="GJ302" s="322">
        <v>45982</v>
      </c>
      <c r="GK3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02" s="300">
        <v>45985</v>
      </c>
      <c r="GM302" s="300" t="e">
        <v>#N/A</v>
      </c>
      <c r="GN302" s="300">
        <v>46005</v>
      </c>
      <c r="GO302" s="300" t="e">
        <v>#N/A</v>
      </c>
      <c r="GP302" s="300"/>
      <c r="GQ3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2" s="300" t="s">
        <v>261</v>
      </c>
      <c r="GS302" s="300" t="s">
        <v>261</v>
      </c>
      <c r="GT302" s="324">
        <v>46027</v>
      </c>
      <c r="GU302" s="314" t="str">
        <f>IF(Table1[[#This Row],[Hydro Tes Actual
(tanggal)]]&lt;&gt;"","Sudah","Belum")</f>
        <v>Sudah</v>
      </c>
      <c r="GV302" s="300" t="s">
        <v>261</v>
      </c>
      <c r="GW302" s="300" t="s">
        <v>261</v>
      </c>
      <c r="GX302" s="301">
        <v>46028</v>
      </c>
      <c r="GY302" s="314" t="str">
        <f>IF(Table1[[#This Row],[Interkoneksi Actual
(tanggal)]]&lt;&gt;"","Sudah","Belum")</f>
        <v>Sudah</v>
      </c>
      <c r="GZ302" s="300" t="s">
        <v>261</v>
      </c>
      <c r="HA302" s="300" t="s">
        <v>261</v>
      </c>
      <c r="HB302" s="301">
        <v>46034</v>
      </c>
      <c r="HC302" s="314" t="str">
        <f>IF(Table1[[#This Row],[Flushing Actual
(tanggal)]]&lt;&gt;"","Sudah","Belum")</f>
        <v>Sudah</v>
      </c>
      <c r="HD302" s="300">
        <v>45992</v>
      </c>
      <c r="HE302" s="300" t="e">
        <v>#N/A</v>
      </c>
      <c r="HF302" s="300">
        <v>46005</v>
      </c>
      <c r="HG302" s="322">
        <v>46041</v>
      </c>
      <c r="HH3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2" s="300" t="s">
        <v>261</v>
      </c>
      <c r="HJ302" s="300" t="s">
        <v>261</v>
      </c>
      <c r="HK302" s="301"/>
      <c r="HL302" s="286"/>
      <c r="HM302" s="300">
        <v>46010</v>
      </c>
      <c r="HN302" s="300">
        <v>46010</v>
      </c>
      <c r="HO302" s="300" t="e">
        <v>#N/A</v>
      </c>
      <c r="HP302" s="300"/>
      <c r="HQ302" s="301">
        <v>46095</v>
      </c>
      <c r="HR30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2" s="300">
        <v>46017</v>
      </c>
      <c r="HT302" s="300"/>
      <c r="HU302" s="300">
        <v>46017</v>
      </c>
      <c r="HV302" s="300"/>
      <c r="HW302" s="301">
        <v>46098</v>
      </c>
      <c r="HX30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2" s="42"/>
      <c r="HZ302" s="322"/>
      <c r="IA302" s="322"/>
      <c r="IC302" s="585">
        <f>IFERROR(ROUND((Table1[[#This Row],[PLAN TC
finish]]-Table1[[#This Row],[PLAN MC-0
start]])/30,2),"")</f>
        <v>1.1299999999999999</v>
      </c>
      <c r="ID302">
        <f>DATEDIF(Table1[[#This Row],[PLAN MC-0
start]],Table1[[#This Row],[PLAN TC
finish]],"m")</f>
        <v>1</v>
      </c>
    </row>
    <row r="303" spans="1:238" s="4" customFormat="1" ht="15" customHeight="1" x14ac:dyDescent="0.25">
      <c r="B303" s="281">
        <f>SUBTOTAL(3,$D$5:D303)</f>
        <v>299</v>
      </c>
      <c r="C303" s="286">
        <v>299</v>
      </c>
      <c r="D303" s="308" t="s">
        <v>244</v>
      </c>
      <c r="E303" s="308" t="s">
        <v>2400</v>
      </c>
      <c r="F303" s="308" t="s">
        <v>2401</v>
      </c>
      <c r="G303" s="319">
        <v>46117</v>
      </c>
      <c r="H303" s="308" t="s">
        <v>681</v>
      </c>
      <c r="I303" s="308" t="s">
        <v>278</v>
      </c>
      <c r="J303" s="450" t="s">
        <v>1830</v>
      </c>
      <c r="K303" s="308" t="s">
        <v>1165</v>
      </c>
      <c r="L303" s="286" t="s">
        <v>250</v>
      </c>
      <c r="M303" s="325" t="s">
        <v>269</v>
      </c>
      <c r="N303" s="94">
        <v>269</v>
      </c>
      <c r="O303" s="31" t="s">
        <v>252</v>
      </c>
      <c r="P30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3" s="35">
        <v>0.99999999999999967</v>
      </c>
      <c r="S303" s="34">
        <v>1</v>
      </c>
      <c r="T303" s="34">
        <f>Table1[[#This Row],[Progres Total Aktual
(%)]]</f>
        <v>1</v>
      </c>
      <c r="U303" s="85">
        <f>Table1[[#This Row],[Progres Aktual
(%)]]-Table1[[#This Row],[Target Progres
(%)]]</f>
        <v>0</v>
      </c>
      <c r="V303" s="75">
        <f>Table1[[#This Row],["Volume
BA MC-0"]]</f>
        <v>268.5</v>
      </c>
      <c r="W303" s="41">
        <f>Table1[[#This Row],[Total Panjang Pipa Aktual
(Sum-&gt;)3]]</f>
        <v>263</v>
      </c>
      <c r="X303" s="42"/>
      <c r="Y303" s="62" t="s">
        <v>2402</v>
      </c>
      <c r="Z303" s="62">
        <v>378764012</v>
      </c>
      <c r="AA303" s="62">
        <f>ROUND((Table1[[#This Row],[Nilai RAB Jaringan
(Exclude Ppn)]]-Table1[[#This Row],[RAB Perizinan]])*1.11+Table1[[#This Row],[RAB Perizinan]],0)</f>
        <v>378764011</v>
      </c>
      <c r="AB303" s="456">
        <f>SUM(Table1[[#This Row],[RAB Kegiatan Umum]:[RAB Perizinan]])</f>
        <v>341495415</v>
      </c>
      <c r="AC303" s="406">
        <v>23967996</v>
      </c>
      <c r="AD303" s="406">
        <v>239679964</v>
      </c>
      <c r="AE303" s="406">
        <v>75157455</v>
      </c>
      <c r="AF303" s="406">
        <v>2690000</v>
      </c>
      <c r="AG303" s="453">
        <v>126422318</v>
      </c>
      <c r="AH303" s="33">
        <f>SUM(Table1[[#This Row],[Bobot Keg Umum]:[Bobot Perizinan]])</f>
        <v>1</v>
      </c>
      <c r="AI303" s="33">
        <f>Table1[[#This Row],[RAB Kegiatan Umum]]/Table1[[#This Row],[Nilai RAB Jaringan
(Exclude Ppn)]]</f>
        <v>7.0185410834871675E-2</v>
      </c>
      <c r="AJ303" s="33">
        <f>Table1[[#This Row],[RAB Pemasangan]]/Table1[[#This Row],[Nilai RAB Jaringan
(Exclude Ppn)]]</f>
        <v>0.70185412006190473</v>
      </c>
      <c r="AK303" s="33">
        <f>Table1[[#This Row],[RAB Pengadaan]]/Table1[[#This Row],[Nilai RAB Jaringan
(Exclude Ppn)]]</f>
        <v>0.22008335016738073</v>
      </c>
      <c r="AL303" s="33">
        <f>Table1[[#This Row],[RAB Perizinan]]/Table1[[#This Row],[Nilai RAB Jaringan
(Exclude Ppn)]]</f>
        <v>7.8771189358428136E-3</v>
      </c>
      <c r="AM303" s="42"/>
      <c r="AN303" s="256">
        <f>151+117.5</f>
        <v>268.5</v>
      </c>
      <c r="AO303" s="256">
        <f>SUM(Table1[[#This Row],[Pipa 63 mm]:[Pipa 1,800 mm]])</f>
        <v>0</v>
      </c>
      <c r="AP303" s="256"/>
      <c r="AQ303" s="256"/>
      <c r="AR303" s="256"/>
      <c r="AS303" s="256"/>
      <c r="AT303" s="256"/>
      <c r="AU303" s="256"/>
      <c r="AV303" s="256"/>
      <c r="AW303" s="256"/>
      <c r="AX303" s="256"/>
      <c r="AY303" s="256"/>
      <c r="AZ303" s="256"/>
      <c r="BA303" s="256"/>
      <c r="BB303" s="256"/>
      <c r="BC303" s="256"/>
      <c r="BD303" s="256"/>
      <c r="BE303" s="256"/>
      <c r="BF303" s="256"/>
      <c r="BG303" s="256"/>
      <c r="BH303" s="256"/>
      <c r="BI303" s="256"/>
      <c r="BJ303" s="36">
        <f>SUM(Table1[[#This Row],[Pipa 63 mm2]:[Pipa 1,800 mm21]])</f>
        <v>263</v>
      </c>
      <c r="BK303" s="32">
        <v>145.5</v>
      </c>
      <c r="BL303" s="32">
        <v>117.5</v>
      </c>
      <c r="BM303" s="32"/>
      <c r="BN303" s="32"/>
      <c r="BO303" s="32"/>
      <c r="BP303" s="32"/>
      <c r="BQ303" s="32"/>
      <c r="BR303" s="32"/>
      <c r="BS303" s="32"/>
      <c r="BT303" s="32"/>
      <c r="BU303" s="32"/>
      <c r="BV303" s="32"/>
      <c r="BW303" s="32"/>
      <c r="BX303" s="32"/>
      <c r="BY303" s="32"/>
      <c r="BZ303" s="32"/>
      <c r="CA303" s="32"/>
      <c r="CB303" s="32"/>
      <c r="CC303" s="32"/>
      <c r="CD303" s="32"/>
      <c r="CE303" s="32">
        <v>0</v>
      </c>
      <c r="CF303" s="32"/>
      <c r="CG303" s="32"/>
      <c r="CH303" s="32"/>
      <c r="CI303" s="32">
        <f t="shared" si="15"/>
        <v>0</v>
      </c>
      <c r="CJ303" s="60">
        <f>IF((Table1[[#This Row],["Volume
BA MC-0"]]-Table1[[#This Row],[Total Panjang Pipa Aktual
(Sum-&gt;)3]]-Table1[[#This Row],[Total Volume
tidak dapat dipasang]])&gt;=0,Table1[[#This Row],["Volume
BA MC-0"]]-Table1[[#This Row],[Total Panjang Pipa Aktual
(Sum-&gt;)3]]-Table1[[#This Row],[Total Volume
tidak dapat dipasang]],0)</f>
        <v>5.5</v>
      </c>
      <c r="CK303" s="42"/>
      <c r="CL303" s="35" t="s">
        <v>1821</v>
      </c>
      <c r="CM303" s="35" t="s">
        <v>1821</v>
      </c>
      <c r="CN303" s="35" t="s">
        <v>1821</v>
      </c>
      <c r="CO303" s="35" t="s">
        <v>1821</v>
      </c>
      <c r="CP30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3" s="61">
        <f>IFERROR(Table1[[#This Row],[Progres Keg. Umum
(%)]]*Table1[[#This Row],[Nilai RAB Jaringan
(file pa aji)]],0)</f>
        <v>0</v>
      </c>
      <c r="CR303" s="61">
        <f>IFERROR(Table1[[#This Row],[Progres MOS
(%)]]*Table1[[#This Row],[Nilai RAB Jaringan
(file pa aji)]],0)</f>
        <v>0</v>
      </c>
      <c r="CS303" s="61">
        <f>IFERROR(Table1[[#This Row],[Progres Pemasangan
(%)]]*Table1[[#This Row],[Nilai RAB Jaringan
(file pa aji)]],0)</f>
        <v>0</v>
      </c>
      <c r="CT303" s="61">
        <f>IFERROR(Table1[[#This Row],[Progres Perizinan
(%)]]*Table1[[#This Row],[Nilai RAB Jaringan
(file pa aji)]],0)</f>
        <v>0</v>
      </c>
      <c r="CU303" s="789">
        <v>353705541</v>
      </c>
      <c r="CV303" s="299">
        <v>353705541</v>
      </c>
      <c r="CW303" s="552">
        <v>353705541</v>
      </c>
      <c r="CX303" s="789">
        <f>_xlfn.XLOOKUP(Table1[[#This Row],[Kode Program]],'[1]Breakdown VOWD Greenfield'!$E:$E,'[1]Breakdown VOWD Greenfield'!$AT:$AT)</f>
        <v>353705541</v>
      </c>
      <c r="CY303" s="42"/>
      <c r="CZ303" s="300">
        <v>45866</v>
      </c>
      <c r="DA303" s="300">
        <v>45893</v>
      </c>
      <c r="DB303" s="301">
        <v>45865</v>
      </c>
      <c r="DC303" s="286" t="s">
        <v>2403</v>
      </c>
      <c r="DD303" s="469">
        <v>378764011</v>
      </c>
      <c r="DE3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3" s="301">
        <v>45884</v>
      </c>
      <c r="DG303" s="286" t="s">
        <v>2404</v>
      </c>
      <c r="DH303" s="469">
        <v>378764011</v>
      </c>
      <c r="DI3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3" s="300">
        <v>45894</v>
      </c>
      <c r="DK303" s="300">
        <v>45956</v>
      </c>
      <c r="DL303" s="301">
        <v>45934</v>
      </c>
      <c r="DM303" s="286" t="s">
        <v>2405</v>
      </c>
      <c r="DN3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3" s="301">
        <v>45939</v>
      </c>
      <c r="DP303" s="286" t="s">
        <v>2406</v>
      </c>
      <c r="DQ303" s="308" t="s">
        <v>783</v>
      </c>
      <c r="DR3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3" s="300">
        <v>45894</v>
      </c>
      <c r="DT303" s="300" t="e">
        <v>#N/A</v>
      </c>
      <c r="DU303" s="300">
        <v>45935</v>
      </c>
      <c r="DV303" s="300" t="e">
        <v>#N/A</v>
      </c>
      <c r="DW303" s="301">
        <v>45934</v>
      </c>
      <c r="DX303" s="454" t="s">
        <v>2407</v>
      </c>
      <c r="DY303" s="302">
        <v>38</v>
      </c>
      <c r="DZ303" s="304">
        <v>38</v>
      </c>
      <c r="EA3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3" s="301">
        <v>46002</v>
      </c>
      <c r="EC303" s="302">
        <v>37</v>
      </c>
      <c r="ED303" s="302">
        <v>37</v>
      </c>
      <c r="EE303" s="395" t="s">
        <v>2408</v>
      </c>
      <c r="EF303" s="35">
        <v>1</v>
      </c>
      <c r="EG303" s="307">
        <v>1</v>
      </c>
      <c r="EH303" s="286" t="str">
        <f>IF(Table1[[#This Row],[PO Material Aktual 
(%)]]&gt;=100%,"Selesai PO = 100%",IF(Table1[[#This Row],[PO Material Aktual 
(%)]]&gt;=50%,"Proses PO &gt; 100%",IF(Table1[[#This Row],[PO Material Aktual 
(%)]]&gt;0%,"Proses PO &gt; 50%",IF(Table1[[#This Row],[PO Material Aktual 
(%)]]=0,"Belum PO = 0%"))))</f>
        <v>Selesai PO = 100%</v>
      </c>
      <c r="EI30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3" s="300">
        <v>45936</v>
      </c>
      <c r="EK303" s="300" t="e">
        <v>#N/A</v>
      </c>
      <c r="EL303" s="300">
        <v>45984</v>
      </c>
      <c r="EM303" s="300" t="e">
        <v>#N/A</v>
      </c>
      <c r="EN303" s="301">
        <v>46091</v>
      </c>
      <c r="EO303" s="302">
        <v>35</v>
      </c>
      <c r="EP303" s="595">
        <v>35</v>
      </c>
      <c r="EQ303" s="35">
        <v>0.92105263157894735</v>
      </c>
      <c r="ER303" s="35">
        <f>Table1[[#This Row],[Line MOS]]/Table1[[#This Row],[Line PR]]</f>
        <v>0.92105263157894735</v>
      </c>
      <c r="ES303" s="286" t="str">
        <f>IF(Table1[[#This Row],[Progres MOS]]&gt;=100%,"Selesai MOS = 100%",IF(Table1[[#This Row],[Progres MOS]]&gt;=50%,"Proses MOS &gt; 100%",IF(Table1[[#This Row],[Progres MOS]]&gt;0%,"Proses MOS &gt; 50%",IF(Table1[[#This Row],[Progres MOS]]=0,"Belum MOS = 0%"))))</f>
        <v>Proses MOS &gt; 100%</v>
      </c>
      <c r="ET3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3" s="42"/>
      <c r="EV303" s="300">
        <v>45894</v>
      </c>
      <c r="EW303" s="300" t="e">
        <v>#N/A</v>
      </c>
      <c r="EX303" s="300">
        <v>45984</v>
      </c>
      <c r="EY303" s="300" t="e">
        <v>#N/A</v>
      </c>
      <c r="EZ303" s="322" t="s">
        <v>298</v>
      </c>
      <c r="FA303" s="306" t="s">
        <v>259</v>
      </c>
      <c r="FB303" s="300" t="s">
        <v>260</v>
      </c>
      <c r="FC303" s="300">
        <v>45943</v>
      </c>
      <c r="FD303" s="300" t="s">
        <v>260</v>
      </c>
      <c r="FE303" s="300">
        <v>45966</v>
      </c>
      <c r="FF303" s="300">
        <v>45995</v>
      </c>
      <c r="FG303" s="300" t="s">
        <v>260</v>
      </c>
      <c r="FH303" s="300" t="s">
        <v>260</v>
      </c>
      <c r="FI303" s="300">
        <v>46010</v>
      </c>
      <c r="FJ303" s="300" t="s">
        <v>260</v>
      </c>
      <c r="FK303" s="300">
        <v>46114</v>
      </c>
      <c r="FL303" s="306" t="s">
        <v>298</v>
      </c>
      <c r="FM303" s="322">
        <v>45943</v>
      </c>
      <c r="FN303" s="308">
        <f>IF(Table1[[#This Row],[Tanggal Pengajuan Dokumen]]="","",Table1[[#This Row],[PLAN PERMIT
start]]-Table1[[#This Row],[Tanggal Pengajuan Dokumen]])</f>
        <v>-49</v>
      </c>
      <c r="FO303" s="407">
        <v>46097</v>
      </c>
      <c r="FP303" s="286"/>
      <c r="FQ303" s="308"/>
      <c r="FR303" s="308"/>
      <c r="FS303" s="308" t="str">
        <f t="shared" si="14"/>
        <v>Sudah Terbit</v>
      </c>
      <c r="FT3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3" s="314">
        <f ca="1">IF(Table1[[#This Row],[Status Izin]]="Selesai",Table1[[#This Row],[PLAN PERMIT
finish]]-Table1[[#This Row],[Tanggal Terbit/ Target Izin Terbit]],ROUNDUP(Table1[[#This Row],[PLAN PERMIT
finish]]-NOW(),0))</f>
        <v>-113</v>
      </c>
      <c r="FV3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3" s="314"/>
      <c r="FX303" s="42"/>
      <c r="FY303" s="310"/>
      <c r="FZ303" s="311"/>
      <c r="GA3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3" s="300">
        <v>45958</v>
      </c>
      <c r="GC303" s="322">
        <v>45922</v>
      </c>
      <c r="GD3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3" s="300">
        <v>45965</v>
      </c>
      <c r="GF303" s="322">
        <v>45922</v>
      </c>
      <c r="GG3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3" s="300">
        <v>45971</v>
      </c>
      <c r="GI303" s="300">
        <v>45977</v>
      </c>
      <c r="GJ303" s="322">
        <v>45950</v>
      </c>
      <c r="GK3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3" s="300">
        <v>45985</v>
      </c>
      <c r="GM303" s="300" t="e">
        <v>#N/A</v>
      </c>
      <c r="GN303" s="300">
        <v>46005</v>
      </c>
      <c r="GO303" s="300" t="e">
        <v>#N/A</v>
      </c>
      <c r="GP303" s="300"/>
      <c r="GQ3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3" s="300" t="s">
        <v>261</v>
      </c>
      <c r="GS303" s="300" t="s">
        <v>261</v>
      </c>
      <c r="GT303" s="324">
        <v>45997</v>
      </c>
      <c r="GU303" s="314" t="str">
        <f>IF(Table1[[#This Row],[Hydro Tes Actual
(tanggal)]]&lt;&gt;"","Sudah","Belum")</f>
        <v>Sudah</v>
      </c>
      <c r="GV303" s="300" t="s">
        <v>261</v>
      </c>
      <c r="GW303" s="300" t="s">
        <v>261</v>
      </c>
      <c r="GX303" s="301">
        <v>45995</v>
      </c>
      <c r="GY303" s="314" t="str">
        <f>IF(Table1[[#This Row],[Interkoneksi Actual
(tanggal)]]&lt;&gt;"","Sudah","Belum")</f>
        <v>Sudah</v>
      </c>
      <c r="GZ303" s="300" t="s">
        <v>261</v>
      </c>
      <c r="HA303" s="300" t="s">
        <v>261</v>
      </c>
      <c r="HB303" s="301">
        <v>46003</v>
      </c>
      <c r="HC303" s="314" t="str">
        <f>IF(Table1[[#This Row],[Flushing Actual
(tanggal)]]&lt;&gt;"","Sudah","Belum")</f>
        <v>Sudah</v>
      </c>
      <c r="HD303" s="300">
        <v>45992</v>
      </c>
      <c r="HE303" s="300" t="e">
        <v>#N/A</v>
      </c>
      <c r="HF303" s="300">
        <v>46005</v>
      </c>
      <c r="HG303" s="322">
        <v>46035</v>
      </c>
      <c r="HH3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3" s="300" t="s">
        <v>261</v>
      </c>
      <c r="HJ303" s="300" t="s">
        <v>261</v>
      </c>
      <c r="HK303" s="301"/>
      <c r="HL303" s="286"/>
      <c r="HM303" s="300">
        <v>46010</v>
      </c>
      <c r="HN303" s="300">
        <v>46010</v>
      </c>
      <c r="HO303" s="300" t="e">
        <v>#N/A</v>
      </c>
      <c r="HP303" s="300"/>
      <c r="HQ303" s="301">
        <v>46071</v>
      </c>
      <c r="HR30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3" s="300">
        <v>46017</v>
      </c>
      <c r="HT303" s="300"/>
      <c r="HU303" s="300">
        <v>46017</v>
      </c>
      <c r="HV303" s="300"/>
      <c r="HW303" s="301">
        <v>46078</v>
      </c>
      <c r="HX30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3" s="42"/>
      <c r="HZ303" s="470"/>
      <c r="IA303" s="322"/>
      <c r="IC303" s="585">
        <f>IFERROR(ROUND((Table1[[#This Row],[PLAN TC
finish]]-Table1[[#This Row],[PLAN MC-0
start]])/30,2),"")</f>
        <v>1.1299999999999999</v>
      </c>
      <c r="ID303">
        <f>DATEDIF(Table1[[#This Row],[PLAN MC-0
start]],Table1[[#This Row],[PLAN TC
finish]],"m")</f>
        <v>1</v>
      </c>
    </row>
    <row r="304" spans="1:238" s="30" customFormat="1" ht="15" customHeight="1" x14ac:dyDescent="0.25">
      <c r="A304" s="72"/>
      <c r="B304" s="281">
        <f>SUBTOTAL(3,$D$5:D304)</f>
        <v>300</v>
      </c>
      <c r="C304" s="337">
        <v>300</v>
      </c>
      <c r="D304" s="336" t="s">
        <v>244</v>
      </c>
      <c r="E304" s="336" t="s">
        <v>2409</v>
      </c>
      <c r="F304" s="336" t="s">
        <v>2410</v>
      </c>
      <c r="G304" s="334">
        <v>46117</v>
      </c>
      <c r="H304" s="336" t="s">
        <v>681</v>
      </c>
      <c r="I304" s="336" t="s">
        <v>278</v>
      </c>
      <c r="J304" s="355" t="s">
        <v>389</v>
      </c>
      <c r="K304" s="336" t="s">
        <v>1165</v>
      </c>
      <c r="L304" s="337" t="s">
        <v>250</v>
      </c>
      <c r="M304" s="362" t="s">
        <v>269</v>
      </c>
      <c r="N304" s="338">
        <v>227</v>
      </c>
      <c r="O304" s="339" t="s">
        <v>252</v>
      </c>
      <c r="P30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4" s="355" t="s">
        <v>389</v>
      </c>
      <c r="R304" s="341">
        <v>1.0000000000000002</v>
      </c>
      <c r="S304" s="34">
        <v>1</v>
      </c>
      <c r="T304" s="459">
        <f>Table1[[#This Row],[Progres Total Aktual
(%)]]</f>
        <v>0</v>
      </c>
      <c r="U304" s="460">
        <f>Table1[[#This Row],[Progres Aktual
(%)]]-Table1[[#This Row],[Target Progres
(%)]]</f>
        <v>-1</v>
      </c>
      <c r="V304" s="461">
        <f>Table1[[#This Row],["Volume
BA MC-0"]]</f>
        <v>232.7</v>
      </c>
      <c r="W304" s="462">
        <f>Table1[[#This Row],[Total Panjang Pipa Aktual
(Sum-&gt;)3]]</f>
        <v>0</v>
      </c>
      <c r="X304" s="42"/>
      <c r="Y304" s="345" t="s">
        <v>2411</v>
      </c>
      <c r="Z304" s="345">
        <v>350767311</v>
      </c>
      <c r="AA304" s="345">
        <f>ROUND((Table1[[#This Row],[Nilai RAB Jaringan
(Exclude Ppn)]]-Table1[[#This Row],[RAB Perizinan]])*1.11+Table1[[#This Row],[RAB Perizinan]],0)</f>
        <v>350767311</v>
      </c>
      <c r="AB304" s="463">
        <f>SUM(Table1[[#This Row],[RAB Kegiatan Umum]:[RAB Perizinan]])</f>
        <v>316231541</v>
      </c>
      <c r="AC304" s="409">
        <v>23921402</v>
      </c>
      <c r="AD304" s="409">
        <v>239214018</v>
      </c>
      <c r="AE304" s="409">
        <v>50826121</v>
      </c>
      <c r="AF304" s="409">
        <v>2270000</v>
      </c>
      <c r="AG304" s="464">
        <v>16856310</v>
      </c>
      <c r="AH304" s="465">
        <f>SUM(Table1[[#This Row],[Bobot Keg Umum]:[Bobot Perizinan]])</f>
        <v>1.0000000000000002</v>
      </c>
      <c r="AI304" s="465">
        <f>Table1[[#This Row],[RAB Kegiatan Umum]]/Table1[[#This Row],[Nilai RAB Jaringan
(Exclude Ppn)]]</f>
        <v>7.5645212126389375E-2</v>
      </c>
      <c r="AJ304" s="465">
        <f>Table1[[#This Row],[RAB Pemasangan]]/Table1[[#This Row],[Nilai RAB Jaringan
(Exclude Ppn)]]</f>
        <v>0.756452114939414</v>
      </c>
      <c r="AK304" s="465">
        <f>Table1[[#This Row],[RAB Pengadaan]]/Table1[[#This Row],[Nilai RAB Jaringan
(Exclude Ppn)]]</f>
        <v>0.16072438833670927</v>
      </c>
      <c r="AL304" s="465">
        <f>Table1[[#This Row],[RAB Perizinan]]/Table1[[#This Row],[Nilai RAB Jaringan
(Exclude Ppn)]]</f>
        <v>7.1782845974873834E-3</v>
      </c>
      <c r="AM304" s="42"/>
      <c r="AN304" s="346">
        <v>232.7</v>
      </c>
      <c r="AO304" s="346">
        <f>SUM(Table1[[#This Row],[Pipa 63 mm]:[Pipa 1,800 mm]])</f>
        <v>0</v>
      </c>
      <c r="AP304" s="346"/>
      <c r="AQ304" s="346"/>
      <c r="AR304" s="346"/>
      <c r="AS304" s="346"/>
      <c r="AT304" s="346"/>
      <c r="AU304" s="346"/>
      <c r="AV304" s="346"/>
      <c r="AW304" s="346"/>
      <c r="AX304" s="346"/>
      <c r="AY304" s="346"/>
      <c r="AZ304" s="346"/>
      <c r="BA304" s="346"/>
      <c r="BB304" s="346"/>
      <c r="BC304" s="346"/>
      <c r="BD304" s="346"/>
      <c r="BE304" s="346"/>
      <c r="BF304" s="346"/>
      <c r="BG304" s="346"/>
      <c r="BH304" s="346"/>
      <c r="BI304" s="346"/>
      <c r="BJ304" s="347">
        <f>SUM(Table1[[#This Row],[Pipa 63 mm2]:[Pipa 1,800 mm21]])</f>
        <v>0</v>
      </c>
      <c r="BK304" s="348"/>
      <c r="BL304" s="348"/>
      <c r="BM304" s="348"/>
      <c r="BN304" s="348"/>
      <c r="BO304" s="348"/>
      <c r="BP304" s="348"/>
      <c r="BQ304" s="348"/>
      <c r="BR304" s="348"/>
      <c r="BS304" s="348"/>
      <c r="BT304" s="348"/>
      <c r="BU304" s="348"/>
      <c r="BV304" s="348"/>
      <c r="BW304" s="348"/>
      <c r="BX304" s="348"/>
      <c r="BY304" s="348"/>
      <c r="BZ304" s="348"/>
      <c r="CA304" s="348"/>
      <c r="CB304" s="348"/>
      <c r="CC304" s="348"/>
      <c r="CD304" s="348"/>
      <c r="CE304" s="348">
        <v>0</v>
      </c>
      <c r="CF304" s="348"/>
      <c r="CG304" s="348"/>
      <c r="CH304" s="348"/>
      <c r="CI304" s="348">
        <f t="shared" si="15"/>
        <v>0</v>
      </c>
      <c r="CJ304" s="348">
        <f>IF((Table1[[#This Row],["Volume
BA MC-0"]]-Table1[[#This Row],[Total Panjang Pipa Aktual
(Sum-&gt;)3]]-Table1[[#This Row],[Total Volume
tidak dapat dipasang]])&gt;=0,Table1[[#This Row],["Volume
BA MC-0"]]-Table1[[#This Row],[Total Panjang Pipa Aktual
(Sum-&gt;)3]]-Table1[[#This Row],[Total Volume
tidak dapat dipasang]],0)</f>
        <v>232.7</v>
      </c>
      <c r="CK304" s="42"/>
      <c r="CL304" s="466" t="s">
        <v>1821</v>
      </c>
      <c r="CM304" s="459" t="s">
        <v>1821</v>
      </c>
      <c r="CN304" s="466" t="s">
        <v>1821</v>
      </c>
      <c r="CO304" s="466" t="s">
        <v>1821</v>
      </c>
      <c r="CP30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4" s="350">
        <f>IFERROR(Table1[[#This Row],[Progres Keg. Umum
(%)]]*Table1[[#This Row],[Nilai RAB Jaringan
(file pa aji)]],0)</f>
        <v>0</v>
      </c>
      <c r="CR304" s="350">
        <f>IFERROR(Table1[[#This Row],[Progres MOS
(%)]]*Table1[[#This Row],[Nilai RAB Jaringan
(file pa aji)]],0)</f>
        <v>0</v>
      </c>
      <c r="CS304" s="350">
        <f>IFERROR(Table1[[#This Row],[Progres Pemasangan
(%)]]*Table1[[#This Row],[Nilai RAB Jaringan
(file pa aji)]],0)</f>
        <v>0</v>
      </c>
      <c r="CT304" s="350">
        <f>IFERROR(Table1[[#This Row],[Progres Perizinan
(%)]]*Table1[[#This Row],[Nilai RAB Jaringan
(file pa aji)]],0)</f>
        <v>0</v>
      </c>
      <c r="CU304" s="789">
        <v>0</v>
      </c>
      <c r="CV304" s="299">
        <v>0</v>
      </c>
      <c r="CW304" s="551">
        <v>0</v>
      </c>
      <c r="CX304" s="789">
        <f>_xlfn.XLOOKUP(Table1[[#This Row],[Kode Program]],'[1]Breakdown VOWD Greenfield'!$E:$E,'[1]Breakdown VOWD Greenfield'!$AT:$AT)</f>
        <v>0</v>
      </c>
      <c r="CY304" s="42"/>
      <c r="CZ304" s="356">
        <v>45866</v>
      </c>
      <c r="DA304" s="356">
        <v>45893</v>
      </c>
      <c r="DB304" s="358">
        <v>45865</v>
      </c>
      <c r="DC304" s="337" t="s">
        <v>2412</v>
      </c>
      <c r="DD304" s="468">
        <v>350767310</v>
      </c>
      <c r="DE3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4" s="358">
        <v>45897</v>
      </c>
      <c r="DG304" s="337" t="s">
        <v>2413</v>
      </c>
      <c r="DH304" s="468">
        <v>350767310</v>
      </c>
      <c r="DI304" s="337"/>
      <c r="DJ304" s="356">
        <v>45894</v>
      </c>
      <c r="DK304" s="356">
        <v>45956</v>
      </c>
      <c r="DL304" s="358">
        <v>45940</v>
      </c>
      <c r="DM304" s="337" t="s">
        <v>2414</v>
      </c>
      <c r="DN304" s="352"/>
      <c r="DO304" s="358">
        <v>45946</v>
      </c>
      <c r="DP304" s="337" t="s">
        <v>2415</v>
      </c>
      <c r="DQ304" s="336" t="s">
        <v>783</v>
      </c>
      <c r="DR304" s="352"/>
      <c r="DS304" s="356">
        <v>45894</v>
      </c>
      <c r="DT304" s="356" t="e">
        <v>#N/A</v>
      </c>
      <c r="DU304" s="356">
        <v>45935</v>
      </c>
      <c r="DV304" s="356" t="e">
        <v>#N/A</v>
      </c>
      <c r="DW304" s="358">
        <v>45940</v>
      </c>
      <c r="DX304" s="466" t="s">
        <v>2416</v>
      </c>
      <c r="DY304" s="412"/>
      <c r="DZ304" s="412"/>
      <c r="EA304" s="352"/>
      <c r="EB304" s="358"/>
      <c r="EC304" s="412"/>
      <c r="ED304" s="412"/>
      <c r="EE304" s="356"/>
      <c r="EF304" s="341"/>
      <c r="EG304" s="341"/>
      <c r="EH304" s="337"/>
      <c r="EI30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4" s="356">
        <v>45936</v>
      </c>
      <c r="EK304" s="356" t="e">
        <v>#N/A</v>
      </c>
      <c r="EL304" s="356">
        <v>45984</v>
      </c>
      <c r="EM304" s="356" t="e">
        <v>#N/A</v>
      </c>
      <c r="EN304" s="358"/>
      <c r="EO304" s="412"/>
      <c r="EP304" s="337"/>
      <c r="EQ304" s="341"/>
      <c r="ER304" s="341"/>
      <c r="ES304" s="337"/>
      <c r="ET3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4" s="42"/>
      <c r="EV304" s="356">
        <v>45894</v>
      </c>
      <c r="EW304" s="356" t="e">
        <v>#N/A</v>
      </c>
      <c r="EX304" s="356">
        <v>45984</v>
      </c>
      <c r="EY304" s="356" t="e">
        <v>#N/A</v>
      </c>
      <c r="EZ304" s="354" t="s">
        <v>298</v>
      </c>
      <c r="FA304" s="355" t="s">
        <v>389</v>
      </c>
      <c r="FB304" s="356" t="s">
        <v>260</v>
      </c>
      <c r="FC304" s="300"/>
      <c r="FD304" s="356"/>
      <c r="FE304" s="356"/>
      <c r="FF304" s="356"/>
      <c r="FG304" s="356"/>
      <c r="FH304" s="356"/>
      <c r="FI304" s="356"/>
      <c r="FJ304" s="356"/>
      <c r="FK304" s="356"/>
      <c r="FL304" s="413" t="str">
        <f>Table1[[#This Row],[IPPJU]]</f>
        <v>9.Proses Penerbitan Izin</v>
      </c>
      <c r="FM304" s="413"/>
      <c r="FN304" s="335" t="str">
        <f>IF(Table1[[#This Row],[Tanggal Pengajuan Dokumen]]="","",Table1[[#This Row],[PLAN PERMIT
start]]-Table1[[#This Row],[Tanggal Pengajuan Dokumen]])</f>
        <v/>
      </c>
      <c r="FO304" s="414">
        <v>46097</v>
      </c>
      <c r="FP304" s="337"/>
      <c r="FQ304" s="336"/>
      <c r="FR304" s="336"/>
      <c r="FS304" s="336" t="str">
        <f t="shared" si="14"/>
        <v>On Going</v>
      </c>
      <c r="FT30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4" s="357">
        <f ca="1">IF(Table1[[#This Row],[Status Izin]]="Selesai",Table1[[#This Row],[PLAN PERMIT
finish]]-Table1[[#This Row],[Tanggal Terbit/ Target Izin Terbit]],ROUNDUP(Table1[[#This Row],[PLAN PERMIT
finish]]-NOW(),0))</f>
        <v>-220</v>
      </c>
      <c r="FV30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4" s="357"/>
      <c r="FX304" s="42"/>
      <c r="FY304" s="310"/>
      <c r="FZ304" s="311"/>
      <c r="GA3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4" s="356">
        <v>45958</v>
      </c>
      <c r="GC304" s="354">
        <v>45922</v>
      </c>
      <c r="GD30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4" s="356">
        <v>45965</v>
      </c>
      <c r="GF304" s="354">
        <v>45922</v>
      </c>
      <c r="GG30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4" s="356">
        <v>45971</v>
      </c>
      <c r="GI304" s="356">
        <v>45977</v>
      </c>
      <c r="GJ304" s="354">
        <v>45950</v>
      </c>
      <c r="GK30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4" s="356">
        <v>45985</v>
      </c>
      <c r="GM304" s="356" t="e">
        <v>#N/A</v>
      </c>
      <c r="GN304" s="356">
        <v>46005</v>
      </c>
      <c r="GO304" s="356" t="e">
        <v>#N/A</v>
      </c>
      <c r="GP304" s="356"/>
      <c r="GQ30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4" s="356" t="s">
        <v>261</v>
      </c>
      <c r="GS304" s="356" t="s">
        <v>261</v>
      </c>
      <c r="GT304" s="360"/>
      <c r="GU304" s="357" t="str">
        <f>IF(Table1[[#This Row],[Hydro Tes Actual
(tanggal)]]&lt;&gt;"","Sudah","Belum")</f>
        <v>Belum</v>
      </c>
      <c r="GV304" s="356" t="s">
        <v>261</v>
      </c>
      <c r="GW304" s="356" t="s">
        <v>261</v>
      </c>
      <c r="GX304" s="358"/>
      <c r="GY304" s="357" t="str">
        <f>IF(Table1[[#This Row],[Interkoneksi Actual
(tanggal)]]&lt;&gt;"","Sudah","Belum")</f>
        <v>Belum</v>
      </c>
      <c r="GZ304" s="356" t="s">
        <v>261</v>
      </c>
      <c r="HA304" s="356" t="s">
        <v>261</v>
      </c>
      <c r="HB304" s="358"/>
      <c r="HC304" s="357" t="str">
        <f>IF(Table1[[#This Row],[Flushing Actual
(tanggal)]]&lt;&gt;"","Sudah","Belum")</f>
        <v>Belum</v>
      </c>
      <c r="HD304" s="356">
        <v>45992</v>
      </c>
      <c r="HE304" s="356" t="e">
        <v>#N/A</v>
      </c>
      <c r="HF304" s="356">
        <v>46005</v>
      </c>
      <c r="HG304" s="354"/>
      <c r="HH30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4" s="356" t="s">
        <v>261</v>
      </c>
      <c r="HJ304" s="356" t="s">
        <v>261</v>
      </c>
      <c r="HK304" s="358"/>
      <c r="HL304" s="337"/>
      <c r="HM304" s="356">
        <v>46010</v>
      </c>
      <c r="HN304" s="356">
        <v>46010</v>
      </c>
      <c r="HO304" s="356" t="e">
        <v>#N/A</v>
      </c>
      <c r="HP304" s="356"/>
      <c r="HQ304" s="358"/>
      <c r="HR30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4" s="356">
        <v>46017</v>
      </c>
      <c r="HT304" s="356"/>
      <c r="HU304" s="356">
        <v>46017</v>
      </c>
      <c r="HV304" s="356"/>
      <c r="HW304" s="358"/>
      <c r="HX30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4" s="42"/>
      <c r="HZ304" s="354" t="s">
        <v>2199</v>
      </c>
      <c r="IA304" s="354"/>
      <c r="IC304" s="585">
        <f>IFERROR(ROUND((Table1[[#This Row],[PLAN TC
finish]]-Table1[[#This Row],[PLAN MC-0
start]])/30,2),"")</f>
        <v>1.1299999999999999</v>
      </c>
      <c r="ID304">
        <f>DATEDIF(Table1[[#This Row],[PLAN MC-0
start]],Table1[[#This Row],[PLAN TC
finish]],"m")</f>
        <v>1</v>
      </c>
    </row>
    <row r="305" spans="1:238" s="4" customFormat="1" ht="15" customHeight="1" x14ac:dyDescent="0.25">
      <c r="B305" s="281">
        <f>SUBTOTAL(3,$D$5:D305)</f>
        <v>301</v>
      </c>
      <c r="C305" s="286">
        <v>301</v>
      </c>
      <c r="D305" s="308" t="s">
        <v>244</v>
      </c>
      <c r="E305" s="308" t="s">
        <v>2417</v>
      </c>
      <c r="F305" s="308" t="s">
        <v>2418</v>
      </c>
      <c r="G305" s="319">
        <v>46117</v>
      </c>
      <c r="H305" s="308" t="s">
        <v>681</v>
      </c>
      <c r="I305" s="308" t="s">
        <v>278</v>
      </c>
      <c r="J305" s="450" t="s">
        <v>1830</v>
      </c>
      <c r="K305" s="308" t="s">
        <v>1165</v>
      </c>
      <c r="L305" s="286" t="s">
        <v>250</v>
      </c>
      <c r="M305" s="325" t="s">
        <v>269</v>
      </c>
      <c r="N305" s="94">
        <v>405</v>
      </c>
      <c r="O305" s="31" t="s">
        <v>252</v>
      </c>
      <c r="P30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5" s="35">
        <v>0.99999999999999989</v>
      </c>
      <c r="S305" s="34">
        <v>1</v>
      </c>
      <c r="T305" s="34">
        <f>Table1[[#This Row],[Progres Total Aktual
(%)]]</f>
        <v>1</v>
      </c>
      <c r="U305" s="85">
        <f>Table1[[#This Row],[Progres Aktual
(%)]]-Table1[[#This Row],[Target Progres
(%)]]</f>
        <v>0</v>
      </c>
      <c r="V305" s="75">
        <f>Table1[[#This Row],["Volume
BA MC-0"]]</f>
        <v>238</v>
      </c>
      <c r="W305" s="41">
        <f>Table1[[#This Row],[Total Panjang Pipa Aktual
(Sum-&gt;)3]]</f>
        <v>230</v>
      </c>
      <c r="X305" s="42"/>
      <c r="Y305" s="62" t="s">
        <v>2419</v>
      </c>
      <c r="Z305" s="62">
        <v>811205237</v>
      </c>
      <c r="AA305" s="62">
        <f>ROUND((Table1[[#This Row],[Nilai RAB Jaringan
(Exclude Ppn)]]-Table1[[#This Row],[RAB Perizinan]])*1.11+Table1[[#This Row],[RAB Perizinan]],0)</f>
        <v>811205236</v>
      </c>
      <c r="AB305" s="456">
        <f>SUM(Table1[[#This Row],[RAB Kegiatan Umum]:[RAB Perizinan]])</f>
        <v>731216879</v>
      </c>
      <c r="AC305" s="406">
        <v>47059706</v>
      </c>
      <c r="AD305" s="406">
        <v>470597064</v>
      </c>
      <c r="AE305" s="406">
        <v>209510109</v>
      </c>
      <c r="AF305" s="406">
        <v>4050000</v>
      </c>
      <c r="AG305" s="453">
        <v>126422318</v>
      </c>
      <c r="AH305" s="33">
        <f>SUM(Table1[[#This Row],[Bobot Keg Umum]:[Bobot Perizinan]])</f>
        <v>0.99999999999999989</v>
      </c>
      <c r="AI305" s="33">
        <f>Table1[[#This Row],[RAB Kegiatan Umum]]/Table1[[#This Row],[Nilai RAB Jaringan
(Exclude Ppn)]]</f>
        <v>6.4358068517726325E-2</v>
      </c>
      <c r="AJ305" s="33">
        <f>Table1[[#This Row],[RAB Pemasangan]]/Table1[[#This Row],[Nilai RAB Jaringan
(Exclude Ppn)]]</f>
        <v>0.64358069064759649</v>
      </c>
      <c r="AK305" s="33">
        <f>Table1[[#This Row],[RAB Pengadaan]]/Table1[[#This Row],[Nilai RAB Jaringan
(Exclude Ppn)]]</f>
        <v>0.28652252842757475</v>
      </c>
      <c r="AL305" s="33">
        <f>Table1[[#This Row],[RAB Perizinan]]/Table1[[#This Row],[Nilai RAB Jaringan
(Exclude Ppn)]]</f>
        <v>5.5387124071024077E-3</v>
      </c>
      <c r="AM305" s="42"/>
      <c r="AN305" s="256">
        <v>238</v>
      </c>
      <c r="AO305" s="256">
        <f>SUM(Table1[[#This Row],[Pipa 63 mm]:[Pipa 1,800 mm]])</f>
        <v>0</v>
      </c>
      <c r="AP305" s="256"/>
      <c r="AQ305" s="256"/>
      <c r="AR305" s="256"/>
      <c r="AS305" s="256"/>
      <c r="AT305" s="256"/>
      <c r="AU305" s="256"/>
      <c r="AV305" s="256"/>
      <c r="AW305" s="256"/>
      <c r="AX305" s="256"/>
      <c r="AY305" s="256"/>
      <c r="AZ305" s="256"/>
      <c r="BA305" s="256"/>
      <c r="BB305" s="256"/>
      <c r="BC305" s="256"/>
      <c r="BD305" s="256"/>
      <c r="BE305" s="256"/>
      <c r="BF305" s="256"/>
      <c r="BG305" s="256"/>
      <c r="BH305" s="256"/>
      <c r="BI305" s="256"/>
      <c r="BJ305" s="36">
        <f>SUM(Table1[[#This Row],[Pipa 63 mm2]:[Pipa 1,800 mm21]])</f>
        <v>230</v>
      </c>
      <c r="BK305" s="32">
        <v>230</v>
      </c>
      <c r="BL305" s="32"/>
      <c r="BM305" s="32"/>
      <c r="BN305" s="32"/>
      <c r="BO305" s="32"/>
      <c r="BP305" s="32"/>
      <c r="BQ305" s="32"/>
      <c r="BR305" s="32"/>
      <c r="BS305" s="32"/>
      <c r="BT305" s="32"/>
      <c r="BU305" s="32"/>
      <c r="BV305" s="32"/>
      <c r="BW305" s="32"/>
      <c r="BX305" s="32"/>
      <c r="BY305" s="32"/>
      <c r="BZ305" s="32"/>
      <c r="CA305" s="32"/>
      <c r="CB305" s="32"/>
      <c r="CC305" s="32"/>
      <c r="CD305" s="32"/>
      <c r="CE305" s="32">
        <v>0</v>
      </c>
      <c r="CF305" s="32"/>
      <c r="CG305" s="32"/>
      <c r="CH305" s="32"/>
      <c r="CI305" s="32">
        <f t="shared" si="15"/>
        <v>0</v>
      </c>
      <c r="CJ305" s="60">
        <f>IF((Table1[[#This Row],["Volume
BA MC-0"]]-Table1[[#This Row],[Total Panjang Pipa Aktual
(Sum-&gt;)3]]-Table1[[#This Row],[Total Volume
tidak dapat dipasang]])&gt;=0,Table1[[#This Row],["Volume
BA MC-0"]]-Table1[[#This Row],[Total Panjang Pipa Aktual
(Sum-&gt;)3]]-Table1[[#This Row],[Total Volume
tidak dapat dipasang]],0)</f>
        <v>8</v>
      </c>
      <c r="CK305" s="42"/>
      <c r="CL305" s="35" t="s">
        <v>1821</v>
      </c>
      <c r="CM305" s="35" t="s">
        <v>1821</v>
      </c>
      <c r="CN305" s="35"/>
      <c r="CO305" s="35" t="s">
        <v>1821</v>
      </c>
      <c r="CP30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5" s="61">
        <f>IFERROR(Table1[[#This Row],[Progres Keg. Umum
(%)]]*Table1[[#This Row],[Nilai RAB Jaringan
(file pa aji)]],0)</f>
        <v>0</v>
      </c>
      <c r="CR305" s="61">
        <f>IFERROR(Table1[[#This Row],[Progres MOS
(%)]]*Table1[[#This Row],[Nilai RAB Jaringan
(file pa aji)]],0)</f>
        <v>0</v>
      </c>
      <c r="CS305" s="61">
        <f>IFERROR(Table1[[#This Row],[Progres Pemasangan
(%)]]*Table1[[#This Row],[Nilai RAB Jaringan
(file pa aji)]],0)</f>
        <v>0</v>
      </c>
      <c r="CT305" s="61">
        <f>IFERROR(Table1[[#This Row],[Progres Perizinan
(%)]]*Table1[[#This Row],[Nilai RAB Jaringan
(file pa aji)]],0)</f>
        <v>0</v>
      </c>
      <c r="CU305" s="789">
        <v>452843559</v>
      </c>
      <c r="CV305" s="299">
        <v>452843559</v>
      </c>
      <c r="CW305" s="552">
        <v>452843559</v>
      </c>
      <c r="CX305" s="789">
        <f>_xlfn.XLOOKUP(Table1[[#This Row],[Kode Program]],'[1]Breakdown VOWD Greenfield'!$E:$E,'[1]Breakdown VOWD Greenfield'!$AT:$AT)</f>
        <v>452843559</v>
      </c>
      <c r="CY305" s="42"/>
      <c r="CZ305" s="300">
        <v>45866</v>
      </c>
      <c r="DA305" s="300">
        <v>45893</v>
      </c>
      <c r="DB305" s="301">
        <v>45865</v>
      </c>
      <c r="DC305" s="286" t="s">
        <v>2420</v>
      </c>
      <c r="DD305" s="62">
        <v>811205236</v>
      </c>
      <c r="DE3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5" s="301">
        <v>45926</v>
      </c>
      <c r="DG305" s="286" t="s">
        <v>2421</v>
      </c>
      <c r="DH305" s="62">
        <v>811205236</v>
      </c>
      <c r="DI3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5" s="300">
        <v>45894</v>
      </c>
      <c r="DK305" s="300">
        <v>45963</v>
      </c>
      <c r="DL305" s="301">
        <v>45943</v>
      </c>
      <c r="DM305" s="286" t="s">
        <v>2422</v>
      </c>
      <c r="DN3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5" s="301">
        <v>45946</v>
      </c>
      <c r="DP305" s="286" t="s">
        <v>2423</v>
      </c>
      <c r="DQ305" s="308" t="s">
        <v>783</v>
      </c>
      <c r="DR3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5" s="300">
        <v>45894</v>
      </c>
      <c r="DT305" s="300" t="e">
        <v>#N/A</v>
      </c>
      <c r="DU305" s="300">
        <v>45935</v>
      </c>
      <c r="DV305" s="300" t="e">
        <v>#N/A</v>
      </c>
      <c r="DW305" s="301">
        <v>45943</v>
      </c>
      <c r="DX305" s="454" t="s">
        <v>2424</v>
      </c>
      <c r="DY305" s="302">
        <v>55</v>
      </c>
      <c r="DZ305" s="304">
        <v>55</v>
      </c>
      <c r="EA3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5" s="301">
        <v>46006</v>
      </c>
      <c r="EC305" s="302">
        <v>51</v>
      </c>
      <c r="ED305" s="302">
        <v>51</v>
      </c>
      <c r="EE305" s="395" t="s">
        <v>2425</v>
      </c>
      <c r="EF305" s="35">
        <v>1</v>
      </c>
      <c r="EG305" s="307">
        <v>1</v>
      </c>
      <c r="EH305" s="286" t="str">
        <f>IF(Table1[[#This Row],[PO Material Aktual 
(%)]]&gt;=100%,"Selesai PO = 100%",IF(Table1[[#This Row],[PO Material Aktual 
(%)]]&gt;=50%,"Proses PO &gt; 100%",IF(Table1[[#This Row],[PO Material Aktual 
(%)]]&gt;0%,"Proses PO &gt; 50%",IF(Table1[[#This Row],[PO Material Aktual 
(%)]]=0,"Belum PO = 0%"))))</f>
        <v>Selesai PO = 100%</v>
      </c>
      <c r="EI30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5" s="300">
        <v>45936</v>
      </c>
      <c r="EK305" s="300" t="e">
        <v>#N/A</v>
      </c>
      <c r="EL305" s="300">
        <v>45991</v>
      </c>
      <c r="EM305" s="300" t="e">
        <v>#N/A</v>
      </c>
      <c r="EN305" s="301">
        <v>46091</v>
      </c>
      <c r="EO305" s="302">
        <v>50</v>
      </c>
      <c r="EP305" s="595">
        <v>50</v>
      </c>
      <c r="EQ305" s="35">
        <v>0.90909090909090906</v>
      </c>
      <c r="ER305" s="35">
        <f>Table1[[#This Row],[Line MOS]]/Table1[[#This Row],[Line PR]]</f>
        <v>0.90909090909090906</v>
      </c>
      <c r="ES305" s="286" t="str">
        <f>IF(Table1[[#This Row],[Progres MOS]]&gt;=100%,"Selesai MOS = 100%",IF(Table1[[#This Row],[Progres MOS]]&gt;=50%,"Proses MOS &gt; 100%",IF(Table1[[#This Row],[Progres MOS]]&gt;0%,"Proses MOS &gt; 50%",IF(Table1[[#This Row],[Progres MOS]]=0,"Belum MOS = 0%"))))</f>
        <v>Proses MOS &gt; 100%</v>
      </c>
      <c r="ET3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5" s="42"/>
      <c r="EV305" s="300">
        <v>45894</v>
      </c>
      <c r="EW305" s="300" t="e">
        <v>#N/A</v>
      </c>
      <c r="EX305" s="300">
        <v>45991</v>
      </c>
      <c r="EY305" s="300" t="e">
        <v>#N/A</v>
      </c>
      <c r="EZ305" s="322" t="s">
        <v>298</v>
      </c>
      <c r="FA305" s="306" t="s">
        <v>259</v>
      </c>
      <c r="FB305" s="300" t="s">
        <v>260</v>
      </c>
      <c r="FC305" s="300">
        <v>45943</v>
      </c>
      <c r="FD305" s="300" t="s">
        <v>260</v>
      </c>
      <c r="FE305" s="300">
        <v>45966</v>
      </c>
      <c r="FF305" s="300">
        <v>45995</v>
      </c>
      <c r="FG305" s="300" t="s">
        <v>260</v>
      </c>
      <c r="FH305" s="300" t="s">
        <v>260</v>
      </c>
      <c r="FI305" s="300">
        <v>46010</v>
      </c>
      <c r="FJ305" s="300" t="s">
        <v>260</v>
      </c>
      <c r="FK305" s="300">
        <v>46114</v>
      </c>
      <c r="FL305" s="306" t="s">
        <v>298</v>
      </c>
      <c r="FM305" s="322">
        <v>45943</v>
      </c>
      <c r="FN305" s="308">
        <f>IF(Table1[[#This Row],[Tanggal Pengajuan Dokumen]]="","",Table1[[#This Row],[PLAN PERMIT
start]]-Table1[[#This Row],[Tanggal Pengajuan Dokumen]])</f>
        <v>-49</v>
      </c>
      <c r="FO305" s="407">
        <v>46097</v>
      </c>
      <c r="FP305" s="286" t="s">
        <v>923</v>
      </c>
      <c r="FQ305" s="308"/>
      <c r="FR305" s="308"/>
      <c r="FS305" s="308" t="str">
        <f t="shared" si="14"/>
        <v>On Going</v>
      </c>
      <c r="FT3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5" s="314">
        <f ca="1">IF(Table1[[#This Row],[Status Izin]]="Selesai",Table1[[#This Row],[PLAN PERMIT
finish]]-Table1[[#This Row],[Tanggal Terbit/ Target Izin Terbit]],ROUNDUP(Table1[[#This Row],[PLAN PERMIT
finish]]-NOW(),0))</f>
        <v>-213</v>
      </c>
      <c r="FV3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5" s="314"/>
      <c r="FX305" s="42"/>
      <c r="FY305" s="310"/>
      <c r="FZ305" s="311"/>
      <c r="GA3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5" s="300">
        <v>45965</v>
      </c>
      <c r="GC305" s="322">
        <v>45922</v>
      </c>
      <c r="GD3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5" s="300">
        <v>45972</v>
      </c>
      <c r="GF305" s="322">
        <v>45922</v>
      </c>
      <c r="GG3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5" s="300">
        <v>45978</v>
      </c>
      <c r="GI305" s="300">
        <v>45984</v>
      </c>
      <c r="GJ305" s="322">
        <v>45950</v>
      </c>
      <c r="GK3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5" s="300">
        <v>45992</v>
      </c>
      <c r="GM305" s="300" t="e">
        <v>#N/A</v>
      </c>
      <c r="GN305" s="300">
        <v>46033</v>
      </c>
      <c r="GO305" s="300" t="e">
        <v>#N/A</v>
      </c>
      <c r="GP305" s="300"/>
      <c r="GQ3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5" s="300" t="s">
        <v>261</v>
      </c>
      <c r="GS305" s="300" t="s">
        <v>261</v>
      </c>
      <c r="GT305" s="324">
        <v>46003</v>
      </c>
      <c r="GU305" s="314" t="str">
        <f>IF(Table1[[#This Row],[Hydro Tes Actual
(tanggal)]]&lt;&gt;"","Sudah","Belum")</f>
        <v>Sudah</v>
      </c>
      <c r="GV305" s="300" t="s">
        <v>261</v>
      </c>
      <c r="GW305" s="300" t="s">
        <v>261</v>
      </c>
      <c r="GX305" s="365" t="s">
        <v>2426</v>
      </c>
      <c r="GY305" s="314" t="str">
        <f>IF(Table1[[#This Row],[Interkoneksi Actual
(tanggal)]]&lt;&gt;"","Sudah","Belum")</f>
        <v>Sudah</v>
      </c>
      <c r="GZ305" s="300" t="s">
        <v>261</v>
      </c>
      <c r="HA305" s="300" t="s">
        <v>261</v>
      </c>
      <c r="HB305" s="301">
        <v>46020</v>
      </c>
      <c r="HC305" s="314" t="str">
        <f>IF(Table1[[#This Row],[Flushing Actual
(tanggal)]]&lt;&gt;"","Sudah","Belum")</f>
        <v>Sudah</v>
      </c>
      <c r="HD305" s="300">
        <v>46013</v>
      </c>
      <c r="HE305" s="300" t="e">
        <v>#N/A</v>
      </c>
      <c r="HF305" s="300">
        <v>46026</v>
      </c>
      <c r="HG305" s="322">
        <v>46041</v>
      </c>
      <c r="HH3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5" s="300" t="s">
        <v>261</v>
      </c>
      <c r="HJ305" s="300" t="s">
        <v>261</v>
      </c>
      <c r="HK305" s="301"/>
      <c r="HL305" s="286"/>
      <c r="HM305" s="300">
        <v>46038</v>
      </c>
      <c r="HN305" s="300">
        <v>46038</v>
      </c>
      <c r="HO305" s="300" t="e">
        <v>#N/A</v>
      </c>
      <c r="HP305" s="300"/>
      <c r="HQ305" s="301">
        <v>46098</v>
      </c>
      <c r="HR30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5" s="300">
        <v>46045</v>
      </c>
      <c r="HT305" s="300"/>
      <c r="HU305" s="300">
        <v>46045</v>
      </c>
      <c r="HV305" s="300"/>
      <c r="HW305" s="301">
        <v>46099</v>
      </c>
      <c r="HX30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5" s="42"/>
      <c r="HZ305" s="322"/>
      <c r="IA305" s="322"/>
      <c r="IC305" s="585">
        <f>IFERROR(ROUND((Table1[[#This Row],[PLAN TC
finish]]-Table1[[#This Row],[PLAN MC-0
start]])/30,2),"")</f>
        <v>1.6</v>
      </c>
      <c r="ID305">
        <f>DATEDIF(Table1[[#This Row],[PLAN MC-0
start]],Table1[[#This Row],[PLAN TC
finish]],"m")</f>
        <v>1</v>
      </c>
    </row>
    <row r="306" spans="1:238" s="4" customFormat="1" ht="15" customHeight="1" x14ac:dyDescent="0.25">
      <c r="B306" s="281">
        <f>SUBTOTAL(3,$D$5:D306)</f>
        <v>302</v>
      </c>
      <c r="C306" s="286">
        <v>302</v>
      </c>
      <c r="D306" s="308" t="s">
        <v>244</v>
      </c>
      <c r="E306" s="308" t="s">
        <v>2427</v>
      </c>
      <c r="F306" s="308" t="s">
        <v>2428</v>
      </c>
      <c r="G306" s="319">
        <v>46117</v>
      </c>
      <c r="H306" s="308" t="s">
        <v>681</v>
      </c>
      <c r="I306" s="308" t="s">
        <v>278</v>
      </c>
      <c r="J306" s="450" t="s">
        <v>1830</v>
      </c>
      <c r="K306" s="308" t="s">
        <v>1165</v>
      </c>
      <c r="L306" s="286" t="s">
        <v>250</v>
      </c>
      <c r="M306" s="325" t="s">
        <v>269</v>
      </c>
      <c r="N306" s="94">
        <v>131</v>
      </c>
      <c r="O306" s="31" t="s">
        <v>252</v>
      </c>
      <c r="P30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6" s="35">
        <v>1</v>
      </c>
      <c r="S306" s="34">
        <v>1</v>
      </c>
      <c r="T306" s="34">
        <f>Table1[[#This Row],[Progres Total Aktual
(%)]]</f>
        <v>1</v>
      </c>
      <c r="U306" s="85">
        <f>Table1[[#This Row],[Progres Aktual
(%)]]-Table1[[#This Row],[Target Progres
(%)]]</f>
        <v>0</v>
      </c>
      <c r="V306" s="75">
        <f>Table1[[#This Row],["Volume
BA MC-0"]]</f>
        <v>120</v>
      </c>
      <c r="W306" s="41">
        <f>Table1[[#This Row],[Total Panjang Pipa Aktual
(Sum-&gt;)3]]</f>
        <v>94.5</v>
      </c>
      <c r="X306" s="42"/>
      <c r="Y306" s="62" t="s">
        <v>2429</v>
      </c>
      <c r="Z306" s="62">
        <v>185447130</v>
      </c>
      <c r="AA306" s="62">
        <f>ROUND((Table1[[#This Row],[Nilai RAB Jaringan
(Exclude Ppn)]]-Table1[[#This Row],[RAB Perizinan]])*1.11+Table1[[#This Row],[RAB Perizinan]],0)</f>
        <v>185447130</v>
      </c>
      <c r="AB306" s="456">
        <f>SUM(Table1[[#This Row],[RAB Kegiatan Umum]:[RAB Perizinan]])</f>
        <v>167199306</v>
      </c>
      <c r="AC306" s="406">
        <v>11800140</v>
      </c>
      <c r="AD306" s="406">
        <v>118001403</v>
      </c>
      <c r="AE306" s="406">
        <v>36087763</v>
      </c>
      <c r="AF306" s="406">
        <v>1310000</v>
      </c>
      <c r="AG306" s="453">
        <v>94816739</v>
      </c>
      <c r="AH306" s="33">
        <f>SUM(Table1[[#This Row],[Bobot Keg Umum]:[Bobot Perizinan]])</f>
        <v>1</v>
      </c>
      <c r="AI306" s="33">
        <f>Table1[[#This Row],[RAB Kegiatan Umum]]/Table1[[#This Row],[Nilai RAB Jaringan
(Exclude Ppn)]]</f>
        <v>7.0575292938117817E-2</v>
      </c>
      <c r="AJ306" s="33">
        <f>Table1[[#This Row],[RAB Pemasangan]]/Table1[[#This Row],[Nilai RAB Jaringan
(Exclude Ppn)]]</f>
        <v>0.70575294732383642</v>
      </c>
      <c r="AK306" s="33">
        <f>Table1[[#This Row],[RAB Pengadaan]]/Table1[[#This Row],[Nilai RAB Jaringan
(Exclude Ppn)]]</f>
        <v>0.21583679898767044</v>
      </c>
      <c r="AL306" s="33">
        <f>Table1[[#This Row],[RAB Perizinan]]/Table1[[#This Row],[Nilai RAB Jaringan
(Exclude Ppn)]]</f>
        <v>7.8349607503753627E-3</v>
      </c>
      <c r="AM306" s="42"/>
      <c r="AN306" s="256">
        <v>120</v>
      </c>
      <c r="AO306" s="256">
        <f>SUM(Table1[[#This Row],[Pipa 63 mm]:[Pipa 1,800 mm]])</f>
        <v>0</v>
      </c>
      <c r="AP306" s="256"/>
      <c r="AQ306" s="256"/>
      <c r="AR306" s="256"/>
      <c r="AS306" s="256"/>
      <c r="AT306" s="256"/>
      <c r="AU306" s="256"/>
      <c r="AV306" s="256"/>
      <c r="AW306" s="256"/>
      <c r="AX306" s="256"/>
      <c r="AY306" s="256"/>
      <c r="AZ306" s="256"/>
      <c r="BA306" s="256"/>
      <c r="BB306" s="256"/>
      <c r="BC306" s="256"/>
      <c r="BD306" s="256"/>
      <c r="BE306" s="256"/>
      <c r="BF306" s="256"/>
      <c r="BG306" s="256"/>
      <c r="BH306" s="256"/>
      <c r="BI306" s="256"/>
      <c r="BJ306" s="36">
        <f>SUM(Table1[[#This Row],[Pipa 63 mm2]:[Pipa 1,800 mm21]])</f>
        <v>94.5</v>
      </c>
      <c r="BK306" s="32">
        <v>94.5</v>
      </c>
      <c r="BL306" s="32"/>
      <c r="BM306" s="32"/>
      <c r="BN306" s="32"/>
      <c r="BO306" s="32"/>
      <c r="BP306" s="32"/>
      <c r="BQ306" s="32"/>
      <c r="BR306" s="32"/>
      <c r="BS306" s="32"/>
      <c r="BT306" s="32"/>
      <c r="BU306" s="32"/>
      <c r="BV306" s="32"/>
      <c r="BW306" s="32"/>
      <c r="BX306" s="32"/>
      <c r="BY306" s="32"/>
      <c r="BZ306" s="32"/>
      <c r="CA306" s="32"/>
      <c r="CB306" s="32"/>
      <c r="CC306" s="32"/>
      <c r="CD306" s="32"/>
      <c r="CE306" s="32">
        <v>0</v>
      </c>
      <c r="CF306" s="32"/>
      <c r="CG306" s="32"/>
      <c r="CH306" s="32"/>
      <c r="CI306" s="32">
        <f t="shared" si="15"/>
        <v>0</v>
      </c>
      <c r="CJ306" s="60">
        <f>IF((Table1[[#This Row],["Volume
BA MC-0"]]-Table1[[#This Row],[Total Panjang Pipa Aktual
(Sum-&gt;)3]]-Table1[[#This Row],[Total Volume
tidak dapat dipasang]])&gt;=0,Table1[[#This Row],["Volume
BA MC-0"]]-Table1[[#This Row],[Total Panjang Pipa Aktual
(Sum-&gt;)3]]-Table1[[#This Row],[Total Volume
tidak dapat dipasang]],0)</f>
        <v>25.5</v>
      </c>
      <c r="CK306" s="42"/>
      <c r="CL306" s="454" t="s">
        <v>1821</v>
      </c>
      <c r="CM306" s="34" t="s">
        <v>1821</v>
      </c>
      <c r="CN306" s="454" t="s">
        <v>1821</v>
      </c>
      <c r="CO306" s="454" t="s">
        <v>1821</v>
      </c>
      <c r="CP30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6" s="61">
        <f>IFERROR(Table1[[#This Row],[Progres Keg. Umum
(%)]]*Table1[[#This Row],[Nilai RAB Jaringan
(file pa aji)]],0)</f>
        <v>0</v>
      </c>
      <c r="CR306" s="61">
        <f>IFERROR(Table1[[#This Row],[Progres MOS
(%)]]*Table1[[#This Row],[Nilai RAB Jaringan
(file pa aji)]],0)</f>
        <v>0</v>
      </c>
      <c r="CS306" s="61">
        <f>IFERROR(Table1[[#This Row],[Progres Pemasangan
(%)]]*Table1[[#This Row],[Nilai RAB Jaringan
(file pa aji)]],0)</f>
        <v>0</v>
      </c>
      <c r="CT306" s="61">
        <f>IFERROR(Table1[[#This Row],[Progres Perizinan
(%)]]*Table1[[#This Row],[Nilai RAB Jaringan
(file pa aji)]],0)</f>
        <v>0</v>
      </c>
      <c r="CU306" s="789">
        <v>162361289</v>
      </c>
      <c r="CV306" s="299">
        <v>162361289</v>
      </c>
      <c r="CW306" s="552">
        <v>162361289</v>
      </c>
      <c r="CX306" s="789">
        <f>_xlfn.XLOOKUP(Table1[[#This Row],[Kode Program]],'[1]Breakdown VOWD Greenfield'!$E:$E,'[1]Breakdown VOWD Greenfield'!$AT:$AT)</f>
        <v>162361289</v>
      </c>
      <c r="CY306" s="42"/>
      <c r="CZ306" s="300">
        <v>45866</v>
      </c>
      <c r="DA306" s="300">
        <v>45893</v>
      </c>
      <c r="DB306" s="301">
        <v>45865</v>
      </c>
      <c r="DC306" s="286" t="s">
        <v>2430</v>
      </c>
      <c r="DD306" s="62">
        <v>185447130</v>
      </c>
      <c r="DE3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6" s="301">
        <v>45889</v>
      </c>
      <c r="DG306" s="286" t="s">
        <v>2431</v>
      </c>
      <c r="DH306" s="62">
        <v>185447130</v>
      </c>
      <c r="DI3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06" s="300">
        <v>45894</v>
      </c>
      <c r="DK306" s="300">
        <v>45956</v>
      </c>
      <c r="DL306" s="301">
        <v>45897</v>
      </c>
      <c r="DM306" s="286" t="s">
        <v>2432</v>
      </c>
      <c r="DN3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6" s="301">
        <v>45946</v>
      </c>
      <c r="DP306" s="286" t="s">
        <v>2433</v>
      </c>
      <c r="DQ306" s="308" t="s">
        <v>783</v>
      </c>
      <c r="DR3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06" s="300">
        <v>45894</v>
      </c>
      <c r="DT306" s="300" t="e">
        <v>#N/A</v>
      </c>
      <c r="DU306" s="300">
        <v>45935</v>
      </c>
      <c r="DV306" s="300" t="e">
        <v>#N/A</v>
      </c>
      <c r="DW306" s="301">
        <v>45897</v>
      </c>
      <c r="DX306" s="454" t="s">
        <v>2434</v>
      </c>
      <c r="DY306" s="302">
        <v>25</v>
      </c>
      <c r="DZ306" s="304">
        <v>25</v>
      </c>
      <c r="EA3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06" s="301">
        <v>46002</v>
      </c>
      <c r="EC306" s="302">
        <v>24</v>
      </c>
      <c r="ED306" s="302">
        <v>24</v>
      </c>
      <c r="EE306" s="395" t="s">
        <v>2435</v>
      </c>
      <c r="EF306" s="35">
        <v>1</v>
      </c>
      <c r="EG306" s="307">
        <v>1</v>
      </c>
      <c r="EH306" s="286" t="str">
        <f>IF(Table1[[#This Row],[PO Material Aktual 
(%)]]&gt;=100%,"Selesai PO = 100%",IF(Table1[[#This Row],[PO Material Aktual 
(%)]]&gt;=50%,"Proses PO &gt; 100%",IF(Table1[[#This Row],[PO Material Aktual 
(%)]]&gt;0%,"Proses PO &gt; 50%",IF(Table1[[#This Row],[PO Material Aktual 
(%)]]=0,"Belum PO = 0%"))))</f>
        <v>Selesai PO = 100%</v>
      </c>
      <c r="EI30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6" s="300">
        <v>45936</v>
      </c>
      <c r="EK306" s="300" t="e">
        <v>#N/A</v>
      </c>
      <c r="EL306" s="300">
        <v>45984</v>
      </c>
      <c r="EM306" s="300" t="e">
        <v>#N/A</v>
      </c>
      <c r="EN306" s="301">
        <v>46091</v>
      </c>
      <c r="EO306" s="302">
        <v>23</v>
      </c>
      <c r="EP306" s="595">
        <v>23</v>
      </c>
      <c r="EQ306" s="35">
        <v>0.92</v>
      </c>
      <c r="ER306" s="35">
        <f>Table1[[#This Row],[Line MOS]]/Table1[[#This Row],[Line PR]]</f>
        <v>0.92</v>
      </c>
      <c r="ES306" s="286" t="str">
        <f>IF(Table1[[#This Row],[Progres MOS]]&gt;=100%,"Selesai MOS = 100%",IF(Table1[[#This Row],[Progres MOS]]&gt;=50%,"Proses MOS &gt; 100%",IF(Table1[[#This Row],[Progres MOS]]&gt;0%,"Proses MOS &gt; 50%",IF(Table1[[#This Row],[Progres MOS]]=0,"Belum MOS = 0%"))))</f>
        <v>Proses MOS &gt; 100%</v>
      </c>
      <c r="ET3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6" s="42"/>
      <c r="EV306" s="300">
        <v>45894</v>
      </c>
      <c r="EW306" s="300" t="e">
        <v>#N/A</v>
      </c>
      <c r="EX306" s="300">
        <v>45984</v>
      </c>
      <c r="EY306" s="300" t="e">
        <v>#N/A</v>
      </c>
      <c r="EZ306" s="322" t="s">
        <v>298</v>
      </c>
      <c r="FA306" s="306" t="s">
        <v>259</v>
      </c>
      <c r="FB306" s="300" t="s">
        <v>260</v>
      </c>
      <c r="FC306" s="300">
        <v>45943</v>
      </c>
      <c r="FD306" s="300" t="s">
        <v>260</v>
      </c>
      <c r="FE306" s="300">
        <v>45966</v>
      </c>
      <c r="FF306" s="300">
        <v>45995</v>
      </c>
      <c r="FG306" s="300" t="s">
        <v>260</v>
      </c>
      <c r="FH306" s="300" t="s">
        <v>260</v>
      </c>
      <c r="FI306" s="300">
        <v>46010</v>
      </c>
      <c r="FJ306" s="300" t="s">
        <v>260</v>
      </c>
      <c r="FK306" s="300">
        <v>46114</v>
      </c>
      <c r="FL306" s="306" t="s">
        <v>298</v>
      </c>
      <c r="FM306" s="322">
        <v>45943</v>
      </c>
      <c r="FN306" s="308">
        <f>IF(Table1[[#This Row],[Tanggal Pengajuan Dokumen]]="","",Table1[[#This Row],[PLAN PERMIT
start]]-Table1[[#This Row],[Tanggal Pengajuan Dokumen]])</f>
        <v>-49</v>
      </c>
      <c r="FO306" s="407">
        <v>46097</v>
      </c>
      <c r="FP306" s="286"/>
      <c r="FQ306" s="308"/>
      <c r="FR306" s="308"/>
      <c r="FS306" s="308" t="str">
        <f t="shared" si="14"/>
        <v>Sudah Terbit</v>
      </c>
      <c r="FT3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6" s="314">
        <f ca="1">IF(Table1[[#This Row],[Status Izin]]="Selesai",Table1[[#This Row],[PLAN PERMIT
finish]]-Table1[[#This Row],[Tanggal Terbit/ Target Izin Terbit]],ROUNDUP(Table1[[#This Row],[PLAN PERMIT
finish]]-NOW(),0))</f>
        <v>-113</v>
      </c>
      <c r="FV3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6" s="314"/>
      <c r="FX306" s="42"/>
      <c r="FY306" s="310"/>
      <c r="FZ306" s="311"/>
      <c r="GA3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6" s="300">
        <v>45958</v>
      </c>
      <c r="GC306" s="322">
        <v>45922</v>
      </c>
      <c r="GD3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6" s="300">
        <v>45965</v>
      </c>
      <c r="GF306" s="322">
        <v>45922</v>
      </c>
      <c r="GG3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6" s="300">
        <v>45971</v>
      </c>
      <c r="GI306" s="300">
        <v>45977</v>
      </c>
      <c r="GJ306" s="322">
        <v>45950</v>
      </c>
      <c r="GK3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6" s="300">
        <v>45985</v>
      </c>
      <c r="GM306" s="300" t="e">
        <v>#N/A</v>
      </c>
      <c r="GN306" s="300">
        <v>46005</v>
      </c>
      <c r="GO306" s="300" t="e">
        <v>#N/A</v>
      </c>
      <c r="GP306" s="300"/>
      <c r="GQ3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6" s="300" t="s">
        <v>261</v>
      </c>
      <c r="GS306" s="300" t="s">
        <v>261</v>
      </c>
      <c r="GT306" s="324">
        <v>46001</v>
      </c>
      <c r="GU306" s="314" t="str">
        <f>IF(Table1[[#This Row],[Hydro Tes Actual
(tanggal)]]&lt;&gt;"","Sudah","Belum")</f>
        <v>Sudah</v>
      </c>
      <c r="GV306" s="300" t="s">
        <v>261</v>
      </c>
      <c r="GW306" s="300" t="s">
        <v>261</v>
      </c>
      <c r="GX306" s="301">
        <v>46007</v>
      </c>
      <c r="GY306" s="314" t="str">
        <f>IF(Table1[[#This Row],[Interkoneksi Actual
(tanggal)]]&lt;&gt;"","Sudah","Belum")</f>
        <v>Sudah</v>
      </c>
      <c r="GZ306" s="300" t="s">
        <v>261</v>
      </c>
      <c r="HA306" s="300" t="s">
        <v>261</v>
      </c>
      <c r="HB306" s="301">
        <v>46020</v>
      </c>
      <c r="HC306" s="314" t="str">
        <f>IF(Table1[[#This Row],[Flushing Actual
(tanggal)]]&lt;&gt;"","Sudah","Belum")</f>
        <v>Sudah</v>
      </c>
      <c r="HD306" s="300">
        <v>45992</v>
      </c>
      <c r="HE306" s="300" t="e">
        <v>#N/A</v>
      </c>
      <c r="HF306" s="300">
        <v>46005</v>
      </c>
      <c r="HG306" s="322">
        <v>46035</v>
      </c>
      <c r="HH3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6" s="300" t="s">
        <v>261</v>
      </c>
      <c r="HJ306" s="300" t="s">
        <v>261</v>
      </c>
      <c r="HK306" s="301"/>
      <c r="HL306" s="286"/>
      <c r="HM306" s="300">
        <v>46010</v>
      </c>
      <c r="HN306" s="300">
        <v>46010</v>
      </c>
      <c r="HO306" s="300" t="e">
        <v>#N/A</v>
      </c>
      <c r="HP306" s="300"/>
      <c r="HQ306" s="301">
        <v>46092</v>
      </c>
      <c r="HR30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6" s="300">
        <v>46017</v>
      </c>
      <c r="HT306" s="300"/>
      <c r="HU306" s="300">
        <v>46017</v>
      </c>
      <c r="HV306" s="300"/>
      <c r="HW306" s="301">
        <v>46098</v>
      </c>
      <c r="HX30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6" s="42"/>
      <c r="HZ306" s="322"/>
      <c r="IA306" s="322"/>
      <c r="IC306" s="585">
        <f>IFERROR(ROUND((Table1[[#This Row],[PLAN TC
finish]]-Table1[[#This Row],[PLAN MC-0
start]])/30,2),"")</f>
        <v>1.1299999999999999</v>
      </c>
      <c r="ID306">
        <f>DATEDIF(Table1[[#This Row],[PLAN MC-0
start]],Table1[[#This Row],[PLAN TC
finish]],"m")</f>
        <v>1</v>
      </c>
    </row>
    <row r="307" spans="1:238" s="30" customFormat="1" ht="15" customHeight="1" x14ac:dyDescent="0.25">
      <c r="A307" s="72"/>
      <c r="B307" s="281">
        <f>SUBTOTAL(3,$D$5:D307)</f>
        <v>303</v>
      </c>
      <c r="C307" s="337">
        <v>303</v>
      </c>
      <c r="D307" s="336" t="s">
        <v>244</v>
      </c>
      <c r="E307" s="336" t="s">
        <v>2436</v>
      </c>
      <c r="F307" s="336" t="s">
        <v>2437</v>
      </c>
      <c r="G307" s="334">
        <v>46117</v>
      </c>
      <c r="H307" s="336" t="s">
        <v>681</v>
      </c>
      <c r="I307" s="336" t="s">
        <v>278</v>
      </c>
      <c r="J307" s="355" t="s">
        <v>389</v>
      </c>
      <c r="K307" s="336" t="s">
        <v>1165</v>
      </c>
      <c r="L307" s="337" t="s">
        <v>250</v>
      </c>
      <c r="M307" s="362" t="s">
        <v>269</v>
      </c>
      <c r="N307" s="338">
        <v>299</v>
      </c>
      <c r="O307" s="339" t="s">
        <v>252</v>
      </c>
      <c r="P30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7" s="355" t="s">
        <v>389</v>
      </c>
      <c r="R307" s="341">
        <v>0.99999999999999989</v>
      </c>
      <c r="S307" s="34">
        <v>1</v>
      </c>
      <c r="T307" s="459">
        <f>Table1[[#This Row],[Progres Total Aktual
(%)]]</f>
        <v>0</v>
      </c>
      <c r="U307" s="460">
        <f>Table1[[#This Row],[Progres Aktual
(%)]]-Table1[[#This Row],[Target Progres
(%)]]</f>
        <v>-1</v>
      </c>
      <c r="V307" s="461">
        <f>Table1[[#This Row],["Volume
BA MC-0"]]</f>
        <v>304.39999999999998</v>
      </c>
      <c r="W307" s="462">
        <f>Table1[[#This Row],[Total Panjang Pipa Aktual
(Sum-&gt;)3]]</f>
        <v>0</v>
      </c>
      <c r="X307" s="42"/>
      <c r="Y307" s="345" t="s">
        <v>2438</v>
      </c>
      <c r="Z307" s="345">
        <v>494486767</v>
      </c>
      <c r="AA307" s="345">
        <f>ROUND((Table1[[#This Row],[Nilai RAB Jaringan
(Exclude Ppn)]]-Table1[[#This Row],[RAB Perizinan]])*1.11+Table1[[#This Row],[RAB Perizinan]],0)</f>
        <v>494486767</v>
      </c>
      <c r="AB307" s="463">
        <f>SUM(Table1[[#This Row],[RAB Kegiatan Umum]:[RAB Perizinan]])</f>
        <v>445779880</v>
      </c>
      <c r="AC307" s="409">
        <v>31966800</v>
      </c>
      <c r="AD307" s="409">
        <v>319667992</v>
      </c>
      <c r="AE307" s="409">
        <v>91155088</v>
      </c>
      <c r="AF307" s="409">
        <v>2990000</v>
      </c>
      <c r="AG307" s="464">
        <v>50568928</v>
      </c>
      <c r="AH307" s="465">
        <f>SUM(Table1[[#This Row],[Bobot Keg Umum]:[Bobot Perizinan]])</f>
        <v>1</v>
      </c>
      <c r="AI307" s="465">
        <f>Table1[[#This Row],[RAB Kegiatan Umum]]/Table1[[#This Row],[Nilai RAB Jaringan
(Exclude Ppn)]]</f>
        <v>7.1709831318542236E-2</v>
      </c>
      <c r="AJ307" s="465">
        <f>Table1[[#This Row],[RAB Pemasangan]]/Table1[[#This Row],[Nilai RAB Jaringan
(Exclude Ppn)]]</f>
        <v>0.71709829523934543</v>
      </c>
      <c r="AK307" s="465">
        <f>Table1[[#This Row],[RAB Pengadaan]]/Table1[[#This Row],[Nilai RAB Jaringan
(Exclude Ppn)]]</f>
        <v>0.20448452720656662</v>
      </c>
      <c r="AL307" s="465">
        <f>Table1[[#This Row],[RAB Perizinan]]/Table1[[#This Row],[Nilai RAB Jaringan
(Exclude Ppn)]]</f>
        <v>6.7073462355456692E-3</v>
      </c>
      <c r="AM307" s="42"/>
      <c r="AN307" s="346">
        <v>304.39999999999998</v>
      </c>
      <c r="AO307" s="346">
        <f>SUM(Table1[[#This Row],[Pipa 63 mm]:[Pipa 1,800 mm]])</f>
        <v>0</v>
      </c>
      <c r="AP307" s="346"/>
      <c r="AQ307" s="346"/>
      <c r="AR307" s="346"/>
      <c r="AS307" s="346"/>
      <c r="AT307" s="346"/>
      <c r="AU307" s="346"/>
      <c r="AV307" s="346"/>
      <c r="AW307" s="346"/>
      <c r="AX307" s="346"/>
      <c r="AY307" s="346"/>
      <c r="AZ307" s="346"/>
      <c r="BA307" s="346"/>
      <c r="BB307" s="346"/>
      <c r="BC307" s="346"/>
      <c r="BD307" s="346"/>
      <c r="BE307" s="346"/>
      <c r="BF307" s="346"/>
      <c r="BG307" s="346"/>
      <c r="BH307" s="346"/>
      <c r="BI307" s="346"/>
      <c r="BJ307" s="347">
        <f>SUM(Table1[[#This Row],[Pipa 63 mm2]:[Pipa 1,800 mm21]])</f>
        <v>0</v>
      </c>
      <c r="BK307" s="348"/>
      <c r="BL307" s="348"/>
      <c r="BM307" s="348"/>
      <c r="BN307" s="348"/>
      <c r="BO307" s="348"/>
      <c r="BP307" s="348"/>
      <c r="BQ307" s="348"/>
      <c r="BR307" s="348"/>
      <c r="BS307" s="348"/>
      <c r="BT307" s="348"/>
      <c r="BU307" s="348"/>
      <c r="BV307" s="348"/>
      <c r="BW307" s="348"/>
      <c r="BX307" s="348"/>
      <c r="BY307" s="348"/>
      <c r="BZ307" s="348"/>
      <c r="CA307" s="348"/>
      <c r="CB307" s="348"/>
      <c r="CC307" s="348"/>
      <c r="CD307" s="348"/>
      <c r="CE307" s="348">
        <v>0</v>
      </c>
      <c r="CF307" s="348"/>
      <c r="CG307" s="348"/>
      <c r="CH307" s="348"/>
      <c r="CI307" s="348">
        <f t="shared" si="15"/>
        <v>0</v>
      </c>
      <c r="CJ307" s="348">
        <f>IF((Table1[[#This Row],["Volume
BA MC-0"]]-Table1[[#This Row],[Total Panjang Pipa Aktual
(Sum-&gt;)3]]-Table1[[#This Row],[Total Volume
tidak dapat dipasang]])&gt;=0,Table1[[#This Row],["Volume
BA MC-0"]]-Table1[[#This Row],[Total Panjang Pipa Aktual
(Sum-&gt;)3]]-Table1[[#This Row],[Total Volume
tidak dapat dipasang]],0)</f>
        <v>304.39999999999998</v>
      </c>
      <c r="CK307" s="42"/>
      <c r="CL307" s="341" t="s">
        <v>1821</v>
      </c>
      <c r="CM307" s="341" t="s">
        <v>1821</v>
      </c>
      <c r="CN307" s="341" t="s">
        <v>1821</v>
      </c>
      <c r="CO307" s="341" t="s">
        <v>1821</v>
      </c>
      <c r="CP30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07" s="350">
        <f>IFERROR(Table1[[#This Row],[Progres Keg. Umum
(%)]]*Table1[[#This Row],[Nilai RAB Jaringan
(file pa aji)]],0)</f>
        <v>0</v>
      </c>
      <c r="CR307" s="350">
        <f>IFERROR(Table1[[#This Row],[Progres MOS
(%)]]*Table1[[#This Row],[Nilai RAB Jaringan
(file pa aji)]],0)</f>
        <v>0</v>
      </c>
      <c r="CS307" s="350">
        <f>IFERROR(Table1[[#This Row],[Progres Pemasangan
(%)]]*Table1[[#This Row],[Nilai RAB Jaringan
(file pa aji)]],0)</f>
        <v>0</v>
      </c>
      <c r="CT307" s="350">
        <f>IFERROR(Table1[[#This Row],[Progres Perizinan
(%)]]*Table1[[#This Row],[Nilai RAB Jaringan
(file pa aji)]],0)</f>
        <v>0</v>
      </c>
      <c r="CU307" s="789">
        <v>0</v>
      </c>
      <c r="CV307" s="299">
        <v>0</v>
      </c>
      <c r="CW307" s="551">
        <v>0</v>
      </c>
      <c r="CX307" s="789">
        <f>_xlfn.XLOOKUP(Table1[[#This Row],[Kode Program]],'[1]Breakdown VOWD Greenfield'!$E:$E,'[1]Breakdown VOWD Greenfield'!$AT:$AT)</f>
        <v>0</v>
      </c>
      <c r="CY307" s="42"/>
      <c r="CZ307" s="356">
        <v>45866</v>
      </c>
      <c r="DA307" s="356">
        <v>45893</v>
      </c>
      <c r="DB307" s="358">
        <v>45867</v>
      </c>
      <c r="DC307" s="337" t="s">
        <v>2439</v>
      </c>
      <c r="DD307" s="345">
        <v>494486767</v>
      </c>
      <c r="DE3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7" s="358">
        <v>45897</v>
      </c>
      <c r="DG307" s="337" t="s">
        <v>2440</v>
      </c>
      <c r="DH307" s="345">
        <v>494486767</v>
      </c>
      <c r="DI307" s="337"/>
      <c r="DJ307" s="356">
        <v>45894</v>
      </c>
      <c r="DK307" s="356">
        <v>45956</v>
      </c>
      <c r="DL307" s="358">
        <v>45934</v>
      </c>
      <c r="DM307" s="337" t="s">
        <v>2441</v>
      </c>
      <c r="DN307" s="352"/>
      <c r="DO307" s="358">
        <v>45953.291666666664</v>
      </c>
      <c r="DP307" s="337" t="s">
        <v>2442</v>
      </c>
      <c r="DQ307" s="336" t="s">
        <v>365</v>
      </c>
      <c r="DR307" s="352"/>
      <c r="DS307" s="356">
        <v>45894</v>
      </c>
      <c r="DT307" s="356" t="e">
        <v>#N/A</v>
      </c>
      <c r="DU307" s="356">
        <v>45935</v>
      </c>
      <c r="DV307" s="356" t="e">
        <v>#N/A</v>
      </c>
      <c r="DW307" s="358">
        <v>45934</v>
      </c>
      <c r="DX307" s="466" t="s">
        <v>2443</v>
      </c>
      <c r="DY307" s="412"/>
      <c r="DZ307" s="412"/>
      <c r="EA307" s="352"/>
      <c r="EB307" s="358"/>
      <c r="EC307" s="412"/>
      <c r="ED307" s="412"/>
      <c r="EE307" s="356"/>
      <c r="EF307" s="341"/>
      <c r="EG307" s="341"/>
      <c r="EH307" s="337"/>
      <c r="EI307"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7" s="356">
        <v>45936</v>
      </c>
      <c r="EK307" s="356" t="e">
        <v>#N/A</v>
      </c>
      <c r="EL307" s="356">
        <v>45984</v>
      </c>
      <c r="EM307" s="356" t="e">
        <v>#N/A</v>
      </c>
      <c r="EN307" s="358"/>
      <c r="EO307" s="412"/>
      <c r="EP307" s="337"/>
      <c r="EQ307" s="341"/>
      <c r="ER307" s="341"/>
      <c r="ES307" s="337"/>
      <c r="ET3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7" s="42"/>
      <c r="EV307" s="356">
        <v>45894</v>
      </c>
      <c r="EW307" s="356" t="e">
        <v>#N/A</v>
      </c>
      <c r="EX307" s="356">
        <v>45984</v>
      </c>
      <c r="EY307" s="356" t="e">
        <v>#N/A</v>
      </c>
      <c r="EZ307" s="354" t="s">
        <v>298</v>
      </c>
      <c r="FA307" s="355" t="s">
        <v>389</v>
      </c>
      <c r="FB307" s="356" t="s">
        <v>260</v>
      </c>
      <c r="FC307" s="300"/>
      <c r="FD307" s="356"/>
      <c r="FE307" s="356"/>
      <c r="FF307" s="356"/>
      <c r="FG307" s="356"/>
      <c r="FH307" s="356"/>
      <c r="FI307" s="356"/>
      <c r="FJ307" s="356"/>
      <c r="FK307" s="356"/>
      <c r="FL307" s="413" t="str">
        <f>Table1[[#This Row],[IPPJU]]</f>
        <v>9.Proses Penerbitan Izin</v>
      </c>
      <c r="FM307" s="413"/>
      <c r="FN307" s="335" t="str">
        <f>IF(Table1[[#This Row],[Tanggal Pengajuan Dokumen]]="","",Table1[[#This Row],[PLAN PERMIT
start]]-Table1[[#This Row],[Tanggal Pengajuan Dokumen]])</f>
        <v/>
      </c>
      <c r="FO307" s="414">
        <v>46097</v>
      </c>
      <c r="FP307" s="337"/>
      <c r="FQ307" s="336"/>
      <c r="FR307" s="336"/>
      <c r="FS307" s="336" t="str">
        <f t="shared" si="14"/>
        <v>On Going</v>
      </c>
      <c r="FT30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07" s="357">
        <f ca="1">IF(Table1[[#This Row],[Status Izin]]="Selesai",Table1[[#This Row],[PLAN PERMIT
finish]]-Table1[[#This Row],[Tanggal Terbit/ Target Izin Terbit]],ROUNDUP(Table1[[#This Row],[PLAN PERMIT
finish]]-NOW(),0))</f>
        <v>-220</v>
      </c>
      <c r="FV30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7" s="357"/>
      <c r="FX307" s="42"/>
      <c r="FY307" s="310"/>
      <c r="FZ307" s="311"/>
      <c r="GA3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7" s="356">
        <v>45958</v>
      </c>
      <c r="GC307" s="354">
        <v>45922</v>
      </c>
      <c r="GD30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7" s="356">
        <v>45965</v>
      </c>
      <c r="GF307" s="354">
        <v>45922</v>
      </c>
      <c r="GG30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7" s="356">
        <v>45971</v>
      </c>
      <c r="GI307" s="356">
        <v>45977</v>
      </c>
      <c r="GJ307" s="354">
        <v>45951</v>
      </c>
      <c r="GK30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7" s="356">
        <v>45985</v>
      </c>
      <c r="GM307" s="356" t="e">
        <v>#N/A</v>
      </c>
      <c r="GN307" s="356">
        <v>46005</v>
      </c>
      <c r="GO307" s="356" t="e">
        <v>#N/A</v>
      </c>
      <c r="GP307" s="356"/>
      <c r="GQ30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7" s="356" t="s">
        <v>261</v>
      </c>
      <c r="GS307" s="356" t="s">
        <v>261</v>
      </c>
      <c r="GT307" s="360"/>
      <c r="GU307" s="357" t="str">
        <f>IF(Table1[[#This Row],[Hydro Tes Actual
(tanggal)]]&lt;&gt;"","Sudah","Belum")</f>
        <v>Belum</v>
      </c>
      <c r="GV307" s="356" t="s">
        <v>261</v>
      </c>
      <c r="GW307" s="356" t="s">
        <v>261</v>
      </c>
      <c r="GX307" s="358"/>
      <c r="GY307" s="357" t="str">
        <f>IF(Table1[[#This Row],[Interkoneksi Actual
(tanggal)]]&lt;&gt;"","Sudah","Belum")</f>
        <v>Belum</v>
      </c>
      <c r="GZ307" s="356" t="s">
        <v>261</v>
      </c>
      <c r="HA307" s="356" t="s">
        <v>261</v>
      </c>
      <c r="HB307" s="358"/>
      <c r="HC307" s="357" t="str">
        <f>IF(Table1[[#This Row],[Flushing Actual
(tanggal)]]&lt;&gt;"","Sudah","Belum")</f>
        <v>Belum</v>
      </c>
      <c r="HD307" s="356">
        <v>45992</v>
      </c>
      <c r="HE307" s="356" t="e">
        <v>#N/A</v>
      </c>
      <c r="HF307" s="356">
        <v>46005</v>
      </c>
      <c r="HG307" s="354"/>
      <c r="HH30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07" s="356" t="s">
        <v>261</v>
      </c>
      <c r="HJ307" s="356" t="s">
        <v>261</v>
      </c>
      <c r="HK307" s="358"/>
      <c r="HL307" s="337"/>
      <c r="HM307" s="356">
        <v>46010</v>
      </c>
      <c r="HN307" s="356">
        <v>46010</v>
      </c>
      <c r="HO307" s="356" t="e">
        <v>#N/A</v>
      </c>
      <c r="HP307" s="356"/>
      <c r="HQ307" s="358"/>
      <c r="HR307"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7" s="356">
        <v>46017</v>
      </c>
      <c r="HT307" s="356"/>
      <c r="HU307" s="356">
        <v>46017</v>
      </c>
      <c r="HV307" s="356"/>
      <c r="HW307" s="358"/>
      <c r="HX30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7" s="42"/>
      <c r="HZ307" s="354" t="s">
        <v>2444</v>
      </c>
      <c r="IA307" s="354"/>
      <c r="IC307" s="585">
        <f>IFERROR(ROUND((Table1[[#This Row],[PLAN TC
finish]]-Table1[[#This Row],[PLAN MC-0
start]])/30,2),"")</f>
        <v>1.1299999999999999</v>
      </c>
      <c r="ID307">
        <f>DATEDIF(Table1[[#This Row],[PLAN MC-0
start]],Table1[[#This Row],[PLAN TC
finish]],"m")</f>
        <v>1</v>
      </c>
    </row>
    <row r="308" spans="1:238" s="4" customFormat="1" ht="15" customHeight="1" x14ac:dyDescent="0.25">
      <c r="B308" s="281">
        <f>SUBTOTAL(3,$D$5:D308)</f>
        <v>304</v>
      </c>
      <c r="C308" s="286">
        <v>304</v>
      </c>
      <c r="D308" s="308" t="s">
        <v>244</v>
      </c>
      <c r="E308" s="308" t="s">
        <v>2445</v>
      </c>
      <c r="F308" s="308" t="s">
        <v>2446</v>
      </c>
      <c r="G308" s="319">
        <v>46117</v>
      </c>
      <c r="H308" s="308" t="s">
        <v>681</v>
      </c>
      <c r="I308" s="308" t="s">
        <v>278</v>
      </c>
      <c r="J308" s="450" t="s">
        <v>1818</v>
      </c>
      <c r="K308" s="308" t="s">
        <v>1165</v>
      </c>
      <c r="L308" s="286" t="s">
        <v>250</v>
      </c>
      <c r="M308" s="325" t="s">
        <v>269</v>
      </c>
      <c r="N308" s="94">
        <v>317</v>
      </c>
      <c r="O308" s="31" t="s">
        <v>252</v>
      </c>
      <c r="P30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08" s="35">
        <v>1</v>
      </c>
      <c r="S308" s="34">
        <v>1</v>
      </c>
      <c r="T308" s="34">
        <f>Table1[[#This Row],[Progres Total Aktual
(%)]]</f>
        <v>1</v>
      </c>
      <c r="U308" s="85">
        <f>Table1[[#This Row],[Progres Aktual
(%)]]-Table1[[#This Row],[Target Progres
(%)]]</f>
        <v>0</v>
      </c>
      <c r="V308" s="75">
        <f>Table1[[#This Row],["Volume
BA MC-0"]]</f>
        <v>274</v>
      </c>
      <c r="W308" s="41">
        <f>Table1[[#This Row],[Total Panjang Pipa Aktual
(Sum-&gt;)3]]</f>
        <v>262</v>
      </c>
      <c r="X308" s="42"/>
      <c r="Y308" s="62" t="s">
        <v>2447</v>
      </c>
      <c r="Z308" s="62">
        <v>431444798</v>
      </c>
      <c r="AA308" s="62">
        <f>ROUND((Table1[[#This Row],[Nilai RAB Jaringan
(Exclude Ppn)]]-Table1[[#This Row],[RAB Perizinan]])*1.11+Table1[[#This Row],[RAB Perizinan]],0)</f>
        <v>431444798</v>
      </c>
      <c r="AB308" s="456">
        <f>SUM(Table1[[#This Row],[RAB Kegiatan Umum]:[RAB Perizinan]])</f>
        <v>389003151</v>
      </c>
      <c r="AC308" s="406">
        <v>30109809</v>
      </c>
      <c r="AD308" s="406">
        <v>301098087</v>
      </c>
      <c r="AE308" s="406">
        <v>54625255</v>
      </c>
      <c r="AF308" s="406">
        <v>3170000</v>
      </c>
      <c r="AG308" s="453">
        <v>21070387</v>
      </c>
      <c r="AH308" s="33">
        <f>SUM(Table1[[#This Row],[Bobot Keg Umum]:[Bobot Perizinan]])</f>
        <v>0.99999999999999989</v>
      </c>
      <c r="AI308" s="33">
        <f>Table1[[#This Row],[RAB Kegiatan Umum]]/Table1[[#This Row],[Nilai RAB Jaringan
(Exclude Ppn)]]</f>
        <v>7.7402480989157849E-2</v>
      </c>
      <c r="AJ308" s="33">
        <f>Table1[[#This Row],[RAB Pemasangan]]/Table1[[#This Row],[Nilai RAB Jaringan
(Exclude Ppn)]]</f>
        <v>0.77402480217955871</v>
      </c>
      <c r="AK308" s="33">
        <f>Table1[[#This Row],[RAB Pengadaan]]/Table1[[#This Row],[Nilai RAB Jaringan
(Exclude Ppn)]]</f>
        <v>0.14042368258348631</v>
      </c>
      <c r="AL308" s="33">
        <f>Table1[[#This Row],[RAB Perizinan]]/Table1[[#This Row],[Nilai RAB Jaringan
(Exclude Ppn)]]</f>
        <v>8.1490342477971347E-3</v>
      </c>
      <c r="AM308" s="42"/>
      <c r="AN308" s="256">
        <v>274</v>
      </c>
      <c r="AO308" s="256">
        <f>SUM(Table1[[#This Row],[Pipa 63 mm]:[Pipa 1,800 mm]])</f>
        <v>0</v>
      </c>
      <c r="AP308" s="256"/>
      <c r="AQ308" s="256"/>
      <c r="AR308" s="256"/>
      <c r="AS308" s="256"/>
      <c r="AT308" s="256"/>
      <c r="AU308" s="256"/>
      <c r="AV308" s="256"/>
      <c r="AW308" s="256"/>
      <c r="AX308" s="256"/>
      <c r="AY308" s="256"/>
      <c r="AZ308" s="256"/>
      <c r="BA308" s="256"/>
      <c r="BB308" s="256"/>
      <c r="BC308" s="256"/>
      <c r="BD308" s="256"/>
      <c r="BE308" s="256"/>
      <c r="BF308" s="256"/>
      <c r="BG308" s="256"/>
      <c r="BH308" s="256"/>
      <c r="BI308" s="256"/>
      <c r="BJ308" s="36">
        <f>SUM(Table1[[#This Row],[Pipa 63 mm2]:[Pipa 1,800 mm21]])</f>
        <v>262</v>
      </c>
      <c r="BK308" s="32">
        <v>262</v>
      </c>
      <c r="BL308" s="32"/>
      <c r="BM308" s="32"/>
      <c r="BN308" s="32"/>
      <c r="BO308" s="32"/>
      <c r="BP308" s="32"/>
      <c r="BQ308" s="32"/>
      <c r="BR308" s="32"/>
      <c r="BS308" s="32"/>
      <c r="BT308" s="32"/>
      <c r="BU308" s="32"/>
      <c r="BV308" s="32"/>
      <c r="BW308" s="32"/>
      <c r="BX308" s="32"/>
      <c r="BY308" s="32"/>
      <c r="BZ308" s="32"/>
      <c r="CA308" s="32"/>
      <c r="CB308" s="32"/>
      <c r="CC308" s="32"/>
      <c r="CD308" s="32"/>
      <c r="CE308" s="32">
        <v>0</v>
      </c>
      <c r="CF308" s="32"/>
      <c r="CG308" s="32"/>
      <c r="CH308" s="32"/>
      <c r="CI308" s="32">
        <f t="shared" si="15"/>
        <v>0</v>
      </c>
      <c r="CJ308" s="60">
        <f>IF((Table1[[#This Row],["Volume
BA MC-0"]]-Table1[[#This Row],[Total Panjang Pipa Aktual
(Sum-&gt;)3]]-Table1[[#This Row],[Total Volume
tidak dapat dipasang]])&gt;=0,Table1[[#This Row],["Volume
BA MC-0"]]-Table1[[#This Row],[Total Panjang Pipa Aktual
(Sum-&gt;)3]]-Table1[[#This Row],[Total Volume
tidak dapat dipasang]],0)</f>
        <v>12</v>
      </c>
      <c r="CK308" s="42"/>
      <c r="CL308" s="454" t="s">
        <v>1821</v>
      </c>
      <c r="CM308" s="34" t="s">
        <v>1821</v>
      </c>
      <c r="CN308" s="454" t="s">
        <v>1821</v>
      </c>
      <c r="CO308" s="454" t="s">
        <v>1821</v>
      </c>
      <c r="CP3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8" s="61">
        <f>IFERROR(Table1[[#This Row],[Progres Keg. Umum
(%)]]*Table1[[#This Row],[Nilai RAB Jaringan
(file pa aji)]],0)</f>
        <v>0</v>
      </c>
      <c r="CR308" s="61">
        <f>IFERROR(Table1[[#This Row],[Progres MOS
(%)]]*Table1[[#This Row],[Nilai RAB Jaringan
(file pa aji)]],0)</f>
        <v>0</v>
      </c>
      <c r="CS308" s="61">
        <f>IFERROR(Table1[[#This Row],[Progres Pemasangan
(%)]]*Table1[[#This Row],[Nilai RAB Jaringan
(file pa aji)]],0)</f>
        <v>0</v>
      </c>
      <c r="CT308" s="61">
        <f>IFERROR(Table1[[#This Row],[Progres Perizinan
(%)]]*Table1[[#This Row],[Nilai RAB Jaringan
(file pa aji)]],0)</f>
        <v>0</v>
      </c>
      <c r="CU308" s="789">
        <v>475433163</v>
      </c>
      <c r="CV308" s="299">
        <v>475433163</v>
      </c>
      <c r="CW308" s="552">
        <v>475433163</v>
      </c>
      <c r="CX308" s="789">
        <f>_xlfn.XLOOKUP(Table1[[#This Row],[Kode Program]],'[1]Breakdown VOWD Greenfield'!$E:$E,'[1]Breakdown VOWD Greenfield'!$AT:$AT)</f>
        <v>475433163</v>
      </c>
      <c r="CY308" s="42"/>
      <c r="CZ308" s="300">
        <v>45866</v>
      </c>
      <c r="DA308" s="300">
        <v>45893</v>
      </c>
      <c r="DB308" s="301">
        <v>45865</v>
      </c>
      <c r="DC308" s="286" t="s">
        <v>2448</v>
      </c>
      <c r="DD308" s="62">
        <v>431444797</v>
      </c>
      <c r="DE3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08" s="301">
        <v>45926</v>
      </c>
      <c r="DG308" s="286" t="s">
        <v>2449</v>
      </c>
      <c r="DH308" s="62">
        <v>431444797</v>
      </c>
      <c r="DI3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8" s="300">
        <v>45894</v>
      </c>
      <c r="DK308" s="300">
        <v>45963</v>
      </c>
      <c r="DL308" s="301">
        <v>45943</v>
      </c>
      <c r="DM308" s="286" t="s">
        <v>2450</v>
      </c>
      <c r="DN3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08" s="301">
        <v>45966</v>
      </c>
      <c r="DP308" s="4" t="s">
        <v>2451</v>
      </c>
      <c r="DQ308" s="308" t="s">
        <v>365</v>
      </c>
      <c r="DR3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8" s="300">
        <v>45894</v>
      </c>
      <c r="DT308" s="300" t="e">
        <v>#N/A</v>
      </c>
      <c r="DU308" s="300">
        <v>45935</v>
      </c>
      <c r="DV308" s="300" t="e">
        <v>#N/A</v>
      </c>
      <c r="DW308" s="301">
        <v>45943</v>
      </c>
      <c r="DX308" s="454" t="s">
        <v>2452</v>
      </c>
      <c r="DY308" s="304">
        <v>32</v>
      </c>
      <c r="DZ308" s="304">
        <v>32</v>
      </c>
      <c r="EA3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8" s="301"/>
      <c r="EC308" s="302">
        <v>28</v>
      </c>
      <c r="ED308" s="302">
        <v>28</v>
      </c>
      <c r="EE308" s="300"/>
      <c r="EF308" s="35">
        <v>0.875</v>
      </c>
      <c r="EG308" s="35">
        <f>Table1[[#This Row],[Line PO (kolom  bantu)2]]/Table1[[#This Row],[Line PR]]</f>
        <v>0.875</v>
      </c>
      <c r="EH308" s="286" t="str">
        <f>IF(Table1[[#This Row],[PO Material Aktual 
(%)]]&gt;=100%,"Selesai PO = 100%",IF(Table1[[#This Row],[PO Material Aktual 
(%)]]&gt;=50%,"Proses PO &gt; 100%",IF(Table1[[#This Row],[PO Material Aktual 
(%)]]&gt;0%,"Proses PO &gt; 50%",IF(Table1[[#This Row],[PO Material Aktual 
(%)]]=0,"Belum PO = 0%"))))</f>
        <v>Proses PO &gt; 100%</v>
      </c>
      <c r="EI30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08" s="300">
        <v>45936</v>
      </c>
      <c r="EK308" s="300" t="e">
        <v>#N/A</v>
      </c>
      <c r="EL308" s="300">
        <v>45991</v>
      </c>
      <c r="EM308" s="300" t="e">
        <v>#N/A</v>
      </c>
      <c r="EN308" s="301"/>
      <c r="EO308" s="302">
        <v>27</v>
      </c>
      <c r="EP308" s="286">
        <v>27</v>
      </c>
      <c r="EQ308" s="35">
        <v>0.84375</v>
      </c>
      <c r="ER308" s="35">
        <f>Table1[[#This Row],[Line MOS]]/Table1[[#This Row],[Line PR]]</f>
        <v>0.84375</v>
      </c>
      <c r="ES308" s="286" t="str">
        <f>IF(Table1[[#This Row],[Progres MOS]]&gt;=100%,"Selesai MOS = 100%",IF(Table1[[#This Row],[Progres MOS]]&gt;=50%,"Proses MOS &gt; 100%",IF(Table1[[#This Row],[Progres MOS]]&gt;0%,"Proses MOS &gt; 50%",IF(Table1[[#This Row],[Progres MOS]]=0,"Belum MOS = 0%"))))</f>
        <v>Proses MOS &gt; 100%</v>
      </c>
      <c r="ET3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08" s="42"/>
      <c r="EV308" s="300">
        <v>45894</v>
      </c>
      <c r="EW308" s="300" t="e">
        <v>#N/A</v>
      </c>
      <c r="EX308" s="300">
        <v>45991</v>
      </c>
      <c r="EY308" s="300" t="e">
        <v>#N/A</v>
      </c>
      <c r="EZ308" s="322" t="s">
        <v>298</v>
      </c>
      <c r="FA308" s="306" t="s">
        <v>259</v>
      </c>
      <c r="FB308" s="300" t="s">
        <v>260</v>
      </c>
      <c r="FC308" s="300">
        <v>45943</v>
      </c>
      <c r="FD308" s="300" t="s">
        <v>260</v>
      </c>
      <c r="FE308" s="300">
        <v>45966</v>
      </c>
      <c r="FF308" s="300">
        <v>45995</v>
      </c>
      <c r="FG308" s="300" t="s">
        <v>260</v>
      </c>
      <c r="FH308" s="300" t="s">
        <v>260</v>
      </c>
      <c r="FI308" s="300">
        <v>46010</v>
      </c>
      <c r="FJ308" s="300" t="s">
        <v>260</v>
      </c>
      <c r="FK308" s="300">
        <v>46114</v>
      </c>
      <c r="FL308" s="306" t="s">
        <v>298</v>
      </c>
      <c r="FM308" s="322">
        <v>45943</v>
      </c>
      <c r="FN308" s="308">
        <f>IF(Table1[[#This Row],[Tanggal Pengajuan Dokumen]]="","",Table1[[#This Row],[PLAN PERMIT
start]]-Table1[[#This Row],[Tanggal Pengajuan Dokumen]])</f>
        <v>-49</v>
      </c>
      <c r="FO308" s="407">
        <v>46097</v>
      </c>
      <c r="FP308" s="286"/>
      <c r="FQ308" s="308"/>
      <c r="FR308" s="308"/>
      <c r="FS308" s="308" t="str">
        <f t="shared" si="14"/>
        <v>Sudah Terbit</v>
      </c>
      <c r="FT3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8" s="314">
        <f ca="1">IF(Table1[[#This Row],[Status Izin]]="Selesai",Table1[[#This Row],[PLAN PERMIT
finish]]-Table1[[#This Row],[Tanggal Terbit/ Target Izin Terbit]],ROUNDUP(Table1[[#This Row],[PLAN PERMIT
finish]]-NOW(),0))</f>
        <v>-106</v>
      </c>
      <c r="FV3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8" s="314"/>
      <c r="FX308" s="42"/>
      <c r="FY308" s="310"/>
      <c r="FZ308" s="311"/>
      <c r="GA3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8" s="300">
        <v>45965</v>
      </c>
      <c r="GC308" s="322">
        <v>45922</v>
      </c>
      <c r="GD3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8" s="300">
        <v>45972</v>
      </c>
      <c r="GF308" s="322">
        <v>45922</v>
      </c>
      <c r="GG3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8" s="300">
        <v>45978</v>
      </c>
      <c r="GI308" s="300">
        <v>45984</v>
      </c>
      <c r="GJ308" s="322">
        <v>45951</v>
      </c>
      <c r="GK3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8" s="300">
        <v>45992</v>
      </c>
      <c r="GM308" s="300" t="e">
        <v>#N/A</v>
      </c>
      <c r="GN308" s="300">
        <v>46033</v>
      </c>
      <c r="GO308" s="300" t="e">
        <v>#N/A</v>
      </c>
      <c r="GP308" s="300"/>
      <c r="GQ3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8" s="300" t="s">
        <v>261</v>
      </c>
      <c r="GS308" s="300" t="s">
        <v>261</v>
      </c>
      <c r="GT308" s="324">
        <v>46132</v>
      </c>
      <c r="GU308" s="314" t="str">
        <f>IF(Table1[[#This Row],[Hydro Tes Actual
(tanggal)]]&lt;&gt;"","Sudah","Belum")</f>
        <v>Sudah</v>
      </c>
      <c r="GV308" s="300" t="s">
        <v>261</v>
      </c>
      <c r="GW308" s="300" t="s">
        <v>261</v>
      </c>
      <c r="GX308" s="301">
        <v>46153</v>
      </c>
      <c r="GY308" s="314" t="str">
        <f>IF(Table1[[#This Row],[Interkoneksi Actual
(tanggal)]]&lt;&gt;"","Sudah","Belum")</f>
        <v>Sudah</v>
      </c>
      <c r="GZ308" s="300" t="s">
        <v>261</v>
      </c>
      <c r="HA308" s="300" t="s">
        <v>261</v>
      </c>
      <c r="HB308" s="301">
        <v>46135</v>
      </c>
      <c r="HC308" s="314" t="str">
        <f>IF(Table1[[#This Row],[Flushing Actual
(tanggal)]]&lt;&gt;"","Sudah","Belum")</f>
        <v>Sudah</v>
      </c>
      <c r="HD308" s="300">
        <v>46013</v>
      </c>
      <c r="HE308" s="300" t="e">
        <v>#N/A</v>
      </c>
      <c r="HF308" s="300">
        <v>46026</v>
      </c>
      <c r="HG308" s="322">
        <v>46162</v>
      </c>
      <c r="HH3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8" s="300" t="s">
        <v>261</v>
      </c>
      <c r="HJ308" s="300" t="s">
        <v>261</v>
      </c>
      <c r="HK308" s="301"/>
      <c r="HL308" s="286"/>
      <c r="HM308" s="300">
        <v>46038</v>
      </c>
      <c r="HN308" s="300">
        <v>46038</v>
      </c>
      <c r="HO308" s="300" t="e">
        <v>#N/A</v>
      </c>
      <c r="HP308" s="620" t="s">
        <v>260</v>
      </c>
      <c r="HQ308" s="301"/>
      <c r="HR30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08" s="300">
        <v>46045</v>
      </c>
      <c r="HT308" s="300"/>
      <c r="HU308" s="300">
        <v>46045</v>
      </c>
      <c r="HV308" s="300"/>
      <c r="HW308" s="301"/>
      <c r="HX30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08" s="42"/>
      <c r="HZ308" s="322"/>
      <c r="IA308" s="322"/>
      <c r="IC308" s="585">
        <f>IFERROR(ROUND((Table1[[#This Row],[PLAN TC
finish]]-Table1[[#This Row],[PLAN MC-0
start]])/30,2),"")</f>
        <v>1.6</v>
      </c>
      <c r="ID308">
        <f>DATEDIF(Table1[[#This Row],[PLAN MC-0
start]],Table1[[#This Row],[PLAN TC
finish]],"m")</f>
        <v>1</v>
      </c>
    </row>
    <row r="309" spans="1:238" s="4" customFormat="1" ht="15" customHeight="1" x14ac:dyDescent="0.25">
      <c r="B309" s="281">
        <f>SUBTOTAL(3,$D$5:D309)</f>
        <v>305</v>
      </c>
      <c r="C309" s="286">
        <v>305</v>
      </c>
      <c r="D309" s="308" t="s">
        <v>244</v>
      </c>
      <c r="E309" s="308" t="s">
        <v>2453</v>
      </c>
      <c r="F309" s="308" t="s">
        <v>2454</v>
      </c>
      <c r="G309" s="319">
        <v>46117</v>
      </c>
      <c r="H309" s="308" t="s">
        <v>681</v>
      </c>
      <c r="I309" s="308" t="s">
        <v>278</v>
      </c>
      <c r="J309" s="450" t="s">
        <v>1830</v>
      </c>
      <c r="K309" s="308" t="s">
        <v>1165</v>
      </c>
      <c r="L309" s="286" t="s">
        <v>250</v>
      </c>
      <c r="M309" s="325" t="s">
        <v>269</v>
      </c>
      <c r="N309" s="94">
        <v>1617</v>
      </c>
      <c r="O309" s="31" t="s">
        <v>252</v>
      </c>
      <c r="P30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09" s="35">
        <v>1.0000000000000002</v>
      </c>
      <c r="S309" s="34">
        <v>1</v>
      </c>
      <c r="T309" s="34">
        <f>Table1[[#This Row],[Progres Total Aktual
(%)]]</f>
        <v>1</v>
      </c>
      <c r="U309" s="85">
        <f>Table1[[#This Row],[Progres Aktual
(%)]]-Table1[[#This Row],[Target Progres
(%)]]</f>
        <v>0</v>
      </c>
      <c r="V309" s="75">
        <f>Table1[[#This Row],["Volume
BA MC-0"]]</f>
        <v>1668.7</v>
      </c>
      <c r="W309" s="41">
        <f>Table1[[#This Row],[Total Panjang Pipa Aktual
(Sum-&gt;)3]]</f>
        <v>1570</v>
      </c>
      <c r="X309" s="42"/>
      <c r="Y309" s="62" t="s">
        <v>1368</v>
      </c>
      <c r="Z309" s="62">
        <v>2505791651</v>
      </c>
      <c r="AA309" s="62">
        <f>ROUND((Table1[[#This Row],[Nilai RAB Jaringan
(Exclude Ppn)]]-Table1[[#This Row],[RAB Perizinan]])*1.11+Table1[[#This Row],[RAB Perizinan]],0)</f>
        <v>2505791650</v>
      </c>
      <c r="AB309" s="456">
        <f>SUM(Table1[[#This Row],[RAB Kegiatan Umum]:[RAB Perizinan]])</f>
        <v>2259766081</v>
      </c>
      <c r="AC309" s="406">
        <v>150129199</v>
      </c>
      <c r="AD309" s="406">
        <v>1501291987</v>
      </c>
      <c r="AE309" s="406">
        <v>585174895</v>
      </c>
      <c r="AF309" s="406">
        <v>23170000</v>
      </c>
      <c r="AG309" s="453">
        <v>2107039</v>
      </c>
      <c r="AH309" s="33">
        <f>SUM(Table1[[#This Row],[Bobot Keg Umum]:[Bobot Perizinan]])</f>
        <v>1.0000000000000002</v>
      </c>
      <c r="AI309" s="33">
        <f>Table1[[#This Row],[RAB Kegiatan Umum]]/Table1[[#This Row],[Nilai RAB Jaringan
(Exclude Ppn)]]</f>
        <v>6.6435725477198185E-2</v>
      </c>
      <c r="AJ309" s="33">
        <f>Table1[[#This Row],[RAB Pemasangan]]/Table1[[#This Row],[Nilai RAB Jaringan
(Exclude Ppn)]]</f>
        <v>0.66435725344441088</v>
      </c>
      <c r="AK309" s="33">
        <f>Table1[[#This Row],[RAB Pengadaan]]/Table1[[#This Row],[Nilai RAB Jaringan
(Exclude Ppn)]]</f>
        <v>0.25895374743435667</v>
      </c>
      <c r="AL309" s="33">
        <f>Table1[[#This Row],[RAB Perizinan]]/Table1[[#This Row],[Nilai RAB Jaringan
(Exclude Ppn)]]</f>
        <v>1.0253273644034309E-2</v>
      </c>
      <c r="AM309" s="42"/>
      <c r="AN309" s="256">
        <f>125+415+511.5+617.2</f>
        <v>1668.7</v>
      </c>
      <c r="AO309" s="256">
        <f>SUM(Table1[[#This Row],[Pipa 63 mm]:[Pipa 1,800 mm]])</f>
        <v>0</v>
      </c>
      <c r="AP309" s="256"/>
      <c r="AQ309" s="256"/>
      <c r="AR309" s="256"/>
      <c r="AS309" s="256"/>
      <c r="AT309" s="256"/>
      <c r="AU309" s="256"/>
      <c r="AV309" s="256"/>
      <c r="AW309" s="256"/>
      <c r="AX309" s="256"/>
      <c r="AY309" s="256"/>
      <c r="AZ309" s="256"/>
      <c r="BA309" s="256"/>
      <c r="BB309" s="256"/>
      <c r="BC309" s="256"/>
      <c r="BD309" s="256"/>
      <c r="BE309" s="256"/>
      <c r="BF309" s="256"/>
      <c r="BG309" s="256"/>
      <c r="BH309" s="256"/>
      <c r="BI309" s="256"/>
      <c r="BJ309" s="36">
        <f>SUM(Table1[[#This Row],[Pipa 63 mm2]:[Pipa 1,800 mm21]])</f>
        <v>1570</v>
      </c>
      <c r="BK309" s="32">
        <v>582</v>
      </c>
      <c r="BL309" s="32">
        <v>471</v>
      </c>
      <c r="BM309" s="32">
        <v>384</v>
      </c>
      <c r="BN309" s="32">
        <v>133</v>
      </c>
      <c r="BO309" s="32"/>
      <c r="BP309" s="32"/>
      <c r="BQ309" s="32"/>
      <c r="BR309" s="32"/>
      <c r="BS309" s="32"/>
      <c r="BT309" s="32"/>
      <c r="BU309" s="32"/>
      <c r="BV309" s="32"/>
      <c r="BW309" s="32"/>
      <c r="BX309" s="32"/>
      <c r="BY309" s="32"/>
      <c r="BZ309" s="32"/>
      <c r="CA309" s="32"/>
      <c r="CB309" s="32"/>
      <c r="CC309" s="32"/>
      <c r="CD309" s="32"/>
      <c r="CE309" s="32">
        <v>103</v>
      </c>
      <c r="CF309" s="32">
        <f>57+37</f>
        <v>94</v>
      </c>
      <c r="CG309" s="32"/>
      <c r="CH309" s="32"/>
      <c r="CI309" s="32">
        <f t="shared" si="15"/>
        <v>197</v>
      </c>
      <c r="CJ309" s="60">
        <f>IF((Table1[[#This Row],["Volume
BA MC-0"]]-Table1[[#This Row],[Total Panjang Pipa Aktual
(Sum-&gt;)3]]-Table1[[#This Row],[Total Volume
tidak dapat dipasang]])&gt;=0,Table1[[#This Row],["Volume
BA MC-0"]]-Table1[[#This Row],[Total Panjang Pipa Aktual
(Sum-&gt;)3]]-Table1[[#This Row],[Total Volume
tidak dapat dipasang]],0)</f>
        <v>0</v>
      </c>
      <c r="CK309" s="42"/>
      <c r="CL309" s="35" t="s">
        <v>1821</v>
      </c>
      <c r="CM309" s="35" t="s">
        <v>1821</v>
      </c>
      <c r="CN309" s="35" t="s">
        <v>1821</v>
      </c>
      <c r="CO309" s="35" t="s">
        <v>1821</v>
      </c>
      <c r="CP3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09" s="61">
        <f>IFERROR(Table1[[#This Row],[Progres Keg. Umum
(%)]]*Table1[[#This Row],[Nilai RAB Jaringan
(file pa aji)]],0)</f>
        <v>0</v>
      </c>
      <c r="CR309" s="61">
        <f>IFERROR(Table1[[#This Row],[Progres MOS
(%)]]*Table1[[#This Row],[Nilai RAB Jaringan
(file pa aji)]],0)</f>
        <v>0</v>
      </c>
      <c r="CS309" s="61">
        <f>IFERROR(Table1[[#This Row],[Progres Pemasangan
(%)]]*Table1[[#This Row],[Nilai RAB Jaringan
(file pa aji)]],0)</f>
        <v>0</v>
      </c>
      <c r="CT309" s="61">
        <f>IFERROR(Table1[[#This Row],[Progres Perizinan
(%)]]*Table1[[#This Row],[Nilai RAB Jaringan
(file pa aji)]],0)</f>
        <v>0</v>
      </c>
      <c r="CU309" s="789">
        <v>2226383938</v>
      </c>
      <c r="CV309" s="299">
        <v>2226383938</v>
      </c>
      <c r="CW309" s="552">
        <v>2226383938</v>
      </c>
      <c r="CX309" s="789">
        <f>_xlfn.XLOOKUP(Table1[[#This Row],[Kode Program]],'[1]Breakdown VOWD Greenfield'!$E:$E,'[1]Breakdown VOWD Greenfield'!$AT:$AT)</f>
        <v>2226383938</v>
      </c>
      <c r="CY309" s="42"/>
      <c r="CZ309" s="300">
        <v>45866</v>
      </c>
      <c r="DA309" s="300">
        <v>45893</v>
      </c>
      <c r="DB309" s="301">
        <v>45943</v>
      </c>
      <c r="DC309" s="286" t="s">
        <v>2455</v>
      </c>
      <c r="DD309" s="62">
        <v>812928155</v>
      </c>
      <c r="DE3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09" s="301">
        <v>45957</v>
      </c>
      <c r="DG309" s="286" t="s">
        <v>2456</v>
      </c>
      <c r="DH309" s="62">
        <v>812928155</v>
      </c>
      <c r="DI3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09" s="300">
        <v>45894</v>
      </c>
      <c r="DK309" s="300">
        <v>45963</v>
      </c>
      <c r="DL309" s="301">
        <v>45965</v>
      </c>
      <c r="DM309" s="7" t="s">
        <v>2457</v>
      </c>
      <c r="DN3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09" s="301">
        <v>45973</v>
      </c>
      <c r="DP309" s="286" t="s">
        <v>2458</v>
      </c>
      <c r="DQ309" s="308" t="s">
        <v>365</v>
      </c>
      <c r="DR3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09" s="300">
        <v>45894</v>
      </c>
      <c r="DT309" s="300" t="e">
        <v>#N/A</v>
      </c>
      <c r="DU309" s="300">
        <v>45935</v>
      </c>
      <c r="DV309" s="300" t="e">
        <v>#N/A</v>
      </c>
      <c r="DW309" s="301">
        <v>45965</v>
      </c>
      <c r="DX309" s="286" t="s">
        <v>2459</v>
      </c>
      <c r="DY309" s="302">
        <v>99</v>
      </c>
      <c r="DZ309" s="304">
        <v>99</v>
      </c>
      <c r="EA3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09" s="301">
        <v>46009</v>
      </c>
      <c r="EC309" s="302">
        <v>94</v>
      </c>
      <c r="ED309" s="302">
        <v>94</v>
      </c>
      <c r="EE309" s="395" t="s">
        <v>2460</v>
      </c>
      <c r="EF309" s="35">
        <v>1</v>
      </c>
      <c r="EG309" s="307">
        <v>1</v>
      </c>
      <c r="EH309" s="286" t="str">
        <f>IF(Table1[[#This Row],[PO Material Aktual 
(%)]]&gt;=100%,"Selesai PO = 100%",IF(Table1[[#This Row],[PO Material Aktual 
(%)]]&gt;=50%,"Proses PO &gt; 100%",IF(Table1[[#This Row],[PO Material Aktual 
(%)]]&gt;0%,"Proses PO &gt; 50%",IF(Table1[[#This Row],[PO Material Aktual 
(%)]]=0,"Belum PO = 0%"))))</f>
        <v>Selesai PO = 100%</v>
      </c>
      <c r="EI30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09" s="300">
        <v>45936</v>
      </c>
      <c r="EK309" s="300" t="e">
        <v>#N/A</v>
      </c>
      <c r="EL309" s="300">
        <v>45991</v>
      </c>
      <c r="EM309" s="300" t="e">
        <v>#N/A</v>
      </c>
      <c r="EN309" s="301">
        <v>46127</v>
      </c>
      <c r="EO309" s="302">
        <v>94</v>
      </c>
      <c r="EP309" s="286">
        <v>94</v>
      </c>
      <c r="EQ309" s="35">
        <v>0.9494949494949495</v>
      </c>
      <c r="ER309" s="35">
        <f>Table1[[#This Row],[Line MOS]]/Table1[[#This Row],[Line PR]]</f>
        <v>0.9494949494949495</v>
      </c>
      <c r="ES309" s="286" t="str">
        <f>IF(Table1[[#This Row],[Progres MOS]]&gt;=100%,"Selesai MOS = 100%",IF(Table1[[#This Row],[Progres MOS]]&gt;=50%,"Proses MOS &gt; 100%",IF(Table1[[#This Row],[Progres MOS]]&gt;0%,"Proses MOS &gt; 50%",IF(Table1[[#This Row],[Progres MOS]]=0,"Belum MOS = 0%"))))</f>
        <v>Proses MOS &gt; 100%</v>
      </c>
      <c r="ET3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09" s="42"/>
      <c r="EV309" s="300">
        <v>45894</v>
      </c>
      <c r="EW309" s="300" t="e">
        <v>#N/A</v>
      </c>
      <c r="EX309" s="300">
        <v>45991</v>
      </c>
      <c r="EY309" s="300" t="e">
        <v>#N/A</v>
      </c>
      <c r="EZ309" s="322" t="s">
        <v>298</v>
      </c>
      <c r="FA309" s="306" t="s">
        <v>259</v>
      </c>
      <c r="FB309" s="300" t="s">
        <v>260</v>
      </c>
      <c r="FC309" s="300">
        <v>45943</v>
      </c>
      <c r="FD309" s="300" t="s">
        <v>260</v>
      </c>
      <c r="FE309" s="300">
        <v>45966</v>
      </c>
      <c r="FF309" s="300">
        <v>45995</v>
      </c>
      <c r="FG309" s="300" t="s">
        <v>260</v>
      </c>
      <c r="FH309" s="300" t="s">
        <v>260</v>
      </c>
      <c r="FI309" s="300">
        <v>46010</v>
      </c>
      <c r="FJ309" s="300" t="s">
        <v>260</v>
      </c>
      <c r="FK309" s="300">
        <v>46114</v>
      </c>
      <c r="FL309" s="306" t="s">
        <v>298</v>
      </c>
      <c r="FM309" s="322">
        <v>45943</v>
      </c>
      <c r="FN309" s="308">
        <f>IF(Table1[[#This Row],[Tanggal Pengajuan Dokumen]]="","",Table1[[#This Row],[PLAN PERMIT
start]]-Table1[[#This Row],[Tanggal Pengajuan Dokumen]])</f>
        <v>-49</v>
      </c>
      <c r="FO309" s="407">
        <v>46097</v>
      </c>
      <c r="FP309" s="286"/>
      <c r="FQ309" s="308"/>
      <c r="FR309" s="308"/>
      <c r="FS309" s="308" t="str">
        <f t="shared" si="14"/>
        <v>Sudah Terbit</v>
      </c>
      <c r="FT3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09" s="314">
        <f ca="1">IF(Table1[[#This Row],[Status Izin]]="Selesai",Table1[[#This Row],[PLAN PERMIT
finish]]-Table1[[#This Row],[Tanggal Terbit/ Target Izin Terbit]],ROUNDUP(Table1[[#This Row],[PLAN PERMIT
finish]]-NOW(),0))</f>
        <v>-106</v>
      </c>
      <c r="FV3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09" s="314"/>
      <c r="FX309" s="42"/>
      <c r="FY309" s="310"/>
      <c r="FZ309" s="311"/>
      <c r="GA3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09" s="300">
        <v>45965</v>
      </c>
      <c r="GC309" s="322">
        <v>45922</v>
      </c>
      <c r="GD3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09" s="300">
        <v>45972</v>
      </c>
      <c r="GF309" s="322">
        <v>45922</v>
      </c>
      <c r="GG3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09" s="300">
        <v>45978</v>
      </c>
      <c r="GI309" s="300">
        <v>45984</v>
      </c>
      <c r="GJ309" s="322">
        <v>45729</v>
      </c>
      <c r="GK3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09" s="300">
        <v>45992</v>
      </c>
      <c r="GM309" s="300" t="e">
        <v>#N/A</v>
      </c>
      <c r="GN309" s="300">
        <v>46061</v>
      </c>
      <c r="GO309" s="300" t="e">
        <v>#N/A</v>
      </c>
      <c r="GP309" s="300"/>
      <c r="GQ3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09" s="300" t="s">
        <v>261</v>
      </c>
      <c r="GS309" s="300" t="s">
        <v>261</v>
      </c>
      <c r="GT309" s="324">
        <v>46036</v>
      </c>
      <c r="GU309" s="314" t="str">
        <f>IF(Table1[[#This Row],[Hydro Tes Actual
(tanggal)]]&lt;&gt;"","Sudah","Belum")</f>
        <v>Sudah</v>
      </c>
      <c r="GV309" s="300" t="s">
        <v>261</v>
      </c>
      <c r="GW309" s="300" t="s">
        <v>261</v>
      </c>
      <c r="GX309" s="301">
        <v>46055</v>
      </c>
      <c r="GY309" s="314" t="str">
        <f>IF(Table1[[#This Row],[Interkoneksi Actual
(tanggal)]]&lt;&gt;"","Sudah","Belum")</f>
        <v>Sudah</v>
      </c>
      <c r="GZ309" s="300" t="s">
        <v>261</v>
      </c>
      <c r="HA309" s="300" t="s">
        <v>261</v>
      </c>
      <c r="HB309" s="301">
        <v>46058</v>
      </c>
      <c r="HC309" s="314" t="str">
        <f>IF(Table1[[#This Row],[Flushing Actual
(tanggal)]]&lt;&gt;"","Sudah","Belum")</f>
        <v>Sudah</v>
      </c>
      <c r="HD309" s="300">
        <v>46041</v>
      </c>
      <c r="HE309" s="300" t="e">
        <v>#N/A</v>
      </c>
      <c r="HF309" s="300">
        <v>46054</v>
      </c>
      <c r="HG309" s="322">
        <v>46065</v>
      </c>
      <c r="HH3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09" s="300" t="s">
        <v>261</v>
      </c>
      <c r="HJ309" s="300" t="s">
        <v>261</v>
      </c>
      <c r="HK309" s="301"/>
      <c r="HL309" s="286"/>
      <c r="HM309" s="300">
        <v>46066</v>
      </c>
      <c r="HN309" s="300">
        <v>46066</v>
      </c>
      <c r="HO309" s="300" t="e">
        <v>#N/A</v>
      </c>
      <c r="HP309" s="300"/>
      <c r="HQ309" s="301">
        <v>46108</v>
      </c>
      <c r="HR30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09" s="300">
        <v>46073</v>
      </c>
      <c r="HT309" s="300"/>
      <c r="HU309" s="300">
        <v>46073</v>
      </c>
      <c r="HV309" s="300"/>
      <c r="HW309" s="301">
        <v>46113</v>
      </c>
      <c r="HX30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09" s="42"/>
      <c r="HZ309" s="322"/>
      <c r="IA309" s="322"/>
      <c r="IC309" s="585">
        <f>IFERROR(ROUND((Table1[[#This Row],[PLAN TC
finish]]-Table1[[#This Row],[PLAN MC-0
start]])/30,2),"")</f>
        <v>2.5299999999999998</v>
      </c>
      <c r="ID309">
        <f>DATEDIF(Table1[[#This Row],[PLAN MC-0
start]],Table1[[#This Row],[PLAN TC
finish]],"m")</f>
        <v>2</v>
      </c>
    </row>
    <row r="310" spans="1:238" s="4" customFormat="1" ht="15" customHeight="1" x14ac:dyDescent="0.25">
      <c r="B310" s="281">
        <f>SUBTOTAL(3,$D$5:D310)</f>
        <v>306</v>
      </c>
      <c r="C310" s="286">
        <v>306</v>
      </c>
      <c r="D310" s="308" t="s">
        <v>244</v>
      </c>
      <c r="E310" s="308" t="s">
        <v>2461</v>
      </c>
      <c r="F310" s="308" t="s">
        <v>2462</v>
      </c>
      <c r="G310" s="319">
        <v>46117</v>
      </c>
      <c r="H310" s="308" t="s">
        <v>681</v>
      </c>
      <c r="I310" s="308" t="s">
        <v>278</v>
      </c>
      <c r="J310" s="450" t="s">
        <v>1830</v>
      </c>
      <c r="K310" s="308" t="s">
        <v>1165</v>
      </c>
      <c r="L310" s="286" t="s">
        <v>250</v>
      </c>
      <c r="M310" s="325" t="s">
        <v>269</v>
      </c>
      <c r="N310" s="94">
        <v>90</v>
      </c>
      <c r="O310" s="31" t="s">
        <v>252</v>
      </c>
      <c r="P31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0" s="35">
        <v>1</v>
      </c>
      <c r="S310" s="34">
        <v>1</v>
      </c>
      <c r="T310" s="34">
        <f>Table1[[#This Row],[Progres Total Aktual
(%)]]</f>
        <v>1</v>
      </c>
      <c r="U310" s="85">
        <f>Table1[[#This Row],[Progres Aktual
(%)]]-Table1[[#This Row],[Target Progres
(%)]]</f>
        <v>0</v>
      </c>
      <c r="V310" s="75">
        <f>Table1[[#This Row],["Volume
BA MC-0"]]</f>
        <v>90</v>
      </c>
      <c r="W310" s="41">
        <f>Table1[[#This Row],[Total Panjang Pipa Aktual
(Sum-&gt;)3]]</f>
        <v>90</v>
      </c>
      <c r="X310" s="42"/>
      <c r="Y310" s="62" t="s">
        <v>2463</v>
      </c>
      <c r="Z310" s="62">
        <v>141544432</v>
      </c>
      <c r="AA310" s="62">
        <f>ROUND((Table1[[#This Row],[Nilai RAB Jaringan
(Exclude Ppn)]]-Table1[[#This Row],[RAB Perizinan]])*1.11+Table1[[#This Row],[RAB Perizinan]],0)</f>
        <v>141544431</v>
      </c>
      <c r="AB310" s="456">
        <f>SUM(Table1[[#This Row],[RAB Kegiatan Umum]:[RAB Perizinan]])</f>
        <v>127606695</v>
      </c>
      <c r="AC310" s="406">
        <v>9413793</v>
      </c>
      <c r="AD310" s="406">
        <v>94137927</v>
      </c>
      <c r="AE310" s="406">
        <v>23154975</v>
      </c>
      <c r="AF310" s="406">
        <v>900000</v>
      </c>
      <c r="AG310" s="453">
        <v>2107039</v>
      </c>
      <c r="AH310" s="33">
        <f>SUM(Table1[[#This Row],[Bobot Keg Umum]:[Bobot Perizinan]])</f>
        <v>1</v>
      </c>
      <c r="AI310" s="33">
        <f>Table1[[#This Row],[RAB Kegiatan Umum]]/Table1[[#This Row],[Nilai RAB Jaringan
(Exclude Ppn)]]</f>
        <v>7.3771936495965196E-2</v>
      </c>
      <c r="AJ310" s="33">
        <f>Table1[[#This Row],[RAB Pemasangan]]/Table1[[#This Row],[Nilai RAB Jaringan
(Exclude Ppn)]]</f>
        <v>0.73771934144991369</v>
      </c>
      <c r="AK310" s="33">
        <f>Table1[[#This Row],[RAB Pengadaan]]/Table1[[#This Row],[Nilai RAB Jaringan
(Exclude Ppn)]]</f>
        <v>0.18145580057535382</v>
      </c>
      <c r="AL310" s="33">
        <f>Table1[[#This Row],[RAB Perizinan]]/Table1[[#This Row],[Nilai RAB Jaringan
(Exclude Ppn)]]</f>
        <v>7.0529214787672387E-3</v>
      </c>
      <c r="AM310" s="42"/>
      <c r="AN310" s="256">
        <v>90</v>
      </c>
      <c r="AO310" s="256">
        <f>SUM(Table1[[#This Row],[Pipa 63 mm]:[Pipa 1,800 mm]])</f>
        <v>0</v>
      </c>
      <c r="AP310" s="256"/>
      <c r="AQ310" s="256"/>
      <c r="AR310" s="256"/>
      <c r="AS310" s="256"/>
      <c r="AT310" s="256"/>
      <c r="AU310" s="256"/>
      <c r="AV310" s="256"/>
      <c r="AW310" s="256"/>
      <c r="AX310" s="256"/>
      <c r="AY310" s="256"/>
      <c r="AZ310" s="256"/>
      <c r="BA310" s="256"/>
      <c r="BB310" s="256"/>
      <c r="BC310" s="256"/>
      <c r="BD310" s="256"/>
      <c r="BE310" s="256"/>
      <c r="BF310" s="256"/>
      <c r="BG310" s="256"/>
      <c r="BH310" s="256"/>
      <c r="BI310" s="256"/>
      <c r="BJ310" s="36">
        <f>SUM(Table1[[#This Row],[Pipa 63 mm2]:[Pipa 1,800 mm21]])</f>
        <v>90</v>
      </c>
      <c r="BK310" s="32">
        <v>90</v>
      </c>
      <c r="BL310" s="32"/>
      <c r="BM310" s="32"/>
      <c r="BN310" s="32"/>
      <c r="BO310" s="32"/>
      <c r="BP310" s="32"/>
      <c r="BQ310" s="32"/>
      <c r="BR310" s="32"/>
      <c r="BS310" s="32"/>
      <c r="BT310" s="32"/>
      <c r="BU310" s="32"/>
      <c r="BV310" s="32"/>
      <c r="BW310" s="32"/>
      <c r="BX310" s="32"/>
      <c r="BY310" s="32"/>
      <c r="BZ310" s="32"/>
      <c r="CA310" s="32"/>
      <c r="CB310" s="32"/>
      <c r="CC310" s="32"/>
      <c r="CD310" s="32"/>
      <c r="CE310" s="32">
        <v>0</v>
      </c>
      <c r="CF310" s="32"/>
      <c r="CG310" s="32"/>
      <c r="CH310" s="32"/>
      <c r="CI310" s="32">
        <f t="shared" si="15"/>
        <v>0</v>
      </c>
      <c r="CJ310" s="60">
        <f>IF((Table1[[#This Row],["Volume
BA MC-0"]]-Table1[[#This Row],[Total Panjang Pipa Aktual
(Sum-&gt;)3]]-Table1[[#This Row],[Total Volume
tidak dapat dipasang]])&gt;=0,Table1[[#This Row],["Volume
BA MC-0"]]-Table1[[#This Row],[Total Panjang Pipa Aktual
(Sum-&gt;)3]]-Table1[[#This Row],[Total Volume
tidak dapat dipasang]],0)</f>
        <v>0</v>
      </c>
      <c r="CK310" s="42"/>
      <c r="CL310" s="454" t="s">
        <v>1821</v>
      </c>
      <c r="CM310" s="34" t="s">
        <v>1821</v>
      </c>
      <c r="CN310" s="454" t="s">
        <v>1821</v>
      </c>
      <c r="CO310" s="454" t="s">
        <v>1821</v>
      </c>
      <c r="CP3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0" s="61">
        <f>IFERROR(Table1[[#This Row],[Progres Keg. Umum
(%)]]*Table1[[#This Row],[Nilai RAB Jaringan
(file pa aji)]],0)</f>
        <v>0</v>
      </c>
      <c r="CR310" s="61">
        <f>IFERROR(Table1[[#This Row],[Progres MOS
(%)]]*Table1[[#This Row],[Nilai RAB Jaringan
(file pa aji)]],0)</f>
        <v>0</v>
      </c>
      <c r="CS310" s="61">
        <f>IFERROR(Table1[[#This Row],[Progres Pemasangan
(%)]]*Table1[[#This Row],[Nilai RAB Jaringan
(file pa aji)]],0)</f>
        <v>0</v>
      </c>
      <c r="CT310" s="61">
        <f>IFERROR(Table1[[#This Row],[Progres Perizinan
(%)]]*Table1[[#This Row],[Nilai RAB Jaringan
(file pa aji)]],0)</f>
        <v>0</v>
      </c>
      <c r="CU310" s="789">
        <v>85659028</v>
      </c>
      <c r="CV310" s="299">
        <v>85659028</v>
      </c>
      <c r="CW310" s="552">
        <v>85659028</v>
      </c>
      <c r="CX310" s="789">
        <f>_xlfn.XLOOKUP(Table1[[#This Row],[Kode Program]],'[1]Breakdown VOWD Greenfield'!$E:$E,'[1]Breakdown VOWD Greenfield'!$AT:$AT)</f>
        <v>85659028</v>
      </c>
      <c r="CY310" s="42"/>
      <c r="CZ310" s="300">
        <v>45866</v>
      </c>
      <c r="DA310" s="300">
        <v>45893</v>
      </c>
      <c r="DB310" s="301">
        <v>45867</v>
      </c>
      <c r="DC310" s="286" t="s">
        <v>2464</v>
      </c>
      <c r="DD310" s="62">
        <v>141544432</v>
      </c>
      <c r="DE3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0" s="301">
        <v>45889</v>
      </c>
      <c r="DG310" s="286" t="s">
        <v>2465</v>
      </c>
      <c r="DH310" s="62">
        <v>141544432</v>
      </c>
      <c r="DI3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0" s="300">
        <v>45894</v>
      </c>
      <c r="DK310" s="300">
        <v>45956</v>
      </c>
      <c r="DL310" s="301">
        <v>45940</v>
      </c>
      <c r="DM310" s="286" t="s">
        <v>2466</v>
      </c>
      <c r="DN3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0" s="301">
        <v>45950</v>
      </c>
      <c r="DP310" s="286" t="s">
        <v>2467</v>
      </c>
      <c r="DQ310" s="308" t="s">
        <v>365</v>
      </c>
      <c r="DR3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0" s="300">
        <v>45894</v>
      </c>
      <c r="DT310" s="300" t="e">
        <v>#N/A</v>
      </c>
      <c r="DU310" s="300">
        <v>45935</v>
      </c>
      <c r="DV310" s="300" t="e">
        <v>#N/A</v>
      </c>
      <c r="DW310" s="301">
        <v>45940</v>
      </c>
      <c r="DX310" s="454" t="s">
        <v>2468</v>
      </c>
      <c r="DY310" s="302">
        <v>17</v>
      </c>
      <c r="DZ310" s="304">
        <v>17</v>
      </c>
      <c r="EA3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0" s="301">
        <v>46006</v>
      </c>
      <c r="EC310" s="302">
        <v>15</v>
      </c>
      <c r="ED310" s="302">
        <v>15</v>
      </c>
      <c r="EE310" s="395" t="s">
        <v>2469</v>
      </c>
      <c r="EF310" s="35">
        <v>1</v>
      </c>
      <c r="EG310" s="307">
        <v>1</v>
      </c>
      <c r="EH310" s="286" t="str">
        <f>IF(Table1[[#This Row],[PO Material Aktual 
(%)]]&gt;=100%,"Selesai PO = 100%",IF(Table1[[#This Row],[PO Material Aktual 
(%)]]&gt;=50%,"Proses PO &gt; 100%",IF(Table1[[#This Row],[PO Material Aktual 
(%)]]&gt;0%,"Proses PO &gt; 50%",IF(Table1[[#This Row],[PO Material Aktual 
(%)]]=0,"Belum PO = 0%"))))</f>
        <v>Selesai PO = 100%</v>
      </c>
      <c r="EI31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0" s="300">
        <v>45936</v>
      </c>
      <c r="EK310" s="300" t="e">
        <v>#N/A</v>
      </c>
      <c r="EL310" s="300">
        <v>45984</v>
      </c>
      <c r="EM310" s="300" t="e">
        <v>#N/A</v>
      </c>
      <c r="EN310" s="301">
        <v>46061</v>
      </c>
      <c r="EO310" s="302">
        <v>15</v>
      </c>
      <c r="EP310" s="286">
        <v>15</v>
      </c>
      <c r="EQ310" s="35">
        <v>0.88235294117647056</v>
      </c>
      <c r="ER310" s="35">
        <f>Table1[[#This Row],[Line MOS]]/Table1[[#This Row],[Line PR]]</f>
        <v>0.88235294117647056</v>
      </c>
      <c r="ES310" s="286" t="str">
        <f>IF(Table1[[#This Row],[Progres MOS]]&gt;=100%,"Selesai MOS = 100%",IF(Table1[[#This Row],[Progres MOS]]&gt;=50%,"Proses MOS &gt; 100%",IF(Table1[[#This Row],[Progres MOS]]&gt;0%,"Proses MOS &gt; 50%",IF(Table1[[#This Row],[Progres MOS]]=0,"Belum MOS = 0%"))))</f>
        <v>Proses MOS &gt; 100%</v>
      </c>
      <c r="ET3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0" s="42"/>
      <c r="EV310" s="300">
        <v>45894</v>
      </c>
      <c r="EW310" s="300" t="e">
        <v>#N/A</v>
      </c>
      <c r="EX310" s="300">
        <v>45984</v>
      </c>
      <c r="EY310" s="300" t="e">
        <v>#N/A</v>
      </c>
      <c r="EZ310" s="322" t="s">
        <v>298</v>
      </c>
      <c r="FA310" s="306" t="s">
        <v>298</v>
      </c>
      <c r="FB310" s="300" t="s">
        <v>260</v>
      </c>
      <c r="FC310" s="300">
        <v>45943</v>
      </c>
      <c r="FD310" s="300" t="s">
        <v>260</v>
      </c>
      <c r="FE310" s="300">
        <v>45966</v>
      </c>
      <c r="FF310" s="300">
        <v>45995</v>
      </c>
      <c r="FG310" s="300" t="s">
        <v>260</v>
      </c>
      <c r="FH310" s="300" t="s">
        <v>260</v>
      </c>
      <c r="FI310" s="300">
        <v>46010</v>
      </c>
      <c r="FJ310" s="300" t="s">
        <v>260</v>
      </c>
      <c r="FK310" s="300"/>
      <c r="FL310" s="306" t="s">
        <v>298</v>
      </c>
      <c r="FM310" s="322">
        <v>45943</v>
      </c>
      <c r="FN310" s="308">
        <f>IF(Table1[[#This Row],[Tanggal Pengajuan Dokumen]]="","",Table1[[#This Row],[PLAN PERMIT
start]]-Table1[[#This Row],[Tanggal Pengajuan Dokumen]])</f>
        <v>-49</v>
      </c>
      <c r="FO310" s="407">
        <v>46097</v>
      </c>
      <c r="FP310" s="286"/>
      <c r="FQ310" s="308"/>
      <c r="FR310" s="308"/>
      <c r="FS310" s="308" t="str">
        <f t="shared" si="14"/>
        <v>On Going</v>
      </c>
      <c r="FT3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0" s="314">
        <f ca="1">IF(Table1[[#This Row],[Status Izin]]="Selesai",Table1[[#This Row],[PLAN PERMIT
finish]]-Table1[[#This Row],[Tanggal Terbit/ Target Izin Terbit]],ROUNDUP(Table1[[#This Row],[PLAN PERMIT
finish]]-NOW(),0))</f>
        <v>-220</v>
      </c>
      <c r="FV3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0" s="314"/>
      <c r="FX310" s="42"/>
      <c r="FY310" s="310"/>
      <c r="FZ310" s="311"/>
      <c r="GA3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0" s="300">
        <v>45958</v>
      </c>
      <c r="GC310" s="408">
        <v>45959</v>
      </c>
      <c r="GD3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0" s="300">
        <v>45965</v>
      </c>
      <c r="GF310" s="408">
        <v>45959</v>
      </c>
      <c r="GG3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0" s="300">
        <v>45971</v>
      </c>
      <c r="GI310" s="300">
        <v>45977</v>
      </c>
      <c r="GJ310" s="322">
        <v>45964</v>
      </c>
      <c r="GK3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0" s="300">
        <v>45985</v>
      </c>
      <c r="GM310" s="300" t="e">
        <v>#N/A</v>
      </c>
      <c r="GN310" s="300">
        <v>46005</v>
      </c>
      <c r="GO310" s="300" t="e">
        <v>#N/A</v>
      </c>
      <c r="GP310" s="300"/>
      <c r="GQ3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0" s="300" t="s">
        <v>261</v>
      </c>
      <c r="GS310" s="300" t="s">
        <v>261</v>
      </c>
      <c r="GT310" s="324">
        <v>46013</v>
      </c>
      <c r="GU310" s="314" t="str">
        <f>IF(Table1[[#This Row],[Hydro Tes Actual
(tanggal)]]&lt;&gt;"","Sudah","Belum")</f>
        <v>Sudah</v>
      </c>
      <c r="GV310" s="300" t="s">
        <v>261</v>
      </c>
      <c r="GW310" s="300" t="s">
        <v>261</v>
      </c>
      <c r="GX310" s="301">
        <v>46064</v>
      </c>
      <c r="GY310" s="314" t="str">
        <f>IF(Table1[[#This Row],[Interkoneksi Actual
(tanggal)]]&lt;&gt;"","Sudah","Belum")</f>
        <v>Sudah</v>
      </c>
      <c r="GZ310" s="300" t="s">
        <v>261</v>
      </c>
      <c r="HA310" s="300" t="s">
        <v>261</v>
      </c>
      <c r="HB310" s="301">
        <v>46079</v>
      </c>
      <c r="HC310" s="314" t="str">
        <f>IF(Table1[[#This Row],[Flushing Actual
(tanggal)]]&lt;&gt;"","Sudah","Belum")</f>
        <v>Sudah</v>
      </c>
      <c r="HD310" s="300">
        <v>45992</v>
      </c>
      <c r="HE310" s="300" t="e">
        <v>#N/A</v>
      </c>
      <c r="HF310" s="300">
        <v>46005</v>
      </c>
      <c r="HG310" s="322">
        <v>46083</v>
      </c>
      <c r="HH3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0" s="300" t="s">
        <v>261</v>
      </c>
      <c r="HJ310" s="300" t="s">
        <v>261</v>
      </c>
      <c r="HK310" s="301"/>
      <c r="HL310" s="286"/>
      <c r="HM310" s="300">
        <v>46010</v>
      </c>
      <c r="HN310" s="300">
        <v>46010</v>
      </c>
      <c r="HO310" s="300" t="e">
        <v>#N/A</v>
      </c>
      <c r="HP310" s="300"/>
      <c r="HQ310" s="301">
        <v>46098</v>
      </c>
      <c r="HR31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0" s="300">
        <v>46017</v>
      </c>
      <c r="HT310" s="300"/>
      <c r="HU310" s="300">
        <v>46017</v>
      </c>
      <c r="HV310" s="300"/>
      <c r="HW310" s="301">
        <v>46099</v>
      </c>
      <c r="HX31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0" s="42"/>
      <c r="HZ310" s="322"/>
      <c r="IA310" s="322"/>
      <c r="IC310" s="585">
        <f>IFERROR(ROUND((Table1[[#This Row],[PLAN TC
finish]]-Table1[[#This Row],[PLAN MC-0
start]])/30,2),"")</f>
        <v>1.1299999999999999</v>
      </c>
      <c r="ID310">
        <f>DATEDIF(Table1[[#This Row],[PLAN MC-0
start]],Table1[[#This Row],[PLAN TC
finish]],"m")</f>
        <v>1</v>
      </c>
    </row>
    <row r="311" spans="1:238" s="4" customFormat="1" ht="15" customHeight="1" x14ac:dyDescent="0.25">
      <c r="B311" s="281">
        <f>SUBTOTAL(3,$D$5:D311)</f>
        <v>307</v>
      </c>
      <c r="C311" s="286">
        <v>307</v>
      </c>
      <c r="D311" s="308" t="s">
        <v>244</v>
      </c>
      <c r="E311" s="308" t="s">
        <v>2470</v>
      </c>
      <c r="F311" s="308" t="s">
        <v>2471</v>
      </c>
      <c r="G311" s="319">
        <v>46117</v>
      </c>
      <c r="H311" s="308" t="s">
        <v>681</v>
      </c>
      <c r="I311" s="308" t="s">
        <v>278</v>
      </c>
      <c r="J311" s="450" t="s">
        <v>1830</v>
      </c>
      <c r="K311" s="308" t="s">
        <v>1165</v>
      </c>
      <c r="L311" s="286" t="s">
        <v>250</v>
      </c>
      <c r="M311" s="325" t="s">
        <v>269</v>
      </c>
      <c r="N311" s="94">
        <v>76</v>
      </c>
      <c r="O311" s="31" t="s">
        <v>252</v>
      </c>
      <c r="P31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1" s="35">
        <v>1.0000000000000002</v>
      </c>
      <c r="S311" s="34">
        <v>1</v>
      </c>
      <c r="T311" s="34">
        <f>Table1[[#This Row],[Progres Total Aktual
(%)]]</f>
        <v>1</v>
      </c>
      <c r="U311" s="85">
        <f>Table1[[#This Row],[Progres Aktual
(%)]]-Table1[[#This Row],[Target Progres
(%)]]</f>
        <v>0</v>
      </c>
      <c r="V311" s="75">
        <f>Table1[[#This Row],["Volume
BA MC-0"]]</f>
        <v>87</v>
      </c>
      <c r="W311" s="41">
        <f>Table1[[#This Row],[Total Panjang Pipa Aktual
(Sum-&gt;)3]]</f>
        <v>89</v>
      </c>
      <c r="X311" s="42"/>
      <c r="Y311" s="62" t="s">
        <v>2472</v>
      </c>
      <c r="Z311" s="62">
        <v>162803600</v>
      </c>
      <c r="AA311" s="62">
        <f>ROUND((Table1[[#This Row],[Nilai RAB Jaringan
(Exclude Ppn)]]-Table1[[#This Row],[RAB Perizinan]])*1.11+Table1[[#This Row],[RAB Perizinan]],0)</f>
        <v>162803600</v>
      </c>
      <c r="AB311" s="456">
        <f>SUM(Table1[[#This Row],[RAB Kegiatan Umum]:[RAB Perizinan]])</f>
        <v>146745225</v>
      </c>
      <c r="AC311" s="406">
        <v>9904612</v>
      </c>
      <c r="AD311" s="406">
        <v>99046114</v>
      </c>
      <c r="AE311" s="406">
        <v>37034499</v>
      </c>
      <c r="AF311" s="406">
        <v>760000</v>
      </c>
      <c r="AG311" s="453">
        <v>42140773</v>
      </c>
      <c r="AH311" s="33">
        <f>SUM(Table1[[#This Row],[Bobot Keg Umum]:[Bobot Perizinan]])</f>
        <v>1</v>
      </c>
      <c r="AI311" s="33">
        <f>Table1[[#This Row],[RAB Kegiatan Umum]]/Table1[[#This Row],[Nilai RAB Jaringan
(Exclude Ppn)]]</f>
        <v>6.7495293288078032E-2</v>
      </c>
      <c r="AJ311" s="33">
        <f>Table1[[#This Row],[RAB Pemasangan]]/Table1[[#This Row],[Nilai RAB Jaringan
(Exclude Ppn)]]</f>
        <v>0.67495289199358954</v>
      </c>
      <c r="AK311" s="33">
        <f>Table1[[#This Row],[RAB Pengadaan]]/Table1[[#This Row],[Nilai RAB Jaringan
(Exclude Ppn)]]</f>
        <v>0.25237277056204044</v>
      </c>
      <c r="AL311" s="33">
        <f>Table1[[#This Row],[RAB Perizinan]]/Table1[[#This Row],[Nilai RAB Jaringan
(Exclude Ppn)]]</f>
        <v>5.1790441562919679E-3</v>
      </c>
      <c r="AM311" s="42"/>
      <c r="AN311" s="256">
        <v>87</v>
      </c>
      <c r="AO311" s="256">
        <f>SUM(Table1[[#This Row],[Pipa 63 mm]:[Pipa 1,800 mm]])</f>
        <v>0</v>
      </c>
      <c r="AP311" s="256"/>
      <c r="AQ311" s="256"/>
      <c r="AR311" s="256"/>
      <c r="AS311" s="256"/>
      <c r="AT311" s="256"/>
      <c r="AU311" s="256"/>
      <c r="AV311" s="256"/>
      <c r="AW311" s="256"/>
      <c r="AX311" s="256"/>
      <c r="AY311" s="256"/>
      <c r="AZ311" s="256"/>
      <c r="BA311" s="256"/>
      <c r="BB311" s="256"/>
      <c r="BC311" s="256"/>
      <c r="BD311" s="256"/>
      <c r="BE311" s="256"/>
      <c r="BF311" s="256"/>
      <c r="BG311" s="256"/>
      <c r="BH311" s="256"/>
      <c r="BI311" s="256"/>
      <c r="BJ311" s="36">
        <f>SUM(Table1[[#This Row],[Pipa 63 mm2]:[Pipa 1,800 mm21]])</f>
        <v>89</v>
      </c>
      <c r="BK311" s="32">
        <v>89</v>
      </c>
      <c r="BL311" s="32"/>
      <c r="BM311" s="32"/>
      <c r="BN311" s="32"/>
      <c r="BO311" s="32"/>
      <c r="BP311" s="32"/>
      <c r="BQ311" s="32"/>
      <c r="BR311" s="32"/>
      <c r="BS311" s="32"/>
      <c r="BT311" s="32"/>
      <c r="BU311" s="32"/>
      <c r="BV311" s="32"/>
      <c r="BW311" s="32"/>
      <c r="BX311" s="32"/>
      <c r="BY311" s="32"/>
      <c r="BZ311" s="32"/>
      <c r="CA311" s="32"/>
      <c r="CB311" s="32"/>
      <c r="CC311" s="32"/>
      <c r="CD311" s="32"/>
      <c r="CE311" s="32">
        <v>0</v>
      </c>
      <c r="CF311" s="32"/>
      <c r="CG311" s="32"/>
      <c r="CH311" s="32"/>
      <c r="CI311" s="32">
        <f t="shared" si="15"/>
        <v>0</v>
      </c>
      <c r="CJ311" s="60">
        <f>IF((Table1[[#This Row],["Volume
BA MC-0"]]-Table1[[#This Row],[Total Panjang Pipa Aktual
(Sum-&gt;)3]]-Table1[[#This Row],[Total Volume
tidak dapat dipasang]])&gt;=0,Table1[[#This Row],["Volume
BA MC-0"]]-Table1[[#This Row],[Total Panjang Pipa Aktual
(Sum-&gt;)3]]-Table1[[#This Row],[Total Volume
tidak dapat dipasang]],0)</f>
        <v>0</v>
      </c>
      <c r="CK311" s="42"/>
      <c r="CL311" s="35" t="s">
        <v>1821</v>
      </c>
      <c r="CM311" s="35" t="s">
        <v>1821</v>
      </c>
      <c r="CN311" s="35" t="s">
        <v>1821</v>
      </c>
      <c r="CO311" s="35" t="s">
        <v>1821</v>
      </c>
      <c r="CP3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1" s="61">
        <f>IFERROR(Table1[[#This Row],[Progres Keg. Umum
(%)]]*Table1[[#This Row],[Nilai RAB Jaringan
(file pa aji)]],0)</f>
        <v>0</v>
      </c>
      <c r="CR311" s="61">
        <f>IFERROR(Table1[[#This Row],[Progres MOS
(%)]]*Table1[[#This Row],[Nilai RAB Jaringan
(file pa aji)]],0)</f>
        <v>0</v>
      </c>
      <c r="CS311" s="61">
        <f>IFERROR(Table1[[#This Row],[Progres Pemasangan
(%)]]*Table1[[#This Row],[Nilai RAB Jaringan
(file pa aji)]],0)</f>
        <v>0</v>
      </c>
      <c r="CT311" s="61">
        <f>IFERROR(Table1[[#This Row],[Progres Perizinan
(%)]]*Table1[[#This Row],[Nilai RAB Jaringan
(file pa aji)]],0)</f>
        <v>0</v>
      </c>
      <c r="CU311" s="789">
        <v>416566801</v>
      </c>
      <c r="CV311" s="299">
        <v>416566801</v>
      </c>
      <c r="CW311" s="552">
        <v>416566801</v>
      </c>
      <c r="CX311" s="789">
        <f>_xlfn.XLOOKUP(Table1[[#This Row],[Kode Program]],'[1]Breakdown VOWD Greenfield'!$E:$E,'[1]Breakdown VOWD Greenfield'!$AT:$AT)</f>
        <v>416566801</v>
      </c>
      <c r="CY311" s="42"/>
      <c r="CZ311" s="300">
        <v>45866</v>
      </c>
      <c r="DA311" s="300">
        <v>45893</v>
      </c>
      <c r="DB311" s="301">
        <v>45867</v>
      </c>
      <c r="DC311" s="286" t="s">
        <v>2473</v>
      </c>
      <c r="DD311" s="62">
        <v>162803600</v>
      </c>
      <c r="DE3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1" s="301">
        <v>45889</v>
      </c>
      <c r="DG311" s="286" t="s">
        <v>2474</v>
      </c>
      <c r="DH311" s="62">
        <v>162803600</v>
      </c>
      <c r="DI3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1" s="300">
        <v>45894</v>
      </c>
      <c r="DK311" s="300">
        <v>45956</v>
      </c>
      <c r="DL311" s="301">
        <v>45940</v>
      </c>
      <c r="DM311" s="286" t="s">
        <v>2475</v>
      </c>
      <c r="DN3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1" s="301">
        <v>45950</v>
      </c>
      <c r="DP311" s="286" t="s">
        <v>2476</v>
      </c>
      <c r="DQ311" s="308" t="s">
        <v>365</v>
      </c>
      <c r="DR3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1" s="300">
        <v>45894</v>
      </c>
      <c r="DT311" s="300" t="e">
        <v>#N/A</v>
      </c>
      <c r="DU311" s="300">
        <v>45935</v>
      </c>
      <c r="DV311" s="300" t="e">
        <v>#N/A</v>
      </c>
      <c r="DW311" s="301">
        <v>45940</v>
      </c>
      <c r="DX311" s="454" t="s">
        <v>2477</v>
      </c>
      <c r="DY311" s="302">
        <v>29</v>
      </c>
      <c r="DZ311" s="304">
        <v>29</v>
      </c>
      <c r="EA3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1" s="301">
        <v>46127</v>
      </c>
      <c r="EC311" s="302">
        <v>25</v>
      </c>
      <c r="ED311" s="302">
        <v>25</v>
      </c>
      <c r="EE311" s="395" t="s">
        <v>2478</v>
      </c>
      <c r="EF311" s="35">
        <v>1</v>
      </c>
      <c r="EG311" s="307">
        <v>1</v>
      </c>
      <c r="EH311" s="286" t="str">
        <f>IF(Table1[[#This Row],[PO Material Aktual 
(%)]]&gt;=100%,"Selesai PO = 100%",IF(Table1[[#This Row],[PO Material Aktual 
(%)]]&gt;=50%,"Proses PO &gt; 100%",IF(Table1[[#This Row],[PO Material Aktual 
(%)]]&gt;0%,"Proses PO &gt; 50%",IF(Table1[[#This Row],[PO Material Aktual 
(%)]]=0,"Belum PO = 0%"))))</f>
        <v>Selesai PO = 100%</v>
      </c>
      <c r="EI31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1" s="300">
        <v>45936</v>
      </c>
      <c r="EK311" s="300" t="e">
        <v>#N/A</v>
      </c>
      <c r="EL311" s="300">
        <v>45984</v>
      </c>
      <c r="EM311" s="300" t="e">
        <v>#N/A</v>
      </c>
      <c r="EN311" s="301">
        <v>46148</v>
      </c>
      <c r="EO311" s="302">
        <v>25</v>
      </c>
      <c r="EP311" s="286">
        <v>25</v>
      </c>
      <c r="EQ311" s="35">
        <v>0.86206896551724133</v>
      </c>
      <c r="ER311" s="35">
        <f>Table1[[#This Row],[Line MOS]]/Table1[[#This Row],[Line PR]]</f>
        <v>0.86206896551724133</v>
      </c>
      <c r="ES311" s="286" t="str">
        <f>IF(Table1[[#This Row],[Progres MOS]]&gt;=100%,"Selesai MOS = 100%",IF(Table1[[#This Row],[Progres MOS]]&gt;=50%,"Proses MOS &gt; 100%",IF(Table1[[#This Row],[Progres MOS]]&gt;0%,"Proses MOS &gt; 50%",IF(Table1[[#This Row],[Progres MOS]]=0,"Belum MOS = 0%"))))</f>
        <v>Proses MOS &gt; 100%</v>
      </c>
      <c r="ET3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1" s="42"/>
      <c r="EV311" s="300">
        <v>45894</v>
      </c>
      <c r="EW311" s="300" t="e">
        <v>#N/A</v>
      </c>
      <c r="EX311" s="300">
        <v>45984</v>
      </c>
      <c r="EY311" s="300" t="e">
        <v>#N/A</v>
      </c>
      <c r="EZ311" s="322" t="s">
        <v>298</v>
      </c>
      <c r="FA311" s="306" t="s">
        <v>298</v>
      </c>
      <c r="FB311" s="300" t="s">
        <v>260</v>
      </c>
      <c r="FC311" s="300">
        <v>45943</v>
      </c>
      <c r="FD311" s="300" t="s">
        <v>260</v>
      </c>
      <c r="FE311" s="300">
        <v>45966</v>
      </c>
      <c r="FF311" s="300">
        <v>45995</v>
      </c>
      <c r="FG311" s="300" t="s">
        <v>260</v>
      </c>
      <c r="FH311" s="300" t="s">
        <v>260</v>
      </c>
      <c r="FI311" s="300">
        <v>46010</v>
      </c>
      <c r="FJ311" s="300" t="s">
        <v>260</v>
      </c>
      <c r="FK311" s="300"/>
      <c r="FL311" s="306" t="s">
        <v>298</v>
      </c>
      <c r="FM311" s="322">
        <v>45943</v>
      </c>
      <c r="FN311" s="308">
        <f>IF(Table1[[#This Row],[Tanggal Pengajuan Dokumen]]="","",Table1[[#This Row],[PLAN PERMIT
start]]-Table1[[#This Row],[Tanggal Pengajuan Dokumen]])</f>
        <v>-49</v>
      </c>
      <c r="FO311" s="407">
        <v>46097</v>
      </c>
      <c r="FP311" s="286"/>
      <c r="FQ311" s="308"/>
      <c r="FR311" s="308"/>
      <c r="FS311" s="308" t="str">
        <f t="shared" si="14"/>
        <v>On Going</v>
      </c>
      <c r="FT3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1" s="314">
        <f ca="1">IF(Table1[[#This Row],[Status Izin]]="Selesai",Table1[[#This Row],[PLAN PERMIT
finish]]-Table1[[#This Row],[Tanggal Terbit/ Target Izin Terbit]],ROUNDUP(Table1[[#This Row],[PLAN PERMIT
finish]]-NOW(),0))</f>
        <v>-220</v>
      </c>
      <c r="FV3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1" s="314"/>
      <c r="FX311" s="42"/>
      <c r="FY311" s="310"/>
      <c r="FZ311" s="311"/>
      <c r="GA3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1" s="300">
        <v>45958</v>
      </c>
      <c r="GC311" s="408">
        <v>45959</v>
      </c>
      <c r="GD3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1" s="300">
        <v>45965</v>
      </c>
      <c r="GF311" s="408">
        <v>45959</v>
      </c>
      <c r="GG3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1" s="300">
        <v>45971</v>
      </c>
      <c r="GI311" s="300">
        <v>45977</v>
      </c>
      <c r="GJ311" s="322">
        <v>45964</v>
      </c>
      <c r="GK3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1" s="300">
        <v>45985</v>
      </c>
      <c r="GM311" s="300" t="e">
        <v>#N/A</v>
      </c>
      <c r="GN311" s="300">
        <v>46005</v>
      </c>
      <c r="GO311" s="300" t="e">
        <v>#N/A</v>
      </c>
      <c r="GP311" s="300"/>
      <c r="GQ3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1" s="300" t="s">
        <v>261</v>
      </c>
      <c r="GS311" s="300" t="s">
        <v>261</v>
      </c>
      <c r="GT311" s="324">
        <v>46013</v>
      </c>
      <c r="GU311" s="314" t="str">
        <f>IF(Table1[[#This Row],[Hydro Tes Actual
(tanggal)]]&lt;&gt;"","Sudah","Belum")</f>
        <v>Sudah</v>
      </c>
      <c r="GV311" s="300" t="s">
        <v>261</v>
      </c>
      <c r="GW311" s="300" t="s">
        <v>261</v>
      </c>
      <c r="GX311" s="301">
        <v>46008</v>
      </c>
      <c r="GY311" s="314" t="str">
        <f>IF(Table1[[#This Row],[Interkoneksi Actual
(tanggal)]]&lt;&gt;"","Sudah","Belum")</f>
        <v>Sudah</v>
      </c>
      <c r="GZ311" s="300" t="s">
        <v>261</v>
      </c>
      <c r="HA311" s="300" t="s">
        <v>261</v>
      </c>
      <c r="HB311" s="301">
        <v>46015</v>
      </c>
      <c r="HC311" s="314" t="str">
        <f>IF(Table1[[#This Row],[Flushing Actual
(tanggal)]]&lt;&gt;"","Sudah","Belum")</f>
        <v>Sudah</v>
      </c>
      <c r="HD311" s="300">
        <v>45992</v>
      </c>
      <c r="HE311" s="300" t="e">
        <v>#N/A</v>
      </c>
      <c r="HF311" s="300">
        <v>46005</v>
      </c>
      <c r="HG311" s="322">
        <v>46035</v>
      </c>
      <c r="HH3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1" s="300" t="s">
        <v>261</v>
      </c>
      <c r="HJ311" s="300" t="s">
        <v>261</v>
      </c>
      <c r="HK311" s="301"/>
      <c r="HL311" s="286"/>
      <c r="HM311" s="300">
        <v>46010</v>
      </c>
      <c r="HN311" s="300">
        <v>46010</v>
      </c>
      <c r="HO311" s="300" t="e">
        <v>#N/A</v>
      </c>
      <c r="HP311" s="300"/>
      <c r="HQ311" s="301">
        <v>46106</v>
      </c>
      <c r="HR31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1" s="300">
        <v>46017</v>
      </c>
      <c r="HT311" s="300"/>
      <c r="HU311" s="300">
        <v>46017</v>
      </c>
      <c r="HV311" s="300"/>
      <c r="HW311" s="301">
        <v>46108</v>
      </c>
      <c r="HX31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1" s="42"/>
      <c r="HZ311" s="322"/>
      <c r="IA311" s="322"/>
      <c r="IC311" s="585">
        <f>IFERROR(ROUND((Table1[[#This Row],[PLAN TC
finish]]-Table1[[#This Row],[PLAN MC-0
start]])/30,2),"")</f>
        <v>1.1299999999999999</v>
      </c>
      <c r="ID311">
        <f>DATEDIF(Table1[[#This Row],[PLAN MC-0
start]],Table1[[#This Row],[PLAN TC
finish]],"m")</f>
        <v>1</v>
      </c>
    </row>
    <row r="312" spans="1:238" s="4" customFormat="1" ht="15" customHeight="1" x14ac:dyDescent="0.25">
      <c r="B312" s="281">
        <f>SUBTOTAL(3,$D$5:D312)</f>
        <v>308</v>
      </c>
      <c r="C312" s="286">
        <v>308</v>
      </c>
      <c r="D312" s="308" t="s">
        <v>244</v>
      </c>
      <c r="E312" s="308" t="s">
        <v>2479</v>
      </c>
      <c r="F312" s="308" t="s">
        <v>2480</v>
      </c>
      <c r="G312" s="319">
        <v>46117</v>
      </c>
      <c r="H312" s="308" t="s">
        <v>681</v>
      </c>
      <c r="I312" s="308" t="s">
        <v>278</v>
      </c>
      <c r="J312" s="450" t="s">
        <v>1830</v>
      </c>
      <c r="K312" s="308" t="s">
        <v>1165</v>
      </c>
      <c r="L312" s="286" t="s">
        <v>250</v>
      </c>
      <c r="M312" s="325" t="s">
        <v>269</v>
      </c>
      <c r="N312" s="94">
        <v>80</v>
      </c>
      <c r="O312" s="31" t="s">
        <v>252</v>
      </c>
      <c r="P31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2" s="35">
        <v>0.99999999999999978</v>
      </c>
      <c r="S312" s="34">
        <v>1</v>
      </c>
      <c r="T312" s="34">
        <f>Table1[[#This Row],[Progres Total Aktual
(%)]]</f>
        <v>1</v>
      </c>
      <c r="U312" s="85">
        <f>Table1[[#This Row],[Progres Aktual
(%)]]-Table1[[#This Row],[Target Progres
(%)]]</f>
        <v>0</v>
      </c>
      <c r="V312" s="75">
        <f>Table1[[#This Row],["Volume
BA MC-0"]]</f>
        <v>80</v>
      </c>
      <c r="W312" s="41">
        <f>Table1[[#This Row],[Total Panjang Pipa Aktual
(Sum-&gt;)3]]</f>
        <v>80</v>
      </c>
      <c r="X312" s="42"/>
      <c r="Y312" s="62" t="s">
        <v>2481</v>
      </c>
      <c r="Z312" s="62">
        <v>140641205</v>
      </c>
      <c r="AA312" s="62">
        <f>ROUND((Table1[[#This Row],[Nilai RAB Jaringan
(Exclude Ppn)]]-Table1[[#This Row],[RAB Perizinan]])*1.11+Table1[[#This Row],[RAB Perizinan]],0)</f>
        <v>140641204</v>
      </c>
      <c r="AB312" s="456">
        <f>SUM(Table1[[#This Row],[RAB Kegiatan Umum]:[RAB Perizinan]])</f>
        <v>126783067</v>
      </c>
      <c r="AC312" s="406">
        <v>9067737</v>
      </c>
      <c r="AD312" s="406">
        <v>90677364</v>
      </c>
      <c r="AE312" s="406">
        <v>26237966</v>
      </c>
      <c r="AF312" s="406">
        <v>800000</v>
      </c>
      <c r="AG312" s="453">
        <v>14749271</v>
      </c>
      <c r="AH312" s="33">
        <f>SUM(Table1[[#This Row],[Bobot Keg Umum]:[Bobot Perizinan]])</f>
        <v>0.99999999999999989</v>
      </c>
      <c r="AI312" s="33">
        <f>Table1[[#This Row],[RAB Kegiatan Umum]]/Table1[[#This Row],[Nilai RAB Jaringan
(Exclude Ppn)]]</f>
        <v>7.1521672527451952E-2</v>
      </c>
      <c r="AJ312" s="33">
        <f>Table1[[#This Row],[RAB Pemasangan]]/Table1[[#This Row],[Nilai RAB Jaringan
(Exclude Ppn)]]</f>
        <v>0.71521667794958765</v>
      </c>
      <c r="AK312" s="33">
        <f>Table1[[#This Row],[RAB Pengadaan]]/Table1[[#This Row],[Nilai RAB Jaringan
(Exclude Ppn)]]</f>
        <v>0.20695165861542061</v>
      </c>
      <c r="AL312" s="33">
        <f>Table1[[#This Row],[RAB Perizinan]]/Table1[[#This Row],[Nilai RAB Jaringan
(Exclude Ppn)]]</f>
        <v>6.3099909075397271E-3</v>
      </c>
      <c r="AM312" s="42"/>
      <c r="AN312" s="256">
        <v>80</v>
      </c>
      <c r="AO312" s="256">
        <f>SUM(Table1[[#This Row],[Pipa 63 mm]:[Pipa 1,800 mm]])</f>
        <v>0</v>
      </c>
      <c r="AP312" s="256"/>
      <c r="AQ312" s="256"/>
      <c r="AR312" s="256"/>
      <c r="AS312" s="256"/>
      <c r="AT312" s="256"/>
      <c r="AU312" s="256"/>
      <c r="AV312" s="256"/>
      <c r="AW312" s="256"/>
      <c r="AX312" s="256"/>
      <c r="AY312" s="256"/>
      <c r="AZ312" s="256"/>
      <c r="BA312" s="256"/>
      <c r="BB312" s="256"/>
      <c r="BC312" s="256"/>
      <c r="BD312" s="256"/>
      <c r="BE312" s="256"/>
      <c r="BF312" s="256"/>
      <c r="BG312" s="256"/>
      <c r="BH312" s="256"/>
      <c r="BI312" s="256"/>
      <c r="BJ312" s="36">
        <f>SUM(Table1[[#This Row],[Pipa 63 mm2]:[Pipa 1,800 mm21]])</f>
        <v>80</v>
      </c>
      <c r="BK312" s="32">
        <v>80</v>
      </c>
      <c r="BL312" s="32"/>
      <c r="BM312" s="32"/>
      <c r="BN312" s="32"/>
      <c r="BO312" s="32"/>
      <c r="BP312" s="32"/>
      <c r="BQ312" s="32"/>
      <c r="BR312" s="32"/>
      <c r="BS312" s="32"/>
      <c r="BT312" s="32"/>
      <c r="BU312" s="32"/>
      <c r="BV312" s="32"/>
      <c r="BW312" s="32"/>
      <c r="BX312" s="32"/>
      <c r="BY312" s="32"/>
      <c r="BZ312" s="32"/>
      <c r="CA312" s="32"/>
      <c r="CB312" s="32"/>
      <c r="CC312" s="32"/>
      <c r="CD312" s="32"/>
      <c r="CE312" s="32">
        <v>0</v>
      </c>
      <c r="CF312" s="32"/>
      <c r="CG312" s="32"/>
      <c r="CH312" s="32"/>
      <c r="CI312" s="32">
        <f t="shared" si="15"/>
        <v>0</v>
      </c>
      <c r="CJ312" s="60">
        <f>IF((Table1[[#This Row],["Volume
BA MC-0"]]-Table1[[#This Row],[Total Panjang Pipa Aktual
(Sum-&gt;)3]]-Table1[[#This Row],[Total Volume
tidak dapat dipasang]])&gt;=0,Table1[[#This Row],["Volume
BA MC-0"]]-Table1[[#This Row],[Total Panjang Pipa Aktual
(Sum-&gt;)3]]-Table1[[#This Row],[Total Volume
tidak dapat dipasang]],0)</f>
        <v>0</v>
      </c>
      <c r="CK312" s="42"/>
      <c r="CL312" s="454" t="s">
        <v>1821</v>
      </c>
      <c r="CM312" s="34" t="s">
        <v>1821</v>
      </c>
      <c r="CN312" s="454" t="s">
        <v>1821</v>
      </c>
      <c r="CO312" s="454" t="s">
        <v>1821</v>
      </c>
      <c r="CP3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2" s="61">
        <f>IFERROR(Table1[[#This Row],[Progres Keg. Umum
(%)]]*Table1[[#This Row],[Nilai RAB Jaringan
(file pa aji)]],0)</f>
        <v>0</v>
      </c>
      <c r="CR312" s="61">
        <f>IFERROR(Table1[[#This Row],[Progres MOS
(%)]]*Table1[[#This Row],[Nilai RAB Jaringan
(file pa aji)]],0)</f>
        <v>0</v>
      </c>
      <c r="CS312" s="61">
        <f>IFERROR(Table1[[#This Row],[Progres Pemasangan
(%)]]*Table1[[#This Row],[Nilai RAB Jaringan
(file pa aji)]],0)</f>
        <v>0</v>
      </c>
      <c r="CT312" s="61">
        <f>IFERROR(Table1[[#This Row],[Progres Perizinan
(%)]]*Table1[[#This Row],[Nilai RAB Jaringan
(file pa aji)]],0)</f>
        <v>0</v>
      </c>
      <c r="CU312" s="789">
        <v>142674955</v>
      </c>
      <c r="CV312" s="299">
        <v>142674955</v>
      </c>
      <c r="CW312" s="552">
        <v>142674955</v>
      </c>
      <c r="CX312" s="789">
        <f>_xlfn.XLOOKUP(Table1[[#This Row],[Kode Program]],'[1]Breakdown VOWD Greenfield'!$E:$E,'[1]Breakdown VOWD Greenfield'!$AT:$AT)</f>
        <v>142674955</v>
      </c>
      <c r="CY312" s="42"/>
      <c r="CZ312" s="300">
        <v>45866</v>
      </c>
      <c r="DA312" s="300">
        <v>45893</v>
      </c>
      <c r="DB312" s="301">
        <v>45867</v>
      </c>
      <c r="DC312" s="286" t="s">
        <v>2482</v>
      </c>
      <c r="DD312" s="62">
        <v>140641205</v>
      </c>
      <c r="DE3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2" s="301">
        <v>45889</v>
      </c>
      <c r="DG312" s="286" t="s">
        <v>2483</v>
      </c>
      <c r="DH312" s="62">
        <v>140641205</v>
      </c>
      <c r="DI3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2" s="300">
        <v>45894</v>
      </c>
      <c r="DK312" s="300">
        <v>45956</v>
      </c>
      <c r="DL312" s="301">
        <v>45940</v>
      </c>
      <c r="DM312" s="286" t="s">
        <v>2484</v>
      </c>
      <c r="DN3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2" s="301">
        <v>45950</v>
      </c>
      <c r="DP312" s="286" t="s">
        <v>2485</v>
      </c>
      <c r="DQ312" s="308" t="s">
        <v>365</v>
      </c>
      <c r="DR3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2" s="300">
        <v>45894</v>
      </c>
      <c r="DT312" s="300" t="e">
        <v>#N/A</v>
      </c>
      <c r="DU312" s="300">
        <v>45935</v>
      </c>
      <c r="DV312" s="300" t="e">
        <v>#N/A</v>
      </c>
      <c r="DW312" s="301">
        <v>45940</v>
      </c>
      <c r="DX312" s="454" t="s">
        <v>2486</v>
      </c>
      <c r="DY312" s="302">
        <v>22</v>
      </c>
      <c r="DZ312" s="304">
        <v>22</v>
      </c>
      <c r="EA3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12" s="301">
        <v>46127</v>
      </c>
      <c r="EC312" s="302">
        <v>20</v>
      </c>
      <c r="ED312" s="302">
        <v>20</v>
      </c>
      <c r="EE312" s="395" t="s">
        <v>2487</v>
      </c>
      <c r="EF312" s="35">
        <v>1</v>
      </c>
      <c r="EG312" s="307">
        <v>1</v>
      </c>
      <c r="EH312" s="286" t="str">
        <f>IF(Table1[[#This Row],[PO Material Aktual 
(%)]]&gt;=100%,"Selesai PO = 100%",IF(Table1[[#This Row],[PO Material Aktual 
(%)]]&gt;=50%,"Proses PO &gt; 100%",IF(Table1[[#This Row],[PO Material Aktual 
(%)]]&gt;0%,"Proses PO &gt; 50%",IF(Table1[[#This Row],[PO Material Aktual 
(%)]]=0,"Belum PO = 0%"))))</f>
        <v>Selesai PO = 100%</v>
      </c>
      <c r="EI31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2" s="300">
        <v>45936</v>
      </c>
      <c r="EK312" s="300" t="e">
        <v>#N/A</v>
      </c>
      <c r="EL312" s="300">
        <v>45984</v>
      </c>
      <c r="EM312" s="300" t="e">
        <v>#N/A</v>
      </c>
      <c r="EN312" s="301">
        <v>46148</v>
      </c>
      <c r="EO312" s="302">
        <v>20</v>
      </c>
      <c r="EP312" s="286">
        <v>20</v>
      </c>
      <c r="EQ312" s="35">
        <v>0.90909090909090906</v>
      </c>
      <c r="ER312" s="35">
        <f>Table1[[#This Row],[Line MOS]]/Table1[[#This Row],[Line PR]]</f>
        <v>0.90909090909090906</v>
      </c>
      <c r="ES312" s="286" t="str">
        <f>IF(Table1[[#This Row],[Progres MOS]]&gt;=100%,"Selesai MOS = 100%",IF(Table1[[#This Row],[Progres MOS]]&gt;=50%,"Proses MOS &gt; 100%",IF(Table1[[#This Row],[Progres MOS]]&gt;0%,"Proses MOS &gt; 50%",IF(Table1[[#This Row],[Progres MOS]]=0,"Belum MOS = 0%"))))</f>
        <v>Proses MOS &gt; 100%</v>
      </c>
      <c r="ET3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2" s="42"/>
      <c r="EV312" s="300">
        <v>45894</v>
      </c>
      <c r="EW312" s="300" t="e">
        <v>#N/A</v>
      </c>
      <c r="EX312" s="300">
        <v>45984</v>
      </c>
      <c r="EY312" s="300" t="e">
        <v>#N/A</v>
      </c>
      <c r="EZ312" s="322" t="s">
        <v>298</v>
      </c>
      <c r="FA312" s="306" t="s">
        <v>298</v>
      </c>
      <c r="FB312" s="300" t="s">
        <v>260</v>
      </c>
      <c r="FC312" s="300">
        <v>45943</v>
      </c>
      <c r="FD312" s="300" t="s">
        <v>260</v>
      </c>
      <c r="FE312" s="300">
        <v>45966</v>
      </c>
      <c r="FF312" s="300">
        <v>45995</v>
      </c>
      <c r="FG312" s="300" t="s">
        <v>260</v>
      </c>
      <c r="FH312" s="300" t="s">
        <v>260</v>
      </c>
      <c r="FI312" s="300">
        <v>46010</v>
      </c>
      <c r="FJ312" s="300" t="s">
        <v>260</v>
      </c>
      <c r="FK312" s="300"/>
      <c r="FL312" s="306" t="s">
        <v>298</v>
      </c>
      <c r="FM312" s="322">
        <v>45943</v>
      </c>
      <c r="FN312" s="308">
        <f>IF(Table1[[#This Row],[Tanggal Pengajuan Dokumen]]="","",Table1[[#This Row],[PLAN PERMIT
start]]-Table1[[#This Row],[Tanggal Pengajuan Dokumen]])</f>
        <v>-49</v>
      </c>
      <c r="FO312" s="407">
        <v>46097</v>
      </c>
      <c r="FP312" s="286" t="s">
        <v>2087</v>
      </c>
      <c r="FQ312" s="308"/>
      <c r="FR312" s="308"/>
      <c r="FS312" s="308" t="str">
        <f t="shared" si="14"/>
        <v>On Going</v>
      </c>
      <c r="FT3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2" s="314">
        <f ca="1">IF(Table1[[#This Row],[Status Izin]]="Selesai",Table1[[#This Row],[PLAN PERMIT
finish]]-Table1[[#This Row],[Tanggal Terbit/ Target Izin Terbit]],ROUNDUP(Table1[[#This Row],[PLAN PERMIT
finish]]-NOW(),0))</f>
        <v>-220</v>
      </c>
      <c r="FV3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2" s="314"/>
      <c r="FX312" s="42"/>
      <c r="FY312" s="310"/>
      <c r="FZ312" s="311"/>
      <c r="GA3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2" s="300">
        <v>45958</v>
      </c>
      <c r="GC312" s="322">
        <v>45909</v>
      </c>
      <c r="GD3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2" s="300">
        <v>45965</v>
      </c>
      <c r="GF312" s="322">
        <v>45909</v>
      </c>
      <c r="GG3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2" s="300">
        <v>45971</v>
      </c>
      <c r="GI312" s="300">
        <v>45977</v>
      </c>
      <c r="GJ312" s="322">
        <v>45951</v>
      </c>
      <c r="GK3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2" s="300">
        <v>45985</v>
      </c>
      <c r="GM312" s="300" t="e">
        <v>#N/A</v>
      </c>
      <c r="GN312" s="300">
        <v>46005</v>
      </c>
      <c r="GO312" s="300" t="e">
        <v>#N/A</v>
      </c>
      <c r="GP312" s="300"/>
      <c r="GQ3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2" s="300" t="s">
        <v>261</v>
      </c>
      <c r="GS312" s="300" t="s">
        <v>261</v>
      </c>
      <c r="GT312" s="324">
        <v>46007</v>
      </c>
      <c r="GU312" s="314" t="str">
        <f>IF(Table1[[#This Row],[Hydro Tes Actual
(tanggal)]]&lt;&gt;"","Sudah","Belum")</f>
        <v>Sudah</v>
      </c>
      <c r="GV312" s="300" t="s">
        <v>261</v>
      </c>
      <c r="GW312" s="300" t="s">
        <v>261</v>
      </c>
      <c r="GX312" s="301">
        <v>45999</v>
      </c>
      <c r="GY312" s="314" t="str">
        <f>IF(Table1[[#This Row],[Interkoneksi Actual
(tanggal)]]&lt;&gt;"","Sudah","Belum")</f>
        <v>Sudah</v>
      </c>
      <c r="GZ312" s="300" t="s">
        <v>261</v>
      </c>
      <c r="HA312" s="300" t="s">
        <v>261</v>
      </c>
      <c r="HB312" s="301">
        <v>46008</v>
      </c>
      <c r="HC312" s="314" t="str">
        <f>IF(Table1[[#This Row],[Flushing Actual
(tanggal)]]&lt;&gt;"","Sudah","Belum")</f>
        <v>Sudah</v>
      </c>
      <c r="HD312" s="300">
        <v>45992</v>
      </c>
      <c r="HE312" s="300" t="e">
        <v>#N/A</v>
      </c>
      <c r="HF312" s="300">
        <v>46005</v>
      </c>
      <c r="HG312" s="322">
        <v>46035</v>
      </c>
      <c r="HH3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2" s="300" t="s">
        <v>261</v>
      </c>
      <c r="HJ312" s="300" t="s">
        <v>261</v>
      </c>
      <c r="HK312" s="301"/>
      <c r="HL312" s="286"/>
      <c r="HM312" s="300">
        <v>46010</v>
      </c>
      <c r="HN312" s="300">
        <v>46010</v>
      </c>
      <c r="HO312" s="300" t="e">
        <v>#N/A</v>
      </c>
      <c r="HP312" s="300"/>
      <c r="HQ312" s="301">
        <v>46057</v>
      </c>
      <c r="HR31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2" s="300">
        <v>46017</v>
      </c>
      <c r="HT312" s="300"/>
      <c r="HU312" s="300">
        <v>46017</v>
      </c>
      <c r="HV312" s="300"/>
      <c r="HW312" s="301">
        <v>46064</v>
      </c>
      <c r="HX31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2" s="42"/>
      <c r="HZ312" s="322"/>
      <c r="IA312" s="322"/>
      <c r="IC312" s="585">
        <f>IFERROR(ROUND((Table1[[#This Row],[PLAN TC
finish]]-Table1[[#This Row],[PLAN MC-0
start]])/30,2),"")</f>
        <v>1.1299999999999999</v>
      </c>
      <c r="ID312">
        <f>DATEDIF(Table1[[#This Row],[PLAN MC-0
start]],Table1[[#This Row],[PLAN TC
finish]],"m")</f>
        <v>1</v>
      </c>
    </row>
    <row r="313" spans="1:238" s="4" customFormat="1" ht="15" customHeight="1" x14ac:dyDescent="0.25">
      <c r="B313" s="281">
        <f>SUBTOTAL(3,$D$5:D313)</f>
        <v>309</v>
      </c>
      <c r="C313" s="286">
        <v>309</v>
      </c>
      <c r="D313" s="308" t="s">
        <v>244</v>
      </c>
      <c r="E313" s="308" t="s">
        <v>2488</v>
      </c>
      <c r="F313" s="308" t="s">
        <v>2489</v>
      </c>
      <c r="G313" s="319">
        <v>46117</v>
      </c>
      <c r="H313" s="308" t="s">
        <v>681</v>
      </c>
      <c r="I313" s="308" t="s">
        <v>278</v>
      </c>
      <c r="J313" s="450" t="s">
        <v>1830</v>
      </c>
      <c r="K313" s="308" t="s">
        <v>1165</v>
      </c>
      <c r="L313" s="286" t="s">
        <v>250</v>
      </c>
      <c r="M313" s="325" t="s">
        <v>269</v>
      </c>
      <c r="N313" s="94">
        <v>285</v>
      </c>
      <c r="O313" s="31" t="s">
        <v>252</v>
      </c>
      <c r="P31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3" s="35">
        <v>1</v>
      </c>
      <c r="S313" s="34">
        <v>1</v>
      </c>
      <c r="T313" s="34">
        <f>Table1[[#This Row],[Progres Total Aktual
(%)]]</f>
        <v>1</v>
      </c>
      <c r="U313" s="85">
        <f>Table1[[#This Row],[Progres Aktual
(%)]]-Table1[[#This Row],[Target Progres
(%)]]</f>
        <v>0</v>
      </c>
      <c r="V313" s="75">
        <f>Table1[[#This Row],["Volume
BA MC-0"]]</f>
        <v>305</v>
      </c>
      <c r="W313" s="41">
        <f>Table1[[#This Row],[Total Panjang Pipa Aktual
(Sum-&gt;)3]]</f>
        <v>305</v>
      </c>
      <c r="X313" s="42"/>
      <c r="Y313" s="62" t="s">
        <v>2490</v>
      </c>
      <c r="Z313" s="62">
        <v>430999438</v>
      </c>
      <c r="AA313" s="62">
        <f>ROUND((Table1[[#This Row],[Nilai RAB Jaringan
(Exclude Ppn)]]-Table1[[#This Row],[RAB Perizinan]])*1.11+Table1[[#This Row],[RAB Perizinan]],0)</f>
        <v>430999438</v>
      </c>
      <c r="AB313" s="456">
        <f>SUM(Table1[[#This Row],[RAB Kegiatan Umum]:[RAB Perizinan]])</f>
        <v>388570214</v>
      </c>
      <c r="AC313" s="406">
        <v>27101172</v>
      </c>
      <c r="AD313" s="406">
        <v>271011719</v>
      </c>
      <c r="AE313" s="406">
        <v>87607323</v>
      </c>
      <c r="AF313" s="406">
        <v>2850000</v>
      </c>
      <c r="AG313" s="453"/>
      <c r="AH313" s="33">
        <f>SUM(Table1[[#This Row],[Bobot Keg Umum]:[Bobot Perizinan]])</f>
        <v>1</v>
      </c>
      <c r="AI313" s="33">
        <f>Table1[[#This Row],[RAB Kegiatan Umum]]/Table1[[#This Row],[Nilai RAB Jaringan
(Exclude Ppn)]]</f>
        <v>6.9745881242456731E-2</v>
      </c>
      <c r="AJ313" s="33">
        <f>Table1[[#This Row],[RAB Pemasangan]]/Table1[[#This Row],[Nilai RAB Jaringan
(Exclude Ppn)]]</f>
        <v>0.69745880985102993</v>
      </c>
      <c r="AK313" s="33">
        <f>Table1[[#This Row],[RAB Pengadaan]]/Table1[[#This Row],[Nilai RAB Jaringan
(Exclude Ppn)]]</f>
        <v>0.22546072715702289</v>
      </c>
      <c r="AL313" s="33">
        <f>Table1[[#This Row],[RAB Perizinan]]/Table1[[#This Row],[Nilai RAB Jaringan
(Exclude Ppn)]]</f>
        <v>7.3345817494904538E-3</v>
      </c>
      <c r="AM313" s="42"/>
      <c r="AN313" s="256">
        <v>305</v>
      </c>
      <c r="AO313" s="256">
        <f>SUM(Table1[[#This Row],[Pipa 63 mm]:[Pipa 1,800 mm]])</f>
        <v>0</v>
      </c>
      <c r="AP313" s="256"/>
      <c r="AQ313" s="256"/>
      <c r="AR313" s="256"/>
      <c r="AS313" s="256"/>
      <c r="AT313" s="256"/>
      <c r="AU313" s="256"/>
      <c r="AV313" s="256"/>
      <c r="AW313" s="256"/>
      <c r="AX313" s="256"/>
      <c r="AY313" s="256"/>
      <c r="AZ313" s="256"/>
      <c r="BA313" s="256"/>
      <c r="BB313" s="256"/>
      <c r="BC313" s="256"/>
      <c r="BD313" s="256"/>
      <c r="BE313" s="256"/>
      <c r="BF313" s="256"/>
      <c r="BG313" s="256"/>
      <c r="BH313" s="256"/>
      <c r="BI313" s="256"/>
      <c r="BJ313" s="36">
        <f>SUM(Table1[[#This Row],[Pipa 63 mm2]:[Pipa 1,800 mm21]])</f>
        <v>305</v>
      </c>
      <c r="BK313" s="32">
        <v>10</v>
      </c>
      <c r="BL313" s="32">
        <v>295</v>
      </c>
      <c r="BM313" s="32"/>
      <c r="BN313" s="32"/>
      <c r="BO313" s="32"/>
      <c r="BP313" s="32"/>
      <c r="BQ313" s="32"/>
      <c r="BR313" s="32"/>
      <c r="BS313" s="32"/>
      <c r="BT313" s="32"/>
      <c r="BU313" s="32"/>
      <c r="BV313" s="32"/>
      <c r="BW313" s="32"/>
      <c r="BX313" s="32"/>
      <c r="BY313" s="32"/>
      <c r="BZ313" s="32"/>
      <c r="CA313" s="32"/>
      <c r="CB313" s="32"/>
      <c r="CC313" s="32"/>
      <c r="CD313" s="32"/>
      <c r="CE313" s="32"/>
      <c r="CF313" s="32"/>
      <c r="CG313" s="32"/>
      <c r="CH313" s="32"/>
      <c r="CI313" s="32"/>
      <c r="CJ313" s="60">
        <f>IF((Table1[[#This Row],["Volume
BA MC-0"]]-Table1[[#This Row],[Total Panjang Pipa Aktual
(Sum-&gt;)3]]-Table1[[#This Row],[Total Volume
tidak dapat dipasang]])&gt;=0,Table1[[#This Row],["Volume
BA MC-0"]]-Table1[[#This Row],[Total Panjang Pipa Aktual
(Sum-&gt;)3]]-Table1[[#This Row],[Total Volume
tidak dapat dipasang]],0)</f>
        <v>0</v>
      </c>
      <c r="CK313" s="42"/>
      <c r="CL313" s="35" t="s">
        <v>1821</v>
      </c>
      <c r="CM313" s="35">
        <v>0.33626000648370458</v>
      </c>
      <c r="CN313" s="35" t="s">
        <v>1821</v>
      </c>
      <c r="CO313" s="35" t="s">
        <v>1821</v>
      </c>
      <c r="CP3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3" s="61">
        <f>IFERROR(Table1[[#This Row],[Progres Keg. Umum
(%)]]*Table1[[#This Row],[Nilai RAB Jaringan
(file pa aji)]],0)</f>
        <v>0</v>
      </c>
      <c r="CR313" s="61">
        <f>IFERROR(Table1[[#This Row],[Progres MOS
(%)]]*Table1[[#This Row],[Nilai RAB Jaringan
(file pa aji)]],0)</f>
        <v>144927873.81635302</v>
      </c>
      <c r="CS313" s="61">
        <f>IFERROR(Table1[[#This Row],[Progres Pemasangan
(%)]]*Table1[[#This Row],[Nilai RAB Jaringan
(file pa aji)]],0)</f>
        <v>0</v>
      </c>
      <c r="CT313" s="61">
        <f>IFERROR(Table1[[#This Row],[Progres Perizinan
(%)]]*Table1[[#This Row],[Nilai RAB Jaringan
(file pa aji)]],0)</f>
        <v>0</v>
      </c>
      <c r="CU313" s="789">
        <v>454315082</v>
      </c>
      <c r="CV313" s="299">
        <v>454315082</v>
      </c>
      <c r="CW313" s="552">
        <v>454315082</v>
      </c>
      <c r="CX313" s="789">
        <f>_xlfn.XLOOKUP(Table1[[#This Row],[Kode Program]],'[1]Breakdown VOWD Greenfield'!$E:$E,'[1]Breakdown VOWD Greenfield'!$AT:$AT)</f>
        <v>454315082</v>
      </c>
      <c r="CY313" s="42"/>
      <c r="CZ313" s="300">
        <v>45866</v>
      </c>
      <c r="DA313" s="300">
        <v>45893</v>
      </c>
      <c r="DB313" s="301">
        <v>45887</v>
      </c>
      <c r="DC313" s="286" t="s">
        <v>2491</v>
      </c>
      <c r="DD313" s="62">
        <v>430999438</v>
      </c>
      <c r="DE3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3" s="301">
        <v>45897</v>
      </c>
      <c r="DG313" s="286" t="s">
        <v>2492</v>
      </c>
      <c r="DH313" s="62">
        <v>430999438</v>
      </c>
      <c r="DI3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3" s="300">
        <v>45894</v>
      </c>
      <c r="DK313" s="300">
        <v>45956</v>
      </c>
      <c r="DL313" s="301">
        <v>45899</v>
      </c>
      <c r="DM313" s="286" t="s">
        <v>2493</v>
      </c>
      <c r="DN3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3" s="301">
        <v>45908</v>
      </c>
      <c r="DP313" s="286" t="s">
        <v>2494</v>
      </c>
      <c r="DQ313" s="308" t="s">
        <v>365</v>
      </c>
      <c r="DR3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3" s="300">
        <v>45894</v>
      </c>
      <c r="DT313" s="300" t="e">
        <v>#N/A</v>
      </c>
      <c r="DU313" s="300">
        <v>45935</v>
      </c>
      <c r="DV313" s="300" t="e">
        <v>#N/A</v>
      </c>
      <c r="DW313" s="301">
        <v>45899</v>
      </c>
      <c r="DX313" s="454" t="s">
        <v>2495</v>
      </c>
      <c r="DY313" s="302">
        <v>21</v>
      </c>
      <c r="DZ313" s="304">
        <v>21</v>
      </c>
      <c r="EA3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3" s="301">
        <v>46121</v>
      </c>
      <c r="EC313" s="302">
        <v>19</v>
      </c>
      <c r="ED313" s="302">
        <v>19</v>
      </c>
      <c r="EE313" s="395" t="s">
        <v>2496</v>
      </c>
      <c r="EF313" s="35">
        <v>1</v>
      </c>
      <c r="EG313" s="307">
        <v>1</v>
      </c>
      <c r="EH313" s="286" t="str">
        <f>IF(Table1[[#This Row],[PO Material Aktual 
(%)]]&gt;=100%,"Selesai PO = 100%",IF(Table1[[#This Row],[PO Material Aktual 
(%)]]&gt;=50%,"Proses PO &gt; 100%",IF(Table1[[#This Row],[PO Material Aktual 
(%)]]&gt;0%,"Proses PO &gt; 50%",IF(Table1[[#This Row],[PO Material Aktual 
(%)]]=0,"Belum PO = 0%"))))</f>
        <v>Selesai PO = 100%</v>
      </c>
      <c r="EI31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3" s="300">
        <v>45936</v>
      </c>
      <c r="EK313" s="300" t="e">
        <v>#N/A</v>
      </c>
      <c r="EL313" s="300">
        <v>45984</v>
      </c>
      <c r="EM313" s="300" t="e">
        <v>#N/A</v>
      </c>
      <c r="EN313" s="301">
        <v>46160</v>
      </c>
      <c r="EO313" s="302">
        <v>18</v>
      </c>
      <c r="EP313" s="595">
        <v>18</v>
      </c>
      <c r="EQ313" s="35">
        <v>0.8571428571428571</v>
      </c>
      <c r="ER313" s="35">
        <f>Table1[[#This Row],[Line MOS]]/Table1[[#This Row],[Line PR]]</f>
        <v>0.8571428571428571</v>
      </c>
      <c r="ES313" s="286" t="str">
        <f>IF(Table1[[#This Row],[Progres MOS]]&gt;=100%,"Selesai MOS = 100%",IF(Table1[[#This Row],[Progres MOS]]&gt;=50%,"Proses MOS &gt; 100%",IF(Table1[[#This Row],[Progres MOS]]&gt;0%,"Proses MOS &gt; 50%",IF(Table1[[#This Row],[Progres MOS]]=0,"Belum MOS = 0%"))))</f>
        <v>Proses MOS &gt; 100%</v>
      </c>
      <c r="ET3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3" s="42"/>
      <c r="EV313" s="300">
        <v>45894</v>
      </c>
      <c r="EW313" s="300" t="e">
        <v>#N/A</v>
      </c>
      <c r="EX313" s="300">
        <v>45984</v>
      </c>
      <c r="EY313" s="300" t="e">
        <v>#N/A</v>
      </c>
      <c r="EZ313" s="322" t="s">
        <v>298</v>
      </c>
      <c r="FA313" s="306" t="s">
        <v>298</v>
      </c>
      <c r="FB313" s="300" t="s">
        <v>260</v>
      </c>
      <c r="FC313" s="300">
        <v>45942</v>
      </c>
      <c r="FD313" s="300" t="s">
        <v>260</v>
      </c>
      <c r="FE313" s="300">
        <v>45966</v>
      </c>
      <c r="FF313" s="300">
        <v>45995</v>
      </c>
      <c r="FG313" s="300" t="s">
        <v>260</v>
      </c>
      <c r="FH313" s="300" t="s">
        <v>260</v>
      </c>
      <c r="FI313" s="300">
        <v>46003</v>
      </c>
      <c r="FJ313" s="300" t="s">
        <v>260</v>
      </c>
      <c r="FK313" s="300"/>
      <c r="FL313" s="306" t="s">
        <v>298</v>
      </c>
      <c r="FM313" s="322">
        <v>45942</v>
      </c>
      <c r="FN313" s="308">
        <f>IF(Table1[[#This Row],[Tanggal Pengajuan Dokumen]]="","",Table1[[#This Row],[PLAN PERMIT
start]]-Table1[[#This Row],[Tanggal Pengajuan Dokumen]])</f>
        <v>-48</v>
      </c>
      <c r="FO313" s="407">
        <v>46086</v>
      </c>
      <c r="FP313" s="286" t="s">
        <v>2087</v>
      </c>
      <c r="FQ313" s="308"/>
      <c r="FR313" s="308"/>
      <c r="FS313" s="308" t="str">
        <f t="shared" si="14"/>
        <v>On Going</v>
      </c>
      <c r="FT3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3" s="314">
        <f ca="1">IF(Table1[[#This Row],[Status Izin]]="Selesai",Table1[[#This Row],[PLAN PERMIT
finish]]-Table1[[#This Row],[Tanggal Terbit/ Target Izin Terbit]],ROUNDUP(Table1[[#This Row],[PLAN PERMIT
finish]]-NOW(),0))</f>
        <v>-220</v>
      </c>
      <c r="FV3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3" s="314"/>
      <c r="FX313" s="42"/>
      <c r="FY313" s="310"/>
      <c r="FZ313" s="311"/>
      <c r="GA3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3" s="300">
        <v>45958</v>
      </c>
      <c r="GC313" s="322">
        <v>45896</v>
      </c>
      <c r="GD3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3" s="300">
        <v>45965</v>
      </c>
      <c r="GF313" s="322">
        <v>45896</v>
      </c>
      <c r="GG3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3" s="300">
        <v>45971</v>
      </c>
      <c r="GI313" s="300">
        <v>45977</v>
      </c>
      <c r="GJ313" s="322">
        <v>45902</v>
      </c>
      <c r="GK3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3" s="300">
        <v>45985</v>
      </c>
      <c r="GM313" s="300" t="e">
        <v>#N/A</v>
      </c>
      <c r="GN313" s="300">
        <v>46005</v>
      </c>
      <c r="GO313" s="300" t="e">
        <v>#N/A</v>
      </c>
      <c r="GP313" s="300">
        <v>45917</v>
      </c>
      <c r="GQ3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Sudah, OnSchedule</v>
      </c>
      <c r="GR313" s="300" t="s">
        <v>261</v>
      </c>
      <c r="GS313" s="300" t="s">
        <v>261</v>
      </c>
      <c r="GT313" s="324">
        <v>45915</v>
      </c>
      <c r="GU313" s="314" t="str">
        <f>IF(Table1[[#This Row],[Hydro Tes Actual
(tanggal)]]&lt;&gt;"","Sudah","Belum")</f>
        <v>Sudah</v>
      </c>
      <c r="GV313" s="300" t="s">
        <v>261</v>
      </c>
      <c r="GW313" s="300" t="s">
        <v>261</v>
      </c>
      <c r="GX313" s="301">
        <v>45913</v>
      </c>
      <c r="GY313" s="314" t="str">
        <f>IF(Table1[[#This Row],[Interkoneksi Actual
(tanggal)]]&lt;&gt;"","Sudah","Belum")</f>
        <v>Sudah</v>
      </c>
      <c r="GZ313" s="300" t="s">
        <v>261</v>
      </c>
      <c r="HA313" s="300" t="s">
        <v>261</v>
      </c>
      <c r="HB313" s="301">
        <v>45915</v>
      </c>
      <c r="HC313" s="314" t="str">
        <f>IF(Table1[[#This Row],[Flushing Actual
(tanggal)]]&lt;&gt;"","Sudah","Belum")</f>
        <v>Sudah</v>
      </c>
      <c r="HD313" s="300">
        <v>45992</v>
      </c>
      <c r="HE313" s="300" t="e">
        <v>#N/A</v>
      </c>
      <c r="HF313" s="300">
        <v>46005</v>
      </c>
      <c r="HG313" s="322">
        <v>45917</v>
      </c>
      <c r="HH3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3" s="300" t="s">
        <v>261</v>
      </c>
      <c r="HJ313" s="300" t="s">
        <v>261</v>
      </c>
      <c r="HK313" s="301"/>
      <c r="HL313" s="286"/>
      <c r="HM313" s="300">
        <v>46010</v>
      </c>
      <c r="HN313" s="300">
        <v>46010</v>
      </c>
      <c r="HO313" s="300" t="e">
        <v>#N/A</v>
      </c>
      <c r="HP313" s="300"/>
      <c r="HQ313" s="301">
        <v>45929</v>
      </c>
      <c r="HR31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13" s="300">
        <v>46017</v>
      </c>
      <c r="HT313" s="300"/>
      <c r="HU313" s="300">
        <v>46017</v>
      </c>
      <c r="HV313" s="300"/>
      <c r="HW313" s="301">
        <v>46055</v>
      </c>
      <c r="HX31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3" s="42"/>
      <c r="HZ313" s="322"/>
      <c r="IA313" s="322"/>
      <c r="IC313" s="585">
        <f>IFERROR(ROUND((Table1[[#This Row],[PLAN TC
finish]]-Table1[[#This Row],[PLAN MC-0
start]])/30,2),"")</f>
        <v>1.1299999999999999</v>
      </c>
      <c r="ID313">
        <f>DATEDIF(Table1[[#This Row],[PLAN MC-0
start]],Table1[[#This Row],[PLAN TC
finish]],"m")</f>
        <v>1</v>
      </c>
    </row>
    <row r="314" spans="1:238" s="30" customFormat="1" ht="15" customHeight="1" x14ac:dyDescent="0.25">
      <c r="A314" s="72"/>
      <c r="B314" s="281">
        <f>SUBTOTAL(3,$D$5:D314)</f>
        <v>310</v>
      </c>
      <c r="C314" s="337">
        <v>310</v>
      </c>
      <c r="D314" s="336" t="s">
        <v>244</v>
      </c>
      <c r="E314" s="336" t="s">
        <v>2497</v>
      </c>
      <c r="F314" s="336" t="s">
        <v>2498</v>
      </c>
      <c r="G314" s="334">
        <v>46117</v>
      </c>
      <c r="H314" s="336" t="s">
        <v>681</v>
      </c>
      <c r="I314" s="336" t="s">
        <v>278</v>
      </c>
      <c r="J314" s="355" t="s">
        <v>389</v>
      </c>
      <c r="K314" s="336" t="s">
        <v>1165</v>
      </c>
      <c r="L314" s="337" t="s">
        <v>250</v>
      </c>
      <c r="M314" s="362" t="s">
        <v>269</v>
      </c>
      <c r="N314" s="338">
        <v>60</v>
      </c>
      <c r="O314" s="339" t="s">
        <v>252</v>
      </c>
      <c r="P314"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4" s="355" t="s">
        <v>389</v>
      </c>
      <c r="R314" s="341">
        <v>0.99999999999999978</v>
      </c>
      <c r="S314" s="34">
        <v>1</v>
      </c>
      <c r="T314" s="459">
        <f>Table1[[#This Row],[Progres Total Aktual
(%)]]</f>
        <v>0</v>
      </c>
      <c r="U314" s="460">
        <f>Table1[[#This Row],[Progres Aktual
(%)]]-Table1[[#This Row],[Target Progres
(%)]]</f>
        <v>-1</v>
      </c>
      <c r="V314" s="461">
        <f>Table1[[#This Row],["Volume
BA MC-0"]]</f>
        <v>60</v>
      </c>
      <c r="W314" s="462">
        <f>Table1[[#This Row],[Total Panjang Pipa Aktual
(Sum-&gt;)3]]</f>
        <v>0</v>
      </c>
      <c r="X314" s="42"/>
      <c r="Y314" s="345" t="s">
        <v>2499</v>
      </c>
      <c r="Z314" s="345">
        <v>122770834</v>
      </c>
      <c r="AA314" s="345">
        <f>ROUND((Table1[[#This Row],[Nilai RAB Jaringan
(Exclude Ppn)]]-Table1[[#This Row],[RAB Perizinan]])*1.11+Table1[[#This Row],[RAB Perizinan]],0)</f>
        <v>122770833</v>
      </c>
      <c r="AB314" s="463">
        <f>SUM(Table1[[#This Row],[RAB Kegiatan Umum]:[RAB Perizinan]])</f>
        <v>110663813.90000001</v>
      </c>
      <c r="AC314" s="409">
        <v>7783326.9000000004</v>
      </c>
      <c r="AD314" s="409">
        <v>77833269</v>
      </c>
      <c r="AE314" s="409">
        <v>24447218</v>
      </c>
      <c r="AF314" s="409">
        <v>600000</v>
      </c>
      <c r="AG314" s="464"/>
      <c r="AH314" s="465">
        <f>SUM(Table1[[#This Row],[Bobot Keg Umum]:[Bobot Perizinan]])</f>
        <v>0.99999999999999989</v>
      </c>
      <c r="AI314" s="465">
        <f>Table1[[#This Row],[RAB Kegiatan Umum]]/Table1[[#This Row],[Nilai RAB Jaringan
(Exclude Ppn)]]</f>
        <v>7.0333080215663882E-2</v>
      </c>
      <c r="AJ314" s="465">
        <f>Table1[[#This Row],[RAB Pemasangan]]/Table1[[#This Row],[Nilai RAB Jaringan
(Exclude Ppn)]]</f>
        <v>0.70333080215663879</v>
      </c>
      <c r="AK314" s="465">
        <f>Table1[[#This Row],[RAB Pengadaan]]/Table1[[#This Row],[Nilai RAB Jaringan
(Exclude Ppn)]]</f>
        <v>0.22091429111680019</v>
      </c>
      <c r="AL314" s="465">
        <f>Table1[[#This Row],[RAB Perizinan]]/Table1[[#This Row],[Nilai RAB Jaringan
(Exclude Ppn)]]</f>
        <v>5.4218265108970723E-3</v>
      </c>
      <c r="AM314" s="42"/>
      <c r="AN314" s="346">
        <v>60</v>
      </c>
      <c r="AO314" s="346">
        <f>SUM(Table1[[#This Row],[Pipa 63 mm]:[Pipa 1,800 mm]])</f>
        <v>0</v>
      </c>
      <c r="AP314" s="346"/>
      <c r="AQ314" s="346"/>
      <c r="AR314" s="346"/>
      <c r="AS314" s="346"/>
      <c r="AT314" s="346"/>
      <c r="AU314" s="346"/>
      <c r="AV314" s="346"/>
      <c r="AW314" s="346"/>
      <c r="AX314" s="346"/>
      <c r="AY314" s="346"/>
      <c r="AZ314" s="346"/>
      <c r="BA314" s="346"/>
      <c r="BB314" s="346"/>
      <c r="BC314" s="346"/>
      <c r="BD314" s="346"/>
      <c r="BE314" s="346"/>
      <c r="BF314" s="346"/>
      <c r="BG314" s="346"/>
      <c r="BH314" s="346"/>
      <c r="BI314" s="346"/>
      <c r="BJ314" s="347">
        <f>SUM(Table1[[#This Row],[Pipa 63 mm2]:[Pipa 1,800 mm21]])</f>
        <v>0</v>
      </c>
      <c r="BK314" s="348"/>
      <c r="BL314" s="348"/>
      <c r="BM314" s="348"/>
      <c r="BN314" s="348"/>
      <c r="BO314" s="348"/>
      <c r="BP314" s="348"/>
      <c r="BQ314" s="348"/>
      <c r="BR314" s="348"/>
      <c r="BS314" s="348"/>
      <c r="BT314" s="348"/>
      <c r="BU314" s="348"/>
      <c r="BV314" s="348"/>
      <c r="BW314" s="348"/>
      <c r="BX314" s="348"/>
      <c r="BY314" s="348"/>
      <c r="BZ314" s="348"/>
      <c r="CA314" s="348"/>
      <c r="CB314" s="348"/>
      <c r="CC314" s="348"/>
      <c r="CD314" s="348"/>
      <c r="CE314" s="348"/>
      <c r="CF314" s="348"/>
      <c r="CG314" s="348"/>
      <c r="CH314" s="348"/>
      <c r="CI314" s="348"/>
      <c r="CJ314" s="410">
        <f>IF((Table1[[#This Row],["Volume
BA MC-0"]]-Table1[[#This Row],[Total Panjang Pipa Aktual
(Sum-&gt;)3]]-Table1[[#This Row],[Total Volume
tidak dapat dipasang]])&gt;=0,Table1[[#This Row],["Volume
BA MC-0"]]-Table1[[#This Row],[Total Panjang Pipa Aktual
(Sum-&gt;)3]]-Table1[[#This Row],[Total Volume
tidak dapat dipasang]],0)</f>
        <v>60</v>
      </c>
      <c r="CK314" s="42"/>
      <c r="CL314" s="466" t="s">
        <v>1821</v>
      </c>
      <c r="CM314" s="459" t="s">
        <v>1821</v>
      </c>
      <c r="CN314" s="466" t="s">
        <v>1821</v>
      </c>
      <c r="CO314" s="466" t="s">
        <v>1821</v>
      </c>
      <c r="CP314"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4" s="350">
        <f>IFERROR(Table1[[#This Row],[Progres Keg. Umum
(%)]]*Table1[[#This Row],[Nilai RAB Jaringan
(file pa aji)]],0)</f>
        <v>0</v>
      </c>
      <c r="CR314" s="350">
        <f>IFERROR(Table1[[#This Row],[Progres MOS
(%)]]*Table1[[#This Row],[Nilai RAB Jaringan
(file pa aji)]],0)</f>
        <v>0</v>
      </c>
      <c r="CS314" s="350">
        <f>IFERROR(Table1[[#This Row],[Progres Pemasangan
(%)]]*Table1[[#This Row],[Nilai RAB Jaringan
(file pa aji)]],0)</f>
        <v>0</v>
      </c>
      <c r="CT314" s="350">
        <f>IFERROR(Table1[[#This Row],[Progres Perizinan
(%)]]*Table1[[#This Row],[Nilai RAB Jaringan
(file pa aji)]],0)</f>
        <v>0</v>
      </c>
      <c r="CU314" s="789">
        <v>0</v>
      </c>
      <c r="CV314" s="299">
        <v>0</v>
      </c>
      <c r="CW314" s="551">
        <v>0</v>
      </c>
      <c r="CX314" s="789">
        <f>_xlfn.XLOOKUP(Table1[[#This Row],[Kode Program]],'[1]Breakdown VOWD Greenfield'!$E:$E,'[1]Breakdown VOWD Greenfield'!$AT:$AT)</f>
        <v>0</v>
      </c>
      <c r="CY314" s="42"/>
      <c r="CZ314" s="356">
        <v>45901</v>
      </c>
      <c r="DA314" s="356">
        <v>45928</v>
      </c>
      <c r="DB314" s="358">
        <v>45944</v>
      </c>
      <c r="DC314" s="337" t="s">
        <v>2500</v>
      </c>
      <c r="DD314" s="345">
        <v>122770833</v>
      </c>
      <c r="DE3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4" s="358">
        <v>45957</v>
      </c>
      <c r="DG314" s="337" t="s">
        <v>2501</v>
      </c>
      <c r="DH314" s="345">
        <v>122770833</v>
      </c>
      <c r="DI314" s="337"/>
      <c r="DJ314" s="356">
        <v>45929</v>
      </c>
      <c r="DK314" s="356">
        <v>45991</v>
      </c>
      <c r="DL314" s="358">
        <v>45964</v>
      </c>
      <c r="DM314" s="277" t="s">
        <v>2502</v>
      </c>
      <c r="DN314" s="352"/>
      <c r="DO314" s="358">
        <v>45973</v>
      </c>
      <c r="DP314" s="337" t="s">
        <v>2503</v>
      </c>
      <c r="DQ314" s="336" t="s">
        <v>365</v>
      </c>
      <c r="DR314" s="352"/>
      <c r="DS314" s="356">
        <v>45929</v>
      </c>
      <c r="DT314" s="356" t="e">
        <v>#N/A</v>
      </c>
      <c r="DU314" s="356">
        <v>45970</v>
      </c>
      <c r="DV314" s="356" t="e">
        <v>#N/A</v>
      </c>
      <c r="DW314" s="358">
        <v>45964</v>
      </c>
      <c r="DX314" s="337" t="s">
        <v>2504</v>
      </c>
      <c r="DY314" s="412"/>
      <c r="DZ314" s="412"/>
      <c r="EA314" s="352"/>
      <c r="EB314" s="358"/>
      <c r="EC314" s="412"/>
      <c r="ED314" s="412"/>
      <c r="EE314" s="356"/>
      <c r="EF314" s="341"/>
      <c r="EG314" s="341"/>
      <c r="EH314" s="337"/>
      <c r="EI314"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4" s="356">
        <v>45971</v>
      </c>
      <c r="EK314" s="356" t="e">
        <v>#N/A</v>
      </c>
      <c r="EL314" s="356">
        <v>46026</v>
      </c>
      <c r="EM314" s="356" t="e">
        <v>#N/A</v>
      </c>
      <c r="EN314" s="358"/>
      <c r="EO314" s="412"/>
      <c r="EP314" s="337"/>
      <c r="EQ314" s="341"/>
      <c r="ER314" s="341"/>
      <c r="ES314" s="337"/>
      <c r="ET3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4" s="42"/>
      <c r="EV314" s="356">
        <v>45929</v>
      </c>
      <c r="EW314" s="356" t="e">
        <v>#N/A</v>
      </c>
      <c r="EX314" s="356">
        <v>46019</v>
      </c>
      <c r="EY314" s="356" t="e">
        <v>#N/A</v>
      </c>
      <c r="EZ314" s="354" t="s">
        <v>298</v>
      </c>
      <c r="FA314" s="355" t="s">
        <v>389</v>
      </c>
      <c r="FB314" s="356" t="s">
        <v>260</v>
      </c>
      <c r="FC314" s="300">
        <v>45943</v>
      </c>
      <c r="FD314" s="356" t="s">
        <v>260</v>
      </c>
      <c r="FE314" s="356">
        <v>45966</v>
      </c>
      <c r="FF314" s="356">
        <v>45995</v>
      </c>
      <c r="FG314" s="356" t="s">
        <v>260</v>
      </c>
      <c r="FH314" s="356" t="s">
        <v>260</v>
      </c>
      <c r="FI314" s="356">
        <v>46010</v>
      </c>
      <c r="FJ314" s="356" t="s">
        <v>260</v>
      </c>
      <c r="FK314" s="356"/>
      <c r="FL314" s="413" t="s">
        <v>298</v>
      </c>
      <c r="FM314" s="354">
        <v>45943</v>
      </c>
      <c r="FN314" s="336">
        <f>IF(Table1[[#This Row],[Tanggal Pengajuan Dokumen]]="","",Table1[[#This Row],[PLAN PERMIT
start]]-Table1[[#This Row],[Tanggal Pengajuan Dokumen]])</f>
        <v>-14</v>
      </c>
      <c r="FO314" s="414">
        <v>46097</v>
      </c>
      <c r="FP314" s="337"/>
      <c r="FQ314" s="336"/>
      <c r="FR314" s="336"/>
      <c r="FS314" s="336" t="str">
        <f t="shared" si="14"/>
        <v>On Going</v>
      </c>
      <c r="FT314"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4" s="357">
        <f ca="1">IF(Table1[[#This Row],[Status Izin]]="Selesai",Table1[[#This Row],[PLAN PERMIT
finish]]-Table1[[#This Row],[Tanggal Terbit/ Target Izin Terbit]],ROUNDUP(Table1[[#This Row],[PLAN PERMIT
finish]]-NOW(),0))</f>
        <v>-185</v>
      </c>
      <c r="FV314"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4" s="357"/>
      <c r="FX314" s="42"/>
      <c r="FY314" s="310"/>
      <c r="FZ314" s="311"/>
      <c r="GA3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4" s="356">
        <v>45993</v>
      </c>
      <c r="GC314" s="354">
        <v>45978</v>
      </c>
      <c r="GD314"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4" s="356">
        <v>46000</v>
      </c>
      <c r="GF314" s="354">
        <v>45978</v>
      </c>
      <c r="GG314"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4" s="356">
        <v>46006</v>
      </c>
      <c r="GI314" s="356">
        <v>46012</v>
      </c>
      <c r="GJ314" s="354">
        <v>45982</v>
      </c>
      <c r="GK314"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4" s="356">
        <v>46020</v>
      </c>
      <c r="GM314" s="356" t="e">
        <v>#N/A</v>
      </c>
      <c r="GN314" s="356">
        <v>46040</v>
      </c>
      <c r="GO314" s="356" t="e">
        <v>#N/A</v>
      </c>
      <c r="GP314" s="356"/>
      <c r="GQ314"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4" s="356" t="s">
        <v>261</v>
      </c>
      <c r="GS314" s="356" t="s">
        <v>261</v>
      </c>
      <c r="GT314" s="360"/>
      <c r="GU314" s="357" t="str">
        <f>IF(Table1[[#This Row],[Hydro Tes Actual
(tanggal)]]&lt;&gt;"","Sudah","Belum")</f>
        <v>Belum</v>
      </c>
      <c r="GV314" s="356" t="s">
        <v>261</v>
      </c>
      <c r="GW314" s="356" t="s">
        <v>261</v>
      </c>
      <c r="GX314" s="358"/>
      <c r="GY314" s="357" t="str">
        <f>IF(Table1[[#This Row],[Interkoneksi Actual
(tanggal)]]&lt;&gt;"","Sudah","Belum")</f>
        <v>Belum</v>
      </c>
      <c r="GZ314" s="356" t="s">
        <v>261</v>
      </c>
      <c r="HA314" s="356" t="s">
        <v>261</v>
      </c>
      <c r="HB314" s="358"/>
      <c r="HC314" s="357" t="str">
        <f>IF(Table1[[#This Row],[Flushing Actual
(tanggal)]]&lt;&gt;"","Sudah","Belum")</f>
        <v>Belum</v>
      </c>
      <c r="HD314" s="356">
        <v>46020</v>
      </c>
      <c r="HE314" s="356" t="e">
        <v>#N/A</v>
      </c>
      <c r="HF314" s="356">
        <v>46033</v>
      </c>
      <c r="HG314" s="354"/>
      <c r="HH314"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4" s="356" t="s">
        <v>261</v>
      </c>
      <c r="HJ314" s="356" t="s">
        <v>261</v>
      </c>
      <c r="HK314" s="358"/>
      <c r="HL314" s="337"/>
      <c r="HM314" s="356">
        <v>46038</v>
      </c>
      <c r="HN314" s="356">
        <v>46038</v>
      </c>
      <c r="HO314" s="356" t="e">
        <v>#N/A</v>
      </c>
      <c r="HP314" s="356"/>
      <c r="HQ314" s="358"/>
      <c r="HR314"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4" s="356">
        <v>46045</v>
      </c>
      <c r="HT314" s="356"/>
      <c r="HU314" s="356">
        <v>46045</v>
      </c>
      <c r="HV314" s="356"/>
      <c r="HW314" s="358"/>
      <c r="HX314"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4" s="42"/>
      <c r="HZ314" s="354" t="s">
        <v>2199</v>
      </c>
      <c r="IA314" s="354"/>
      <c r="IC314" s="585">
        <f>IFERROR(ROUND((Table1[[#This Row],[PLAN TC
finish]]-Table1[[#This Row],[PLAN MC-0
start]])/30,2),"")</f>
        <v>0.9</v>
      </c>
      <c r="ID314">
        <f>DATEDIF(Table1[[#This Row],[PLAN MC-0
start]],Table1[[#This Row],[PLAN TC
finish]],"m")</f>
        <v>0</v>
      </c>
    </row>
    <row r="315" spans="1:238" s="30" customFormat="1" ht="15" customHeight="1" x14ac:dyDescent="0.25">
      <c r="A315" s="72"/>
      <c r="B315" s="281">
        <f>SUBTOTAL(3,$D$5:D315)</f>
        <v>311</v>
      </c>
      <c r="C315" s="337">
        <v>311</v>
      </c>
      <c r="D315" s="336" t="s">
        <v>244</v>
      </c>
      <c r="E315" s="336" t="s">
        <v>2505</v>
      </c>
      <c r="F315" s="336" t="s">
        <v>2506</v>
      </c>
      <c r="G315" s="334">
        <v>46117</v>
      </c>
      <c r="H315" s="336" t="s">
        <v>681</v>
      </c>
      <c r="I315" s="336" t="s">
        <v>278</v>
      </c>
      <c r="J315" s="355" t="s">
        <v>389</v>
      </c>
      <c r="K315" s="336" t="s">
        <v>1165</v>
      </c>
      <c r="L315" s="337" t="s">
        <v>250</v>
      </c>
      <c r="M315" s="362" t="s">
        <v>269</v>
      </c>
      <c r="N315" s="338">
        <v>72</v>
      </c>
      <c r="O315" s="339" t="s">
        <v>252</v>
      </c>
      <c r="P315"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5" s="355" t="s">
        <v>389</v>
      </c>
      <c r="R315" s="341">
        <v>1.0000000000000002</v>
      </c>
      <c r="S315" s="34">
        <v>1</v>
      </c>
      <c r="T315" s="459">
        <f>Table1[[#This Row],[Progres Total Aktual
(%)]]</f>
        <v>0</v>
      </c>
      <c r="U315" s="460">
        <f>Table1[[#This Row],[Progres Aktual
(%)]]-Table1[[#This Row],[Target Progres
(%)]]</f>
        <v>-1</v>
      </c>
      <c r="V315" s="461">
        <f>Table1[[#This Row],["Volume
BA MC-0"]]</f>
        <v>57.5</v>
      </c>
      <c r="W315" s="462">
        <f>Table1[[#This Row],[Total Panjang Pipa Aktual
(Sum-&gt;)3]]</f>
        <v>0</v>
      </c>
      <c r="X315" s="42"/>
      <c r="Y315" s="345" t="s">
        <v>2507</v>
      </c>
      <c r="Z315" s="345">
        <v>121146186</v>
      </c>
      <c r="AA315" s="345">
        <f>ROUND((Table1[[#This Row],[Nilai RAB Jaringan
(Exclude Ppn)]]-Table1[[#This Row],[RAB Perizinan]])*1.11+Table1[[#This Row],[RAB Perizinan]],0)</f>
        <v>121146185</v>
      </c>
      <c r="AB315" s="463">
        <f>SUM(Table1[[#This Row],[RAB Kegiatan Umum]:[RAB Perizinan]])</f>
        <v>109212059</v>
      </c>
      <c r="AC315" s="409">
        <v>8091502</v>
      </c>
      <c r="AD315" s="409">
        <v>80915012</v>
      </c>
      <c r="AE315" s="409">
        <v>19485545</v>
      </c>
      <c r="AF315" s="409">
        <v>720000</v>
      </c>
      <c r="AG315" s="464"/>
      <c r="AH315" s="465">
        <f>SUM(Table1[[#This Row],[Bobot Keg Umum]:[Bobot Perizinan]])</f>
        <v>1</v>
      </c>
      <c r="AI315" s="465">
        <f>Table1[[#This Row],[RAB Kegiatan Umum]]/Table1[[#This Row],[Nilai RAB Jaringan
(Exclude Ppn)]]</f>
        <v>7.4089821894118849E-2</v>
      </c>
      <c r="AJ315" s="465">
        <f>Table1[[#This Row],[RAB Pemasangan]]/Table1[[#This Row],[Nilai RAB Jaringan
(Exclude Ppn)]]</f>
        <v>0.74089814568920453</v>
      </c>
      <c r="AK315" s="465">
        <f>Table1[[#This Row],[RAB Pengadaan]]/Table1[[#This Row],[Nilai RAB Jaringan
(Exclude Ppn)]]</f>
        <v>0.17841935385541993</v>
      </c>
      <c r="AL315" s="465">
        <f>Table1[[#This Row],[RAB Perizinan]]/Table1[[#This Row],[Nilai RAB Jaringan
(Exclude Ppn)]]</f>
        <v>6.5926785612566829E-3</v>
      </c>
      <c r="AM315" s="42"/>
      <c r="AN315" s="346">
        <v>57.5</v>
      </c>
      <c r="AO315" s="346">
        <f>SUM(Table1[[#This Row],[Pipa 63 mm]:[Pipa 1,800 mm]])</f>
        <v>0</v>
      </c>
      <c r="AP315" s="346"/>
      <c r="AQ315" s="346"/>
      <c r="AR315" s="346"/>
      <c r="AS315" s="346"/>
      <c r="AT315" s="346"/>
      <c r="AU315" s="346"/>
      <c r="AV315" s="346"/>
      <c r="AW315" s="346"/>
      <c r="AX315" s="346"/>
      <c r="AY315" s="346"/>
      <c r="AZ315" s="346"/>
      <c r="BA315" s="346"/>
      <c r="BB315" s="346"/>
      <c r="BC315" s="346"/>
      <c r="BD315" s="346"/>
      <c r="BE315" s="346"/>
      <c r="BF315" s="346"/>
      <c r="BG315" s="346"/>
      <c r="BH315" s="346"/>
      <c r="BI315" s="346"/>
      <c r="BJ315" s="347">
        <f>SUM(Table1[[#This Row],[Pipa 63 mm2]:[Pipa 1,800 mm21]])</f>
        <v>0</v>
      </c>
      <c r="BK315" s="348"/>
      <c r="BL315" s="348"/>
      <c r="BM315" s="348"/>
      <c r="BN315" s="348"/>
      <c r="BO315" s="348"/>
      <c r="BP315" s="348"/>
      <c r="BQ315" s="348"/>
      <c r="BR315" s="348"/>
      <c r="BS315" s="348"/>
      <c r="BT315" s="348"/>
      <c r="BU315" s="348"/>
      <c r="BV315" s="348"/>
      <c r="BW315" s="348"/>
      <c r="BX315" s="348"/>
      <c r="BY315" s="348"/>
      <c r="BZ315" s="348"/>
      <c r="CA315" s="348"/>
      <c r="CB315" s="348"/>
      <c r="CC315" s="348"/>
      <c r="CD315" s="348"/>
      <c r="CE315" s="348"/>
      <c r="CF315" s="348"/>
      <c r="CG315" s="348"/>
      <c r="CH315" s="348"/>
      <c r="CI315" s="348"/>
      <c r="CJ315" s="410">
        <f>IF((Table1[[#This Row],["Volume
BA MC-0"]]-Table1[[#This Row],[Total Panjang Pipa Aktual
(Sum-&gt;)3]]-Table1[[#This Row],[Total Volume
tidak dapat dipasang]])&gt;=0,Table1[[#This Row],["Volume
BA MC-0"]]-Table1[[#This Row],[Total Panjang Pipa Aktual
(Sum-&gt;)3]]-Table1[[#This Row],[Total Volume
tidak dapat dipasang]],0)</f>
        <v>57.5</v>
      </c>
      <c r="CK315" s="42"/>
      <c r="CL315" s="341" t="s">
        <v>1821</v>
      </c>
      <c r="CM315" s="341" t="s">
        <v>1821</v>
      </c>
      <c r="CN315" s="341" t="s">
        <v>1821</v>
      </c>
      <c r="CO315" s="341" t="s">
        <v>1821</v>
      </c>
      <c r="CP315"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5" s="350">
        <f>IFERROR(Table1[[#This Row],[Progres Keg. Umum
(%)]]*Table1[[#This Row],[Nilai RAB Jaringan
(file pa aji)]],0)</f>
        <v>0</v>
      </c>
      <c r="CR315" s="350">
        <f>IFERROR(Table1[[#This Row],[Progres MOS
(%)]]*Table1[[#This Row],[Nilai RAB Jaringan
(file pa aji)]],0)</f>
        <v>0</v>
      </c>
      <c r="CS315" s="350">
        <f>IFERROR(Table1[[#This Row],[Progres Pemasangan
(%)]]*Table1[[#This Row],[Nilai RAB Jaringan
(file pa aji)]],0)</f>
        <v>0</v>
      </c>
      <c r="CT315" s="350">
        <f>IFERROR(Table1[[#This Row],[Progres Perizinan
(%)]]*Table1[[#This Row],[Nilai RAB Jaringan
(file pa aji)]],0)</f>
        <v>0</v>
      </c>
      <c r="CU315" s="789">
        <v>0</v>
      </c>
      <c r="CV315" s="299">
        <v>0</v>
      </c>
      <c r="CW315" s="551">
        <v>0</v>
      </c>
      <c r="CX315" s="789">
        <f>_xlfn.XLOOKUP(Table1[[#This Row],[Kode Program]],'[1]Breakdown VOWD Greenfield'!$E:$E,'[1]Breakdown VOWD Greenfield'!$AT:$AT)</f>
        <v>0</v>
      </c>
      <c r="CY315" s="42"/>
      <c r="CZ315" s="356">
        <v>45901</v>
      </c>
      <c r="DA315" s="356">
        <v>45928</v>
      </c>
      <c r="DB315" s="358">
        <v>45914</v>
      </c>
      <c r="DC315" s="337" t="s">
        <v>2508</v>
      </c>
      <c r="DD315" s="345">
        <v>121146186</v>
      </c>
      <c r="DE3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5" s="358">
        <v>45929</v>
      </c>
      <c r="DG315" s="337" t="s">
        <v>2509</v>
      </c>
      <c r="DH315" s="345">
        <v>121146186</v>
      </c>
      <c r="DI315" s="337"/>
      <c r="DJ315" s="356">
        <v>45929</v>
      </c>
      <c r="DK315" s="356">
        <v>45991</v>
      </c>
      <c r="DL315" s="358">
        <v>45943.814618055556</v>
      </c>
      <c r="DM315" s="337" t="s">
        <v>2510</v>
      </c>
      <c r="DN315" s="352"/>
      <c r="DO315" s="358">
        <v>45982</v>
      </c>
      <c r="DP315" s="337" t="s">
        <v>2511</v>
      </c>
      <c r="DQ315" s="336" t="s">
        <v>783</v>
      </c>
      <c r="DR315" s="352"/>
      <c r="DS315" s="356">
        <v>45929</v>
      </c>
      <c r="DT315" s="356" t="e">
        <v>#N/A</v>
      </c>
      <c r="DU315" s="356">
        <v>45970</v>
      </c>
      <c r="DV315" s="356" t="e">
        <v>#N/A</v>
      </c>
      <c r="DW315" s="358">
        <v>45943</v>
      </c>
      <c r="DX315" s="337" t="s">
        <v>2512</v>
      </c>
      <c r="DY315" s="412"/>
      <c r="DZ315" s="412"/>
      <c r="EA315" s="352"/>
      <c r="EB315" s="358"/>
      <c r="EC315" s="412"/>
      <c r="ED315" s="412"/>
      <c r="EE315" s="356"/>
      <c r="EF315" s="341"/>
      <c r="EG315" s="341"/>
      <c r="EH315" s="337"/>
      <c r="EI315"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5" s="356">
        <v>45971</v>
      </c>
      <c r="EK315" s="356" t="e">
        <v>#N/A</v>
      </c>
      <c r="EL315" s="356">
        <v>46026</v>
      </c>
      <c r="EM315" s="356" t="e">
        <v>#N/A</v>
      </c>
      <c r="EN315" s="358"/>
      <c r="EO315" s="412"/>
      <c r="EP315" s="337"/>
      <c r="EQ315" s="341"/>
      <c r="ER315" s="341"/>
      <c r="ES315" s="337"/>
      <c r="ET3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5" s="42"/>
      <c r="EV315" s="356">
        <v>45929</v>
      </c>
      <c r="EW315" s="356" t="e">
        <v>#N/A</v>
      </c>
      <c r="EX315" s="356">
        <v>46019</v>
      </c>
      <c r="EY315" s="356" t="e">
        <v>#N/A</v>
      </c>
      <c r="EZ315" s="354" t="s">
        <v>298</v>
      </c>
      <c r="FA315" s="355" t="s">
        <v>389</v>
      </c>
      <c r="FB315" s="356" t="s">
        <v>260</v>
      </c>
      <c r="FC315" s="300">
        <v>45943</v>
      </c>
      <c r="FD315" s="356" t="s">
        <v>260</v>
      </c>
      <c r="FE315" s="356">
        <v>45966</v>
      </c>
      <c r="FF315" s="356">
        <v>45995</v>
      </c>
      <c r="FG315" s="356" t="s">
        <v>260</v>
      </c>
      <c r="FH315" s="356" t="s">
        <v>260</v>
      </c>
      <c r="FI315" s="356">
        <v>46010</v>
      </c>
      <c r="FJ315" s="356" t="s">
        <v>260</v>
      </c>
      <c r="FK315" s="356"/>
      <c r="FL315" s="413" t="s">
        <v>298</v>
      </c>
      <c r="FM315" s="354">
        <v>45943</v>
      </c>
      <c r="FN315" s="336">
        <f>IF(Table1[[#This Row],[Tanggal Pengajuan Dokumen]]="","",Table1[[#This Row],[PLAN PERMIT
start]]-Table1[[#This Row],[Tanggal Pengajuan Dokumen]])</f>
        <v>-14</v>
      </c>
      <c r="FO315" s="414">
        <v>46097</v>
      </c>
      <c r="FP315" s="337"/>
      <c r="FQ315" s="336"/>
      <c r="FR315" s="336"/>
      <c r="FS315" s="336" t="str">
        <f t="shared" si="14"/>
        <v>On Going</v>
      </c>
      <c r="FT315"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5" s="357">
        <f ca="1">IF(Table1[[#This Row],[Status Izin]]="Selesai",Table1[[#This Row],[PLAN PERMIT
finish]]-Table1[[#This Row],[Tanggal Terbit/ Target Izin Terbit]],ROUNDUP(Table1[[#This Row],[PLAN PERMIT
finish]]-NOW(),0))</f>
        <v>-185</v>
      </c>
      <c r="FV315"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5" s="357"/>
      <c r="FX315" s="42"/>
      <c r="FY315" s="310"/>
      <c r="FZ315" s="311"/>
      <c r="GA3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5" s="356">
        <v>45993</v>
      </c>
      <c r="GC315" s="354">
        <v>45978</v>
      </c>
      <c r="GD315"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5" s="356">
        <v>46000</v>
      </c>
      <c r="GF315" s="354">
        <v>45978</v>
      </c>
      <c r="GG315"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5" s="356">
        <v>46006</v>
      </c>
      <c r="GI315" s="356">
        <v>46012</v>
      </c>
      <c r="GJ315" s="354">
        <v>45982</v>
      </c>
      <c r="GK315"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5" s="356">
        <v>46020</v>
      </c>
      <c r="GM315" s="356" t="e">
        <v>#N/A</v>
      </c>
      <c r="GN315" s="356">
        <v>46040</v>
      </c>
      <c r="GO315" s="356" t="e">
        <v>#N/A</v>
      </c>
      <c r="GP315" s="356"/>
      <c r="GQ315"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5" s="356" t="s">
        <v>261</v>
      </c>
      <c r="GS315" s="356" t="s">
        <v>261</v>
      </c>
      <c r="GT315" s="360"/>
      <c r="GU315" s="357" t="str">
        <f>IF(Table1[[#This Row],[Hydro Tes Actual
(tanggal)]]&lt;&gt;"","Sudah","Belum")</f>
        <v>Belum</v>
      </c>
      <c r="GV315" s="356" t="s">
        <v>261</v>
      </c>
      <c r="GW315" s="356" t="s">
        <v>261</v>
      </c>
      <c r="GX315" s="358"/>
      <c r="GY315" s="357" t="str">
        <f>IF(Table1[[#This Row],[Interkoneksi Actual
(tanggal)]]&lt;&gt;"","Sudah","Belum")</f>
        <v>Belum</v>
      </c>
      <c r="GZ315" s="356" t="s">
        <v>261</v>
      </c>
      <c r="HA315" s="356" t="s">
        <v>261</v>
      </c>
      <c r="HB315" s="358"/>
      <c r="HC315" s="357" t="str">
        <f>IF(Table1[[#This Row],[Flushing Actual
(tanggal)]]&lt;&gt;"","Sudah","Belum")</f>
        <v>Belum</v>
      </c>
      <c r="HD315" s="356">
        <v>46020</v>
      </c>
      <c r="HE315" s="356" t="e">
        <v>#N/A</v>
      </c>
      <c r="HF315" s="356">
        <v>46033</v>
      </c>
      <c r="HG315" s="354"/>
      <c r="HH315"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5" s="356" t="s">
        <v>261</v>
      </c>
      <c r="HJ315" s="356" t="s">
        <v>261</v>
      </c>
      <c r="HK315" s="358"/>
      <c r="HL315" s="337"/>
      <c r="HM315" s="356">
        <v>46038</v>
      </c>
      <c r="HN315" s="356">
        <v>46038</v>
      </c>
      <c r="HO315" s="356" t="e">
        <v>#N/A</v>
      </c>
      <c r="HP315" s="356"/>
      <c r="HQ315" s="358"/>
      <c r="HR315"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5" s="356">
        <v>46045</v>
      </c>
      <c r="HT315" s="356"/>
      <c r="HU315" s="356">
        <v>46045</v>
      </c>
      <c r="HV315" s="356"/>
      <c r="HW315" s="358"/>
      <c r="HX315"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5" s="42"/>
      <c r="HZ315" s="354" t="s">
        <v>2199</v>
      </c>
      <c r="IA315" s="354"/>
      <c r="IC315" s="585">
        <f>IFERROR(ROUND((Table1[[#This Row],[PLAN TC
finish]]-Table1[[#This Row],[PLAN MC-0
start]])/30,2),"")</f>
        <v>0.9</v>
      </c>
      <c r="ID315">
        <f>DATEDIF(Table1[[#This Row],[PLAN MC-0
start]],Table1[[#This Row],[PLAN TC
finish]],"m")</f>
        <v>0</v>
      </c>
    </row>
    <row r="316" spans="1:238" s="30" customFormat="1" ht="15" customHeight="1" x14ac:dyDescent="0.25">
      <c r="A316" s="72"/>
      <c r="B316" s="281">
        <f>SUBTOTAL(3,$D$5:D316)</f>
        <v>312</v>
      </c>
      <c r="C316" s="337">
        <v>312</v>
      </c>
      <c r="D316" s="336" t="s">
        <v>244</v>
      </c>
      <c r="E316" s="336" t="s">
        <v>2513</v>
      </c>
      <c r="F316" s="336" t="s">
        <v>2514</v>
      </c>
      <c r="G316" s="334">
        <v>46117</v>
      </c>
      <c r="H316" s="336" t="s">
        <v>681</v>
      </c>
      <c r="I316" s="336" t="s">
        <v>278</v>
      </c>
      <c r="J316" s="355" t="s">
        <v>389</v>
      </c>
      <c r="K316" s="336" t="s">
        <v>1165</v>
      </c>
      <c r="L316" s="337" t="s">
        <v>250</v>
      </c>
      <c r="M316" s="362" t="s">
        <v>269</v>
      </c>
      <c r="N316" s="338">
        <v>30</v>
      </c>
      <c r="O316" s="339" t="s">
        <v>252</v>
      </c>
      <c r="P316"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6" s="355" t="s">
        <v>389</v>
      </c>
      <c r="R316" s="341">
        <v>0.99999999999999989</v>
      </c>
      <c r="S316" s="34">
        <v>1</v>
      </c>
      <c r="T316" s="459">
        <f>Table1[[#This Row],[Progres Total Aktual
(%)]]</f>
        <v>0</v>
      </c>
      <c r="U316" s="460">
        <f>Table1[[#This Row],[Progres Aktual
(%)]]-Table1[[#This Row],[Target Progres
(%)]]</f>
        <v>-1</v>
      </c>
      <c r="V316" s="461">
        <f>Table1[[#This Row],["Volume
BA MC-0"]]</f>
        <v>35.1</v>
      </c>
      <c r="W316" s="462">
        <f>Table1[[#This Row],[Total Panjang Pipa Aktual
(Sum-&gt;)3]]</f>
        <v>0</v>
      </c>
      <c r="X316" s="42"/>
      <c r="Y316" s="345" t="s">
        <v>2515</v>
      </c>
      <c r="Z316" s="345">
        <v>116864008</v>
      </c>
      <c r="AA316" s="345">
        <f>ROUND((Table1[[#This Row],[Nilai RAB Jaringan
(Exclude Ppn)]]-Table1[[#This Row],[RAB Perizinan]])*1.11+Table1[[#This Row],[RAB Perizinan]],0)</f>
        <v>116864008</v>
      </c>
      <c r="AB316" s="463">
        <f>SUM(Table1[[#This Row],[RAB Kegiatan Umum]:[RAB Perizinan]])</f>
        <v>105312620</v>
      </c>
      <c r="AC316" s="409">
        <v>6159075</v>
      </c>
      <c r="AD316" s="409">
        <v>61590746</v>
      </c>
      <c r="AE316" s="409">
        <v>37262799</v>
      </c>
      <c r="AF316" s="409">
        <v>300000</v>
      </c>
      <c r="AG316" s="464"/>
      <c r="AH316" s="465">
        <f>SUM(Table1[[#This Row],[Bobot Keg Umum]:[Bobot Perizinan]])</f>
        <v>1</v>
      </c>
      <c r="AI316" s="465">
        <f>Table1[[#This Row],[RAB Kegiatan Umum]]/Table1[[#This Row],[Nilai RAB Jaringan
(Exclude Ppn)]]</f>
        <v>5.8483731579368169E-2</v>
      </c>
      <c r="AJ316" s="465">
        <f>Table1[[#This Row],[RAB Pemasangan]]/Table1[[#This Row],[Nilai RAB Jaringan
(Exclude Ppn)]]</f>
        <v>0.58483727781152917</v>
      </c>
      <c r="AK316" s="465">
        <f>Table1[[#This Row],[RAB Pengadaan]]/Table1[[#This Row],[Nilai RAB Jaringan
(Exclude Ppn)]]</f>
        <v>0.35383032916662788</v>
      </c>
      <c r="AL316" s="465">
        <f>Table1[[#This Row],[RAB Perizinan]]/Table1[[#This Row],[Nilai RAB Jaringan
(Exclude Ppn)]]</f>
        <v>2.8486614424747957E-3</v>
      </c>
      <c r="AM316" s="42"/>
      <c r="AN316" s="346">
        <v>35.1</v>
      </c>
      <c r="AO316" s="346">
        <f>SUM(Table1[[#This Row],[Pipa 63 mm]:[Pipa 1,800 mm]])</f>
        <v>0</v>
      </c>
      <c r="AP316" s="346"/>
      <c r="AQ316" s="346"/>
      <c r="AR316" s="346"/>
      <c r="AS316" s="346"/>
      <c r="AT316" s="346"/>
      <c r="AU316" s="346"/>
      <c r="AV316" s="346"/>
      <c r="AW316" s="346"/>
      <c r="AX316" s="346"/>
      <c r="AY316" s="346"/>
      <c r="AZ316" s="346"/>
      <c r="BA316" s="346"/>
      <c r="BB316" s="346"/>
      <c r="BC316" s="346"/>
      <c r="BD316" s="346"/>
      <c r="BE316" s="346"/>
      <c r="BF316" s="346"/>
      <c r="BG316" s="346"/>
      <c r="BH316" s="346"/>
      <c r="BI316" s="346"/>
      <c r="BJ316" s="347">
        <f>SUM(Table1[[#This Row],[Pipa 63 mm2]:[Pipa 1,800 mm21]])</f>
        <v>0</v>
      </c>
      <c r="BK316" s="348"/>
      <c r="BL316" s="348"/>
      <c r="BM316" s="348"/>
      <c r="BN316" s="348"/>
      <c r="BO316" s="348"/>
      <c r="BP316" s="348"/>
      <c r="BQ316" s="348"/>
      <c r="BR316" s="348"/>
      <c r="BS316" s="348"/>
      <c r="BT316" s="348"/>
      <c r="BU316" s="348"/>
      <c r="BV316" s="348"/>
      <c r="BW316" s="348"/>
      <c r="BX316" s="348"/>
      <c r="BY316" s="348"/>
      <c r="BZ316" s="348"/>
      <c r="CA316" s="348"/>
      <c r="CB316" s="348"/>
      <c r="CC316" s="348"/>
      <c r="CD316" s="348"/>
      <c r="CE316" s="348"/>
      <c r="CF316" s="348"/>
      <c r="CG316" s="348"/>
      <c r="CH316" s="348"/>
      <c r="CI316" s="348"/>
      <c r="CJ316" s="410">
        <f>IF((Table1[[#This Row],["Volume
BA MC-0"]]-Table1[[#This Row],[Total Panjang Pipa Aktual
(Sum-&gt;)3]]-Table1[[#This Row],[Total Volume
tidak dapat dipasang]])&gt;=0,Table1[[#This Row],["Volume
BA MC-0"]]-Table1[[#This Row],[Total Panjang Pipa Aktual
(Sum-&gt;)3]]-Table1[[#This Row],[Total Volume
tidak dapat dipasang]],0)</f>
        <v>35.1</v>
      </c>
      <c r="CK316" s="42"/>
      <c r="CL316" s="341" t="s">
        <v>1821</v>
      </c>
      <c r="CM316" s="341" t="s">
        <v>1821</v>
      </c>
      <c r="CN316" s="341" t="s">
        <v>1821</v>
      </c>
      <c r="CO316" s="341" t="s">
        <v>1821</v>
      </c>
      <c r="CP316"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6" s="350">
        <f>IFERROR(Table1[[#This Row],[Progres Keg. Umum
(%)]]*Table1[[#This Row],[Nilai RAB Jaringan
(file pa aji)]],0)</f>
        <v>0</v>
      </c>
      <c r="CR316" s="350">
        <f>IFERROR(Table1[[#This Row],[Progres MOS
(%)]]*Table1[[#This Row],[Nilai RAB Jaringan
(file pa aji)]],0)</f>
        <v>0</v>
      </c>
      <c r="CS316" s="350">
        <f>IFERROR(Table1[[#This Row],[Progres Pemasangan
(%)]]*Table1[[#This Row],[Nilai RAB Jaringan
(file pa aji)]],0)</f>
        <v>0</v>
      </c>
      <c r="CT316" s="350">
        <f>IFERROR(Table1[[#This Row],[Progres Perizinan
(%)]]*Table1[[#This Row],[Nilai RAB Jaringan
(file pa aji)]],0)</f>
        <v>0</v>
      </c>
      <c r="CU316" s="789">
        <v>0</v>
      </c>
      <c r="CV316" s="299">
        <v>0</v>
      </c>
      <c r="CW316" s="551">
        <v>0</v>
      </c>
      <c r="CX316" s="789">
        <f>_xlfn.XLOOKUP(Table1[[#This Row],[Kode Program]],'[1]Breakdown VOWD Greenfield'!$E:$E,'[1]Breakdown VOWD Greenfield'!$AT:$AT)</f>
        <v>0</v>
      </c>
      <c r="CY316" s="42"/>
      <c r="CZ316" s="356">
        <v>45901</v>
      </c>
      <c r="DA316" s="356">
        <v>45928</v>
      </c>
      <c r="DB316" s="358">
        <v>45944</v>
      </c>
      <c r="DC316" s="337" t="s">
        <v>2516</v>
      </c>
      <c r="DD316" s="345">
        <v>116864008</v>
      </c>
      <c r="DE3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6" s="358">
        <v>45957</v>
      </c>
      <c r="DG316" s="337" t="s">
        <v>2517</v>
      </c>
      <c r="DH316" s="345">
        <v>116864008</v>
      </c>
      <c r="DI316" s="337"/>
      <c r="DJ316" s="356">
        <v>45929</v>
      </c>
      <c r="DK316" s="356">
        <v>45991</v>
      </c>
      <c r="DL316" s="358">
        <v>45964</v>
      </c>
      <c r="DM316" s="277" t="s">
        <v>2518</v>
      </c>
      <c r="DN316" s="352"/>
      <c r="DO316" s="358">
        <v>45973</v>
      </c>
      <c r="DP316" s="337" t="s">
        <v>2519</v>
      </c>
      <c r="DQ316" s="336" t="s">
        <v>365</v>
      </c>
      <c r="DR316" s="352"/>
      <c r="DS316" s="356">
        <v>45929</v>
      </c>
      <c r="DT316" s="356" t="e">
        <v>#N/A</v>
      </c>
      <c r="DU316" s="356">
        <v>45970</v>
      </c>
      <c r="DV316" s="356" t="e">
        <v>#N/A</v>
      </c>
      <c r="DW316" s="358">
        <v>45964</v>
      </c>
      <c r="DX316" s="337" t="s">
        <v>2520</v>
      </c>
      <c r="DY316" s="412"/>
      <c r="DZ316" s="412"/>
      <c r="EA316" s="352"/>
      <c r="EB316" s="358"/>
      <c r="EC316" s="412"/>
      <c r="ED316" s="412"/>
      <c r="EE316" s="356"/>
      <c r="EF316" s="341"/>
      <c r="EG316" s="341"/>
      <c r="EH316" s="337"/>
      <c r="EI316"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6" s="356">
        <v>45971</v>
      </c>
      <c r="EK316" s="356" t="e">
        <v>#N/A</v>
      </c>
      <c r="EL316" s="356">
        <v>46026</v>
      </c>
      <c r="EM316" s="356" t="e">
        <v>#N/A</v>
      </c>
      <c r="EN316" s="358"/>
      <c r="EO316" s="412"/>
      <c r="EP316" s="337"/>
      <c r="EQ316" s="341"/>
      <c r="ER316" s="341"/>
      <c r="ES316" s="337"/>
      <c r="ET3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6" s="42"/>
      <c r="EV316" s="356">
        <v>45929</v>
      </c>
      <c r="EW316" s="356" t="e">
        <v>#N/A</v>
      </c>
      <c r="EX316" s="356">
        <v>46019</v>
      </c>
      <c r="EY316" s="356" t="e">
        <v>#N/A</v>
      </c>
      <c r="EZ316" s="354" t="s">
        <v>298</v>
      </c>
      <c r="FA316" s="355" t="s">
        <v>389</v>
      </c>
      <c r="FB316" s="356" t="s">
        <v>260</v>
      </c>
      <c r="FC316" s="300">
        <v>45943</v>
      </c>
      <c r="FD316" s="356" t="s">
        <v>260</v>
      </c>
      <c r="FE316" s="356">
        <v>45966</v>
      </c>
      <c r="FF316" s="356">
        <v>45995</v>
      </c>
      <c r="FG316" s="356" t="s">
        <v>260</v>
      </c>
      <c r="FH316" s="356" t="s">
        <v>260</v>
      </c>
      <c r="FI316" s="356">
        <v>46010</v>
      </c>
      <c r="FJ316" s="356" t="s">
        <v>260</v>
      </c>
      <c r="FK316" s="356"/>
      <c r="FL316" s="413" t="s">
        <v>298</v>
      </c>
      <c r="FM316" s="354">
        <v>45943</v>
      </c>
      <c r="FN316" s="336">
        <f>IF(Table1[[#This Row],[Tanggal Pengajuan Dokumen]]="","",Table1[[#This Row],[PLAN PERMIT
start]]-Table1[[#This Row],[Tanggal Pengajuan Dokumen]])</f>
        <v>-14</v>
      </c>
      <c r="FO316" s="414">
        <v>46097</v>
      </c>
      <c r="FP316" s="337" t="s">
        <v>2087</v>
      </c>
      <c r="FQ316" s="336"/>
      <c r="FR316" s="336"/>
      <c r="FS316" s="336" t="str">
        <f t="shared" si="14"/>
        <v>On Going</v>
      </c>
      <c r="FT316"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6" s="357">
        <f ca="1">IF(Table1[[#This Row],[Status Izin]]="Selesai",Table1[[#This Row],[PLAN PERMIT
finish]]-Table1[[#This Row],[Tanggal Terbit/ Target Izin Terbit]],ROUNDUP(Table1[[#This Row],[PLAN PERMIT
finish]]-NOW(),0))</f>
        <v>-185</v>
      </c>
      <c r="FV316"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6" s="357"/>
      <c r="FX316" s="42"/>
      <c r="FY316" s="310"/>
      <c r="FZ316" s="311"/>
      <c r="GA3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6" s="356">
        <v>45993</v>
      </c>
      <c r="GC316" s="354">
        <v>45978</v>
      </c>
      <c r="GD316"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6" s="356">
        <v>46000</v>
      </c>
      <c r="GF316" s="354">
        <v>45978</v>
      </c>
      <c r="GG316"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6" s="356">
        <v>46006</v>
      </c>
      <c r="GI316" s="356">
        <v>46012</v>
      </c>
      <c r="GJ316" s="354">
        <v>45982</v>
      </c>
      <c r="GK316"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6" s="356">
        <v>46020</v>
      </c>
      <c r="GM316" s="356" t="e">
        <v>#N/A</v>
      </c>
      <c r="GN316" s="356">
        <v>46040</v>
      </c>
      <c r="GO316" s="356" t="e">
        <v>#N/A</v>
      </c>
      <c r="GP316" s="356"/>
      <c r="GQ316"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6" s="356" t="s">
        <v>261</v>
      </c>
      <c r="GS316" s="356" t="s">
        <v>261</v>
      </c>
      <c r="GT316" s="360"/>
      <c r="GU316" s="357" t="str">
        <f>IF(Table1[[#This Row],[Hydro Tes Actual
(tanggal)]]&lt;&gt;"","Sudah","Belum")</f>
        <v>Belum</v>
      </c>
      <c r="GV316" s="356" t="s">
        <v>261</v>
      </c>
      <c r="GW316" s="356" t="s">
        <v>261</v>
      </c>
      <c r="GX316" s="358"/>
      <c r="GY316" s="357" t="str">
        <f>IF(Table1[[#This Row],[Interkoneksi Actual
(tanggal)]]&lt;&gt;"","Sudah","Belum")</f>
        <v>Belum</v>
      </c>
      <c r="GZ316" s="356" t="s">
        <v>261</v>
      </c>
      <c r="HA316" s="356" t="s">
        <v>261</v>
      </c>
      <c r="HB316" s="358"/>
      <c r="HC316" s="357" t="str">
        <f>IF(Table1[[#This Row],[Flushing Actual
(tanggal)]]&lt;&gt;"","Sudah","Belum")</f>
        <v>Belum</v>
      </c>
      <c r="HD316" s="356">
        <v>46020</v>
      </c>
      <c r="HE316" s="356" t="e">
        <v>#N/A</v>
      </c>
      <c r="HF316" s="356">
        <v>46033</v>
      </c>
      <c r="HG316" s="354"/>
      <c r="HH316"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6" s="356" t="s">
        <v>261</v>
      </c>
      <c r="HJ316" s="356" t="s">
        <v>261</v>
      </c>
      <c r="HK316" s="358"/>
      <c r="HL316" s="337"/>
      <c r="HM316" s="356">
        <v>46038</v>
      </c>
      <c r="HN316" s="356">
        <v>46038</v>
      </c>
      <c r="HO316" s="356" t="e">
        <v>#N/A</v>
      </c>
      <c r="HP316" s="356"/>
      <c r="HQ316" s="358"/>
      <c r="HR316"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6" s="356">
        <v>46045</v>
      </c>
      <c r="HT316" s="356"/>
      <c r="HU316" s="356">
        <v>46045</v>
      </c>
      <c r="HV316" s="356"/>
      <c r="HW316" s="358"/>
      <c r="HX316"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6" s="42"/>
      <c r="HZ316" s="354" t="s">
        <v>2134</v>
      </c>
      <c r="IA316" s="354" t="s">
        <v>2163</v>
      </c>
      <c r="IC316" s="585">
        <f>IFERROR(ROUND((Table1[[#This Row],[PLAN TC
finish]]-Table1[[#This Row],[PLAN MC-0
start]])/30,2),"")</f>
        <v>0.9</v>
      </c>
      <c r="ID316">
        <f>DATEDIF(Table1[[#This Row],[PLAN MC-0
start]],Table1[[#This Row],[PLAN TC
finish]],"m")</f>
        <v>0</v>
      </c>
    </row>
    <row r="317" spans="1:238" s="4" customFormat="1" ht="15" customHeight="1" x14ac:dyDescent="0.25">
      <c r="B317" s="281">
        <f>SUBTOTAL(3,$D$5:D317)</f>
        <v>313</v>
      </c>
      <c r="C317" s="286">
        <v>313</v>
      </c>
      <c r="D317" s="308" t="s">
        <v>244</v>
      </c>
      <c r="E317" s="308" t="s">
        <v>2521</v>
      </c>
      <c r="F317" s="308" t="s">
        <v>2522</v>
      </c>
      <c r="G317" s="319">
        <v>46117</v>
      </c>
      <c r="H317" s="308" t="s">
        <v>681</v>
      </c>
      <c r="I317" s="308" t="s">
        <v>278</v>
      </c>
      <c r="J317" s="450" t="s">
        <v>1818</v>
      </c>
      <c r="K317" s="308" t="s">
        <v>1165</v>
      </c>
      <c r="L317" s="286" t="s">
        <v>250</v>
      </c>
      <c r="M317" s="325" t="s">
        <v>269</v>
      </c>
      <c r="N317" s="94">
        <v>234</v>
      </c>
      <c r="O317" s="31" t="s">
        <v>252</v>
      </c>
      <c r="P31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17" s="35">
        <v>1</v>
      </c>
      <c r="S317" s="34">
        <v>1</v>
      </c>
      <c r="T317" s="34">
        <f>Table1[[#This Row],[Progres Total Aktual
(%)]]</f>
        <v>0.45601809846842045</v>
      </c>
      <c r="U317" s="85">
        <f>Table1[[#This Row],[Progres Aktual
(%)]]-Table1[[#This Row],[Target Progres
(%)]]</f>
        <v>-0.54398190153157955</v>
      </c>
      <c r="V317" s="75">
        <f>Table1[[#This Row],["Volume
BA MC-0"]]</f>
        <v>271.7</v>
      </c>
      <c r="W317" s="41">
        <f>Table1[[#This Row],[Total Panjang Pipa Aktual
(Sum-&gt;)3]]</f>
        <v>160</v>
      </c>
      <c r="X317" s="42"/>
      <c r="Y317" s="62" t="s">
        <v>2523</v>
      </c>
      <c r="Z317" s="62">
        <v>422044898</v>
      </c>
      <c r="AA317" s="62">
        <f>ROUND((Table1[[#This Row],[Nilai RAB Jaringan
(Exclude Ppn)]]-Table1[[#This Row],[RAB Perizinan]])*1.11+Table1[[#This Row],[RAB Perizinan]],0)</f>
        <v>422044897</v>
      </c>
      <c r="AB317" s="456">
        <f>SUM(Table1[[#This Row],[RAB Kegiatan Umum]:[RAB Perizinan]])</f>
        <v>380452520</v>
      </c>
      <c r="AC317" s="406">
        <v>25171997</v>
      </c>
      <c r="AD317" s="406">
        <v>251719970</v>
      </c>
      <c r="AE317" s="406">
        <v>101220553</v>
      </c>
      <c r="AF317" s="406">
        <v>2340000</v>
      </c>
      <c r="AG317" s="453"/>
      <c r="AH317" s="33">
        <f>SUM(Table1[[#This Row],[Bobot Keg Umum]:[Bobot Perizinan]])</f>
        <v>1</v>
      </c>
      <c r="AI317" s="33">
        <f>Table1[[#This Row],[RAB Kegiatan Umum]]/Table1[[#This Row],[Nilai RAB Jaringan
(Exclude Ppn)]]</f>
        <v>6.6163307316245396E-2</v>
      </c>
      <c r="AJ317" s="33">
        <f>Table1[[#This Row],[RAB Pemasangan]]/Table1[[#This Row],[Nilai RAB Jaringan
(Exclude Ppn)]]</f>
        <v>0.66163307316245401</v>
      </c>
      <c r="AK317" s="33">
        <f>Table1[[#This Row],[RAB Pengadaan]]/Table1[[#This Row],[Nilai RAB Jaringan
(Exclude Ppn)]]</f>
        <v>0.26605304914263678</v>
      </c>
      <c r="AL317" s="33">
        <f>Table1[[#This Row],[RAB Perizinan]]/Table1[[#This Row],[Nilai RAB Jaringan
(Exclude Ppn)]]</f>
        <v>6.1505703786638079E-3</v>
      </c>
      <c r="AM317" s="42"/>
      <c r="AN317" s="256">
        <v>271.7</v>
      </c>
      <c r="AO317" s="256">
        <f>SUM(Table1[[#This Row],[Pipa 63 mm]:[Pipa 1,800 mm]])</f>
        <v>0</v>
      </c>
      <c r="AP317" s="256"/>
      <c r="AQ317" s="256"/>
      <c r="AR317" s="256"/>
      <c r="AS317" s="256"/>
      <c r="AT317" s="256"/>
      <c r="AU317" s="256"/>
      <c r="AV317" s="256"/>
      <c r="AW317" s="256"/>
      <c r="AX317" s="256"/>
      <c r="AY317" s="256"/>
      <c r="AZ317" s="256"/>
      <c r="BA317" s="256"/>
      <c r="BB317" s="256"/>
      <c r="BC317" s="256"/>
      <c r="BD317" s="256"/>
      <c r="BE317" s="256"/>
      <c r="BF317" s="256"/>
      <c r="BG317" s="256"/>
      <c r="BH317" s="256"/>
      <c r="BI317" s="256"/>
      <c r="BJ317" s="36">
        <f>SUM(Table1[[#This Row],[Pipa 63 mm2]:[Pipa 1,800 mm21]])</f>
        <v>160</v>
      </c>
      <c r="BK317" s="32">
        <v>160</v>
      </c>
      <c r="BL317" s="32"/>
      <c r="BM317" s="32"/>
      <c r="BN317" s="32"/>
      <c r="BO317" s="32"/>
      <c r="BP317" s="32"/>
      <c r="BQ317" s="32"/>
      <c r="BR317" s="32"/>
      <c r="BS317" s="32"/>
      <c r="BT317" s="32"/>
      <c r="BU317" s="32"/>
      <c r="BV317" s="32"/>
      <c r="BW317" s="32"/>
      <c r="BX317" s="32"/>
      <c r="BY317" s="32"/>
      <c r="BZ317" s="32"/>
      <c r="CA317" s="32"/>
      <c r="CB317" s="32"/>
      <c r="CC317" s="32"/>
      <c r="CD317" s="32"/>
      <c r="CE317" s="32"/>
      <c r="CF317" s="32"/>
      <c r="CG317" s="32"/>
      <c r="CH317" s="32"/>
      <c r="CI317" s="32"/>
      <c r="CJ317" s="60">
        <f>IF((Table1[[#This Row],["Volume
BA MC-0"]]-Table1[[#This Row],[Total Panjang Pipa Aktual
(Sum-&gt;)3]]-Table1[[#This Row],[Total Volume
tidak dapat dipasang]])&gt;=0,Table1[[#This Row],["Volume
BA MC-0"]]-Table1[[#This Row],[Total Panjang Pipa Aktual
(Sum-&gt;)3]]-Table1[[#This Row],[Total Volume
tidak dapat dipasang]],0)</f>
        <v>111.69999999999999</v>
      </c>
      <c r="CK317" s="42"/>
      <c r="CL317" s="35" t="s">
        <v>1821</v>
      </c>
      <c r="CM317" s="35" t="s">
        <v>1821</v>
      </c>
      <c r="CN317" s="35" t="s">
        <v>1821</v>
      </c>
      <c r="CO317" s="35" t="s">
        <v>1821</v>
      </c>
      <c r="CP31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0.45601809846842045</v>
      </c>
      <c r="CQ317" s="61">
        <f>IFERROR(Table1[[#This Row],[Progres Keg. Umum
(%)]]*Table1[[#This Row],[Nilai RAB Jaringan
(file pa aji)]],0)</f>
        <v>0</v>
      </c>
      <c r="CR317" s="61">
        <f>IFERROR(Table1[[#This Row],[Progres MOS
(%)]]*Table1[[#This Row],[Nilai RAB Jaringan
(file pa aji)]],0)</f>
        <v>0</v>
      </c>
      <c r="CS317" s="61">
        <f>IFERROR(Table1[[#This Row],[Progres Pemasangan
(%)]]*Table1[[#This Row],[Nilai RAB Jaringan
(file pa aji)]],0)</f>
        <v>0</v>
      </c>
      <c r="CT317" s="61">
        <f>IFERROR(Table1[[#This Row],[Progres Perizinan
(%)]]*Table1[[#This Row],[Nilai RAB Jaringan
(file pa aji)]],0)</f>
        <v>0</v>
      </c>
      <c r="CU317" s="789">
        <v>192460111.39824036</v>
      </c>
      <c r="CV317" s="299">
        <v>192460111.39824036</v>
      </c>
      <c r="CW317" s="552">
        <v>0</v>
      </c>
      <c r="CX317" s="789">
        <f>_xlfn.XLOOKUP(Table1[[#This Row],[Kode Program]],'[1]Breakdown VOWD Greenfield'!$E:$E,'[1]Breakdown VOWD Greenfield'!$AT:$AT)</f>
        <v>0</v>
      </c>
      <c r="CY317" s="42"/>
      <c r="CZ317" s="300">
        <v>45929</v>
      </c>
      <c r="DA317" s="300">
        <v>45956</v>
      </c>
      <c r="DB317" s="301">
        <v>45939</v>
      </c>
      <c r="DC317" s="286" t="s">
        <v>2524</v>
      </c>
      <c r="DD317" s="62">
        <v>422044898</v>
      </c>
      <c r="DE3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7" s="301">
        <v>45946</v>
      </c>
      <c r="DG317" s="286" t="s">
        <v>2525</v>
      </c>
      <c r="DH317" s="62">
        <v>422044898</v>
      </c>
      <c r="DI31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17" s="300">
        <v>45957</v>
      </c>
      <c r="DK317" s="300">
        <v>46019</v>
      </c>
      <c r="DL317" s="301">
        <v>45910</v>
      </c>
      <c r="DM317" s="286" t="s">
        <v>2526</v>
      </c>
      <c r="DN31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7" s="301">
        <v>45926</v>
      </c>
      <c r="DP317" s="286" t="s">
        <v>2527</v>
      </c>
      <c r="DQ317" s="308" t="s">
        <v>783</v>
      </c>
      <c r="DR31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7" s="300">
        <v>45957</v>
      </c>
      <c r="DT317" s="300" t="e">
        <v>#N/A</v>
      </c>
      <c r="DU317" s="300">
        <v>45998</v>
      </c>
      <c r="DV317" s="300" t="e">
        <v>#N/A</v>
      </c>
      <c r="DW317" s="301">
        <v>45910</v>
      </c>
      <c r="DX317" s="454" t="s">
        <v>2528</v>
      </c>
      <c r="DY317" s="304">
        <v>54</v>
      </c>
      <c r="DZ317" s="304">
        <v>54</v>
      </c>
      <c r="EA31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7" s="301"/>
      <c r="EC317" s="302">
        <v>49</v>
      </c>
      <c r="ED317" s="302">
        <v>49</v>
      </c>
      <c r="EE317" s="300"/>
      <c r="EF317" s="35">
        <v>0.90740740740740744</v>
      </c>
      <c r="EG317" s="35">
        <f>Table1[[#This Row],[Line PO (kolom  bantu)2]]/Table1[[#This Row],[Line PR]]</f>
        <v>0.90740740740740744</v>
      </c>
      <c r="EH317" s="286" t="str">
        <f>IF(Table1[[#This Row],[PO Material Aktual 
(%)]]&gt;=100%,"Selesai PO = 100%",IF(Table1[[#This Row],[PO Material Aktual 
(%)]]&gt;=50%,"Proses PO &gt; 100%",IF(Table1[[#This Row],[PO Material Aktual 
(%)]]&gt;0%,"Proses PO &gt; 50%",IF(Table1[[#This Row],[PO Material Aktual 
(%)]]=0,"Belum PO = 0%"))))</f>
        <v>Proses PO &gt; 100%</v>
      </c>
      <c r="EI31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7" s="300">
        <v>45999</v>
      </c>
      <c r="EK317" s="300" t="e">
        <v>#N/A</v>
      </c>
      <c r="EL317" s="300">
        <v>46047</v>
      </c>
      <c r="EM317" s="300" t="e">
        <v>#N/A</v>
      </c>
      <c r="EN317" s="301"/>
      <c r="EO317" s="302">
        <v>46</v>
      </c>
      <c r="EP317" s="286">
        <v>46</v>
      </c>
      <c r="EQ317" s="35">
        <v>0.85185185185185186</v>
      </c>
      <c r="ER317" s="35">
        <f>Table1[[#This Row],[Line MOS]]/Table1[[#This Row],[Line PR]]</f>
        <v>0.85185185185185186</v>
      </c>
      <c r="ES317" s="286" t="str">
        <f>IF(Table1[[#This Row],[Progres MOS]]&gt;=100%,"Selesai MOS = 100%",IF(Table1[[#This Row],[Progres MOS]]&gt;=50%,"Proses MOS &gt; 100%",IF(Table1[[#This Row],[Progres MOS]]&gt;0%,"Proses MOS &gt; 50%",IF(Table1[[#This Row],[Progres MOS]]=0,"Belum MOS = 0%"))))</f>
        <v>Proses MOS &gt; 100%</v>
      </c>
      <c r="ET3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7" s="42"/>
      <c r="EV317" s="300">
        <v>45957</v>
      </c>
      <c r="EW317" s="300" t="e">
        <v>#N/A</v>
      </c>
      <c r="EX317" s="300">
        <v>46047</v>
      </c>
      <c r="EY317" s="300" t="e">
        <v>#N/A</v>
      </c>
      <c r="EZ317" s="322" t="s">
        <v>298</v>
      </c>
      <c r="FA317" s="306" t="s">
        <v>298</v>
      </c>
      <c r="FB317" s="300" t="s">
        <v>260</v>
      </c>
      <c r="FC317" s="300">
        <v>45940</v>
      </c>
      <c r="FD317" s="300" t="s">
        <v>260</v>
      </c>
      <c r="FE317" s="300">
        <v>45966</v>
      </c>
      <c r="FF317" s="300">
        <v>45995</v>
      </c>
      <c r="FG317" s="300" t="s">
        <v>260</v>
      </c>
      <c r="FH317" s="300" t="s">
        <v>260</v>
      </c>
      <c r="FI317" s="300">
        <v>46022</v>
      </c>
      <c r="FJ317" s="300" t="s">
        <v>260</v>
      </c>
      <c r="FK317" s="300"/>
      <c r="FL317" s="306" t="s">
        <v>298</v>
      </c>
      <c r="FM317" s="322">
        <v>45940</v>
      </c>
      <c r="FN317" s="308">
        <f>IF(Table1[[#This Row],[Tanggal Pengajuan Dokumen]]="","",Table1[[#This Row],[PLAN PERMIT
start]]-Table1[[#This Row],[Tanggal Pengajuan Dokumen]])</f>
        <v>17</v>
      </c>
      <c r="FO317" s="407">
        <v>46097</v>
      </c>
      <c r="FP317" s="286" t="s">
        <v>2087</v>
      </c>
      <c r="FQ317" s="308"/>
      <c r="FR317" s="308"/>
      <c r="FS317" s="308" t="str">
        <f t="shared" si="14"/>
        <v>On Going</v>
      </c>
      <c r="FT3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7" s="314">
        <f ca="1">IF(Table1[[#This Row],[Status Izin]]="Selesai",Table1[[#This Row],[PLAN PERMIT
finish]]-Table1[[#This Row],[Tanggal Terbit/ Target Izin Terbit]],ROUNDUP(Table1[[#This Row],[PLAN PERMIT
finish]]-NOW(),0))</f>
        <v>-157</v>
      </c>
      <c r="FV3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7" s="314"/>
      <c r="FX317" s="42"/>
      <c r="FY317" s="310"/>
      <c r="FZ317" s="311"/>
      <c r="GA31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7" s="300">
        <v>46021</v>
      </c>
      <c r="GC317" s="322">
        <v>45922</v>
      </c>
      <c r="GD31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7" s="300">
        <v>46028</v>
      </c>
      <c r="GF317" s="322">
        <v>45922</v>
      </c>
      <c r="GG31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7" s="300">
        <v>46034</v>
      </c>
      <c r="GI317" s="300">
        <v>46040</v>
      </c>
      <c r="GJ317" s="322">
        <v>45937</v>
      </c>
      <c r="GK31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7" s="300">
        <v>46048</v>
      </c>
      <c r="GM317" s="300" t="e">
        <v>#N/A</v>
      </c>
      <c r="GN317" s="300">
        <v>46068</v>
      </c>
      <c r="GO317" s="300" t="e">
        <v>#N/A</v>
      </c>
      <c r="GP317" s="300"/>
      <c r="GQ31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7" s="300" t="s">
        <v>261</v>
      </c>
      <c r="GS317" s="300" t="s">
        <v>261</v>
      </c>
      <c r="GT317" s="458" t="s">
        <v>2529</v>
      </c>
      <c r="GU317" s="314" t="str">
        <f>IF(Table1[[#This Row],[Hydro Tes Actual
(tanggal)]]&lt;&gt;"","Sudah","Belum")</f>
        <v>Sudah</v>
      </c>
      <c r="GV317" s="300" t="s">
        <v>261</v>
      </c>
      <c r="GW317" s="300" t="s">
        <v>261</v>
      </c>
      <c r="GX317" s="365" t="s">
        <v>2530</v>
      </c>
      <c r="GY317" s="314" t="str">
        <f>IF(Table1[[#This Row],[Interkoneksi Actual
(tanggal)]]&lt;&gt;"","Sudah","Belum")</f>
        <v>Sudah</v>
      </c>
      <c r="GZ317" s="300" t="s">
        <v>261</v>
      </c>
      <c r="HA317" s="300" t="s">
        <v>261</v>
      </c>
      <c r="HB317" s="301">
        <v>46178</v>
      </c>
      <c r="HC317" s="314" t="str">
        <f>IF(Table1[[#This Row],[Flushing Actual
(tanggal)]]&lt;&gt;"","Sudah","Belum")</f>
        <v>Sudah</v>
      </c>
      <c r="HD317" s="300">
        <v>46048</v>
      </c>
      <c r="HE317" s="300" t="e">
        <v>#N/A</v>
      </c>
      <c r="HF317" s="300">
        <v>46061</v>
      </c>
      <c r="HG317" s="322">
        <v>46193</v>
      </c>
      <c r="HH31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17" s="300" t="s">
        <v>261</v>
      </c>
      <c r="HJ317" s="300" t="s">
        <v>261</v>
      </c>
      <c r="HK317" s="301"/>
      <c r="HL317" s="286"/>
      <c r="HM317" s="300">
        <v>46066</v>
      </c>
      <c r="HN317" s="300">
        <v>46066</v>
      </c>
      <c r="HO317" s="300">
        <v>46202</v>
      </c>
      <c r="HP317" s="300"/>
      <c r="HQ317" s="301"/>
      <c r="HR31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7" s="300">
        <v>46073</v>
      </c>
      <c r="HT317" s="300"/>
      <c r="HU317" s="300">
        <v>46073</v>
      </c>
      <c r="HV317" s="300">
        <v>46206</v>
      </c>
      <c r="HW317" s="301"/>
      <c r="HX31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7" s="42"/>
      <c r="HZ317" s="470"/>
      <c r="IA317" s="322" t="s">
        <v>2531</v>
      </c>
      <c r="IC317" s="585">
        <f>IFERROR(ROUND((Table1[[#This Row],[PLAN TC
finish]]-Table1[[#This Row],[PLAN MC-0
start]])/30,2),"")</f>
        <v>0.9</v>
      </c>
      <c r="ID317">
        <f>DATEDIF(Table1[[#This Row],[PLAN MC-0
start]],Table1[[#This Row],[PLAN TC
finish]],"m")</f>
        <v>0</v>
      </c>
    </row>
    <row r="318" spans="1:238" s="4" customFormat="1" ht="15" customHeight="1" x14ac:dyDescent="0.25">
      <c r="B318" s="281">
        <f>SUBTOTAL(3,$D$5:D318)</f>
        <v>314</v>
      </c>
      <c r="C318" s="286">
        <v>314</v>
      </c>
      <c r="D318" s="308" t="s">
        <v>244</v>
      </c>
      <c r="E318" s="308" t="s">
        <v>2532</v>
      </c>
      <c r="F318" s="308" t="s">
        <v>2533</v>
      </c>
      <c r="G318" s="319">
        <v>46117</v>
      </c>
      <c r="H318" s="308" t="s">
        <v>681</v>
      </c>
      <c r="I318" s="308" t="s">
        <v>278</v>
      </c>
      <c r="J318" s="450" t="s">
        <v>1830</v>
      </c>
      <c r="K318" s="308" t="s">
        <v>1165</v>
      </c>
      <c r="L318" s="286" t="s">
        <v>250</v>
      </c>
      <c r="M318" s="325" t="s">
        <v>269</v>
      </c>
      <c r="N318" s="94">
        <v>1558</v>
      </c>
      <c r="O318" s="31" t="s">
        <v>252</v>
      </c>
      <c r="P31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18" s="35">
        <v>0.65983603625737486</v>
      </c>
      <c r="S318" s="34">
        <v>1</v>
      </c>
      <c r="T318" s="34">
        <f>Table1[[#This Row],[Progres Total Aktual
(%)]]</f>
        <v>1</v>
      </c>
      <c r="U318" s="85">
        <f>Table1[[#This Row],[Progres Aktual
(%)]]-Table1[[#This Row],[Target Progres
(%)]]</f>
        <v>0</v>
      </c>
      <c r="V318" s="75">
        <f>Table1[[#This Row],["Volume
BA MC-0"]]</f>
        <v>1701</v>
      </c>
      <c r="W318" s="41">
        <f>Table1[[#This Row],[Total Panjang Pipa Aktual
(Sum-&gt;)3]]</f>
        <v>1699</v>
      </c>
      <c r="X318" s="42"/>
      <c r="Y318" s="62" t="s">
        <v>2534</v>
      </c>
      <c r="Z318" s="62">
        <v>7896112806</v>
      </c>
      <c r="AA318" s="62">
        <f>ROUND((Table1[[#This Row],[Nilai RAB Jaringan
(Exclude Ppn)]]-Table1[[#This Row],[RAB Perizinan]])*1.11+Table1[[#This Row],[RAB Perizinan]],0)</f>
        <v>7896112805</v>
      </c>
      <c r="AB318" s="456">
        <f>SUM(Table1[[#This Row],[RAB Kegiatan Umum]:[RAB Perizinan]])</f>
        <v>7115159104</v>
      </c>
      <c r="AC318" s="406">
        <v>582546234</v>
      </c>
      <c r="AD318" s="406">
        <v>5825462334</v>
      </c>
      <c r="AE318" s="406">
        <v>691570536</v>
      </c>
      <c r="AF318" s="406">
        <v>15580000</v>
      </c>
      <c r="AG318" s="453"/>
      <c r="AH318" s="33">
        <f>SUM(Table1[[#This Row],[Bobot Keg Umum]:[Bobot Perizinan]])</f>
        <v>1</v>
      </c>
      <c r="AI318" s="33">
        <f>Table1[[#This Row],[RAB Kegiatan Umum]]/Table1[[#This Row],[Nilai RAB Jaringan
(Exclude Ppn)]]</f>
        <v>8.1873957487824015E-2</v>
      </c>
      <c r="AJ318" s="33">
        <f>Table1[[#This Row],[RAB Pemasangan]]/Table1[[#This Row],[Nilai RAB Jaringan
(Exclude Ppn)]]</f>
        <v>0.81873957403497022</v>
      </c>
      <c r="AK318" s="33">
        <f>Table1[[#This Row],[RAB Pengadaan]]/Table1[[#This Row],[Nilai RAB Jaringan
(Exclude Ppn)]]</f>
        <v>9.7196777456629593E-2</v>
      </c>
      <c r="AL318" s="33">
        <f>Table1[[#This Row],[RAB Perizinan]]/Table1[[#This Row],[Nilai RAB Jaringan
(Exclude Ppn)]]</f>
        <v>2.1896910205762279E-3</v>
      </c>
      <c r="AM318" s="42"/>
      <c r="AN318" s="256">
        <v>1701</v>
      </c>
      <c r="AO318" s="256">
        <f>SUM(Table1[[#This Row],[Pipa 63 mm]:[Pipa 1,800 mm]])</f>
        <v>0</v>
      </c>
      <c r="AP318" s="256"/>
      <c r="AQ318" s="256"/>
      <c r="AR318" s="256"/>
      <c r="AS318" s="256"/>
      <c r="AT318" s="256"/>
      <c r="AU318" s="256"/>
      <c r="AV318" s="256"/>
      <c r="AW318" s="256"/>
      <c r="AX318" s="256"/>
      <c r="AY318" s="256"/>
      <c r="AZ318" s="256"/>
      <c r="BA318" s="256"/>
      <c r="BB318" s="256"/>
      <c r="BC318" s="256"/>
      <c r="BD318" s="256"/>
      <c r="BE318" s="256"/>
      <c r="BF318" s="256"/>
      <c r="BG318" s="256"/>
      <c r="BH318" s="256"/>
      <c r="BI318" s="256"/>
      <c r="BJ318" s="36">
        <f>SUM(Table1[[#This Row],[Pipa 63 mm2]:[Pipa 1,800 mm21]])</f>
        <v>1699</v>
      </c>
      <c r="BK318" s="32">
        <v>995</v>
      </c>
      <c r="BL318" s="32">
        <v>343</v>
      </c>
      <c r="BM318" s="32">
        <v>361</v>
      </c>
      <c r="BN318" s="32"/>
      <c r="BO318" s="32"/>
      <c r="BP318" s="32"/>
      <c r="BQ318" s="32"/>
      <c r="BR318" s="32"/>
      <c r="BS318" s="32"/>
      <c r="BT318" s="32"/>
      <c r="BU318" s="32"/>
      <c r="BV318" s="32"/>
      <c r="BW318" s="32"/>
      <c r="BX318" s="32"/>
      <c r="BY318" s="32"/>
      <c r="BZ318" s="32"/>
      <c r="CA318" s="32"/>
      <c r="CB318" s="32"/>
      <c r="CC318" s="32"/>
      <c r="CD318" s="32"/>
      <c r="CE318" s="32"/>
      <c r="CF318" s="32"/>
      <c r="CG318" s="32"/>
      <c r="CH318" s="32"/>
      <c r="CI318" s="32"/>
      <c r="CJ318" s="60">
        <f>IF((Table1[[#This Row],["Volume
BA MC-0"]]-Table1[[#This Row],[Total Panjang Pipa Aktual
(Sum-&gt;)3]]-Table1[[#This Row],[Total Volume
tidak dapat dipasang]])&gt;=0,Table1[[#This Row],["Volume
BA MC-0"]]-Table1[[#This Row],[Total Panjang Pipa Aktual
(Sum-&gt;)3]]-Table1[[#This Row],[Total Volume
tidak dapat dipasang]],0)</f>
        <v>2</v>
      </c>
      <c r="CK318" s="42"/>
      <c r="CL318" s="454" t="s">
        <v>1821</v>
      </c>
      <c r="CM318" s="34" t="s">
        <v>1821</v>
      </c>
      <c r="CN318" s="454" t="s">
        <v>1821</v>
      </c>
      <c r="CO318" s="454" t="s">
        <v>1821</v>
      </c>
      <c r="CP3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18" s="61">
        <f>IFERROR(Table1[[#This Row],[Progres Keg. Umum
(%)]]*Table1[[#This Row],[Nilai RAB Jaringan
(file pa aji)]],0)</f>
        <v>0</v>
      </c>
      <c r="CR318" s="61">
        <f>IFERROR(Table1[[#This Row],[Progres MOS
(%)]]*Table1[[#This Row],[Nilai RAB Jaringan
(file pa aji)]],0)</f>
        <v>0</v>
      </c>
      <c r="CS318" s="61">
        <f>IFERROR(Table1[[#This Row],[Progres Pemasangan
(%)]]*Table1[[#This Row],[Nilai RAB Jaringan
(file pa aji)]],0)</f>
        <v>0</v>
      </c>
      <c r="CT318" s="61">
        <f>IFERROR(Table1[[#This Row],[Progres Perizinan
(%)]]*Table1[[#This Row],[Nilai RAB Jaringan
(file pa aji)]],0)</f>
        <v>0</v>
      </c>
      <c r="CU318" s="789">
        <v>7124261675</v>
      </c>
      <c r="CV318" s="299">
        <v>7124261675</v>
      </c>
      <c r="CW318" s="552">
        <v>7124261675</v>
      </c>
      <c r="CX318" s="789">
        <f>_xlfn.XLOOKUP(Table1[[#This Row],[Kode Program]],'[1]Breakdown VOWD Greenfield'!$E:$E,'[1]Breakdown VOWD Greenfield'!$AT:$AT)</f>
        <v>7124261675</v>
      </c>
      <c r="CY318" s="42"/>
      <c r="CZ318" s="300">
        <v>45929</v>
      </c>
      <c r="DA318" s="300">
        <v>45956</v>
      </c>
      <c r="DB318" s="301">
        <v>45962</v>
      </c>
      <c r="DC318" s="286" t="s">
        <v>2535</v>
      </c>
      <c r="DD318" s="62">
        <v>2772012955</v>
      </c>
      <c r="DE3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18" s="301">
        <v>45959</v>
      </c>
      <c r="DG318" s="286" t="s">
        <v>2536</v>
      </c>
      <c r="DH318" s="62">
        <v>2772012955</v>
      </c>
      <c r="DI3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18" s="300">
        <v>45957</v>
      </c>
      <c r="DK318" s="300">
        <v>46019</v>
      </c>
      <c r="DL318" s="301">
        <v>45917</v>
      </c>
      <c r="DM318" s="286" t="s">
        <v>2537</v>
      </c>
      <c r="DN3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18" s="301">
        <v>45937</v>
      </c>
      <c r="DP318" s="455" t="s">
        <v>2538</v>
      </c>
      <c r="DQ318" s="455" t="s">
        <v>312</v>
      </c>
      <c r="DR3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18" s="300">
        <v>45957</v>
      </c>
      <c r="DT318" s="300" t="e">
        <v>#N/A</v>
      </c>
      <c r="DU318" s="300">
        <v>45998</v>
      </c>
      <c r="DV318" s="300" t="e">
        <v>#N/A</v>
      </c>
      <c r="DW318" s="301">
        <v>45917</v>
      </c>
      <c r="DX318" s="454" t="s">
        <v>2539</v>
      </c>
      <c r="DY318" s="302">
        <v>73</v>
      </c>
      <c r="DZ318" s="304">
        <v>73</v>
      </c>
      <c r="EA3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18" s="301">
        <v>46135</v>
      </c>
      <c r="EC318" s="302">
        <v>69</v>
      </c>
      <c r="ED318" s="302">
        <v>69</v>
      </c>
      <c r="EE318" s="395" t="s">
        <v>2540</v>
      </c>
      <c r="EF318" s="35">
        <v>1</v>
      </c>
      <c r="EG318" s="307">
        <v>1</v>
      </c>
      <c r="EH318" s="286" t="str">
        <f>IF(Table1[[#This Row],[PO Material Aktual 
(%)]]&gt;=100%,"Selesai PO = 100%",IF(Table1[[#This Row],[PO Material Aktual 
(%)]]&gt;=50%,"Proses PO &gt; 100%",IF(Table1[[#This Row],[PO Material Aktual 
(%)]]&gt;0%,"Proses PO &gt; 50%",IF(Table1[[#This Row],[PO Material Aktual 
(%)]]=0,"Belum PO = 0%"))))</f>
        <v>Selesai PO = 100%</v>
      </c>
      <c r="EI31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18" s="300">
        <v>45999</v>
      </c>
      <c r="EK318" s="300" t="e">
        <v>#N/A</v>
      </c>
      <c r="EL318" s="300">
        <v>46068</v>
      </c>
      <c r="EM318" s="300" t="e">
        <v>#N/A</v>
      </c>
      <c r="EN318" s="301">
        <v>46160</v>
      </c>
      <c r="EO318" s="302">
        <v>67</v>
      </c>
      <c r="EP318" s="595">
        <v>67</v>
      </c>
      <c r="EQ318" s="35">
        <v>0.9178082191780822</v>
      </c>
      <c r="ER318" s="35">
        <f>Table1[[#This Row],[Line MOS]]/Table1[[#This Row],[Line PR]]</f>
        <v>0.9178082191780822</v>
      </c>
      <c r="ES318" s="286" t="str">
        <f>IF(Table1[[#This Row],[Progres MOS]]&gt;=100%,"Selesai MOS = 100%",IF(Table1[[#This Row],[Progres MOS]]&gt;=50%,"Proses MOS &gt; 100%",IF(Table1[[#This Row],[Progres MOS]]&gt;0%,"Proses MOS &gt; 50%",IF(Table1[[#This Row],[Progres MOS]]=0,"Belum MOS = 0%"))))</f>
        <v>Proses MOS &gt; 100%</v>
      </c>
      <c r="ET3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18" s="42"/>
      <c r="EV318" s="300">
        <v>45957</v>
      </c>
      <c r="EW318" s="300" t="e">
        <v>#N/A</v>
      </c>
      <c r="EX318" s="300">
        <v>46047</v>
      </c>
      <c r="EY318" s="300" t="e">
        <v>#N/A</v>
      </c>
      <c r="EZ318" s="322" t="s">
        <v>298</v>
      </c>
      <c r="FA318" s="354"/>
      <c r="FB318" s="300" t="s">
        <v>260</v>
      </c>
      <c r="FC318" s="300" t="s">
        <v>282</v>
      </c>
      <c r="FD318" s="300" t="s">
        <v>282</v>
      </c>
      <c r="FE318" s="300" t="s">
        <v>282</v>
      </c>
      <c r="FF318" s="300" t="s">
        <v>282</v>
      </c>
      <c r="FG318" s="300" t="s">
        <v>282</v>
      </c>
      <c r="FH318" s="300" t="s">
        <v>282</v>
      </c>
      <c r="FI318" s="300" t="s">
        <v>282</v>
      </c>
      <c r="FJ318" s="300" t="s">
        <v>282</v>
      </c>
      <c r="FK318" s="300"/>
      <c r="FL318" s="306" t="str">
        <f>Table1[[#This Row],[IPPJU]]</f>
        <v>9.Proses Penerbitan Izin</v>
      </c>
      <c r="FM318" s="306"/>
      <c r="FN318" s="284" t="str">
        <f>IF(Table1[[#This Row],[Tanggal Pengajuan Dokumen]]="","",Table1[[#This Row],[PLAN PERMIT
start]]-Table1[[#This Row],[Tanggal Pengajuan Dokumen]])</f>
        <v/>
      </c>
      <c r="FO318" s="407">
        <v>46097</v>
      </c>
      <c r="FP318" s="286"/>
      <c r="FQ318" s="308"/>
      <c r="FR318" s="308"/>
      <c r="FS318" s="308" t="str">
        <f t="shared" si="14"/>
        <v>On Going</v>
      </c>
      <c r="FT3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8" s="314">
        <f ca="1">IF(Table1[[#This Row],[Status Izin]]="Selesai",Table1[[#This Row],[PLAN PERMIT
finish]]-Table1[[#This Row],[Tanggal Terbit/ Target Izin Terbit]],ROUNDUP(Table1[[#This Row],[PLAN PERMIT
finish]]-NOW(),0))</f>
        <v>-157</v>
      </c>
      <c r="FV3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8" s="314"/>
      <c r="FX318" s="42"/>
      <c r="FY318" s="310"/>
      <c r="FZ318" s="311"/>
      <c r="GA3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8" s="300">
        <v>46021</v>
      </c>
      <c r="GC318" s="322">
        <v>45922</v>
      </c>
      <c r="GD3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18" s="300">
        <v>46028</v>
      </c>
      <c r="GF318" s="322">
        <v>45922</v>
      </c>
      <c r="GG3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18" s="300">
        <v>46034</v>
      </c>
      <c r="GI318" s="300">
        <v>46040</v>
      </c>
      <c r="GJ318" s="322">
        <v>45937</v>
      </c>
      <c r="GK3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18" s="300">
        <v>46048</v>
      </c>
      <c r="GM318" s="300" t="e">
        <v>#N/A</v>
      </c>
      <c r="GN318" s="300">
        <v>46096</v>
      </c>
      <c r="GO318" s="300" t="e">
        <v>#N/A</v>
      </c>
      <c r="GP318" s="300"/>
      <c r="GQ3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8" s="300" t="s">
        <v>261</v>
      </c>
      <c r="GS318" s="300" t="s">
        <v>261</v>
      </c>
      <c r="GT318" s="324">
        <v>45978</v>
      </c>
      <c r="GU318" s="314" t="str">
        <f>IF(Table1[[#This Row],[Hydro Tes Actual
(tanggal)]]&lt;&gt;"","Sudah","Belum")</f>
        <v>Sudah</v>
      </c>
      <c r="GV318" s="300" t="s">
        <v>261</v>
      </c>
      <c r="GW318" s="300" t="s">
        <v>261</v>
      </c>
      <c r="GX318" s="301" t="s">
        <v>2541</v>
      </c>
      <c r="GY318" s="314" t="str">
        <f>IF(Table1[[#This Row],[Interkoneksi Actual
(tanggal)]]&lt;&gt;"","Sudah","Belum")</f>
        <v>Sudah</v>
      </c>
      <c r="GZ318" s="300" t="s">
        <v>261</v>
      </c>
      <c r="HA318" s="300" t="s">
        <v>261</v>
      </c>
      <c r="HB318" s="301">
        <v>46009</v>
      </c>
      <c r="HC318" s="314" t="str">
        <f>IF(Table1[[#This Row],[Flushing Actual
(tanggal)]]&lt;&gt;"","Sudah","Belum")</f>
        <v>Sudah</v>
      </c>
      <c r="HD318" s="300">
        <v>46076</v>
      </c>
      <c r="HE318" s="300" t="e">
        <v>#N/A</v>
      </c>
      <c r="HF318" s="300">
        <v>46089</v>
      </c>
      <c r="HG318" s="322">
        <v>46036</v>
      </c>
      <c r="HH3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18" s="300" t="s">
        <v>261</v>
      </c>
      <c r="HJ318" s="300" t="s">
        <v>261</v>
      </c>
      <c r="HK318" s="301"/>
      <c r="HL318" s="286"/>
      <c r="HM318" s="300">
        <v>46101</v>
      </c>
      <c r="HN318" s="300">
        <v>46101</v>
      </c>
      <c r="HO318" s="300" t="e">
        <v>#N/A</v>
      </c>
      <c r="HP318" s="300"/>
      <c r="HQ318" s="301">
        <v>46114</v>
      </c>
      <c r="HR31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18" s="300">
        <v>46108</v>
      </c>
      <c r="HT318" s="300"/>
      <c r="HU318" s="300">
        <v>46108</v>
      </c>
      <c r="HV318" s="300"/>
      <c r="HW318" s="301">
        <v>46115</v>
      </c>
      <c r="HX31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18" s="42"/>
      <c r="HZ318" s="322"/>
      <c r="IA318" s="322"/>
      <c r="IC318" s="585">
        <f>IFERROR(ROUND((Table1[[#This Row],[PLAN TC
finish]]-Table1[[#This Row],[PLAN MC-0
start]])/30,2),"")</f>
        <v>1.83</v>
      </c>
      <c r="ID318">
        <f>DATEDIF(Table1[[#This Row],[PLAN MC-0
start]],Table1[[#This Row],[PLAN TC
finish]],"m")</f>
        <v>1</v>
      </c>
    </row>
    <row r="319" spans="1:238" s="30" customFormat="1" ht="15" customHeight="1" x14ac:dyDescent="0.25">
      <c r="A319" s="72"/>
      <c r="B319" s="281">
        <f>SUBTOTAL(3,$D$5:D319)</f>
        <v>315</v>
      </c>
      <c r="C319" s="337">
        <v>315</v>
      </c>
      <c r="D319" s="333" t="s">
        <v>673</v>
      </c>
      <c r="E319" s="336" t="s">
        <v>2542</v>
      </c>
      <c r="F319" s="336" t="s">
        <v>2543</v>
      </c>
      <c r="G319" s="334">
        <v>46117</v>
      </c>
      <c r="H319" s="336" t="s">
        <v>681</v>
      </c>
      <c r="I319" s="336" t="s">
        <v>278</v>
      </c>
      <c r="J319" s="355" t="s">
        <v>389</v>
      </c>
      <c r="K319" s="336" t="s">
        <v>676</v>
      </c>
      <c r="L319" s="337" t="s">
        <v>250</v>
      </c>
      <c r="M319" s="362" t="s">
        <v>269</v>
      </c>
      <c r="N319" s="338">
        <v>82</v>
      </c>
      <c r="O319" s="339" t="s">
        <v>252</v>
      </c>
      <c r="P319"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19" s="355" t="s">
        <v>389</v>
      </c>
      <c r="R319" s="341">
        <v>1</v>
      </c>
      <c r="S319" s="34">
        <v>1</v>
      </c>
      <c r="T319" s="459">
        <f>Table1[[#This Row],[Progres Total Aktual
(%)]]</f>
        <v>0</v>
      </c>
      <c r="U319" s="460">
        <f>Table1[[#This Row],[Progres Aktual
(%)]]-Table1[[#This Row],[Target Progres
(%)]]</f>
        <v>-1</v>
      </c>
      <c r="V319" s="461">
        <f>Table1[[#This Row],["Volume
BA MC-0"]]</f>
        <v>75</v>
      </c>
      <c r="W319" s="462">
        <f>Table1[[#This Row],[Total Panjang Pipa Aktual
(Sum-&gt;)3]]</f>
        <v>0</v>
      </c>
      <c r="X319" s="42"/>
      <c r="Y319" s="345" t="s">
        <v>2544</v>
      </c>
      <c r="Z319" s="345">
        <v>183891050</v>
      </c>
      <c r="AA319" s="345">
        <f>ROUND((Table1[[#This Row],[Nilai RAB Jaringan
(Exclude Ppn)]]-Table1[[#This Row],[RAB Perizinan]])*1.11+Table1[[#This Row],[RAB Perizinan]],0)</f>
        <v>183891049</v>
      </c>
      <c r="AB319" s="463">
        <f>SUM(Table1[[#This Row],[RAB Kegiatan Umum]:[RAB Perizinan]])</f>
        <v>165748873</v>
      </c>
      <c r="AC319" s="409">
        <v>11376439</v>
      </c>
      <c r="AD319" s="409">
        <v>113764385</v>
      </c>
      <c r="AE319" s="409">
        <v>39788049</v>
      </c>
      <c r="AF319" s="409">
        <v>820000</v>
      </c>
      <c r="AG319" s="464">
        <v>10248242</v>
      </c>
      <c r="AH319" s="465">
        <f>SUM(Table1[[#This Row],[Bobot Keg Umum]:[Bobot Perizinan]])</f>
        <v>1</v>
      </c>
      <c r="AI319" s="465">
        <f>Table1[[#This Row],[RAB Kegiatan Umum]]/Table1[[#This Row],[Nilai RAB Jaringan
(Exclude Ppn)]]</f>
        <v>6.8636599417481403E-2</v>
      </c>
      <c r="AJ319" s="465">
        <f>Table1[[#This Row],[RAB Pemasangan]]/Table1[[#This Row],[Nilai RAB Jaringan
(Exclude Ppn)]]</f>
        <v>0.68636596400869643</v>
      </c>
      <c r="AK319" s="465">
        <f>Table1[[#This Row],[RAB Pengadaan]]/Table1[[#This Row],[Nilai RAB Jaringan
(Exclude Ppn)]]</f>
        <v>0.24005019328246052</v>
      </c>
      <c r="AL319" s="465">
        <f>Table1[[#This Row],[RAB Perizinan]]/Table1[[#This Row],[Nilai RAB Jaringan
(Exclude Ppn)]]</f>
        <v>4.9472432913616254E-3</v>
      </c>
      <c r="AM319" s="42"/>
      <c r="AN319" s="346">
        <v>75</v>
      </c>
      <c r="AO319" s="346">
        <f>SUM(Table1[[#This Row],[Pipa 63 mm]:[Pipa 1,800 mm]])</f>
        <v>0</v>
      </c>
      <c r="AP319" s="346"/>
      <c r="AQ319" s="346"/>
      <c r="AR319" s="346"/>
      <c r="AS319" s="346"/>
      <c r="AT319" s="346"/>
      <c r="AU319" s="346"/>
      <c r="AV319" s="346"/>
      <c r="AW319" s="346"/>
      <c r="AX319" s="346"/>
      <c r="AY319" s="346"/>
      <c r="AZ319" s="346"/>
      <c r="BA319" s="346"/>
      <c r="BB319" s="346"/>
      <c r="BC319" s="346"/>
      <c r="BD319" s="346"/>
      <c r="BE319" s="346"/>
      <c r="BF319" s="346"/>
      <c r="BG319" s="346"/>
      <c r="BH319" s="346"/>
      <c r="BI319" s="346"/>
      <c r="BJ319" s="233">
        <f>SUM(Table1[[#This Row],[Pipa 63 mm2]:[Pipa 1,800 mm21]])</f>
        <v>0</v>
      </c>
      <c r="BK319" s="348"/>
      <c r="BL319" s="348"/>
      <c r="BM319" s="348"/>
      <c r="BN319" s="348"/>
      <c r="BO319" s="348"/>
      <c r="BP319" s="348"/>
      <c r="BQ319" s="348"/>
      <c r="BR319" s="348"/>
      <c r="BS319" s="348"/>
      <c r="BT319" s="348"/>
      <c r="BU319" s="348"/>
      <c r="BV319" s="348"/>
      <c r="BW319" s="348"/>
      <c r="BX319" s="348"/>
      <c r="BY319" s="348"/>
      <c r="BZ319" s="348"/>
      <c r="CA319" s="348"/>
      <c r="CB319" s="348"/>
      <c r="CC319" s="348"/>
      <c r="CD319" s="348"/>
      <c r="CE319" s="348">
        <v>0</v>
      </c>
      <c r="CF319" s="348"/>
      <c r="CG319" s="348"/>
      <c r="CH319" s="348"/>
      <c r="CI319" s="348">
        <f t="shared" ref="CI319:CI336" si="16">SUM(CE319:CH319)</f>
        <v>0</v>
      </c>
      <c r="CJ319" s="410">
        <f>IF((Table1[[#This Row],["Volume
BA MC-0"]]-Table1[[#This Row],[Total Panjang Pipa Aktual
(Sum-&gt;)3]]-Table1[[#This Row],[Total Volume
tidak dapat dipasang]])&gt;=0,Table1[[#This Row],["Volume
BA MC-0"]]-Table1[[#This Row],[Total Panjang Pipa Aktual
(Sum-&gt;)3]]-Table1[[#This Row],[Total Volume
tidak dapat dipasang]],0)</f>
        <v>75</v>
      </c>
      <c r="CK319" s="42"/>
      <c r="CL319" s="411">
        <v>1.0800000000000001E-2</v>
      </c>
      <c r="CM319" s="459">
        <v>0.15790000000000001</v>
      </c>
      <c r="CN319" s="411">
        <v>0</v>
      </c>
      <c r="CO319" s="411">
        <v>0</v>
      </c>
      <c r="CP319"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19" s="350">
        <f>IFERROR(Table1[[#This Row],[Progres Keg. Umum
(%)]]*Table1[[#This Row],[Nilai RAB Jaringan
(file pa aji)]],0)</f>
        <v>1986023.34</v>
      </c>
      <c r="CR319" s="350">
        <f>IFERROR(Table1[[#This Row],[Progres MOS
(%)]]*Table1[[#This Row],[Nilai RAB Jaringan
(file pa aji)]],0)</f>
        <v>29036396.795000002</v>
      </c>
      <c r="CS319" s="350">
        <f>IFERROR(Table1[[#This Row],[Progres Pemasangan
(%)]]*Table1[[#This Row],[Nilai RAB Jaringan
(file pa aji)]],0)</f>
        <v>0</v>
      </c>
      <c r="CT319" s="350">
        <f>IFERROR(Table1[[#This Row],[Progres Perizinan
(%)]]*Table1[[#This Row],[Nilai RAB Jaringan
(file pa aji)]],0)</f>
        <v>0</v>
      </c>
      <c r="CU319" s="789">
        <v>0</v>
      </c>
      <c r="CV319" s="299">
        <v>0</v>
      </c>
      <c r="CW319" s="551">
        <v>0</v>
      </c>
      <c r="CX319" s="789">
        <f>_xlfn.XLOOKUP(Table1[[#This Row],[Kode Program]],'[1]Breakdown VOWD Greenfield'!$E:$E,'[1]Breakdown VOWD Greenfield'!$AT:$AT)</f>
        <v>0</v>
      </c>
      <c r="CY319" s="42"/>
      <c r="CZ319" s="356">
        <v>45803</v>
      </c>
      <c r="DA319" s="356">
        <v>45830</v>
      </c>
      <c r="DB319" s="358">
        <v>45797</v>
      </c>
      <c r="DC319" s="337" t="s">
        <v>2545</v>
      </c>
      <c r="DD319" s="345">
        <v>183891050</v>
      </c>
      <c r="DE3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19" s="358">
        <v>45807</v>
      </c>
      <c r="DG319" s="337" t="s">
        <v>2546</v>
      </c>
      <c r="DH319" s="345">
        <v>183891050</v>
      </c>
      <c r="DI319" s="337"/>
      <c r="DJ319" s="356">
        <v>45831</v>
      </c>
      <c r="DK319" s="356">
        <v>45900</v>
      </c>
      <c r="DL319" s="358">
        <v>45846</v>
      </c>
      <c r="DM319" s="337" t="s">
        <v>2547</v>
      </c>
      <c r="DN319" s="352"/>
      <c r="DO319" s="358">
        <v>45944</v>
      </c>
      <c r="DP319" s="337" t="s">
        <v>2548</v>
      </c>
      <c r="DQ319" s="336" t="s">
        <v>365</v>
      </c>
      <c r="DR319" s="352"/>
      <c r="DS319" s="356">
        <v>45831</v>
      </c>
      <c r="DT319" s="356" t="e">
        <v>#N/A</v>
      </c>
      <c r="DU319" s="356">
        <v>45872</v>
      </c>
      <c r="DV319" s="356" t="e">
        <v>#N/A</v>
      </c>
      <c r="DW319" s="358">
        <v>45846</v>
      </c>
      <c r="DX319" s="337" t="s">
        <v>2549</v>
      </c>
      <c r="DY319" s="412"/>
      <c r="DZ319" s="412"/>
      <c r="EA319" s="352"/>
      <c r="EB319" s="358"/>
      <c r="EC319" s="412"/>
      <c r="ED319" s="412"/>
      <c r="EE319" s="356"/>
      <c r="EF319" s="341"/>
      <c r="EG319" s="341"/>
      <c r="EH319" s="337"/>
      <c r="EI319"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19" s="356">
        <v>45873</v>
      </c>
      <c r="EK319" s="356" t="e">
        <v>#N/A</v>
      </c>
      <c r="EL319" s="356">
        <v>45928</v>
      </c>
      <c r="EM319" s="356" t="e">
        <v>#N/A</v>
      </c>
      <c r="EN319" s="358"/>
      <c r="EO319" s="412"/>
      <c r="EP319" s="337"/>
      <c r="EQ319" s="341"/>
      <c r="ER319" s="341"/>
      <c r="ES319" s="337"/>
      <c r="ET3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19" s="42"/>
      <c r="EV319" s="356">
        <v>45831</v>
      </c>
      <c r="EW319" s="356" t="e">
        <v>#N/A</v>
      </c>
      <c r="EX319" s="356">
        <v>45928</v>
      </c>
      <c r="EY319" s="356" t="e">
        <v>#N/A</v>
      </c>
      <c r="EZ319" s="354" t="s">
        <v>298</v>
      </c>
      <c r="FA319" s="355" t="s">
        <v>389</v>
      </c>
      <c r="FB319" s="356" t="s">
        <v>260</v>
      </c>
      <c r="FC319" s="300"/>
      <c r="FD319" s="356" t="s">
        <v>260</v>
      </c>
      <c r="FE319" s="356">
        <v>45910</v>
      </c>
      <c r="FF319" s="356">
        <v>45944</v>
      </c>
      <c r="FG319" s="356" t="s">
        <v>260</v>
      </c>
      <c r="FH319" s="356" t="s">
        <v>260</v>
      </c>
      <c r="FI319" s="356">
        <v>46010</v>
      </c>
      <c r="FJ319" s="356" t="s">
        <v>260</v>
      </c>
      <c r="FK319" s="356">
        <v>46094</v>
      </c>
      <c r="FL319" s="413" t="s">
        <v>298</v>
      </c>
      <c r="FM319" s="413"/>
      <c r="FN319" s="335" t="str">
        <f>IF(Table1[[#This Row],[Tanggal Pengajuan Dokumen]]="","",Table1[[#This Row],[PLAN PERMIT
start]]-Table1[[#This Row],[Tanggal Pengajuan Dokumen]])</f>
        <v/>
      </c>
      <c r="FO319" s="414">
        <v>46086</v>
      </c>
      <c r="FP319" s="337"/>
      <c r="FQ319" s="336"/>
      <c r="FR319" s="336"/>
      <c r="FS319" s="336" t="str">
        <f t="shared" si="14"/>
        <v>On Going</v>
      </c>
      <c r="FT319"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19" s="357">
        <f ca="1">IF(Table1[[#This Row],[Status Izin]]="Selesai",Table1[[#This Row],[PLAN PERMIT
finish]]-Table1[[#This Row],[Tanggal Terbit/ Target Izin Terbit]],ROUNDUP(Table1[[#This Row],[PLAN PERMIT
finish]]-NOW(),0))</f>
        <v>-276</v>
      </c>
      <c r="FV319"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19" s="357"/>
      <c r="FX319" s="42"/>
      <c r="FY319" s="310"/>
      <c r="FZ319" s="311"/>
      <c r="GA3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19" s="356">
        <v>45902</v>
      </c>
      <c r="GC319" s="354">
        <v>45951</v>
      </c>
      <c r="GD319"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19" s="356">
        <v>45909</v>
      </c>
      <c r="GF319" s="354">
        <v>45951</v>
      </c>
      <c r="GG319"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19" s="356">
        <v>45915</v>
      </c>
      <c r="GI319" s="356">
        <v>45921</v>
      </c>
      <c r="GJ319" s="354">
        <v>45959</v>
      </c>
      <c r="GK319"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19" s="356">
        <v>45929</v>
      </c>
      <c r="GM319" s="356" t="e">
        <v>#N/A</v>
      </c>
      <c r="GN319" s="356">
        <v>45942</v>
      </c>
      <c r="GO319" s="356" t="e">
        <v>#N/A</v>
      </c>
      <c r="GP319" s="356"/>
      <c r="GQ319"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19" s="356" t="s">
        <v>261</v>
      </c>
      <c r="GS319" s="356" t="s">
        <v>261</v>
      </c>
      <c r="GT319" s="360"/>
      <c r="GU319" s="357" t="str">
        <f>IF(Table1[[#This Row],[Hydro Tes Actual
(tanggal)]]&lt;&gt;"","Sudah","Belum")</f>
        <v>Belum</v>
      </c>
      <c r="GV319" s="356" t="s">
        <v>261</v>
      </c>
      <c r="GW319" s="356" t="s">
        <v>261</v>
      </c>
      <c r="GX319" s="358"/>
      <c r="GY319" s="357" t="str">
        <f>IF(Table1[[#This Row],[Interkoneksi Actual
(tanggal)]]&lt;&gt;"","Sudah","Belum")</f>
        <v>Belum</v>
      </c>
      <c r="GZ319" s="356" t="s">
        <v>261</v>
      </c>
      <c r="HA319" s="356" t="s">
        <v>261</v>
      </c>
      <c r="HB319" s="358"/>
      <c r="HC319" s="357" t="str">
        <f>IF(Table1[[#This Row],[Flushing Actual
(tanggal)]]&lt;&gt;"","Sudah","Belum")</f>
        <v>Belum</v>
      </c>
      <c r="HD319" s="356">
        <v>45929</v>
      </c>
      <c r="HE319" s="356" t="e">
        <v>#N/A</v>
      </c>
      <c r="HF319" s="356">
        <v>45942</v>
      </c>
      <c r="HG319" s="354"/>
      <c r="HH319"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19" s="356" t="s">
        <v>261</v>
      </c>
      <c r="HJ319" s="356" t="s">
        <v>261</v>
      </c>
      <c r="HK319" s="358"/>
      <c r="HL319" s="337"/>
      <c r="HM319" s="356">
        <v>45947</v>
      </c>
      <c r="HN319" s="356">
        <v>45947</v>
      </c>
      <c r="HO319" s="356" t="e">
        <v>#N/A</v>
      </c>
      <c r="HP319" s="356"/>
      <c r="HQ319" s="358"/>
      <c r="HR319"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19" s="356">
        <v>45954</v>
      </c>
      <c r="HT319" s="356"/>
      <c r="HU319" s="356">
        <v>45954</v>
      </c>
      <c r="HV319" s="356"/>
      <c r="HW319" s="358"/>
      <c r="HX319"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19" s="42"/>
      <c r="HZ319" s="354" t="s">
        <v>2199</v>
      </c>
      <c r="IA319" s="354"/>
      <c r="IC319" s="585">
        <f>IFERROR(ROUND((Table1[[#This Row],[PLAN TC
finish]]-Table1[[#This Row],[PLAN MC-0
start]])/30,2),"")</f>
        <v>0.9</v>
      </c>
      <c r="ID319">
        <f>DATEDIF(Table1[[#This Row],[PLAN MC-0
start]],Table1[[#This Row],[PLAN TC
finish]],"m")</f>
        <v>0</v>
      </c>
    </row>
    <row r="320" spans="1:238" s="30" customFormat="1" ht="15" customHeight="1" x14ac:dyDescent="0.25">
      <c r="A320" s="72"/>
      <c r="B320" s="281">
        <f>SUBTOTAL(3,$D$5:D320)</f>
        <v>316</v>
      </c>
      <c r="C320" s="286">
        <v>316</v>
      </c>
      <c r="D320" s="333" t="s">
        <v>673</v>
      </c>
      <c r="E320" s="336" t="s">
        <v>2550</v>
      </c>
      <c r="F320" s="336" t="s">
        <v>2551</v>
      </c>
      <c r="G320" s="334">
        <v>46117</v>
      </c>
      <c r="H320" s="336" t="s">
        <v>681</v>
      </c>
      <c r="I320" s="308" t="s">
        <v>278</v>
      </c>
      <c r="J320" s="355" t="s">
        <v>389</v>
      </c>
      <c r="K320" s="308" t="s">
        <v>676</v>
      </c>
      <c r="L320" s="286" t="s">
        <v>250</v>
      </c>
      <c r="M320" s="362" t="s">
        <v>269</v>
      </c>
      <c r="N320" s="338">
        <v>81</v>
      </c>
      <c r="O320" s="339" t="s">
        <v>252</v>
      </c>
      <c r="P32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0" s="355" t="s">
        <v>389</v>
      </c>
      <c r="R320" s="35">
        <v>0.99999999999999989</v>
      </c>
      <c r="S320" s="34">
        <v>1</v>
      </c>
      <c r="T320" s="459">
        <f>Table1[[#This Row],[Progres Total Aktual
(%)]]</f>
        <v>0</v>
      </c>
      <c r="U320" s="460">
        <f>Table1[[#This Row],[Progres Aktual
(%)]]-Table1[[#This Row],[Target Progres
(%)]]</f>
        <v>-1</v>
      </c>
      <c r="V320" s="461">
        <f>Table1[[#This Row],["Volume
BA MC-0"]]</f>
        <v>81</v>
      </c>
      <c r="W320" s="462">
        <f>Table1[[#This Row],[Total Panjang Pipa Aktual
(Sum-&gt;)3]]</f>
        <v>0</v>
      </c>
      <c r="X320" s="42"/>
      <c r="Y320" s="345" t="s">
        <v>2552</v>
      </c>
      <c r="Z320" s="345">
        <v>270314452</v>
      </c>
      <c r="AA320" s="345">
        <f>ROUND((Table1[[#This Row],[Nilai RAB Jaringan
(Exclude Ppn)]]-Table1[[#This Row],[RAB Perizinan]])*1.11+Table1[[#This Row],[RAB Perizinan]],0)</f>
        <v>268232190</v>
      </c>
      <c r="AB320" s="463">
        <f>SUM(Table1[[#This Row],[RAB Kegiatan Umum]:[RAB Perizinan]])</f>
        <v>241730892</v>
      </c>
      <c r="AC320" s="409">
        <v>15709353</v>
      </c>
      <c r="AD320" s="409">
        <v>157093525</v>
      </c>
      <c r="AE320" s="409">
        <v>68118014</v>
      </c>
      <c r="AF320" s="409">
        <v>810000</v>
      </c>
      <c r="AG320" s="464">
        <v>18963348</v>
      </c>
      <c r="AH320" s="465">
        <f>SUM(Table1[[#This Row],[Bobot Keg Umum]:[Bobot Perizinan]])</f>
        <v>1</v>
      </c>
      <c r="AI320" s="465">
        <f>Table1[[#This Row],[RAB Kegiatan Umum]]/Table1[[#This Row],[Nilai RAB Jaringan
(Exclude Ppn)]]</f>
        <v>6.4986948378943643E-2</v>
      </c>
      <c r="AJ320" s="465">
        <f>Table1[[#This Row],[RAB Pemasangan]]/Table1[[#This Row],[Nilai RAB Jaringan
(Exclude Ppn)]]</f>
        <v>0.64986946310527827</v>
      </c>
      <c r="AK320" s="465">
        <f>Table1[[#This Row],[RAB Pengadaan]]/Table1[[#This Row],[Nilai RAB Jaringan
(Exclude Ppn)]]</f>
        <v>0.28179275489539002</v>
      </c>
      <c r="AL320" s="465">
        <f>Table1[[#This Row],[RAB Perizinan]]/Table1[[#This Row],[Nilai RAB Jaringan
(Exclude Ppn)]]</f>
        <v>3.35083362038808E-3</v>
      </c>
      <c r="AM320" s="42"/>
      <c r="AN320" s="346">
        <v>81</v>
      </c>
      <c r="AO320" s="346">
        <f>SUM(Table1[[#This Row],[Pipa 63 mm]:[Pipa 1,800 mm]])</f>
        <v>0</v>
      </c>
      <c r="AP320" s="346"/>
      <c r="AQ320" s="346"/>
      <c r="AR320" s="346"/>
      <c r="AS320" s="346"/>
      <c r="AT320" s="346"/>
      <c r="AU320" s="346"/>
      <c r="AV320" s="346"/>
      <c r="AW320" s="346"/>
      <c r="AX320" s="346"/>
      <c r="AY320" s="346"/>
      <c r="AZ320" s="346"/>
      <c r="BA320" s="346"/>
      <c r="BB320" s="346"/>
      <c r="BC320" s="346"/>
      <c r="BD320" s="346"/>
      <c r="BE320" s="346"/>
      <c r="BF320" s="346"/>
      <c r="BG320" s="346"/>
      <c r="BH320" s="346"/>
      <c r="BI320" s="346"/>
      <c r="BJ320" s="233">
        <f>SUM(Table1[[#This Row],[Pipa 63 mm2]:[Pipa 1,800 mm21]])</f>
        <v>0</v>
      </c>
      <c r="BK320" s="348"/>
      <c r="BL320" s="348"/>
      <c r="BM320" s="348"/>
      <c r="BN320" s="348"/>
      <c r="BO320" s="348"/>
      <c r="BP320" s="348"/>
      <c r="BQ320" s="348"/>
      <c r="BR320" s="348"/>
      <c r="BS320" s="348"/>
      <c r="BT320" s="348"/>
      <c r="BU320" s="348"/>
      <c r="BV320" s="348"/>
      <c r="BW320" s="348"/>
      <c r="BX320" s="348"/>
      <c r="BY320" s="348"/>
      <c r="BZ320" s="348"/>
      <c r="CA320" s="348"/>
      <c r="CB320" s="348"/>
      <c r="CC320" s="348"/>
      <c r="CD320" s="348"/>
      <c r="CE320" s="348">
        <v>0</v>
      </c>
      <c r="CF320" s="348"/>
      <c r="CG320" s="348"/>
      <c r="CH320" s="348"/>
      <c r="CI320" s="348">
        <f t="shared" si="16"/>
        <v>0</v>
      </c>
      <c r="CJ320" s="410">
        <f>IF((Table1[[#This Row],["Volume
BA MC-0"]]-Table1[[#This Row],[Total Panjang Pipa Aktual
(Sum-&gt;)3]]-Table1[[#This Row],[Total Volume
tidak dapat dipasang]])&gt;=0,Table1[[#This Row],["Volume
BA MC-0"]]-Table1[[#This Row],[Total Panjang Pipa Aktual
(Sum-&gt;)3]]-Table1[[#This Row],[Total Volume
tidak dapat dipasang]],0)</f>
        <v>81</v>
      </c>
      <c r="CK320" s="42"/>
      <c r="CL320" s="297">
        <v>1.1299999999999999E-2</v>
      </c>
      <c r="CM320" s="34">
        <v>0.1731</v>
      </c>
      <c r="CN320" s="297">
        <v>0</v>
      </c>
      <c r="CO320" s="297">
        <v>0</v>
      </c>
      <c r="CP32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0" s="61">
        <f>IFERROR(Table1[[#This Row],[Progres Keg. Umum
(%)]]*Table1[[#This Row],[Nilai RAB Jaringan
(file pa aji)]],0)</f>
        <v>3054553.3075999999</v>
      </c>
      <c r="CR320" s="61">
        <f>IFERROR(Table1[[#This Row],[Progres MOS
(%)]]*Table1[[#This Row],[Nilai RAB Jaringan
(file pa aji)]],0)</f>
        <v>46791431.641199999</v>
      </c>
      <c r="CS320" s="61">
        <f>IFERROR(Table1[[#This Row],[Progres Pemasangan
(%)]]*Table1[[#This Row],[Nilai RAB Jaringan
(file pa aji)]],0)</f>
        <v>0</v>
      </c>
      <c r="CT320" s="61">
        <f>IFERROR(Table1[[#This Row],[Progres Perizinan
(%)]]*Table1[[#This Row],[Nilai RAB Jaringan
(file pa aji)]],0)</f>
        <v>0</v>
      </c>
      <c r="CU320" s="789">
        <v>0</v>
      </c>
      <c r="CV320" s="299">
        <v>0</v>
      </c>
      <c r="CW320" s="552">
        <v>0</v>
      </c>
      <c r="CX320" s="789">
        <f>_xlfn.XLOOKUP(Table1[[#This Row],[Kode Program]],'[1]Breakdown VOWD Greenfield'!$E:$E,'[1]Breakdown VOWD Greenfield'!$AT:$AT)</f>
        <v>0</v>
      </c>
      <c r="CY320" s="42"/>
      <c r="CZ320" s="356">
        <v>45803</v>
      </c>
      <c r="DA320" s="356">
        <v>45830</v>
      </c>
      <c r="DB320" s="358">
        <v>45797</v>
      </c>
      <c r="DC320" s="337" t="s">
        <v>2553</v>
      </c>
      <c r="DD320" s="345">
        <v>270314452</v>
      </c>
      <c r="DE3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0" s="358">
        <v>45803</v>
      </c>
      <c r="DG320" s="337" t="s">
        <v>2554</v>
      </c>
      <c r="DH320" s="345">
        <v>270314452</v>
      </c>
      <c r="DI320"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0" s="356">
        <v>45831</v>
      </c>
      <c r="DK320" s="356">
        <v>45900</v>
      </c>
      <c r="DL320" s="358">
        <v>45841</v>
      </c>
      <c r="DM320" s="337" t="s">
        <v>2555</v>
      </c>
      <c r="DN320"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0" s="358">
        <v>45960</v>
      </c>
      <c r="DP320" s="72" t="s">
        <v>2556</v>
      </c>
      <c r="DQ320" s="72" t="s">
        <v>365</v>
      </c>
      <c r="DR320"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0" s="356">
        <v>45831</v>
      </c>
      <c r="DT320" s="356" t="e">
        <v>#N/A</v>
      </c>
      <c r="DU320" s="356">
        <v>45872</v>
      </c>
      <c r="DV320" s="356" t="e">
        <v>#N/A</v>
      </c>
      <c r="DW320" s="358">
        <v>45841</v>
      </c>
      <c r="DX320" s="337" t="s">
        <v>2557</v>
      </c>
      <c r="DY320" s="412"/>
      <c r="DZ320" s="412"/>
      <c r="EA320"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0" s="358"/>
      <c r="EC320" s="412"/>
      <c r="ED320" s="412"/>
      <c r="EE320" s="356"/>
      <c r="EF320" s="341"/>
      <c r="EG320" s="341"/>
      <c r="EH320" s="337" t="str">
        <f>IF(Table1[[#This Row],[PO Material Aktual 
(%)]]&gt;=100%,"Selesai PO = 100%",IF(Table1[[#This Row],[PO Material Aktual 
(%)]]&gt;=50%,"Proses PO &gt; 100%",IF(Table1[[#This Row],[PO Material Aktual 
(%)]]&gt;0%,"Proses PO &gt; 50%",IF(Table1[[#This Row],[PO Material Aktual 
(%)]]=0,"Belum PO = 0%"))))</f>
        <v>Belum PO = 0%</v>
      </c>
      <c r="EI320"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0" s="356">
        <v>45873</v>
      </c>
      <c r="EK320" s="356" t="e">
        <v>#N/A</v>
      </c>
      <c r="EL320" s="356">
        <v>45928</v>
      </c>
      <c r="EM320" s="356" t="e">
        <v>#N/A</v>
      </c>
      <c r="EN320" s="358"/>
      <c r="EO320" s="412"/>
      <c r="EP320" s="337"/>
      <c r="EQ320" s="341"/>
      <c r="ER320" s="341"/>
      <c r="ES320" s="337"/>
      <c r="ET3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0" s="42"/>
      <c r="EV320" s="300">
        <v>45831</v>
      </c>
      <c r="EW320" s="300" t="e">
        <v>#N/A</v>
      </c>
      <c r="EX320" s="300">
        <v>45928</v>
      </c>
      <c r="EY320" s="300" t="e">
        <v>#N/A</v>
      </c>
      <c r="EZ320" s="322" t="s">
        <v>298</v>
      </c>
      <c r="FA320" s="355" t="s">
        <v>389</v>
      </c>
      <c r="FB320" s="300" t="s">
        <v>260</v>
      </c>
      <c r="FC320" s="300"/>
      <c r="FD320" s="300" t="s">
        <v>260</v>
      </c>
      <c r="FE320" s="300">
        <v>45863</v>
      </c>
      <c r="FF320" s="300">
        <v>45958</v>
      </c>
      <c r="FG320" s="300" t="s">
        <v>260</v>
      </c>
      <c r="FH320" s="300" t="s">
        <v>260</v>
      </c>
      <c r="FI320" s="300">
        <v>46003</v>
      </c>
      <c r="FJ320" s="300" t="s">
        <v>260</v>
      </c>
      <c r="FK320" s="300">
        <v>46111</v>
      </c>
      <c r="FL320" s="306" t="s">
        <v>298</v>
      </c>
      <c r="FM320" s="306"/>
      <c r="FN320" s="284" t="str">
        <f>IF(Table1[[#This Row],[Tanggal Pengajuan Dokumen]]="","",Table1[[#This Row],[PLAN PERMIT
start]]-Table1[[#This Row],[Tanggal Pengajuan Dokumen]])</f>
        <v/>
      </c>
      <c r="FO320" s="407">
        <v>46087</v>
      </c>
      <c r="FP320" s="286"/>
      <c r="FQ320" s="308"/>
      <c r="FR320" s="308"/>
      <c r="FS320" s="308" t="str">
        <f t="shared" si="14"/>
        <v>On Going</v>
      </c>
      <c r="FT3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0" s="314">
        <f ca="1">IF(Table1[[#This Row],[Status Izin]]="Selesai",Table1[[#This Row],[PLAN PERMIT
finish]]-Table1[[#This Row],[Tanggal Terbit/ Target Izin Terbit]],ROUNDUP(Table1[[#This Row],[PLAN PERMIT
finish]]-NOW(),0))</f>
        <v>-276</v>
      </c>
      <c r="FV3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0" s="314"/>
      <c r="FX320" s="42"/>
      <c r="FY320" s="310"/>
      <c r="FZ320" s="311"/>
      <c r="GA3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0" s="300">
        <v>45902</v>
      </c>
      <c r="GC320" s="322">
        <v>45951</v>
      </c>
      <c r="GD3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0" s="300">
        <v>45909</v>
      </c>
      <c r="GF320" s="322">
        <v>45951</v>
      </c>
      <c r="GG3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0" s="300">
        <v>45915</v>
      </c>
      <c r="GI320" s="300">
        <v>45921</v>
      </c>
      <c r="GJ320" s="322">
        <v>45964</v>
      </c>
      <c r="GK3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0" s="300">
        <v>45929</v>
      </c>
      <c r="GM320" s="300" t="e">
        <v>#N/A</v>
      </c>
      <c r="GN320" s="300">
        <v>45942</v>
      </c>
      <c r="GO320" s="300" t="e">
        <v>#N/A</v>
      </c>
      <c r="GP320" s="300"/>
      <c r="GQ3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0" s="300" t="s">
        <v>261</v>
      </c>
      <c r="GS320" s="300" t="s">
        <v>261</v>
      </c>
      <c r="GT320" s="324"/>
      <c r="GU320" s="314" t="str">
        <f>IF(Table1[[#This Row],[Hydro Tes Actual
(tanggal)]]&lt;&gt;"","Sudah","Belum")</f>
        <v>Belum</v>
      </c>
      <c r="GV320" s="300" t="s">
        <v>261</v>
      </c>
      <c r="GW320" s="300" t="s">
        <v>261</v>
      </c>
      <c r="GX320" s="301"/>
      <c r="GY320" s="314" t="str">
        <f>IF(Table1[[#This Row],[Interkoneksi Actual
(tanggal)]]&lt;&gt;"","Sudah","Belum")</f>
        <v>Belum</v>
      </c>
      <c r="GZ320" s="300" t="s">
        <v>261</v>
      </c>
      <c r="HA320" s="300" t="s">
        <v>261</v>
      </c>
      <c r="HB320" s="301"/>
      <c r="HC320" s="314" t="str">
        <f>IF(Table1[[#This Row],[Flushing Actual
(tanggal)]]&lt;&gt;"","Sudah","Belum")</f>
        <v>Belum</v>
      </c>
      <c r="HD320" s="300">
        <v>45929</v>
      </c>
      <c r="HE320" s="300" t="e">
        <v>#N/A</v>
      </c>
      <c r="HF320" s="300">
        <v>45942</v>
      </c>
      <c r="HG320" s="322"/>
      <c r="HH3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0" s="300" t="s">
        <v>261</v>
      </c>
      <c r="HJ320" s="300" t="s">
        <v>261</v>
      </c>
      <c r="HK320" s="301"/>
      <c r="HL320" s="286"/>
      <c r="HM320" s="300">
        <v>45947</v>
      </c>
      <c r="HN320" s="300">
        <v>45947</v>
      </c>
      <c r="HO320" s="300" t="e">
        <v>#N/A</v>
      </c>
      <c r="HP320" s="300"/>
      <c r="HQ320" s="301"/>
      <c r="HR32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0" s="300">
        <v>45954</v>
      </c>
      <c r="HT320" s="300"/>
      <c r="HU320" s="300">
        <v>45954</v>
      </c>
      <c r="HV320" s="300"/>
      <c r="HW320" s="301"/>
      <c r="HX32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0" s="42"/>
      <c r="HZ320" s="354" t="s">
        <v>2134</v>
      </c>
      <c r="IA320" s="322" t="s">
        <v>2163</v>
      </c>
      <c r="IC320" s="585">
        <f>IFERROR(ROUND((Table1[[#This Row],[PLAN TC
finish]]-Table1[[#This Row],[PLAN MC-0
start]])/30,2),"")</f>
        <v>0.9</v>
      </c>
      <c r="ID320">
        <f>DATEDIF(Table1[[#This Row],[PLAN MC-0
start]],Table1[[#This Row],[PLAN TC
finish]],"m")</f>
        <v>0</v>
      </c>
    </row>
    <row r="321" spans="1:238" s="4" customFormat="1" ht="15" customHeight="1" x14ac:dyDescent="0.25">
      <c r="B321" s="281">
        <f>SUBTOTAL(3,$D$5:D321)</f>
        <v>317</v>
      </c>
      <c r="C321" s="286">
        <v>317</v>
      </c>
      <c r="D321" s="285" t="s">
        <v>673</v>
      </c>
      <c r="E321" s="308" t="s">
        <v>2558</v>
      </c>
      <c r="F321" s="308" t="s">
        <v>2559</v>
      </c>
      <c r="G321" s="319">
        <v>46117</v>
      </c>
      <c r="H321" s="308" t="s">
        <v>681</v>
      </c>
      <c r="I321" s="308" t="s">
        <v>278</v>
      </c>
      <c r="J321" s="450" t="s">
        <v>1818</v>
      </c>
      <c r="K321" s="308" t="s">
        <v>676</v>
      </c>
      <c r="L321" s="286" t="s">
        <v>250</v>
      </c>
      <c r="M321" s="325" t="s">
        <v>269</v>
      </c>
      <c r="N321" s="94">
        <v>318</v>
      </c>
      <c r="O321" s="31" t="s">
        <v>252</v>
      </c>
      <c r="P32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1" s="35">
        <v>1</v>
      </c>
      <c r="S321" s="34">
        <v>1</v>
      </c>
      <c r="T321" s="34">
        <f>Table1[[#This Row],[Progres Total Aktual
(%)]]</f>
        <v>0.78466543252645193</v>
      </c>
      <c r="U321" s="85">
        <f>Table1[[#This Row],[Progres Aktual
(%)]]-Table1[[#This Row],[Target Progres
(%)]]</f>
        <v>-0.21533456747354807</v>
      </c>
      <c r="V321" s="75">
        <f>Table1[[#This Row],["Volume
BA MC-0"]]</f>
        <v>598</v>
      </c>
      <c r="W321" s="41">
        <f>Table1[[#This Row],[Total Panjang Pipa Aktual
(Sum-&gt;)3]]</f>
        <v>431</v>
      </c>
      <c r="X321" s="42"/>
      <c r="Y321" s="62" t="s">
        <v>2560</v>
      </c>
      <c r="Z321" s="62">
        <v>741158073</v>
      </c>
      <c r="AA321" s="62">
        <f>ROUND((Table1[[#This Row],[Nilai RAB Jaringan
(Exclude Ppn)]]-Table1[[#This Row],[RAB Perizinan]])*1.11+Table1[[#This Row],[RAB Perizinan]],0)</f>
        <v>574183224</v>
      </c>
      <c r="AB321" s="456">
        <f>SUM(Table1[[#This Row],[RAB Kegiatan Umum]:[RAB Perizinan]])</f>
        <v>517597319</v>
      </c>
      <c r="AC321" s="406">
        <v>36796950</v>
      </c>
      <c r="AD321" s="406">
        <v>367969498</v>
      </c>
      <c r="AE321" s="406">
        <v>109650871</v>
      </c>
      <c r="AF321" s="406">
        <v>3180000</v>
      </c>
      <c r="AG321" s="453">
        <v>69532275</v>
      </c>
      <c r="AH321" s="33">
        <f>SUM(Table1[[#This Row],[Bobot Keg Umum]:[Bobot Perizinan]])</f>
        <v>1</v>
      </c>
      <c r="AI321" s="33">
        <f>Table1[[#This Row],[RAB Kegiatan Umum]]/Table1[[#This Row],[Nilai RAB Jaringan
(Exclude Ppn)]]</f>
        <v>7.1091848139963026E-2</v>
      </c>
      <c r="AJ321" s="33">
        <f>Table1[[#This Row],[RAB Pemasangan]]/Table1[[#This Row],[Nilai RAB Jaringan
(Exclude Ppn)]]</f>
        <v>0.71091847753562265</v>
      </c>
      <c r="AK321" s="33">
        <f>Table1[[#This Row],[RAB Pengadaan]]/Table1[[#This Row],[Nilai RAB Jaringan
(Exclude Ppn)]]</f>
        <v>0.21184590216163773</v>
      </c>
      <c r="AL321" s="33">
        <f>Table1[[#This Row],[RAB Perizinan]]/Table1[[#This Row],[Nilai RAB Jaringan
(Exclude Ppn)]]</f>
        <v>6.1437721627766008E-3</v>
      </c>
      <c r="AM321" s="42"/>
      <c r="AN321" s="256">
        <v>598</v>
      </c>
      <c r="AO321" s="256">
        <f>SUM(Table1[[#This Row],[Pipa 63 mm]:[Pipa 1,800 mm]])</f>
        <v>598</v>
      </c>
      <c r="AP321" s="256">
        <v>318</v>
      </c>
      <c r="AQ321" s="256">
        <v>280</v>
      </c>
      <c r="AR321" s="256"/>
      <c r="AS321" s="256"/>
      <c r="AT321" s="256"/>
      <c r="AU321" s="256"/>
      <c r="AV321" s="256"/>
      <c r="AW321" s="256"/>
      <c r="AX321" s="256"/>
      <c r="AY321" s="256"/>
      <c r="AZ321" s="256"/>
      <c r="BA321" s="256"/>
      <c r="BB321" s="256"/>
      <c r="BC321" s="256"/>
      <c r="BD321" s="256"/>
      <c r="BE321" s="256"/>
      <c r="BF321" s="256"/>
      <c r="BG321" s="256"/>
      <c r="BH321" s="256"/>
      <c r="BI321" s="256"/>
      <c r="BJ321" s="233">
        <f>SUM(Table1[[#This Row],[Pipa 63 mm2]:[Pipa 1,800 mm21]])</f>
        <v>431</v>
      </c>
      <c r="BK321" s="32">
        <v>297</v>
      </c>
      <c r="BL321" s="32">
        <v>134</v>
      </c>
      <c r="BM321" s="32"/>
      <c r="BN321" s="32"/>
      <c r="BO321" s="32"/>
      <c r="BP321" s="32"/>
      <c r="BQ321" s="32"/>
      <c r="BR321" s="32"/>
      <c r="BS321" s="32"/>
      <c r="BT321" s="32"/>
      <c r="BU321" s="32"/>
      <c r="BV321" s="32"/>
      <c r="BW321" s="32"/>
      <c r="BX321" s="32"/>
      <c r="BY321" s="32"/>
      <c r="BZ321" s="32"/>
      <c r="CA321" s="32"/>
      <c r="CB321" s="32"/>
      <c r="CC321" s="32"/>
      <c r="CD321" s="32"/>
      <c r="CE321" s="32">
        <v>0</v>
      </c>
      <c r="CF321" s="32"/>
      <c r="CG321" s="32"/>
      <c r="CH321" s="32"/>
      <c r="CI321" s="32">
        <f t="shared" si="16"/>
        <v>0</v>
      </c>
      <c r="CJ321" s="60">
        <f>IF((Table1[[#This Row],["Volume
BA MC-0"]]-Table1[[#This Row],[Total Panjang Pipa Aktual
(Sum-&gt;)3]]-Table1[[#This Row],[Total Volume
tidak dapat dipasang]])&gt;=0,Table1[[#This Row],["Volume
BA MC-0"]]-Table1[[#This Row],[Total Panjang Pipa Aktual
(Sum-&gt;)3]]-Table1[[#This Row],[Total Volume
tidak dapat dipasang]],0)</f>
        <v>167</v>
      </c>
      <c r="CK321" s="42"/>
      <c r="CL321" s="297">
        <v>5.0000000000000001E-3</v>
      </c>
      <c r="CM321" s="34">
        <f>Table1[[#This Row],[RAB Pengadaan]]/Table1[[#This Row],[Nilai RAB Jaringan
(Exclude Ppn)]]*Table1[[#This Row],[Progres MOS]]*80%</f>
        <v>9.3385132381456626E-2</v>
      </c>
      <c r="CN321" s="297">
        <v>0</v>
      </c>
      <c r="CO321" s="297">
        <v>0</v>
      </c>
      <c r="CP32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0.78466543252645193</v>
      </c>
      <c r="CQ321" s="61">
        <f>IFERROR(Table1[[#This Row],[Progres Keg. Umum
(%)]]*Table1[[#This Row],[Nilai RAB Jaringan
(file pa aji)]],0)</f>
        <v>3705790.3650000002</v>
      </c>
      <c r="CR321" s="61">
        <f>IFERROR(Table1[[#This Row],[Progres MOS
(%)]]*Table1[[#This Row],[Nilai RAB Jaringan
(file pa aji)]],0)</f>
        <v>69213144.762690291</v>
      </c>
      <c r="CS321" s="61">
        <f>IFERROR(Table1[[#This Row],[Progres Pemasangan
(%)]]*Table1[[#This Row],[Nilai RAB Jaringan
(file pa aji)]],0)</f>
        <v>0</v>
      </c>
      <c r="CT321" s="61">
        <f>IFERROR(Table1[[#This Row],[Progres Perizinan
(%)]]*Table1[[#This Row],[Nilai RAB Jaringan
(file pa aji)]],0)</f>
        <v>0</v>
      </c>
      <c r="CU321" s="789">
        <v>450541727.80939263</v>
      </c>
      <c r="CV321" s="299">
        <v>450541727.80939263</v>
      </c>
      <c r="CW321" s="552">
        <v>0</v>
      </c>
      <c r="CX321" s="789">
        <f>_xlfn.XLOOKUP(Table1[[#This Row],[Kode Program]],'[1]Breakdown VOWD Greenfield'!$E:$E,'[1]Breakdown VOWD Greenfield'!$AT:$AT)</f>
        <v>0</v>
      </c>
      <c r="CY321" s="42"/>
      <c r="CZ321" s="300">
        <v>45803</v>
      </c>
      <c r="DA321" s="300">
        <v>45830</v>
      </c>
      <c r="DB321" s="301">
        <v>45797</v>
      </c>
      <c r="DC321" s="286" t="s">
        <v>2561</v>
      </c>
      <c r="DD321" s="62">
        <v>574183224</v>
      </c>
      <c r="DE3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1" s="301">
        <v>45803</v>
      </c>
      <c r="DG321" s="286" t="s">
        <v>2562</v>
      </c>
      <c r="DH321" s="62">
        <v>574183224</v>
      </c>
      <c r="DI3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1" s="300">
        <v>45831</v>
      </c>
      <c r="DK321" s="300">
        <v>45900</v>
      </c>
      <c r="DL321" s="301">
        <v>45868</v>
      </c>
      <c r="DM321" s="286" t="s">
        <v>2563</v>
      </c>
      <c r="DN3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1" s="301">
        <v>45937</v>
      </c>
      <c r="DP321" s="286" t="s">
        <v>2564</v>
      </c>
      <c r="DQ321" s="308" t="s">
        <v>762</v>
      </c>
      <c r="DR3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1" s="300">
        <v>45831</v>
      </c>
      <c r="DT321" s="300" t="e">
        <v>#N/A</v>
      </c>
      <c r="DU321" s="300">
        <v>45872</v>
      </c>
      <c r="DV321" s="300" t="e">
        <v>#N/A</v>
      </c>
      <c r="DW321" s="301">
        <v>45869</v>
      </c>
      <c r="DX321" s="286" t="s">
        <v>2565</v>
      </c>
      <c r="DY321" s="304">
        <v>49</v>
      </c>
      <c r="DZ321" s="304">
        <v>49</v>
      </c>
      <c r="EA3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1" s="301">
        <v>46127</v>
      </c>
      <c r="EC321" s="302">
        <v>44</v>
      </c>
      <c r="ED321" s="302">
        <v>44</v>
      </c>
      <c r="EE321" s="300"/>
      <c r="EF321" s="35">
        <v>0.89795918367346939</v>
      </c>
      <c r="EG321" s="35">
        <f>Table1[[#This Row],[Line PO (kolom  bantu)2]]/Table1[[#This Row],[Line PR]]</f>
        <v>0.89795918367346939</v>
      </c>
      <c r="EH321" s="286" t="str">
        <f>IF(Table1[[#This Row],[PO Material Aktual 
(%)]]&gt;=100%,"Selesai PO = 100%",IF(Table1[[#This Row],[PO Material Aktual 
(%)]]&gt;=50%,"Proses PO &gt; 100%",IF(Table1[[#This Row],[PO Material Aktual 
(%)]]&gt;0%,"Proses PO &gt; 50%",IF(Table1[[#This Row],[PO Material Aktual 
(%)]]=0,"Belum PO = 0%"))))</f>
        <v>Proses PO &gt; 100%</v>
      </c>
      <c r="EI32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1" s="300">
        <v>45873</v>
      </c>
      <c r="EK321" s="300" t="e">
        <v>#N/A</v>
      </c>
      <c r="EL321" s="300">
        <v>45928</v>
      </c>
      <c r="EM321" s="300" t="e">
        <v>#N/A</v>
      </c>
      <c r="EN321" s="301">
        <v>46091</v>
      </c>
      <c r="EO321" s="302">
        <v>27</v>
      </c>
      <c r="EP321" s="593">
        <v>27</v>
      </c>
      <c r="EQ321" s="35">
        <v>0.55102040816326525</v>
      </c>
      <c r="ER321" s="35">
        <f>Table1[[#This Row],[Line MOS]]/Table1[[#This Row],[Line PR]]</f>
        <v>0.55102040816326525</v>
      </c>
      <c r="ES321" s="286" t="str">
        <f>IF(Table1[[#This Row],[Progres MOS]]&gt;=100%,"Selesai MOS = 100%",IF(Table1[[#This Row],[Progres MOS]]&gt;=50%,"Proses MOS &gt; 100%",IF(Table1[[#This Row],[Progres MOS]]&gt;0%,"Proses MOS &gt; 50%",IF(Table1[[#This Row],[Progres MOS]]=0,"Belum MOS = 0%"))))</f>
        <v>Proses MOS &gt; 100%</v>
      </c>
      <c r="ET3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1" s="42"/>
      <c r="EV321" s="300">
        <v>45831</v>
      </c>
      <c r="EW321" s="300" t="e">
        <v>#N/A</v>
      </c>
      <c r="EX321" s="300">
        <v>45928</v>
      </c>
      <c r="EY321" s="300" t="e">
        <v>#N/A</v>
      </c>
      <c r="EZ321" s="322" t="s">
        <v>298</v>
      </c>
      <c r="FA321" s="306" t="s">
        <v>259</v>
      </c>
      <c r="FB321" s="300" t="s">
        <v>260</v>
      </c>
      <c r="FC321" s="300"/>
      <c r="FD321" s="300" t="s">
        <v>260</v>
      </c>
      <c r="FE321" s="300">
        <v>45910</v>
      </c>
      <c r="FF321" s="300">
        <v>45929</v>
      </c>
      <c r="FG321" s="300" t="s">
        <v>260</v>
      </c>
      <c r="FH321" s="300" t="s">
        <v>260</v>
      </c>
      <c r="FI321" s="300">
        <v>46010</v>
      </c>
      <c r="FJ321" s="300" t="s">
        <v>260</v>
      </c>
      <c r="FK321" s="300">
        <v>46094</v>
      </c>
      <c r="FL321" s="306" t="s">
        <v>298</v>
      </c>
      <c r="FM321" s="306"/>
      <c r="FN321" s="284" t="str">
        <f>IF(Table1[[#This Row],[Tanggal Pengajuan Dokumen]]="","",Table1[[#This Row],[PLAN PERMIT
start]]-Table1[[#This Row],[Tanggal Pengajuan Dokumen]])</f>
        <v/>
      </c>
      <c r="FO321" s="407">
        <v>46088</v>
      </c>
      <c r="FP321" s="286"/>
      <c r="FQ321" s="308"/>
      <c r="FR321" s="308"/>
      <c r="FS321" s="308" t="str">
        <f t="shared" ref="FS321:FS344" si="17">IF(AND(COUNTIF(EZ321:FR321,"*terbit*")&gt;=1,COUNTBLANK(FP321:FR321)=3),"Sudah Terbit",IF(COUNTIF(EZ321:FR321,"*terbit*")=COUNTA(EZ321:FR321),"Sudah Terbit","On Going"))</f>
        <v>Sudah Terbit</v>
      </c>
      <c r="FT3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1" s="314">
        <f ca="1">IF(Table1[[#This Row],[Status Izin]]="Selesai",Table1[[#This Row],[PLAN PERMIT
finish]]-Table1[[#This Row],[Tanggal Terbit/ Target Izin Terbit]],ROUNDUP(Table1[[#This Row],[PLAN PERMIT
finish]]-NOW(),0))</f>
        <v>-160</v>
      </c>
      <c r="FV3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1" s="314"/>
      <c r="FX321" s="42"/>
      <c r="FY321" s="310"/>
      <c r="FZ321" s="311"/>
      <c r="GA3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1" s="300">
        <v>45902</v>
      </c>
      <c r="GC321" s="322">
        <v>45950</v>
      </c>
      <c r="GD3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1" s="300">
        <v>45909</v>
      </c>
      <c r="GF321" s="322">
        <v>45950</v>
      </c>
      <c r="GG3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1" s="300">
        <v>45915</v>
      </c>
      <c r="GI321" s="300">
        <v>45921</v>
      </c>
      <c r="GJ321" s="322">
        <v>45954</v>
      </c>
      <c r="GK3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1" s="300">
        <v>45929</v>
      </c>
      <c r="GM321" s="300" t="e">
        <v>#N/A</v>
      </c>
      <c r="GN321" s="300">
        <v>45942</v>
      </c>
      <c r="GO321" s="300" t="e">
        <v>#N/A</v>
      </c>
      <c r="GP321" s="300"/>
      <c r="GQ3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1" s="300" t="s">
        <v>261</v>
      </c>
      <c r="GS321" s="300" t="s">
        <v>261</v>
      </c>
      <c r="GT321" s="324"/>
      <c r="GU321" s="314" t="str">
        <f>IF(Table1[[#This Row],[Hydro Tes Actual
(tanggal)]]&lt;&gt;"","Sudah","Belum")</f>
        <v>Belum</v>
      </c>
      <c r="GV321" s="300" t="s">
        <v>261</v>
      </c>
      <c r="GW321" s="300" t="s">
        <v>261</v>
      </c>
      <c r="GX321" s="301">
        <v>46178</v>
      </c>
      <c r="GY321" s="314" t="str">
        <f>IF(Table1[[#This Row],[Interkoneksi Actual
(tanggal)]]&lt;&gt;"","Sudah","Belum")</f>
        <v>Sudah</v>
      </c>
      <c r="GZ321" s="300" t="s">
        <v>261</v>
      </c>
      <c r="HA321" s="300" t="s">
        <v>261</v>
      </c>
      <c r="HB321" s="301"/>
      <c r="HC321" s="314" t="str">
        <f>IF(Table1[[#This Row],[Flushing Actual
(tanggal)]]&lt;&gt;"","Sudah","Belum")</f>
        <v>Belum</v>
      </c>
      <c r="HD321" s="300">
        <v>45929</v>
      </c>
      <c r="HE321" s="300" t="e">
        <v>#N/A</v>
      </c>
      <c r="HF321" s="300">
        <v>45942</v>
      </c>
      <c r="HG321" s="322"/>
      <c r="HH3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1" s="300" t="s">
        <v>261</v>
      </c>
      <c r="HJ321" s="300" t="s">
        <v>261</v>
      </c>
      <c r="HK321" s="301"/>
      <c r="HL321" s="286"/>
      <c r="HM321" s="300">
        <v>45947</v>
      </c>
      <c r="HN321" s="300">
        <v>45947</v>
      </c>
      <c r="HO321" s="300" t="e">
        <v>#N/A</v>
      </c>
      <c r="HP321" s="300"/>
      <c r="HQ321" s="301"/>
      <c r="HR32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1" s="300">
        <v>45954</v>
      </c>
      <c r="HT321" s="300"/>
      <c r="HU321" s="300">
        <v>45954</v>
      </c>
      <c r="HV321" s="300"/>
      <c r="HW321" s="301"/>
      <c r="HX32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1" s="42"/>
      <c r="HZ321" s="322"/>
      <c r="IA321" s="322" t="s">
        <v>2566</v>
      </c>
      <c r="IC321" s="585">
        <f>IFERROR(ROUND((Table1[[#This Row],[PLAN TC
finish]]-Table1[[#This Row],[PLAN MC-0
start]])/30,2),"")</f>
        <v>0.9</v>
      </c>
      <c r="ID321">
        <f>DATEDIF(Table1[[#This Row],[PLAN MC-0
start]],Table1[[#This Row],[PLAN TC
finish]],"m")</f>
        <v>0</v>
      </c>
    </row>
    <row r="322" spans="1:238" s="30" customFormat="1" ht="15" customHeight="1" x14ac:dyDescent="0.25">
      <c r="A322" s="72"/>
      <c r="B322" s="281">
        <f>SUBTOTAL(3,$D$5:D322)</f>
        <v>318</v>
      </c>
      <c r="C322" s="337">
        <v>318</v>
      </c>
      <c r="D322" s="333" t="s">
        <v>673</v>
      </c>
      <c r="E322" s="336" t="s">
        <v>2567</v>
      </c>
      <c r="F322" s="336" t="s">
        <v>2568</v>
      </c>
      <c r="G322" s="334">
        <v>46117</v>
      </c>
      <c r="H322" s="336" t="s">
        <v>681</v>
      </c>
      <c r="I322" s="336" t="s">
        <v>278</v>
      </c>
      <c r="J322" s="355" t="s">
        <v>389</v>
      </c>
      <c r="K322" s="336" t="s">
        <v>676</v>
      </c>
      <c r="L322" s="337" t="s">
        <v>250</v>
      </c>
      <c r="M322" s="362" t="s">
        <v>269</v>
      </c>
      <c r="N322" s="338">
        <v>182</v>
      </c>
      <c r="O322" s="339" t="s">
        <v>252</v>
      </c>
      <c r="P32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2" s="355" t="s">
        <v>389</v>
      </c>
      <c r="R322" s="341">
        <v>1</v>
      </c>
      <c r="S322" s="34">
        <v>1</v>
      </c>
      <c r="T322" s="459">
        <f>Table1[[#This Row],[Progres Total Aktual
(%)]]</f>
        <v>0</v>
      </c>
      <c r="U322" s="460">
        <f>Table1[[#This Row],[Progres Aktual
(%)]]-Table1[[#This Row],[Target Progres
(%)]]</f>
        <v>-1</v>
      </c>
      <c r="V322" s="461">
        <f>Table1[[#This Row],["Volume
BA MC-0"]]</f>
        <v>0</v>
      </c>
      <c r="W322" s="462">
        <f>Table1[[#This Row],[Total Panjang Pipa Aktual
(Sum-&gt;)3]]</f>
        <v>0</v>
      </c>
      <c r="X322" s="42"/>
      <c r="Y322" s="345" t="s">
        <v>2569</v>
      </c>
      <c r="Z322" s="345">
        <v>214319720</v>
      </c>
      <c r="AA322" s="345">
        <f>ROUND((Table1[[#This Row],[Nilai RAB Jaringan
(Exclude Ppn)]]-Table1[[#This Row],[RAB Perizinan]])*1.11+Table1[[#This Row],[RAB Perizinan]],0)</f>
        <v>0</v>
      </c>
      <c r="AB322" s="463">
        <f>SUM(Table1[[#This Row],[RAB Kegiatan Umum]:[RAB Perizinan]])</f>
        <v>0</v>
      </c>
      <c r="AC322" s="409"/>
      <c r="AD322" s="409"/>
      <c r="AE322" s="409"/>
      <c r="AF322" s="409"/>
      <c r="AG322" s="464">
        <v>52675966</v>
      </c>
      <c r="AH322" s="465" t="e">
        <f>SUM(Table1[[#This Row],[Bobot Keg Umum]:[Bobot Perizinan]])</f>
        <v>#DIV/0!</v>
      </c>
      <c r="AI322" s="465" t="e">
        <f>Table1[[#This Row],[RAB Kegiatan Umum]]/Table1[[#This Row],[Nilai RAB Jaringan
(Exclude Ppn)]]</f>
        <v>#DIV/0!</v>
      </c>
      <c r="AJ322" s="465" t="e">
        <f>Table1[[#This Row],[RAB Pemasangan]]/Table1[[#This Row],[Nilai RAB Jaringan
(Exclude Ppn)]]</f>
        <v>#DIV/0!</v>
      </c>
      <c r="AK322" s="465" t="e">
        <f>Table1[[#This Row],[RAB Pengadaan]]/Table1[[#This Row],[Nilai RAB Jaringan
(Exclude Ppn)]]</f>
        <v>#DIV/0!</v>
      </c>
      <c r="AL322" s="465" t="e">
        <f>Table1[[#This Row],[RAB Perizinan]]/Table1[[#This Row],[Nilai RAB Jaringan
(Exclude Ppn)]]</f>
        <v>#DIV/0!</v>
      </c>
      <c r="AM322" s="42"/>
      <c r="AN322" s="346"/>
      <c r="AO322" s="346">
        <f>SUM(Table1[[#This Row],[Pipa 63 mm]:[Pipa 1,800 mm]])</f>
        <v>0</v>
      </c>
      <c r="AP322" s="346"/>
      <c r="AQ322" s="346"/>
      <c r="AR322" s="346"/>
      <c r="AS322" s="346"/>
      <c r="AT322" s="346"/>
      <c r="AU322" s="346"/>
      <c r="AV322" s="346"/>
      <c r="AW322" s="346"/>
      <c r="AX322" s="346"/>
      <c r="AY322" s="346"/>
      <c r="AZ322" s="346"/>
      <c r="BA322" s="346"/>
      <c r="BB322" s="346"/>
      <c r="BC322" s="346"/>
      <c r="BD322" s="346"/>
      <c r="BE322" s="346"/>
      <c r="BF322" s="346"/>
      <c r="BG322" s="346"/>
      <c r="BH322" s="346"/>
      <c r="BI322" s="346"/>
      <c r="BJ322" s="233">
        <f>SUM(Table1[[#This Row],[Pipa 63 mm2]:[Pipa 1,800 mm21]])</f>
        <v>0</v>
      </c>
      <c r="BK322" s="348"/>
      <c r="BL322" s="348"/>
      <c r="BM322" s="348"/>
      <c r="BN322" s="348"/>
      <c r="BO322" s="348"/>
      <c r="BP322" s="348"/>
      <c r="BQ322" s="348"/>
      <c r="BR322" s="348"/>
      <c r="BS322" s="348"/>
      <c r="BT322" s="348"/>
      <c r="BU322" s="348"/>
      <c r="BV322" s="348"/>
      <c r="BW322" s="348"/>
      <c r="BX322" s="348"/>
      <c r="BY322" s="348"/>
      <c r="BZ322" s="348"/>
      <c r="CA322" s="348"/>
      <c r="CB322" s="348"/>
      <c r="CC322" s="348"/>
      <c r="CD322" s="348"/>
      <c r="CE322" s="348">
        <v>0</v>
      </c>
      <c r="CF322" s="348"/>
      <c r="CG322" s="348"/>
      <c r="CH322" s="348"/>
      <c r="CI322" s="348">
        <f t="shared" si="16"/>
        <v>0</v>
      </c>
      <c r="CJ322" s="348">
        <f>IF((Table1[[#This Row],["Volume
BA MC-0"]]-Table1[[#This Row],[Total Panjang Pipa Aktual
(Sum-&gt;)3]]-Table1[[#This Row],[Total Volume
tidak dapat dipasang]])&gt;=0,Table1[[#This Row],["Volume
BA MC-0"]]-Table1[[#This Row],[Total Panjang Pipa Aktual
(Sum-&gt;)3]]-Table1[[#This Row],[Total Volume
tidak dapat dipasang]],0)</f>
        <v>0</v>
      </c>
      <c r="CK322" s="42"/>
      <c r="CL322" s="411">
        <v>4.0000000000000001E-3</v>
      </c>
      <c r="CM322" s="459">
        <v>0.06</v>
      </c>
      <c r="CN322" s="411">
        <v>0</v>
      </c>
      <c r="CO322" s="411">
        <v>0</v>
      </c>
      <c r="CP32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2" s="350">
        <f>IFERROR(Table1[[#This Row],[Progres Keg. Umum
(%)]]*Table1[[#This Row],[Nilai RAB Jaringan
(file pa aji)]],0)</f>
        <v>857278.88</v>
      </c>
      <c r="CR322" s="350">
        <f>IFERROR(Table1[[#This Row],[Progres MOS
(%)]]*Table1[[#This Row],[Nilai RAB Jaringan
(file pa aji)]],0)</f>
        <v>12859183.199999999</v>
      </c>
      <c r="CS322" s="350">
        <f>IFERROR(Table1[[#This Row],[Progres Pemasangan
(%)]]*Table1[[#This Row],[Nilai RAB Jaringan
(file pa aji)]],0)</f>
        <v>0</v>
      </c>
      <c r="CT322" s="350">
        <f>IFERROR(Table1[[#This Row],[Progres Perizinan
(%)]]*Table1[[#This Row],[Nilai RAB Jaringan
(file pa aji)]],0)</f>
        <v>0</v>
      </c>
      <c r="CU322" s="789">
        <v>0</v>
      </c>
      <c r="CV322" s="299">
        <v>0</v>
      </c>
      <c r="CW322" s="551">
        <v>0</v>
      </c>
      <c r="CX322" s="789">
        <f>_xlfn.XLOOKUP(Table1[[#This Row],[Kode Program]],'[1]Breakdown VOWD Greenfield'!$E:$E,'[1]Breakdown VOWD Greenfield'!$AT:$AT)</f>
        <v>0</v>
      </c>
      <c r="CY322" s="42"/>
      <c r="CZ322" s="356">
        <v>45803</v>
      </c>
      <c r="DA322" s="356">
        <v>45830</v>
      </c>
      <c r="DB322" s="358">
        <v>45797</v>
      </c>
      <c r="DC322" s="337" t="s">
        <v>2570</v>
      </c>
      <c r="DD322" s="345">
        <v>214319721</v>
      </c>
      <c r="DE3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2" s="358">
        <v>45807</v>
      </c>
      <c r="DG322" s="337" t="s">
        <v>2571</v>
      </c>
      <c r="DH322" s="345">
        <v>214319721</v>
      </c>
      <c r="DI322" s="337"/>
      <c r="DJ322" s="356">
        <v>45831</v>
      </c>
      <c r="DK322" s="356">
        <v>45900</v>
      </c>
      <c r="DL322" s="358">
        <v>45868</v>
      </c>
      <c r="DM322" s="337" t="s">
        <v>2572</v>
      </c>
      <c r="DN322" s="352"/>
      <c r="DO322" s="358">
        <v>45944</v>
      </c>
      <c r="DP322" s="337" t="s">
        <v>2573</v>
      </c>
      <c r="DQ322" s="336" t="s">
        <v>365</v>
      </c>
      <c r="DR322" s="352"/>
      <c r="DS322" s="356">
        <v>45831</v>
      </c>
      <c r="DT322" s="356" t="e">
        <v>#N/A</v>
      </c>
      <c r="DU322" s="356">
        <v>45872</v>
      </c>
      <c r="DV322" s="356" t="e">
        <v>#N/A</v>
      </c>
      <c r="DW322" s="358">
        <v>45871</v>
      </c>
      <c r="DX322" s="337" t="s">
        <v>2574</v>
      </c>
      <c r="DY322" s="412"/>
      <c r="DZ322" s="412"/>
      <c r="EA322" s="352"/>
      <c r="EB322" s="358"/>
      <c r="EC322" s="412"/>
      <c r="ED322" s="412"/>
      <c r="EE322" s="356"/>
      <c r="EF322" s="341"/>
      <c r="EG322" s="341"/>
      <c r="EH322" s="337"/>
      <c r="EI32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2" s="356">
        <v>45873</v>
      </c>
      <c r="EK322" s="356" t="e">
        <v>#N/A</v>
      </c>
      <c r="EL322" s="356">
        <v>45928</v>
      </c>
      <c r="EM322" s="356" t="e">
        <v>#N/A</v>
      </c>
      <c r="EN322" s="358"/>
      <c r="EO322" s="412"/>
      <c r="EP322" s="337"/>
      <c r="EQ322" s="341"/>
      <c r="ER322" s="341"/>
      <c r="ES322" s="337"/>
      <c r="ET3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2" s="42"/>
      <c r="EV322" s="356">
        <v>45831</v>
      </c>
      <c r="EW322" s="356" t="e">
        <v>#N/A</v>
      </c>
      <c r="EX322" s="356">
        <v>45928</v>
      </c>
      <c r="EY322" s="356" t="e">
        <v>#N/A</v>
      </c>
      <c r="EZ322" s="354" t="s">
        <v>298</v>
      </c>
      <c r="FA322" s="355" t="s">
        <v>389</v>
      </c>
      <c r="FB322" s="356" t="s">
        <v>260</v>
      </c>
      <c r="FC322" s="300"/>
      <c r="FD322" s="356"/>
      <c r="FE322" s="356"/>
      <c r="FF322" s="356"/>
      <c r="FG322" s="356"/>
      <c r="FH322" s="356"/>
      <c r="FI322" s="356"/>
      <c r="FJ322" s="356"/>
      <c r="FK322" s="356"/>
      <c r="FL322" s="413" t="str">
        <f>Table1[[#This Row],[IPPJU]]</f>
        <v>9.Proses Penerbitan Izin</v>
      </c>
      <c r="FM322" s="413"/>
      <c r="FN322" s="335" t="str">
        <f>IF(Table1[[#This Row],[Tanggal Pengajuan Dokumen]]="","",Table1[[#This Row],[PLAN PERMIT
start]]-Table1[[#This Row],[Tanggal Pengajuan Dokumen]])</f>
        <v/>
      </c>
      <c r="FO322" s="414">
        <v>45724</v>
      </c>
      <c r="FP322" s="337"/>
      <c r="FQ322" s="336"/>
      <c r="FR322" s="336"/>
      <c r="FS322" s="336" t="str">
        <f t="shared" si="17"/>
        <v>On Going</v>
      </c>
      <c r="FT32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2" s="357">
        <f ca="1">IF(Table1[[#This Row],[Status Izin]]="Selesai",Table1[[#This Row],[PLAN PERMIT
finish]]-Table1[[#This Row],[Tanggal Terbit/ Target Izin Terbit]],ROUNDUP(Table1[[#This Row],[PLAN PERMIT
finish]]-NOW(),0))</f>
        <v>-276</v>
      </c>
      <c r="FV32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22" s="357"/>
      <c r="FX322" s="42"/>
      <c r="FY322" s="310"/>
      <c r="FZ322" s="311"/>
      <c r="GA3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2" s="356">
        <v>45902</v>
      </c>
      <c r="GC322" s="354">
        <v>45951</v>
      </c>
      <c r="GD32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2" s="356">
        <v>45909</v>
      </c>
      <c r="GF322" s="354">
        <v>45951</v>
      </c>
      <c r="GG32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2" s="356">
        <v>45915</v>
      </c>
      <c r="GI322" s="356">
        <v>45921</v>
      </c>
      <c r="GJ322" s="354">
        <v>45964</v>
      </c>
      <c r="GK32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2" s="356">
        <v>45929</v>
      </c>
      <c r="GM322" s="356" t="e">
        <v>#N/A</v>
      </c>
      <c r="GN322" s="356">
        <v>45942</v>
      </c>
      <c r="GO322" s="356" t="e">
        <v>#N/A</v>
      </c>
      <c r="GP322" s="356"/>
      <c r="GQ32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2" s="356" t="s">
        <v>261</v>
      </c>
      <c r="GS322" s="356" t="s">
        <v>261</v>
      </c>
      <c r="GT322" s="360"/>
      <c r="GU322" s="357" t="str">
        <f>IF(Table1[[#This Row],[Hydro Tes Actual
(tanggal)]]&lt;&gt;"","Sudah","Belum")</f>
        <v>Belum</v>
      </c>
      <c r="GV322" s="356" t="s">
        <v>261</v>
      </c>
      <c r="GW322" s="356" t="s">
        <v>261</v>
      </c>
      <c r="GX322" s="358"/>
      <c r="GY322" s="357" t="str">
        <f>IF(Table1[[#This Row],[Interkoneksi Actual
(tanggal)]]&lt;&gt;"","Sudah","Belum")</f>
        <v>Belum</v>
      </c>
      <c r="GZ322" s="356" t="s">
        <v>261</v>
      </c>
      <c r="HA322" s="356" t="s">
        <v>261</v>
      </c>
      <c r="HB322" s="358"/>
      <c r="HC322" s="357" t="str">
        <f>IF(Table1[[#This Row],[Flushing Actual
(tanggal)]]&lt;&gt;"","Sudah","Belum")</f>
        <v>Belum</v>
      </c>
      <c r="HD322" s="356">
        <v>45929</v>
      </c>
      <c r="HE322" s="356" t="e">
        <v>#N/A</v>
      </c>
      <c r="HF322" s="356">
        <v>45942</v>
      </c>
      <c r="HG322" s="354"/>
      <c r="HH32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2" s="356" t="s">
        <v>261</v>
      </c>
      <c r="HJ322" s="356" t="s">
        <v>261</v>
      </c>
      <c r="HK322" s="358"/>
      <c r="HL322" s="337"/>
      <c r="HM322" s="356">
        <v>45947</v>
      </c>
      <c r="HN322" s="356">
        <v>45947</v>
      </c>
      <c r="HO322" s="356" t="e">
        <v>#N/A</v>
      </c>
      <c r="HP322" s="356"/>
      <c r="HQ322" s="358"/>
      <c r="HR32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2" s="356">
        <v>45954</v>
      </c>
      <c r="HT322" s="356"/>
      <c r="HU322" s="356">
        <v>45954</v>
      </c>
      <c r="HV322" s="356"/>
      <c r="HW322" s="358"/>
      <c r="HX32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2" s="42"/>
      <c r="HZ322" s="354" t="s">
        <v>2199</v>
      </c>
      <c r="IA322" s="354"/>
      <c r="IC322" s="585">
        <f>IFERROR(ROUND((Table1[[#This Row],[PLAN TC
finish]]-Table1[[#This Row],[PLAN MC-0
start]])/30,2),"")</f>
        <v>0.9</v>
      </c>
      <c r="ID322">
        <f>DATEDIF(Table1[[#This Row],[PLAN MC-0
start]],Table1[[#This Row],[PLAN TC
finish]],"m")</f>
        <v>0</v>
      </c>
    </row>
    <row r="323" spans="1:238" s="4" customFormat="1" ht="15" customHeight="1" x14ac:dyDescent="0.25">
      <c r="B323" s="281">
        <f>SUBTOTAL(3,$D$5:D323)</f>
        <v>319</v>
      </c>
      <c r="C323" s="286">
        <v>319</v>
      </c>
      <c r="D323" s="285" t="s">
        <v>673</v>
      </c>
      <c r="E323" s="308" t="s">
        <v>2575</v>
      </c>
      <c r="F323" s="308" t="s">
        <v>2576</v>
      </c>
      <c r="G323" s="319">
        <v>46117</v>
      </c>
      <c r="H323" s="308" t="s">
        <v>681</v>
      </c>
      <c r="I323" s="308" t="s">
        <v>278</v>
      </c>
      <c r="J323" s="450" t="s">
        <v>1818</v>
      </c>
      <c r="K323" s="308" t="s">
        <v>676</v>
      </c>
      <c r="L323" s="286" t="s">
        <v>250</v>
      </c>
      <c r="M323" s="325" t="s">
        <v>269</v>
      </c>
      <c r="N323" s="94">
        <v>365</v>
      </c>
      <c r="O323" s="31" t="s">
        <v>252</v>
      </c>
      <c r="P32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3" s="35">
        <v>1</v>
      </c>
      <c r="S323" s="34">
        <v>1</v>
      </c>
      <c r="T323" s="34">
        <f>Table1[[#This Row],[Progres Total Aktual
(%)]]</f>
        <v>0.95010581512214953</v>
      </c>
      <c r="U323" s="85">
        <f>Table1[[#This Row],[Progres Aktual
(%)]]-Table1[[#This Row],[Target Progres
(%)]]</f>
        <v>-4.9894184877850467E-2</v>
      </c>
      <c r="V323" s="75">
        <f>Table1[[#This Row],["Volume
BA MC-0"]]</f>
        <v>369</v>
      </c>
      <c r="W323" s="41">
        <f>Table1[[#This Row],[Total Panjang Pipa Aktual
(Sum-&gt;)3]]</f>
        <v>715</v>
      </c>
      <c r="X323" s="42"/>
      <c r="Y323" s="62" t="s">
        <v>2577</v>
      </c>
      <c r="Z323" s="62">
        <v>451317929</v>
      </c>
      <c r="AA323" s="471">
        <f>ROUND((Table1[[#This Row],[Nilai RAB Jaringan
(Exclude Ppn)]]-Table1[[#This Row],[RAB Perizinan]])*1.11+Table1[[#This Row],[RAB Perizinan]],0)</f>
        <v>451317928</v>
      </c>
      <c r="AB323" s="456">
        <f>SUM(Table1[[#This Row],[RAB Kegiatan Umum]:[RAB Perizinan]])</f>
        <v>406954440</v>
      </c>
      <c r="AC323" s="406">
        <v>32291915</v>
      </c>
      <c r="AD323" s="406">
        <v>322919142</v>
      </c>
      <c r="AE323" s="472">
        <v>48093383</v>
      </c>
      <c r="AF323" s="406">
        <v>3650000</v>
      </c>
      <c r="AG323" s="453">
        <v>10535194</v>
      </c>
      <c r="AH323" s="33">
        <f>SUM(Table1[[#This Row],[Bobot Keg Umum]:[Bobot Perizinan]])</f>
        <v>1</v>
      </c>
      <c r="AI323" s="33">
        <f>Table1[[#This Row],[RAB Kegiatan Umum]]/Table1[[#This Row],[Nilai RAB Jaringan
(Exclude Ppn)]]</f>
        <v>7.935019703925579E-2</v>
      </c>
      <c r="AJ323" s="33">
        <f>Table1[[#This Row],[RAB Pemasangan]]/Table1[[#This Row],[Nilai RAB Jaringan
(Exclude Ppn)]]</f>
        <v>0.79350195073433771</v>
      </c>
      <c r="AK323" s="33">
        <f>Table1[[#This Row],[RAB Pengadaan]]/Table1[[#This Row],[Nilai RAB Jaringan
(Exclude Ppn)]]</f>
        <v>0.11817878925218263</v>
      </c>
      <c r="AL323" s="33">
        <f>Table1[[#This Row],[RAB Perizinan]]/Table1[[#This Row],[Nilai RAB Jaringan
(Exclude Ppn)]]</f>
        <v>8.9690629742238473E-3</v>
      </c>
      <c r="AM323" s="42"/>
      <c r="AN323" s="256">
        <v>369</v>
      </c>
      <c r="AO323" s="256">
        <f>SUM(Table1[[#This Row],[Pipa 63 mm]:[Pipa 1,800 mm]])</f>
        <v>369</v>
      </c>
      <c r="AP323" s="256">
        <v>369</v>
      </c>
      <c r="AQ323" s="256"/>
      <c r="AR323" s="256"/>
      <c r="AS323" s="256"/>
      <c r="AT323" s="256"/>
      <c r="AU323" s="256"/>
      <c r="AV323" s="256"/>
      <c r="AW323" s="256"/>
      <c r="AX323" s="256"/>
      <c r="AY323" s="256"/>
      <c r="AZ323" s="256"/>
      <c r="BA323" s="256"/>
      <c r="BB323" s="256"/>
      <c r="BC323" s="256"/>
      <c r="BD323" s="256"/>
      <c r="BE323" s="256"/>
      <c r="BF323" s="256"/>
      <c r="BG323" s="256"/>
      <c r="BH323" s="256"/>
      <c r="BI323" s="256"/>
      <c r="BJ323" s="233">
        <f>SUM(Table1[[#This Row],[Pipa 63 mm2]:[Pipa 1,800 mm21]])</f>
        <v>715</v>
      </c>
      <c r="BK323" s="32">
        <v>715</v>
      </c>
      <c r="BL323" s="32"/>
      <c r="BM323" s="32"/>
      <c r="BN323" s="32"/>
      <c r="BO323" s="32"/>
      <c r="BP323" s="32"/>
      <c r="BQ323" s="32"/>
      <c r="BR323" s="32"/>
      <c r="BS323" s="32"/>
      <c r="BT323" s="32"/>
      <c r="BU323" s="32"/>
      <c r="BV323" s="32"/>
      <c r="BW323" s="32"/>
      <c r="BX323" s="32"/>
      <c r="BY323" s="32"/>
      <c r="BZ323" s="32"/>
      <c r="CA323" s="32"/>
      <c r="CB323" s="32"/>
      <c r="CC323" s="32"/>
      <c r="CD323" s="32"/>
      <c r="CE323" s="32">
        <v>0</v>
      </c>
      <c r="CF323" s="32"/>
      <c r="CG323" s="32"/>
      <c r="CH323" s="32"/>
      <c r="CI323" s="32">
        <f t="shared" si="16"/>
        <v>0</v>
      </c>
      <c r="CJ323" s="60">
        <f>IF((Table1[[#This Row],["Volume
BA MC-0"]]-Table1[[#This Row],[Total Panjang Pipa Aktual
(Sum-&gt;)3]]-Table1[[#This Row],[Total Volume
tidak dapat dipasang]])&gt;=0,Table1[[#This Row],["Volume
BA MC-0"]]-Table1[[#This Row],[Total Panjang Pipa Aktual
(Sum-&gt;)3]]-Table1[[#This Row],[Total Volume
tidak dapat dipasang]],0)</f>
        <v>0</v>
      </c>
      <c r="CK323" s="42"/>
      <c r="CL323" s="454" t="s">
        <v>1821</v>
      </c>
      <c r="CM323" s="34">
        <f>Table1[[#This Row],[RAB Pengadaan]]/Table1[[#This Row],[Nilai RAB Jaringan
(Exclude Ppn)]]*Table1[[#This Row],[Progres MOS]]*80%</f>
        <v>7.8335654590018206E-2</v>
      </c>
      <c r="CN323" s="454" t="s">
        <v>1821</v>
      </c>
      <c r="CO323" s="454" t="s">
        <v>1821</v>
      </c>
      <c r="CP32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0.95010581512214953</v>
      </c>
      <c r="CQ323" s="61">
        <f>IFERROR(Table1[[#This Row],[Progres Keg. Umum
(%)]]*Table1[[#This Row],[Nilai RAB Jaringan
(file pa aji)]],0)</f>
        <v>0</v>
      </c>
      <c r="CR323" s="61">
        <f>IFERROR(Table1[[#This Row],[Progres MOS
(%)]]*Table1[[#This Row],[Nilai RAB Jaringan
(file pa aji)]],0)</f>
        <v>35354285.396426357</v>
      </c>
      <c r="CS323" s="61">
        <f>IFERROR(Table1[[#This Row],[Progres Pemasangan
(%)]]*Table1[[#This Row],[Nilai RAB Jaringan
(file pa aji)]],0)</f>
        <v>0</v>
      </c>
      <c r="CT323" s="61">
        <f>IFERROR(Table1[[#This Row],[Progres Perizinan
(%)]]*Table1[[#This Row],[Nilai RAB Jaringan
(file pa aji)]],0)</f>
        <v>0</v>
      </c>
      <c r="CU323" s="789">
        <v>428799787.86167961</v>
      </c>
      <c r="CV323" s="299">
        <v>428799787.86167961</v>
      </c>
      <c r="CW323" s="552">
        <v>0</v>
      </c>
      <c r="CX323" s="789">
        <f>_xlfn.XLOOKUP(Table1[[#This Row],[Kode Program]],'[1]Breakdown VOWD Greenfield'!$E:$E,'[1]Breakdown VOWD Greenfield'!$AT:$AT)</f>
        <v>0</v>
      </c>
      <c r="CY323" s="42"/>
      <c r="CZ323" s="300">
        <v>45803</v>
      </c>
      <c r="DA323" s="300">
        <v>45830</v>
      </c>
      <c r="DB323" s="301">
        <v>45797</v>
      </c>
      <c r="DC323" s="286" t="s">
        <v>2578</v>
      </c>
      <c r="DD323" s="62">
        <v>451317930</v>
      </c>
      <c r="DE3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3" s="301">
        <v>45803</v>
      </c>
      <c r="DG323" s="286" t="s">
        <v>2579</v>
      </c>
      <c r="DH323" s="62">
        <v>451317930</v>
      </c>
      <c r="DI3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3" s="300">
        <v>45831</v>
      </c>
      <c r="DK323" s="300">
        <v>45900</v>
      </c>
      <c r="DL323" s="301">
        <v>45840</v>
      </c>
      <c r="DM323" s="286" t="s">
        <v>2580</v>
      </c>
      <c r="DN3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3" s="301">
        <v>45889</v>
      </c>
      <c r="DP323" s="286" t="s">
        <v>2581</v>
      </c>
      <c r="DQ323" s="308" t="s">
        <v>365</v>
      </c>
      <c r="DR3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3" s="300">
        <v>45831</v>
      </c>
      <c r="DT323" s="300" t="e">
        <v>#N/A</v>
      </c>
      <c r="DU323" s="300">
        <v>45872</v>
      </c>
      <c r="DV323" s="300" t="e">
        <v>#N/A</v>
      </c>
      <c r="DW323" s="301">
        <v>45840</v>
      </c>
      <c r="DX323" s="286" t="s">
        <v>2582</v>
      </c>
      <c r="DY323" s="304">
        <v>35</v>
      </c>
      <c r="DZ323" s="304">
        <v>35</v>
      </c>
      <c r="EA3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3" s="301"/>
      <c r="EC323" s="302">
        <v>31</v>
      </c>
      <c r="ED323" s="302">
        <v>31</v>
      </c>
      <c r="EE323" s="300"/>
      <c r="EF323" s="35">
        <v>0.88571428571428568</v>
      </c>
      <c r="EG323" s="35">
        <f>Table1[[#This Row],[Line PO (kolom  bantu)2]]/Table1[[#This Row],[Line PR]]</f>
        <v>0.88571428571428568</v>
      </c>
      <c r="EH323" s="286" t="str">
        <f>IF(Table1[[#This Row],[PO Material Aktual 
(%)]]&gt;=100%,"Selesai PO = 100%",IF(Table1[[#This Row],[PO Material Aktual 
(%)]]&gt;=50%,"Proses PO &gt; 100%",IF(Table1[[#This Row],[PO Material Aktual 
(%)]]&gt;0%,"Proses PO &gt; 50%",IF(Table1[[#This Row],[PO Material Aktual 
(%)]]=0,"Belum PO = 0%"))))</f>
        <v>Proses PO &gt; 100%</v>
      </c>
      <c r="EI32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3" s="300">
        <v>45873</v>
      </c>
      <c r="EK323" s="300" t="e">
        <v>#N/A</v>
      </c>
      <c r="EL323" s="300">
        <v>45928</v>
      </c>
      <c r="EM323" s="300" t="e">
        <v>#N/A</v>
      </c>
      <c r="EN323" s="301"/>
      <c r="EO323" s="302">
        <v>29</v>
      </c>
      <c r="EP323" s="286">
        <v>29</v>
      </c>
      <c r="EQ323" s="35">
        <v>0.82857142857142863</v>
      </c>
      <c r="ER323" s="35">
        <f>Table1[[#This Row],[Line MOS]]/Table1[[#This Row],[Line PR]]</f>
        <v>0.82857142857142863</v>
      </c>
      <c r="ES323" s="286" t="str">
        <f>IF(Table1[[#This Row],[Progres MOS]]&gt;=100%,"Selesai MOS = 100%",IF(Table1[[#This Row],[Progres MOS]]&gt;=50%,"Proses MOS &gt; 100%",IF(Table1[[#This Row],[Progres MOS]]&gt;0%,"Proses MOS &gt; 50%",IF(Table1[[#This Row],[Progres MOS]]=0,"Belum MOS = 0%"))))</f>
        <v>Proses MOS &gt; 100%</v>
      </c>
      <c r="ET3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3" s="42"/>
      <c r="EV323" s="300">
        <v>45831</v>
      </c>
      <c r="EW323" s="300" t="e">
        <v>#N/A</v>
      </c>
      <c r="EX323" s="300">
        <v>45928</v>
      </c>
      <c r="EY323" s="300" t="e">
        <v>#N/A</v>
      </c>
      <c r="EZ323" s="322" t="s">
        <v>298</v>
      </c>
      <c r="FA323" s="306" t="s">
        <v>259</v>
      </c>
      <c r="FB323" s="300" t="s">
        <v>260</v>
      </c>
      <c r="FC323" s="300"/>
      <c r="FD323" s="300" t="s">
        <v>260</v>
      </c>
      <c r="FE323" s="300">
        <v>45910</v>
      </c>
      <c r="FF323" s="300">
        <v>45929</v>
      </c>
      <c r="FG323" s="300" t="s">
        <v>260</v>
      </c>
      <c r="FH323" s="300" t="s">
        <v>260</v>
      </c>
      <c r="FI323" s="300">
        <v>46010</v>
      </c>
      <c r="FJ323" s="300" t="s">
        <v>260</v>
      </c>
      <c r="FK323" s="300">
        <v>46094</v>
      </c>
      <c r="FL323" s="306" t="s">
        <v>298</v>
      </c>
      <c r="FM323" s="306"/>
      <c r="FN323" s="284" t="str">
        <f>IF(Table1[[#This Row],[Tanggal Pengajuan Dokumen]]="","",Table1[[#This Row],[PLAN PERMIT
start]]-Table1[[#This Row],[Tanggal Pengajuan Dokumen]])</f>
        <v/>
      </c>
      <c r="FO323" s="407">
        <v>46090</v>
      </c>
      <c r="FP323" s="286"/>
      <c r="FQ323" s="308"/>
      <c r="FR323" s="308"/>
      <c r="FS323" s="308" t="str">
        <f t="shared" si="17"/>
        <v>Sudah Terbit</v>
      </c>
      <c r="FT3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3" s="314">
        <f ca="1">IF(Table1[[#This Row],[Status Izin]]="Selesai",Table1[[#This Row],[PLAN PERMIT
finish]]-Table1[[#This Row],[Tanggal Terbit/ Target Izin Terbit]],ROUNDUP(Table1[[#This Row],[PLAN PERMIT
finish]]-NOW(),0))</f>
        <v>-162</v>
      </c>
      <c r="FV3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3" s="314"/>
      <c r="FX323" s="42"/>
      <c r="FY323" s="310"/>
      <c r="FZ323" s="311"/>
      <c r="GA3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3" s="300">
        <v>45902</v>
      </c>
      <c r="GC323" s="322">
        <v>45951</v>
      </c>
      <c r="GD3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3" s="300">
        <v>45909</v>
      </c>
      <c r="GF323" s="322">
        <v>45951</v>
      </c>
      <c r="GG3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3" s="300">
        <v>45915</v>
      </c>
      <c r="GI323" s="300">
        <v>45921</v>
      </c>
      <c r="GJ323" s="322">
        <v>45964</v>
      </c>
      <c r="GK3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3" s="300">
        <v>45929</v>
      </c>
      <c r="GM323" s="300" t="e">
        <v>#N/A</v>
      </c>
      <c r="GN323" s="300">
        <v>45942</v>
      </c>
      <c r="GO323" s="300" t="e">
        <v>#N/A</v>
      </c>
      <c r="GP323" s="300"/>
      <c r="GQ3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3" s="300" t="s">
        <v>261</v>
      </c>
      <c r="GS323" s="300" t="s">
        <v>261</v>
      </c>
      <c r="GT323" s="589" t="s">
        <v>2583</v>
      </c>
      <c r="GU323" s="314" t="str">
        <f>IF(Table1[[#This Row],[Hydro Tes Actual
(tanggal)]]&lt;&gt;"","Sudah","Belum")</f>
        <v>Sudah</v>
      </c>
      <c r="GV323" s="300" t="s">
        <v>261</v>
      </c>
      <c r="GW323" s="300" t="s">
        <v>261</v>
      </c>
      <c r="GX323" s="301">
        <v>46185</v>
      </c>
      <c r="GY323" s="314" t="str">
        <f>IF(Table1[[#This Row],[Interkoneksi Actual
(tanggal)]]&lt;&gt;"","Sudah","Belum")</f>
        <v>Sudah</v>
      </c>
      <c r="GZ323" s="300" t="s">
        <v>261</v>
      </c>
      <c r="HA323" s="300" t="s">
        <v>261</v>
      </c>
      <c r="HB323" s="301"/>
      <c r="HC323" s="314" t="str">
        <f>IF(Table1[[#This Row],[Flushing Actual
(tanggal)]]&lt;&gt;"","Sudah","Belum")</f>
        <v>Belum</v>
      </c>
      <c r="HD323" s="300">
        <v>45929</v>
      </c>
      <c r="HE323" s="300" t="e">
        <v>#N/A</v>
      </c>
      <c r="HF323" s="300">
        <v>45942</v>
      </c>
      <c r="HG323" s="322"/>
      <c r="HH3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3" s="300" t="s">
        <v>261</v>
      </c>
      <c r="HJ323" s="300" t="s">
        <v>261</v>
      </c>
      <c r="HK323" s="301"/>
      <c r="HL323" s="286"/>
      <c r="HM323" s="300">
        <v>45947</v>
      </c>
      <c r="HN323" s="300">
        <v>45947</v>
      </c>
      <c r="HO323" s="300" t="e">
        <v>#N/A</v>
      </c>
      <c r="HP323" s="300"/>
      <c r="HQ323" s="301"/>
      <c r="HR32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3" s="300">
        <v>45954</v>
      </c>
      <c r="HT323" s="300"/>
      <c r="HU323" s="300">
        <v>45954</v>
      </c>
      <c r="HV323" s="300"/>
      <c r="HW323" s="301"/>
      <c r="HX32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3" s="42"/>
      <c r="HZ323" s="322"/>
      <c r="IA323" s="322" t="s">
        <v>2584</v>
      </c>
      <c r="IC323" s="585">
        <f>IFERROR(ROUND((Table1[[#This Row],[PLAN TC
finish]]-Table1[[#This Row],[PLAN MC-0
start]])/30,2),"")</f>
        <v>0.9</v>
      </c>
      <c r="ID323">
        <f>DATEDIF(Table1[[#This Row],[PLAN MC-0
start]],Table1[[#This Row],[PLAN TC
finish]],"m")</f>
        <v>0</v>
      </c>
    </row>
    <row r="324" spans="1:238" s="4" customFormat="1" ht="15" customHeight="1" x14ac:dyDescent="0.25">
      <c r="B324" s="281">
        <f>SUBTOTAL(3,$D$5:D324)</f>
        <v>320</v>
      </c>
      <c r="C324" s="286">
        <v>320</v>
      </c>
      <c r="D324" s="285" t="s">
        <v>673</v>
      </c>
      <c r="E324" s="308" t="s">
        <v>2585</v>
      </c>
      <c r="F324" s="308" t="s">
        <v>2586</v>
      </c>
      <c r="G324" s="319">
        <v>46117</v>
      </c>
      <c r="H324" s="308" t="s">
        <v>681</v>
      </c>
      <c r="I324" s="308" t="s">
        <v>278</v>
      </c>
      <c r="J324" s="450" t="s">
        <v>1818</v>
      </c>
      <c r="K324" s="308" t="s">
        <v>676</v>
      </c>
      <c r="L324" s="286" t="s">
        <v>250</v>
      </c>
      <c r="M324" s="325" t="s">
        <v>269</v>
      </c>
      <c r="N324" s="94">
        <v>10695</v>
      </c>
      <c r="O324" s="31" t="s">
        <v>252</v>
      </c>
      <c r="P32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4" s="35">
        <v>1</v>
      </c>
      <c r="S324" s="34">
        <v>1</v>
      </c>
      <c r="T324" s="34">
        <f>Table1[[#This Row],[Progres Total Aktual
(%)]]</f>
        <v>1</v>
      </c>
      <c r="U324" s="85">
        <f>Table1[[#This Row],[Progres Aktual
(%)]]-Table1[[#This Row],[Target Progres
(%)]]</f>
        <v>0</v>
      </c>
      <c r="V324" s="75">
        <f>Table1[[#This Row],["Volume
BA MC-0"]]</f>
        <v>11652</v>
      </c>
      <c r="W324" s="41">
        <f>Table1[[#This Row],[Total Panjang Pipa Aktual
(Sum-&gt;)3]]</f>
        <v>10434</v>
      </c>
      <c r="X324" s="42"/>
      <c r="Y324" s="62" t="s">
        <v>2587</v>
      </c>
      <c r="Z324" s="62">
        <v>20589661159</v>
      </c>
      <c r="AA324" s="62">
        <f>ROUND((Table1[[#This Row],[Nilai RAB Jaringan
(Exclude Ppn)]]-Table1[[#This Row],[RAB Perizinan]])*1.11+Table1[[#This Row],[RAB Perizinan]],0)</f>
        <v>20589661159</v>
      </c>
      <c r="AB324" s="456">
        <f>SUM(Table1[[#This Row],[RAB Kegiatan Umum]:[RAB Perizinan]])</f>
        <v>18559842936</v>
      </c>
      <c r="AC324" s="406">
        <v>1394120454</v>
      </c>
      <c r="AD324" s="406">
        <v>13941204531</v>
      </c>
      <c r="AE324" s="406">
        <v>3117567951</v>
      </c>
      <c r="AF324" s="406">
        <v>106950000</v>
      </c>
      <c r="AG324" s="453">
        <v>1000843350</v>
      </c>
      <c r="AH324" s="33">
        <f>SUM(Table1[[#This Row],[Bobot Keg Umum]:[Bobot Perizinan]])</f>
        <v>0.99999999999999989</v>
      </c>
      <c r="AI324" s="33">
        <f>Table1[[#This Row],[RAB Kegiatan Umum]]/Table1[[#This Row],[Nilai RAB Jaringan
(Exclude Ppn)]]</f>
        <v>7.5114884258845965E-2</v>
      </c>
      <c r="AJ324" s="33">
        <f>Table1[[#This Row],[RAB Pemasangan]]/Table1[[#This Row],[Nilai RAB Jaringan
(Exclude Ppn)]]</f>
        <v>0.75114884210354183</v>
      </c>
      <c r="AK324" s="33">
        <f>Table1[[#This Row],[RAB Pengadaan]]/Table1[[#This Row],[Nilai RAB Jaringan
(Exclude Ppn)]]</f>
        <v>0.16797383263157589</v>
      </c>
      <c r="AL324" s="33">
        <f>Table1[[#This Row],[RAB Perizinan]]/Table1[[#This Row],[Nilai RAB Jaringan
(Exclude Ppn)]]</f>
        <v>5.7624410060363243E-3</v>
      </c>
      <c r="AM324" s="42"/>
      <c r="AN324" s="256">
        <v>11652</v>
      </c>
      <c r="AO324" s="256">
        <f>SUM(Table1[[#This Row],[Pipa 63 mm]:[Pipa 1,800 mm]])</f>
        <v>11652</v>
      </c>
      <c r="AP324" s="256">
        <v>8346</v>
      </c>
      <c r="AQ324" s="256">
        <v>1402</v>
      </c>
      <c r="AR324" s="256">
        <v>756</v>
      </c>
      <c r="AS324" s="256">
        <v>751</v>
      </c>
      <c r="AT324" s="256">
        <v>322</v>
      </c>
      <c r="AU324" s="256">
        <v>75</v>
      </c>
      <c r="AV324" s="256"/>
      <c r="AW324" s="256"/>
      <c r="AX324" s="256"/>
      <c r="AY324" s="256"/>
      <c r="AZ324" s="256"/>
      <c r="BA324" s="256"/>
      <c r="BB324" s="256"/>
      <c r="BC324" s="256"/>
      <c r="BD324" s="256"/>
      <c r="BE324" s="256"/>
      <c r="BF324" s="256"/>
      <c r="BG324" s="256"/>
      <c r="BH324" s="256"/>
      <c r="BI324" s="256"/>
      <c r="BJ324" s="233">
        <f>SUM(Table1[[#This Row],[Pipa 63 mm2]:[Pipa 1,800 mm21]])</f>
        <v>10434</v>
      </c>
      <c r="BK324" s="36">
        <v>7990</v>
      </c>
      <c r="BL324" s="36">
        <v>1135</v>
      </c>
      <c r="BM324" s="36">
        <v>334</v>
      </c>
      <c r="BN324" s="36">
        <v>932</v>
      </c>
      <c r="BO324" s="36"/>
      <c r="BP324" s="36">
        <v>43</v>
      </c>
      <c r="BQ324" s="36"/>
      <c r="BR324" s="36"/>
      <c r="BS324" s="36"/>
      <c r="BT324" s="36"/>
      <c r="BU324" s="36"/>
      <c r="BV324" s="36"/>
      <c r="BW324" s="36"/>
      <c r="BX324" s="36"/>
      <c r="BY324" s="36"/>
      <c r="BZ324" s="36"/>
      <c r="CA324" s="36"/>
      <c r="CB324" s="36"/>
      <c r="CC324" s="36"/>
      <c r="CD324" s="36"/>
      <c r="CE324" s="32">
        <v>0</v>
      </c>
      <c r="CF324" s="32"/>
      <c r="CG324" s="32"/>
      <c r="CH324" s="32"/>
      <c r="CI324" s="32">
        <f t="shared" si="16"/>
        <v>0</v>
      </c>
      <c r="CJ324" s="60">
        <f>IF((Table1[[#This Row],["Volume
BA MC-0"]]-Table1[[#This Row],[Total Panjang Pipa Aktual
(Sum-&gt;)3]]-Table1[[#This Row],[Total Volume
tidak dapat dipasang]])&gt;=0,Table1[[#This Row],["Volume
BA MC-0"]]-Table1[[#This Row],[Total Panjang Pipa Aktual
(Sum-&gt;)3]]-Table1[[#This Row],[Total Volume
tidak dapat dipasang]],0)</f>
        <v>1218</v>
      </c>
      <c r="CK324" s="42"/>
      <c r="CL324" s="454" t="s">
        <v>1821</v>
      </c>
      <c r="CM324" s="34" t="s">
        <v>1821</v>
      </c>
      <c r="CN324" s="454" t="s">
        <v>1821</v>
      </c>
      <c r="CO324" s="454" t="s">
        <v>1821</v>
      </c>
      <c r="CP32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4" s="61">
        <f>IFERROR(Table1[[#This Row],[Progres Keg. Umum
(%)]]*Table1[[#This Row],[Nilai RAB Jaringan
(file pa aji)]],0)</f>
        <v>0</v>
      </c>
      <c r="CR324" s="61">
        <f>IFERROR(Table1[[#This Row],[Progres MOS
(%)]]*Table1[[#This Row],[Nilai RAB Jaringan
(file pa aji)]],0)</f>
        <v>0</v>
      </c>
      <c r="CS324" s="61">
        <f>IFERROR(Table1[[#This Row],[Progres Pemasangan
(%)]]*Table1[[#This Row],[Nilai RAB Jaringan
(file pa aji)]],0)</f>
        <v>0</v>
      </c>
      <c r="CT324" s="61">
        <f>IFERROR(Table1[[#This Row],[Progres Perizinan
(%)]]*Table1[[#This Row],[Nilai RAB Jaringan
(file pa aji)]],0)</f>
        <v>0</v>
      </c>
      <c r="CU324" s="789">
        <v>14607330804</v>
      </c>
      <c r="CV324" s="789">
        <v>14607330804</v>
      </c>
      <c r="CW324" s="789">
        <v>14607330804</v>
      </c>
      <c r="CX324" s="789">
        <f>_xlfn.XLOOKUP(Table1[[#This Row],[Kode Program]],'[1]Breakdown VOWD Greenfield'!$E:$E,'[1]Breakdown VOWD Greenfield'!$AT:$AT)</f>
        <v>14607330804</v>
      </c>
      <c r="CY324" s="42"/>
      <c r="CZ324" s="300">
        <v>45803</v>
      </c>
      <c r="DA324" s="300">
        <v>45830</v>
      </c>
      <c r="DB324" s="301">
        <v>45797</v>
      </c>
      <c r="DC324" s="286" t="s">
        <v>2588</v>
      </c>
      <c r="DD324" s="62">
        <v>20589661160</v>
      </c>
      <c r="DE3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4" s="301">
        <v>45803</v>
      </c>
      <c r="DG324" s="286" t="s">
        <v>2589</v>
      </c>
      <c r="DH324" s="62">
        <v>20589661160</v>
      </c>
      <c r="DI3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4" s="300">
        <v>45831</v>
      </c>
      <c r="DK324" s="300">
        <v>45900</v>
      </c>
      <c r="DL324" s="301">
        <v>45840</v>
      </c>
      <c r="DM324" s="286" t="s">
        <v>2590</v>
      </c>
      <c r="DN3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4" s="301">
        <v>45889</v>
      </c>
      <c r="DP324" s="286" t="s">
        <v>2591</v>
      </c>
      <c r="DQ324" s="308" t="s">
        <v>365</v>
      </c>
      <c r="DR3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4" s="300">
        <v>45831</v>
      </c>
      <c r="DT324" s="300" t="e">
        <v>#N/A</v>
      </c>
      <c r="DU324" s="300">
        <v>45872</v>
      </c>
      <c r="DV324" s="300" t="e">
        <v>#N/A</v>
      </c>
      <c r="DW324" s="301">
        <v>45840</v>
      </c>
      <c r="DX324" s="286" t="s">
        <v>2592</v>
      </c>
      <c r="DY324" s="304">
        <v>102</v>
      </c>
      <c r="DZ324" s="304">
        <v>102</v>
      </c>
      <c r="EA3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4" s="301"/>
      <c r="EC324" s="302">
        <v>95</v>
      </c>
      <c r="ED324" s="302">
        <v>95</v>
      </c>
      <c r="EE324" s="300"/>
      <c r="EF324" s="35">
        <v>0.93137254901960786</v>
      </c>
      <c r="EG324" s="35">
        <f>Table1[[#This Row],[Line PO (kolom  bantu)2]]/Table1[[#This Row],[Line PR]]</f>
        <v>0.93137254901960786</v>
      </c>
      <c r="EH324" s="286" t="str">
        <f>IF(Table1[[#This Row],[PO Material Aktual 
(%)]]&gt;=100%,"Selesai PO = 100%",IF(Table1[[#This Row],[PO Material Aktual 
(%)]]&gt;=50%,"Proses PO &gt; 100%",IF(Table1[[#This Row],[PO Material Aktual 
(%)]]&gt;0%,"Proses PO &gt; 50%",IF(Table1[[#This Row],[PO Material Aktual 
(%)]]=0,"Belum PO = 0%"))))</f>
        <v>Proses PO &gt; 100%</v>
      </c>
      <c r="EI32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4" s="300">
        <v>45873</v>
      </c>
      <c r="EK324" s="300" t="e">
        <v>#N/A</v>
      </c>
      <c r="EL324" s="300">
        <v>45991</v>
      </c>
      <c r="EM324" s="300" t="e">
        <v>#N/A</v>
      </c>
      <c r="EN324" s="301"/>
      <c r="EO324" s="302">
        <v>95</v>
      </c>
      <c r="EP324" s="286">
        <v>95</v>
      </c>
      <c r="EQ324" s="35">
        <v>0.93137254901960786</v>
      </c>
      <c r="ER324" s="35">
        <f>Table1[[#This Row],[Line MOS]]/Table1[[#This Row],[Line PR]]</f>
        <v>0.93137254901960786</v>
      </c>
      <c r="ES324" s="286" t="str">
        <f>IF(Table1[[#This Row],[Progres MOS]]&gt;=100%,"Selesai MOS = 100%",IF(Table1[[#This Row],[Progres MOS]]&gt;=50%,"Proses MOS &gt; 100%",IF(Table1[[#This Row],[Progres MOS]]&gt;0%,"Proses MOS &gt; 50%",IF(Table1[[#This Row],[Progres MOS]]=0,"Belum MOS = 0%"))))</f>
        <v>Proses MOS &gt; 100%</v>
      </c>
      <c r="ET3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4" s="42"/>
      <c r="EV324" s="300">
        <v>45831</v>
      </c>
      <c r="EW324" s="300" t="e">
        <v>#N/A</v>
      </c>
      <c r="EX324" s="300">
        <v>45928</v>
      </c>
      <c r="EY324" s="300" t="e">
        <v>#N/A</v>
      </c>
      <c r="EZ324" s="322" t="s">
        <v>298</v>
      </c>
      <c r="FA324" s="306" t="s">
        <v>298</v>
      </c>
      <c r="FB324" s="300" t="s">
        <v>260</v>
      </c>
      <c r="FC324" s="300">
        <v>45803</v>
      </c>
      <c r="FD324" s="300" t="s">
        <v>260</v>
      </c>
      <c r="FE324" s="300">
        <v>45910</v>
      </c>
      <c r="FF324" s="300">
        <v>45944</v>
      </c>
      <c r="FG324" s="300" t="s">
        <v>260</v>
      </c>
      <c r="FH324" s="300" t="s">
        <v>260</v>
      </c>
      <c r="FI324" s="300">
        <v>46008</v>
      </c>
      <c r="FJ324" s="300" t="s">
        <v>260</v>
      </c>
      <c r="FK324" s="300"/>
      <c r="FL324" s="306" t="s">
        <v>298</v>
      </c>
      <c r="FM324" s="322">
        <v>45803</v>
      </c>
      <c r="FN324" s="308">
        <f>IF(Table1[[#This Row],[Tanggal Pengajuan Dokumen]]="","",Table1[[#This Row],[PLAN PERMIT
start]]-Table1[[#This Row],[Tanggal Pengajuan Dokumen]])</f>
        <v>28</v>
      </c>
      <c r="FO324" s="407">
        <v>46091</v>
      </c>
      <c r="FP324" s="286"/>
      <c r="FQ324" s="308"/>
      <c r="FR324" s="308"/>
      <c r="FS324" s="308" t="str">
        <f t="shared" si="17"/>
        <v>On Going</v>
      </c>
      <c r="FT3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4" s="314">
        <f ca="1">IF(Table1[[#This Row],[Status Izin]]="Selesai",Table1[[#This Row],[PLAN PERMIT
finish]]-Table1[[#This Row],[Tanggal Terbit/ Target Izin Terbit]],ROUNDUP(Table1[[#This Row],[PLAN PERMIT
finish]]-NOW(),0))</f>
        <v>-276</v>
      </c>
      <c r="FV3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4" s="314"/>
      <c r="FX324" s="42"/>
      <c r="FY324" s="310"/>
      <c r="FZ324" s="311"/>
      <c r="GA3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4" s="300">
        <v>45902</v>
      </c>
      <c r="GC324" s="322">
        <v>45951</v>
      </c>
      <c r="GD3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4" s="300">
        <v>45909</v>
      </c>
      <c r="GF324" s="322">
        <v>45951</v>
      </c>
      <c r="GG3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4" s="300">
        <v>45915</v>
      </c>
      <c r="GI324" s="300">
        <v>45921</v>
      </c>
      <c r="GJ324" s="322">
        <v>45959</v>
      </c>
      <c r="GK3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4" s="300">
        <v>45929</v>
      </c>
      <c r="GM324" s="300" t="e">
        <v>#N/A</v>
      </c>
      <c r="GN324" s="300">
        <v>46061</v>
      </c>
      <c r="GO324" s="300" t="e">
        <v>#N/A</v>
      </c>
      <c r="GP324" s="300"/>
      <c r="GQ3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4" s="300" t="s">
        <v>261</v>
      </c>
      <c r="GS324" s="300" t="s">
        <v>261</v>
      </c>
      <c r="GT324" s="324">
        <v>46139</v>
      </c>
      <c r="GU324" s="314" t="str">
        <f>IF(Table1[[#This Row],[Hydro Tes Actual
(tanggal)]]&lt;&gt;"","Sudah","Belum")</f>
        <v>Sudah</v>
      </c>
      <c r="GV324" s="300" t="s">
        <v>261</v>
      </c>
      <c r="GW324" s="300" t="s">
        <v>261</v>
      </c>
      <c r="GX324" s="301">
        <v>46149</v>
      </c>
      <c r="GY324" s="314" t="str">
        <f>IF(Table1[[#This Row],[Interkoneksi Actual
(tanggal)]]&lt;&gt;"","Sudah","Belum")</f>
        <v>Sudah</v>
      </c>
      <c r="GZ324" s="300" t="s">
        <v>261</v>
      </c>
      <c r="HA324" s="300" t="s">
        <v>261</v>
      </c>
      <c r="HB324" s="301">
        <v>46154</v>
      </c>
      <c r="HC324" s="314" t="str">
        <f>IF(Table1[[#This Row],[Flushing Actual
(tanggal)]]&lt;&gt;"","Sudah","Belum")</f>
        <v>Sudah</v>
      </c>
      <c r="HD324" s="300">
        <v>46034</v>
      </c>
      <c r="HE324" s="300" t="e">
        <v>#N/A</v>
      </c>
      <c r="HF324" s="300">
        <v>46047</v>
      </c>
      <c r="HG324" s="322">
        <v>46167</v>
      </c>
      <c r="HH3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4" s="300" t="s">
        <v>261</v>
      </c>
      <c r="HJ324" s="300" t="s">
        <v>261</v>
      </c>
      <c r="HK324" s="301"/>
      <c r="HL324" s="286"/>
      <c r="HM324" s="300">
        <v>46066</v>
      </c>
      <c r="HN324" s="300">
        <v>46066</v>
      </c>
      <c r="HO324" s="300" t="e">
        <v>#N/A</v>
      </c>
      <c r="HP324" s="620" t="s">
        <v>260</v>
      </c>
      <c r="HQ324" s="301">
        <v>46183</v>
      </c>
      <c r="HR32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4" s="300">
        <v>46073</v>
      </c>
      <c r="HT324" s="300"/>
      <c r="HU324" s="300">
        <v>46073</v>
      </c>
      <c r="HV324" s="300"/>
      <c r="HW324" s="301">
        <v>46192</v>
      </c>
      <c r="HX32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4" s="42"/>
      <c r="HZ324" s="322"/>
      <c r="IA324" s="322"/>
      <c r="IC324" s="585">
        <f>IFERROR(ROUND((Table1[[#This Row],[PLAN TC
finish]]-Table1[[#This Row],[PLAN MC-0
start]])/30,2),"")</f>
        <v>4.4000000000000004</v>
      </c>
      <c r="ID324">
        <f>DATEDIF(Table1[[#This Row],[PLAN MC-0
start]],Table1[[#This Row],[PLAN TC
finish]],"m")</f>
        <v>4</v>
      </c>
    </row>
    <row r="325" spans="1:238" s="4" customFormat="1" ht="15" customHeight="1" x14ac:dyDescent="0.25">
      <c r="B325" s="281">
        <f>SUBTOTAL(3,$D$5:D325)</f>
        <v>321</v>
      </c>
      <c r="C325" s="286">
        <v>321</v>
      </c>
      <c r="D325" s="285" t="s">
        <v>673</v>
      </c>
      <c r="E325" s="308" t="s">
        <v>2593</v>
      </c>
      <c r="F325" s="308" t="s">
        <v>2594</v>
      </c>
      <c r="G325" s="319">
        <v>46117</v>
      </c>
      <c r="H325" s="308" t="s">
        <v>681</v>
      </c>
      <c r="I325" s="308" t="s">
        <v>278</v>
      </c>
      <c r="J325" s="450" t="s">
        <v>1818</v>
      </c>
      <c r="K325" s="308" t="s">
        <v>676</v>
      </c>
      <c r="L325" s="286" t="s">
        <v>250</v>
      </c>
      <c r="M325" s="325" t="s">
        <v>269</v>
      </c>
      <c r="N325" s="94">
        <v>6155</v>
      </c>
      <c r="O325" s="31" t="s">
        <v>252</v>
      </c>
      <c r="P32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5" s="35">
        <v>1.0000000000000002</v>
      </c>
      <c r="S325" s="34">
        <v>1</v>
      </c>
      <c r="T325" s="34">
        <f>Table1[[#This Row],[Progres Total Aktual
(%)]]</f>
        <v>0.91015659975971486</v>
      </c>
      <c r="U325" s="85">
        <f>Table1[[#This Row],[Progres Aktual
(%)]]-Table1[[#This Row],[Target Progres
(%)]]</f>
        <v>-8.9843400240285143E-2</v>
      </c>
      <c r="V325" s="75">
        <f>Table1[[#This Row],["Volume
BA MC-0"]]</f>
        <v>6459</v>
      </c>
      <c r="W325" s="41">
        <f>Table1[[#This Row],[Total Panjang Pipa Aktual
(Sum-&gt;)3]]</f>
        <v>6393</v>
      </c>
      <c r="X325" s="42"/>
      <c r="Y325" s="62" t="s">
        <v>2595</v>
      </c>
      <c r="Z325" s="62">
        <v>90555389652</v>
      </c>
      <c r="AA325" s="62">
        <f>ROUND((Table1[[#This Row],[Nilai RAB Jaringan
(Exclude Ppn)]]-Table1[[#This Row],[RAB Perizinan]])*1.11+Table1[[#This Row],[RAB Perizinan]],0)</f>
        <v>90555389651</v>
      </c>
      <c r="AB325" s="456">
        <f>SUM(Table1[[#This Row],[RAB Kegiatan Umum]:[RAB Perizinan]])</f>
        <v>81597447721.800003</v>
      </c>
      <c r="AC325" s="473">
        <v>3784693448.8000002</v>
      </c>
      <c r="AD325" s="406">
        <v>47308668110</v>
      </c>
      <c r="AE325" s="406">
        <v>30342474163</v>
      </c>
      <c r="AF325" s="406">
        <v>161612000</v>
      </c>
      <c r="AG325" s="453">
        <v>0</v>
      </c>
      <c r="AH325" s="33">
        <f>SUM(Table1[[#This Row],[Bobot Keg Umum]:[Bobot Perizinan]])</f>
        <v>1</v>
      </c>
      <c r="AI325" s="33">
        <f>Table1[[#This Row],[RAB Kegiatan Umum]]/Table1[[#This Row],[Nilai RAB Jaringan
(Exclude Ppn)]]</f>
        <v>4.638249791468492E-2</v>
      </c>
      <c r="AJ325" s="33">
        <f>Table1[[#This Row],[RAB Pemasangan]]/Table1[[#This Row],[Nilai RAB Jaringan
(Exclude Ppn)]]</f>
        <v>0.57978122393356146</v>
      </c>
      <c r="AK325" s="33">
        <f>Table1[[#This Row],[RAB Pengadaan]]/Table1[[#This Row],[Nilai RAB Jaringan
(Exclude Ppn)]]</f>
        <v>0.3718556769869843</v>
      </c>
      <c r="AL325" s="33">
        <f>Table1[[#This Row],[RAB Perizinan]]/Table1[[#This Row],[Nilai RAB Jaringan
(Exclude Ppn)]]</f>
        <v>1.9806011647693104E-3</v>
      </c>
      <c r="AM325" s="42"/>
      <c r="AN325" s="256">
        <v>6459</v>
      </c>
      <c r="AO325" s="256">
        <f>SUM(Table1[[#This Row],[Pipa 63 mm]:[Pipa 1,800 mm]])</f>
        <v>6459</v>
      </c>
      <c r="AP325" s="256"/>
      <c r="AQ325" s="256"/>
      <c r="AR325" s="256"/>
      <c r="AS325" s="256"/>
      <c r="AT325" s="256">
        <v>378</v>
      </c>
      <c r="AU325" s="256"/>
      <c r="AV325" s="256"/>
      <c r="AW325" s="256"/>
      <c r="AX325" s="256">
        <v>60</v>
      </c>
      <c r="AY325" s="256">
        <v>6021</v>
      </c>
      <c r="AZ325" s="256"/>
      <c r="BA325" s="256"/>
      <c r="BB325" s="256"/>
      <c r="BC325" s="256"/>
      <c r="BD325" s="256"/>
      <c r="BE325" s="256"/>
      <c r="BF325" s="256"/>
      <c r="BG325" s="256"/>
      <c r="BH325" s="256"/>
      <c r="BI325" s="256"/>
      <c r="BJ325" s="233">
        <f>SUM(Table1[[#This Row],[Pipa 63 mm2]:[Pipa 1,800 mm21]])</f>
        <v>6393</v>
      </c>
      <c r="BK325" s="32"/>
      <c r="BL325" s="32"/>
      <c r="BM325" s="32"/>
      <c r="BN325" s="32"/>
      <c r="BO325" s="32">
        <v>354</v>
      </c>
      <c r="BP325" s="32"/>
      <c r="BQ325" s="32"/>
      <c r="BR325" s="32"/>
      <c r="BS325" s="32">
        <v>102</v>
      </c>
      <c r="BT325" s="32">
        <v>5937</v>
      </c>
      <c r="BU325" s="32"/>
      <c r="BV325" s="32"/>
      <c r="BW325" s="32"/>
      <c r="BX325" s="32"/>
      <c r="BY325" s="32"/>
      <c r="BZ325" s="32"/>
      <c r="CA325" s="32"/>
      <c r="CB325" s="32"/>
      <c r="CC325" s="32"/>
      <c r="CD325" s="32"/>
      <c r="CE325" s="32">
        <v>0</v>
      </c>
      <c r="CF325" s="32"/>
      <c r="CG325" s="32"/>
      <c r="CH325" s="32"/>
      <c r="CI325" s="32">
        <f t="shared" si="16"/>
        <v>0</v>
      </c>
      <c r="CJ325" s="60">
        <f>IF((Table1[[#This Row],["Volume
BA MC-0"]]-Table1[[#This Row],[Total Panjang Pipa Aktual
(Sum-&gt;)3]]-Table1[[#This Row],[Total Volume
tidak dapat dipasang]])&gt;=0,Table1[[#This Row],["Volume
BA MC-0"]]-Table1[[#This Row],[Total Panjang Pipa Aktual
(Sum-&gt;)3]]-Table1[[#This Row],[Total Volume
tidak dapat dipasang]],0)</f>
        <v>66</v>
      </c>
      <c r="CK325" s="42"/>
      <c r="CL325" s="297">
        <v>2.0303009634967256E-2</v>
      </c>
      <c r="CM325" s="34">
        <v>0.28676922286563661</v>
      </c>
      <c r="CN325" s="297">
        <v>0.15096075175350193</v>
      </c>
      <c r="CO325" s="454">
        <v>0</v>
      </c>
      <c r="CP32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0.91015659975971486</v>
      </c>
      <c r="CQ325" s="61">
        <f>IFERROR(Table1[[#This Row],[Progres Keg. Umum
(%)]]*Table1[[#This Row],[Nilai RAB Jaringan
(file pa aji)]],0)</f>
        <v>1838546948.6027701</v>
      </c>
      <c r="CR325" s="61">
        <f>IFERROR(Table1[[#This Row],[Progres MOS
(%)]]*Table1[[#This Row],[Nilai RAB Jaringan
(file pa aji)]],0)</f>
        <v>25968498716.79895</v>
      </c>
      <c r="CS325" s="61">
        <f>IFERROR(Table1[[#This Row],[Progres Pemasangan
(%)]]*Table1[[#This Row],[Nilai RAB Jaringan
(file pa aji)]],0)</f>
        <v>13670309697.19721</v>
      </c>
      <c r="CT325" s="61">
        <f>IFERROR(Table1[[#This Row],[Progres Perizinan
(%)]]*Table1[[#This Row],[Nilai RAB Jaringan
(file pa aji)]],0)</f>
        <v>0</v>
      </c>
      <c r="CU325" s="789">
        <v>82419585534.670227</v>
      </c>
      <c r="CV325" s="299">
        <v>82419585534.670227</v>
      </c>
      <c r="CW325" s="552">
        <v>0</v>
      </c>
      <c r="CX325" s="789">
        <f>_xlfn.XLOOKUP(Table1[[#This Row],[Kode Program]],'[1]Breakdown VOWD Greenfield'!$E:$E,'[1]Breakdown VOWD Greenfield'!$AT:$AT)</f>
        <v>0</v>
      </c>
      <c r="CY325" s="42"/>
      <c r="CZ325" s="300">
        <v>45747</v>
      </c>
      <c r="DA325" s="300">
        <v>45774</v>
      </c>
      <c r="DB325" s="301">
        <v>45779</v>
      </c>
      <c r="DC325" s="286" t="s">
        <v>2596</v>
      </c>
      <c r="DD325" s="62">
        <v>23030864394</v>
      </c>
      <c r="DE3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25" s="301">
        <v>45805</v>
      </c>
      <c r="DG325" s="286" t="s">
        <v>2597</v>
      </c>
      <c r="DH325" s="62">
        <v>23030864394</v>
      </c>
      <c r="DI3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25" s="300">
        <v>45775</v>
      </c>
      <c r="DK325" s="300">
        <v>45837</v>
      </c>
      <c r="DL325" s="301">
        <v>45827</v>
      </c>
      <c r="DM325" s="286" t="s">
        <v>2598</v>
      </c>
      <c r="DN3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5" s="301">
        <v>45847</v>
      </c>
      <c r="DP325" s="286" t="s">
        <v>2599</v>
      </c>
      <c r="DQ325" s="308" t="s">
        <v>1872</v>
      </c>
      <c r="DR3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5" s="300">
        <v>45775</v>
      </c>
      <c r="DT325" s="300" t="e">
        <v>#N/A</v>
      </c>
      <c r="DU325" s="300">
        <v>45816</v>
      </c>
      <c r="DV325" s="300" t="e">
        <v>#N/A</v>
      </c>
      <c r="DW325" s="301">
        <v>45828</v>
      </c>
      <c r="DX325" s="286" t="s">
        <v>2600</v>
      </c>
      <c r="DY325" s="304">
        <v>37</v>
      </c>
      <c r="DZ325" s="304">
        <v>37</v>
      </c>
      <c r="EA3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25" s="301">
        <v>46051</v>
      </c>
      <c r="EC325" s="302">
        <v>30</v>
      </c>
      <c r="ED325" s="302">
        <v>30</v>
      </c>
      <c r="EE325" s="300"/>
      <c r="EF325" s="35">
        <v>0.81081081081081086</v>
      </c>
      <c r="EG325" s="35">
        <f>Table1[[#This Row],[Line PO (kolom  bantu)2]]/Table1[[#This Row],[Line PR]]</f>
        <v>0.81081081081081086</v>
      </c>
      <c r="EH325" s="286" t="str">
        <f>IF(Table1[[#This Row],[PO Material Aktual 
(%)]]&gt;=100%,"Selesai PO = 100%",IF(Table1[[#This Row],[PO Material Aktual 
(%)]]&gt;=50%,"Proses PO &gt; 100%",IF(Table1[[#This Row],[PO Material Aktual 
(%)]]&gt;0%,"Proses PO &gt; 50%",IF(Table1[[#This Row],[PO Material Aktual 
(%)]]=0,"Belum PO = 0%"))))</f>
        <v>Proses PO &gt; 100%</v>
      </c>
      <c r="EI32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5" s="300">
        <v>45817</v>
      </c>
      <c r="EK325" s="300" t="e">
        <v>#N/A</v>
      </c>
      <c r="EL325" s="300">
        <v>45928</v>
      </c>
      <c r="EM325" s="300" t="e">
        <v>#N/A</v>
      </c>
      <c r="EN325" s="301">
        <v>46059</v>
      </c>
      <c r="EO325" s="302">
        <v>16</v>
      </c>
      <c r="EP325" s="593">
        <v>16</v>
      </c>
      <c r="EQ325" s="35">
        <v>0.43243243243243246</v>
      </c>
      <c r="ER325" s="35">
        <f>Table1[[#This Row],[Line MOS]]/Table1[[#This Row],[Line PR]]</f>
        <v>0.43243243243243246</v>
      </c>
      <c r="ES325" s="286" t="str">
        <f>IF(Table1[[#This Row],[Progres MOS]]&gt;=100%,"Selesai MOS = 100%",IF(Table1[[#This Row],[Progres MOS]]&gt;=50%,"Proses MOS &gt; 100%",IF(Table1[[#This Row],[Progres MOS]]&gt;0%,"Proses MOS &gt; 50%",IF(Table1[[#This Row],[Progres MOS]]=0,"Belum MOS = 0%"))))</f>
        <v>Proses MOS &gt; 50%</v>
      </c>
      <c r="ET3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5" s="42"/>
      <c r="EV325" s="300">
        <v>45775</v>
      </c>
      <c r="EW325" s="300" t="e">
        <v>#N/A</v>
      </c>
      <c r="EX325" s="300">
        <v>45865</v>
      </c>
      <c r="EY325" s="300" t="e">
        <v>#N/A</v>
      </c>
      <c r="EZ325" s="322" t="s">
        <v>298</v>
      </c>
      <c r="FA325" s="306" t="s">
        <v>259</v>
      </c>
      <c r="FB325" s="300" t="s">
        <v>260</v>
      </c>
      <c r="FC325" s="300">
        <v>45112</v>
      </c>
      <c r="FD325" s="300" t="s">
        <v>260</v>
      </c>
      <c r="FE325" s="300"/>
      <c r="FF325" s="300"/>
      <c r="FG325" s="300" t="s">
        <v>260</v>
      </c>
      <c r="FH325" s="300" t="s">
        <v>260</v>
      </c>
      <c r="FI325" s="300"/>
      <c r="FJ325" s="300" t="s">
        <v>260</v>
      </c>
      <c r="FK325" s="300"/>
      <c r="FL325" s="306" t="s">
        <v>298</v>
      </c>
      <c r="FM325" s="322">
        <v>45112</v>
      </c>
      <c r="FN325" s="308">
        <f>IF(Table1[[#This Row],[Tanggal Pengajuan Dokumen]]="","",Table1[[#This Row],[PLAN PERMIT
start]]-Table1[[#This Row],[Tanggal Pengajuan Dokumen]])</f>
        <v>663</v>
      </c>
      <c r="FO325" s="407">
        <v>46097</v>
      </c>
      <c r="FP325" s="286"/>
      <c r="FQ325" s="308"/>
      <c r="FR325" s="308"/>
      <c r="FS325" s="308" t="str">
        <f t="shared" si="17"/>
        <v>Sudah Terbit</v>
      </c>
      <c r="FT3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5" s="314">
        <f ca="1">IF(Table1[[#This Row],[Status Izin]]="Selesai",Table1[[#This Row],[PLAN PERMIT
finish]]-Table1[[#This Row],[Tanggal Terbit/ Target Izin Terbit]],ROUNDUP(Table1[[#This Row],[PLAN PERMIT
finish]]-NOW(),0))</f>
        <v>-232</v>
      </c>
      <c r="FV3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5" s="314"/>
      <c r="FX325" s="42"/>
      <c r="FY325" s="310"/>
      <c r="FZ325" s="311"/>
      <c r="GA3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5" s="300">
        <v>45839</v>
      </c>
      <c r="GC325" s="322">
        <v>45880</v>
      </c>
      <c r="GD3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5" s="300">
        <v>45846</v>
      </c>
      <c r="GF325" s="322">
        <v>45880</v>
      </c>
      <c r="GG3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5" s="300">
        <v>45852</v>
      </c>
      <c r="GI325" s="300">
        <v>45858</v>
      </c>
      <c r="GJ325" s="322">
        <v>45882</v>
      </c>
      <c r="GK3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5" s="300">
        <v>45866</v>
      </c>
      <c r="GM325" s="300" t="e">
        <v>#N/A</v>
      </c>
      <c r="GN325" s="300">
        <v>46005</v>
      </c>
      <c r="GO325" s="300" t="e">
        <v>#N/A</v>
      </c>
      <c r="GP325" s="300"/>
      <c r="GQ3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5" s="300" t="s">
        <v>261</v>
      </c>
      <c r="GS325" s="300" t="s">
        <v>261</v>
      </c>
      <c r="GT325" s="324"/>
      <c r="GU325" s="314" t="str">
        <f>IF(Table1[[#This Row],[Hydro Tes Actual
(tanggal)]]&lt;&gt;"","Sudah","Belum")</f>
        <v>Belum</v>
      </c>
      <c r="GV325" s="300" t="s">
        <v>261</v>
      </c>
      <c r="GW325" s="300" t="s">
        <v>261</v>
      </c>
      <c r="GX325" s="301"/>
      <c r="GY325" s="314" t="str">
        <f>IF(Table1[[#This Row],[Interkoneksi Actual
(tanggal)]]&lt;&gt;"","Sudah","Belum")</f>
        <v>Belum</v>
      </c>
      <c r="GZ325" s="300" t="s">
        <v>261</v>
      </c>
      <c r="HA325" s="300" t="s">
        <v>261</v>
      </c>
      <c r="HB325" s="301"/>
      <c r="HC325" s="314" t="str">
        <f>IF(Table1[[#This Row],[Flushing Actual
(tanggal)]]&lt;&gt;"","Sudah","Belum")</f>
        <v>Belum</v>
      </c>
      <c r="HD325" s="300">
        <v>45978</v>
      </c>
      <c r="HE325" s="300" t="e">
        <v>#N/A</v>
      </c>
      <c r="HF325" s="300">
        <v>45991</v>
      </c>
      <c r="HG325" s="322"/>
      <c r="HH3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5" s="300" t="s">
        <v>261</v>
      </c>
      <c r="HJ325" s="300" t="s">
        <v>261</v>
      </c>
      <c r="HK325" s="301"/>
      <c r="HL325" s="286"/>
      <c r="HM325" s="300">
        <v>46010</v>
      </c>
      <c r="HN325" s="300">
        <v>46010</v>
      </c>
      <c r="HO325" s="300" t="e">
        <v>#N/A</v>
      </c>
      <c r="HP325" s="300"/>
      <c r="HQ325" s="301"/>
      <c r="HR32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5" s="300">
        <v>46018</v>
      </c>
      <c r="HT325" s="300"/>
      <c r="HU325" s="300">
        <v>46018</v>
      </c>
      <c r="HV325" s="300"/>
      <c r="HW325" s="301"/>
      <c r="HX32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5" s="42"/>
      <c r="HZ325" s="322"/>
      <c r="IA325" s="322"/>
      <c r="IC325" s="585">
        <f>IFERROR(ROUND((Table1[[#This Row],[PLAN TC
finish]]-Table1[[#This Row],[PLAN MC-0
start]])/30,2),"")</f>
        <v>4.63</v>
      </c>
      <c r="ID325">
        <f>DATEDIF(Table1[[#This Row],[PLAN MC-0
start]],Table1[[#This Row],[PLAN TC
finish]],"m")</f>
        <v>4</v>
      </c>
    </row>
    <row r="326" spans="1:238" s="4" customFormat="1" ht="15" customHeight="1" x14ac:dyDescent="0.25">
      <c r="B326" s="281">
        <f>SUBTOTAL(3,$D$5:D326)</f>
        <v>322</v>
      </c>
      <c r="C326" s="286">
        <v>322</v>
      </c>
      <c r="D326" s="285" t="s">
        <v>673</v>
      </c>
      <c r="E326" s="308" t="s">
        <v>2601</v>
      </c>
      <c r="F326" s="308" t="s">
        <v>2602</v>
      </c>
      <c r="G326" s="319">
        <v>46117</v>
      </c>
      <c r="H326" s="308" t="s">
        <v>681</v>
      </c>
      <c r="I326" s="308" t="s">
        <v>278</v>
      </c>
      <c r="J326" s="450" t="s">
        <v>1830</v>
      </c>
      <c r="K326" s="308" t="s">
        <v>676</v>
      </c>
      <c r="L326" s="286" t="s">
        <v>250</v>
      </c>
      <c r="M326" s="325" t="s">
        <v>269</v>
      </c>
      <c r="N326" s="94">
        <v>272</v>
      </c>
      <c r="O326" s="31" t="s">
        <v>252</v>
      </c>
      <c r="P32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26" s="35">
        <v>1</v>
      </c>
      <c r="S326" s="34">
        <v>1</v>
      </c>
      <c r="T326" s="34">
        <f>Table1[[#This Row],[Progres Total Aktual
(%)]]</f>
        <v>1</v>
      </c>
      <c r="U326" s="85">
        <f>Table1[[#This Row],[Progres Aktual
(%)]]-Table1[[#This Row],[Target Progres
(%)]]</f>
        <v>0</v>
      </c>
      <c r="V326" s="75">
        <f>Table1[[#This Row],["Volume
BA MC-0"]]</f>
        <v>275</v>
      </c>
      <c r="W326" s="41">
        <f>Table1[[#This Row],[Total Panjang Pipa Aktual
(Sum-&gt;)3]]</f>
        <v>275</v>
      </c>
      <c r="X326" s="42"/>
      <c r="Y326" s="62" t="s">
        <v>746</v>
      </c>
      <c r="Z326" s="62">
        <v>505488651</v>
      </c>
      <c r="AA326" s="62">
        <f>ROUND((Table1[[#This Row],[Nilai RAB Jaringan
(Exclude Ppn)]]-Table1[[#This Row],[RAB Perizinan]])*1.11+Table1[[#This Row],[RAB Perizinan]],0)</f>
        <v>505488650</v>
      </c>
      <c r="AB326" s="456">
        <f>SUM(Table1[[#This Row],[RAB Kegiatan Umum]:[RAB Perizinan]])</f>
        <v>455664730</v>
      </c>
      <c r="AC326" s="406">
        <v>32534585</v>
      </c>
      <c r="AD326" s="406">
        <v>325345847</v>
      </c>
      <c r="AE326" s="406">
        <v>95064298</v>
      </c>
      <c r="AF326" s="406">
        <v>2720000</v>
      </c>
      <c r="AG326" s="453">
        <v>50568928</v>
      </c>
      <c r="AH326" s="33">
        <f>SUM(Table1[[#This Row],[Bobot Keg Umum]:[Bobot Perizinan]])</f>
        <v>0.99999999999999989</v>
      </c>
      <c r="AI326" s="33">
        <f>Table1[[#This Row],[RAB Kegiatan Umum]]/Table1[[#This Row],[Nilai RAB Jaringan
(Exclude Ppn)]]</f>
        <v>7.140027054540736E-2</v>
      </c>
      <c r="AJ326" s="33">
        <f>Table1[[#This Row],[RAB Pemasangan]]/Table1[[#This Row],[Nilai RAB Jaringan
(Exclude Ppn)]]</f>
        <v>0.71400269887028567</v>
      </c>
      <c r="AK326" s="33">
        <f>Table1[[#This Row],[RAB Pengadaan]]/Table1[[#This Row],[Nilai RAB Jaringan
(Exclude Ppn)]]</f>
        <v>0.20862772942729185</v>
      </c>
      <c r="AL326" s="33">
        <f>Table1[[#This Row],[RAB Perizinan]]/Table1[[#This Row],[Nilai RAB Jaringan
(Exclude Ppn)]]</f>
        <v>5.9693011570151593E-3</v>
      </c>
      <c r="AM326" s="42"/>
      <c r="AN326" s="256">
        <v>275</v>
      </c>
      <c r="AO326" s="256">
        <f>SUM(Table1[[#This Row],[Pipa 63 mm]:[Pipa 1,800 mm]])</f>
        <v>275</v>
      </c>
      <c r="AP326" s="256"/>
      <c r="AQ326" s="256">
        <v>275</v>
      </c>
      <c r="AR326" s="256"/>
      <c r="AS326" s="256"/>
      <c r="AT326" s="256"/>
      <c r="AU326" s="256"/>
      <c r="AV326" s="256"/>
      <c r="AW326" s="256"/>
      <c r="AX326" s="256"/>
      <c r="AY326" s="256"/>
      <c r="AZ326" s="256"/>
      <c r="BA326" s="256"/>
      <c r="BB326" s="256"/>
      <c r="BC326" s="256"/>
      <c r="BD326" s="256"/>
      <c r="BE326" s="256"/>
      <c r="BF326" s="256"/>
      <c r="BG326" s="256"/>
      <c r="BH326" s="256"/>
      <c r="BI326" s="256"/>
      <c r="BJ326" s="233">
        <f>SUM(Table1[[#This Row],[Pipa 63 mm2]:[Pipa 1,800 mm21]])</f>
        <v>275</v>
      </c>
      <c r="BK326" s="32"/>
      <c r="BL326" s="32">
        <v>275</v>
      </c>
      <c r="BM326" s="32"/>
      <c r="BN326" s="32"/>
      <c r="BO326" s="32"/>
      <c r="BP326" s="32"/>
      <c r="BQ326" s="32"/>
      <c r="BR326" s="32"/>
      <c r="BS326" s="32"/>
      <c r="BT326" s="32"/>
      <c r="BU326" s="32"/>
      <c r="BV326" s="32"/>
      <c r="BW326" s="32"/>
      <c r="BX326" s="32"/>
      <c r="BY326" s="32"/>
      <c r="BZ326" s="32"/>
      <c r="CA326" s="32"/>
      <c r="CB326" s="32"/>
      <c r="CC326" s="32"/>
      <c r="CD326" s="32"/>
      <c r="CE326" s="32">
        <v>0</v>
      </c>
      <c r="CF326" s="32"/>
      <c r="CG326" s="32"/>
      <c r="CH326" s="32"/>
      <c r="CI326" s="32">
        <f t="shared" si="16"/>
        <v>0</v>
      </c>
      <c r="CJ326" s="60">
        <f>IF((Table1[[#This Row],["Volume
BA MC-0"]]-Table1[[#This Row],[Total Panjang Pipa Aktual
(Sum-&gt;)3]]-Table1[[#This Row],[Total Volume
tidak dapat dipasang]])&gt;=0,Table1[[#This Row],["Volume
BA MC-0"]]-Table1[[#This Row],[Total Panjang Pipa Aktual
(Sum-&gt;)3]]-Table1[[#This Row],[Total Volume
tidak dapat dipasang]],0)</f>
        <v>0</v>
      </c>
      <c r="CK326" s="42"/>
      <c r="CL326" s="454" t="s">
        <v>1821</v>
      </c>
      <c r="CM326" s="34">
        <f>Table1[[#This Row],[RAB Pengadaan]]/Table1[[#This Row],[Nilai RAB Jaringan
(Exclude Ppn)]]*Table1[[#This Row],[Progres MOS]]*80%</f>
        <v>0.13352174683346682</v>
      </c>
      <c r="CN326" s="454" t="s">
        <v>1821</v>
      </c>
      <c r="CO326" s="454" t="s">
        <v>1821</v>
      </c>
      <c r="CP32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26" s="61">
        <f>IFERROR(Table1[[#This Row],[Progres Keg. Umum
(%)]]*Table1[[#This Row],[Nilai RAB Jaringan
(file pa aji)]],0)</f>
        <v>0</v>
      </c>
      <c r="CR326" s="61">
        <f>IFERROR(Table1[[#This Row],[Progres MOS
(%)]]*Table1[[#This Row],[Nilai RAB Jaringan
(file pa aji)]],0)</f>
        <v>67493727.68601267</v>
      </c>
      <c r="CS326" s="61">
        <f>IFERROR(Table1[[#This Row],[Progres Pemasangan
(%)]]*Table1[[#This Row],[Nilai RAB Jaringan
(file pa aji)]],0)</f>
        <v>0</v>
      </c>
      <c r="CT326" s="61">
        <f>IFERROR(Table1[[#This Row],[Progres Perizinan
(%)]]*Table1[[#This Row],[Nilai RAB Jaringan
(file pa aji)]],0)</f>
        <v>0</v>
      </c>
      <c r="CU326" s="789">
        <v>507402315</v>
      </c>
      <c r="CV326" s="299">
        <v>507402315</v>
      </c>
      <c r="CW326" s="552">
        <v>507402315</v>
      </c>
      <c r="CX326" s="789">
        <f>_xlfn.XLOOKUP(Table1[[#This Row],[Kode Program]],'[1]Breakdown VOWD Greenfield'!$E:$E,'[1]Breakdown VOWD Greenfield'!$AT:$AT)</f>
        <v>507402315</v>
      </c>
      <c r="CY326" s="42"/>
      <c r="CZ326" s="300">
        <v>45838</v>
      </c>
      <c r="DA326" s="300">
        <v>45865</v>
      </c>
      <c r="DB326" s="301">
        <v>45818</v>
      </c>
      <c r="DC326" s="286" t="s">
        <v>2603</v>
      </c>
      <c r="DD326" s="62">
        <v>505488651</v>
      </c>
      <c r="DE3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6" s="301">
        <v>45831</v>
      </c>
      <c r="DG326" s="286" t="s">
        <v>2604</v>
      </c>
      <c r="DH326" s="62">
        <v>505488651</v>
      </c>
      <c r="DI3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6" s="300">
        <v>45866</v>
      </c>
      <c r="DK326" s="300">
        <v>45928</v>
      </c>
      <c r="DL326" s="301">
        <v>45863</v>
      </c>
      <c r="DM326" s="286" t="s">
        <v>2605</v>
      </c>
      <c r="DN3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6" s="301">
        <v>45883</v>
      </c>
      <c r="DP326" s="286" t="s">
        <v>2606</v>
      </c>
      <c r="DQ326" s="308" t="s">
        <v>560</v>
      </c>
      <c r="DR3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6" s="300">
        <v>45866</v>
      </c>
      <c r="DT326" s="300" t="e">
        <v>#N/A</v>
      </c>
      <c r="DU326" s="300">
        <v>45907</v>
      </c>
      <c r="DV326" s="300" t="e">
        <v>#N/A</v>
      </c>
      <c r="DW326" s="301">
        <v>45863</v>
      </c>
      <c r="DX326" s="286" t="s">
        <v>2607</v>
      </c>
      <c r="DY326" s="302">
        <v>25</v>
      </c>
      <c r="DZ326" s="304">
        <v>25</v>
      </c>
      <c r="EA3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6" s="301">
        <v>46122</v>
      </c>
      <c r="EC326" s="302">
        <v>20</v>
      </c>
      <c r="ED326" s="302">
        <v>20</v>
      </c>
      <c r="EE326" s="395" t="s">
        <v>2608</v>
      </c>
      <c r="EF326" s="35">
        <v>1</v>
      </c>
      <c r="EG326" s="307">
        <v>1</v>
      </c>
      <c r="EH326" s="286" t="str">
        <f>IF(Table1[[#This Row],[PO Material Aktual 
(%)]]&gt;=100%,"Selesai PO = 100%",IF(Table1[[#This Row],[PO Material Aktual 
(%)]]&gt;=50%,"Proses PO &gt; 100%",IF(Table1[[#This Row],[PO Material Aktual 
(%)]]&gt;0%,"Proses PO &gt; 50%",IF(Table1[[#This Row],[PO Material Aktual 
(%)]]=0,"Belum PO = 0%"))))</f>
        <v>Selesai PO = 100%</v>
      </c>
      <c r="EI32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26" s="300">
        <v>45908</v>
      </c>
      <c r="EK326" s="300" t="e">
        <v>#N/A</v>
      </c>
      <c r="EL326" s="300">
        <v>45956</v>
      </c>
      <c r="EM326" s="300" t="e">
        <v>#N/A</v>
      </c>
      <c r="EN326" s="301">
        <v>46160</v>
      </c>
      <c r="EO326" s="302">
        <v>20</v>
      </c>
      <c r="EP326" s="286">
        <v>20</v>
      </c>
      <c r="EQ326" s="35">
        <v>0.8</v>
      </c>
      <c r="ER326" s="35">
        <f>Table1[[#This Row],[Line MOS]]/Table1[[#This Row],[Line PR]]</f>
        <v>0.8</v>
      </c>
      <c r="ES326" s="286" t="str">
        <f>IF(Table1[[#This Row],[Progres MOS]]&gt;=100%,"Selesai MOS = 100%",IF(Table1[[#This Row],[Progres MOS]]&gt;=50%,"Proses MOS &gt; 100%",IF(Table1[[#This Row],[Progres MOS]]&gt;0%,"Proses MOS &gt; 50%",IF(Table1[[#This Row],[Progres MOS]]=0,"Belum MOS = 0%"))))</f>
        <v>Proses MOS &gt; 100%</v>
      </c>
      <c r="ET3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26" s="42"/>
      <c r="EV326" s="300">
        <v>45866</v>
      </c>
      <c r="EW326" s="300" t="e">
        <v>#N/A</v>
      </c>
      <c r="EX326" s="300">
        <v>45956</v>
      </c>
      <c r="EY326" s="300" t="e">
        <v>#N/A</v>
      </c>
      <c r="EZ326" s="322" t="s">
        <v>298</v>
      </c>
      <c r="FA326" s="306" t="s">
        <v>259</v>
      </c>
      <c r="FB326" s="300" t="s">
        <v>260</v>
      </c>
      <c r="FC326" s="300">
        <v>45944</v>
      </c>
      <c r="FD326" s="300" t="s">
        <v>260</v>
      </c>
      <c r="FE326" s="300">
        <v>45966</v>
      </c>
      <c r="FF326" s="300">
        <v>45993</v>
      </c>
      <c r="FG326" s="300" t="s">
        <v>260</v>
      </c>
      <c r="FH326" s="300" t="s">
        <v>260</v>
      </c>
      <c r="FI326" s="300">
        <v>46010</v>
      </c>
      <c r="FJ326" s="300" t="s">
        <v>260</v>
      </c>
      <c r="FK326" s="300">
        <v>46097</v>
      </c>
      <c r="FL326" s="306" t="s">
        <v>298</v>
      </c>
      <c r="FM326" s="322">
        <v>45944</v>
      </c>
      <c r="FN326" s="308">
        <f>IF(Table1[[#This Row],[Tanggal Pengajuan Dokumen]]="","",Table1[[#This Row],[PLAN PERMIT
start]]-Table1[[#This Row],[Tanggal Pengajuan Dokumen]])</f>
        <v>-78</v>
      </c>
      <c r="FO326" s="407">
        <v>46097</v>
      </c>
      <c r="FP326" s="286"/>
      <c r="FQ326" s="308"/>
      <c r="FR326" s="308"/>
      <c r="FS326" s="308" t="str">
        <f t="shared" si="17"/>
        <v>Sudah Terbit</v>
      </c>
      <c r="FT3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26" s="314">
        <f ca="1">IF(Table1[[#This Row],[Status Izin]]="Selesai",Table1[[#This Row],[PLAN PERMIT
finish]]-Table1[[#This Row],[Tanggal Terbit/ Target Izin Terbit]],ROUNDUP(Table1[[#This Row],[PLAN PERMIT
finish]]-NOW(),0))</f>
        <v>-141</v>
      </c>
      <c r="FV3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6" s="314"/>
      <c r="FX326" s="42"/>
      <c r="FY326" s="310"/>
      <c r="FZ326" s="311"/>
      <c r="GA3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6" s="300">
        <v>45930</v>
      </c>
      <c r="GC326" s="322">
        <v>45888</v>
      </c>
      <c r="GD3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6" s="300">
        <v>45937</v>
      </c>
      <c r="GF326" s="322">
        <v>45888</v>
      </c>
      <c r="GG3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26" s="300">
        <v>45943</v>
      </c>
      <c r="GI326" s="300">
        <v>45949</v>
      </c>
      <c r="GJ326" s="322">
        <v>45894</v>
      </c>
      <c r="GK3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26" s="300">
        <v>45957</v>
      </c>
      <c r="GM326" s="300" t="e">
        <v>#N/A</v>
      </c>
      <c r="GN326" s="300">
        <v>45977</v>
      </c>
      <c r="GO326" s="300" t="e">
        <v>#N/A</v>
      </c>
      <c r="GP326" s="300"/>
      <c r="GQ3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6" s="300" t="s">
        <v>261</v>
      </c>
      <c r="GS326" s="300" t="s">
        <v>261</v>
      </c>
      <c r="GT326" s="324">
        <v>46052</v>
      </c>
      <c r="GU326" s="314" t="str">
        <f>IF(Table1[[#This Row],[Hydro Tes Actual
(tanggal)]]&lt;&gt;"","Sudah","Belum")</f>
        <v>Sudah</v>
      </c>
      <c r="GV326" s="300" t="s">
        <v>261</v>
      </c>
      <c r="GW326" s="300" t="s">
        <v>261</v>
      </c>
      <c r="GX326" s="301">
        <v>46059</v>
      </c>
      <c r="GY326" s="314" t="str">
        <f>IF(Table1[[#This Row],[Interkoneksi Actual
(tanggal)]]&lt;&gt;"","Sudah","Belum")</f>
        <v>Sudah</v>
      </c>
      <c r="GZ326" s="300" t="s">
        <v>261</v>
      </c>
      <c r="HA326" s="300" t="s">
        <v>261</v>
      </c>
      <c r="HB326" s="301">
        <v>46061</v>
      </c>
      <c r="HC326" s="314" t="str">
        <f>IF(Table1[[#This Row],[Flushing Actual
(tanggal)]]&lt;&gt;"","Sudah","Belum")</f>
        <v>Sudah</v>
      </c>
      <c r="HD326" s="300">
        <v>45964</v>
      </c>
      <c r="HE326" s="300" t="e">
        <v>#N/A</v>
      </c>
      <c r="HF326" s="300">
        <v>45977</v>
      </c>
      <c r="HG326" s="322">
        <v>46080</v>
      </c>
      <c r="HH3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26" s="300" t="s">
        <v>261</v>
      </c>
      <c r="HJ326" s="300" t="s">
        <v>261</v>
      </c>
      <c r="HK326" s="301"/>
      <c r="HL326" s="286"/>
      <c r="HM326" s="300">
        <v>45982</v>
      </c>
      <c r="HN326" s="300">
        <v>45982</v>
      </c>
      <c r="HO326" s="300" t="e">
        <v>#N/A</v>
      </c>
      <c r="HP326" s="300"/>
      <c r="HQ326" s="301">
        <v>46093</v>
      </c>
      <c r="HR32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26" s="300">
        <v>45989</v>
      </c>
      <c r="HT326" s="300"/>
      <c r="HU326" s="300">
        <v>45989</v>
      </c>
      <c r="HV326" s="300"/>
      <c r="HW326" s="301">
        <v>46099</v>
      </c>
      <c r="HX32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26" s="42"/>
      <c r="HZ326" s="322"/>
      <c r="IA326" s="322"/>
      <c r="IC326" s="585">
        <f>IFERROR(ROUND((Table1[[#This Row],[PLAN TC
finish]]-Table1[[#This Row],[PLAN MC-0
start]])/30,2),"")</f>
        <v>1.1299999999999999</v>
      </c>
      <c r="ID326">
        <f>DATEDIF(Table1[[#This Row],[PLAN MC-0
start]],Table1[[#This Row],[PLAN TC
finish]],"m")</f>
        <v>1</v>
      </c>
    </row>
    <row r="327" spans="1:238" s="30" customFormat="1" ht="15" customHeight="1" x14ac:dyDescent="0.25">
      <c r="A327" s="72"/>
      <c r="B327" s="281">
        <f>SUBTOTAL(3,$D$5:D327)</f>
        <v>323</v>
      </c>
      <c r="C327" s="337">
        <v>323</v>
      </c>
      <c r="D327" s="333" t="s">
        <v>673</v>
      </c>
      <c r="E327" s="336" t="s">
        <v>2609</v>
      </c>
      <c r="F327" s="336" t="s">
        <v>2610</v>
      </c>
      <c r="G327" s="334">
        <v>46117</v>
      </c>
      <c r="H327" s="336" t="s">
        <v>681</v>
      </c>
      <c r="I327" s="336" t="s">
        <v>278</v>
      </c>
      <c r="J327" s="355" t="s">
        <v>389</v>
      </c>
      <c r="K327" s="336" t="s">
        <v>676</v>
      </c>
      <c r="L327" s="337" t="s">
        <v>250</v>
      </c>
      <c r="M327" s="362" t="s">
        <v>269</v>
      </c>
      <c r="N327" s="338">
        <v>6362</v>
      </c>
      <c r="O327" s="339" t="s">
        <v>252</v>
      </c>
      <c r="P327"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7" s="355" t="s">
        <v>389</v>
      </c>
      <c r="R327" s="341">
        <v>0.99999999999999978</v>
      </c>
      <c r="S327" s="34">
        <v>1</v>
      </c>
      <c r="T327" s="459">
        <f>Table1[[#This Row],[Progres Total Aktual
(%)]]</f>
        <v>0</v>
      </c>
      <c r="U327" s="460">
        <f>Table1[[#This Row],[Progres Aktual
(%)]]-Table1[[#This Row],[Target Progres
(%)]]</f>
        <v>-1</v>
      </c>
      <c r="V327" s="461">
        <f>Table1[[#This Row],["Volume
BA MC-0"]]</f>
        <v>0</v>
      </c>
      <c r="W327" s="462">
        <f>Table1[[#This Row],[Total Panjang Pipa Aktual
(Sum-&gt;)3]]</f>
        <v>0</v>
      </c>
      <c r="X327" s="42"/>
      <c r="Y327" s="345" t="s">
        <v>2595</v>
      </c>
      <c r="Z327" s="345">
        <v>12075777390</v>
      </c>
      <c r="AA327" s="345">
        <f>ROUND((Table1[[#This Row],[Nilai RAB Jaringan
(Exclude Ppn)]]-Table1[[#This Row],[RAB Perizinan]])*1.11+Table1[[#This Row],[RAB Perizinan]],0)</f>
        <v>0</v>
      </c>
      <c r="AB327" s="463">
        <f>SUM(Table1[[#This Row],[RAB Kegiatan Umum]:[RAB Perizinan]])</f>
        <v>0</v>
      </c>
      <c r="AC327" s="409"/>
      <c r="AD327" s="409"/>
      <c r="AE327" s="409"/>
      <c r="AF327" s="409"/>
      <c r="AG327" s="464">
        <v>1325327299</v>
      </c>
      <c r="AH327" s="465" t="e">
        <f>SUM(Table1[[#This Row],[Bobot Keg Umum]:[Bobot Perizinan]])</f>
        <v>#DIV/0!</v>
      </c>
      <c r="AI327" s="465" t="e">
        <f>Table1[[#This Row],[RAB Kegiatan Umum]]/Table1[[#This Row],[Nilai RAB Jaringan
(Exclude Ppn)]]</f>
        <v>#DIV/0!</v>
      </c>
      <c r="AJ327" s="465" t="e">
        <f>Table1[[#This Row],[RAB Pemasangan]]/Table1[[#This Row],[Nilai RAB Jaringan
(Exclude Ppn)]]</f>
        <v>#DIV/0!</v>
      </c>
      <c r="AK327" s="465" t="e">
        <f>Table1[[#This Row],[RAB Pengadaan]]/Table1[[#This Row],[Nilai RAB Jaringan
(Exclude Ppn)]]</f>
        <v>#DIV/0!</v>
      </c>
      <c r="AL327" s="465" t="e">
        <f>Table1[[#This Row],[RAB Perizinan]]/Table1[[#This Row],[Nilai RAB Jaringan
(Exclude Ppn)]]</f>
        <v>#DIV/0!</v>
      </c>
      <c r="AM327" s="42"/>
      <c r="AN327" s="346"/>
      <c r="AO327" s="346">
        <f>SUM(Table1[[#This Row],[Pipa 63 mm]:[Pipa 1,800 mm]])</f>
        <v>0</v>
      </c>
      <c r="AP327" s="346"/>
      <c r="AQ327" s="346"/>
      <c r="AR327" s="346"/>
      <c r="AS327" s="346"/>
      <c r="AT327" s="346"/>
      <c r="AU327" s="346"/>
      <c r="AV327" s="346"/>
      <c r="AW327" s="346"/>
      <c r="AX327" s="346"/>
      <c r="AY327" s="346"/>
      <c r="AZ327" s="346"/>
      <c r="BA327" s="346"/>
      <c r="BB327" s="346"/>
      <c r="BC327" s="346"/>
      <c r="BD327" s="346"/>
      <c r="BE327" s="346"/>
      <c r="BF327" s="346"/>
      <c r="BG327" s="346"/>
      <c r="BH327" s="346"/>
      <c r="BI327" s="346"/>
      <c r="BJ327" s="233">
        <f>SUM(Table1[[#This Row],[Pipa 63 mm2]:[Pipa 1,800 mm21]])</f>
        <v>0</v>
      </c>
      <c r="BK327" s="348"/>
      <c r="BL327" s="348"/>
      <c r="BM327" s="348"/>
      <c r="BN327" s="348"/>
      <c r="BO327" s="348"/>
      <c r="BP327" s="348"/>
      <c r="BQ327" s="348"/>
      <c r="BR327" s="348"/>
      <c r="BS327" s="348"/>
      <c r="BT327" s="348"/>
      <c r="BU327" s="348"/>
      <c r="BV327" s="348"/>
      <c r="BW327" s="348"/>
      <c r="BX327" s="348"/>
      <c r="BY327" s="348"/>
      <c r="BZ327" s="348"/>
      <c r="CA327" s="348"/>
      <c r="CB327" s="348"/>
      <c r="CC327" s="348"/>
      <c r="CD327" s="348"/>
      <c r="CE327" s="348">
        <v>0</v>
      </c>
      <c r="CF327" s="348"/>
      <c r="CG327" s="348"/>
      <c r="CH327" s="348"/>
      <c r="CI327" s="348">
        <f t="shared" si="16"/>
        <v>0</v>
      </c>
      <c r="CJ327" s="348">
        <f>IF((Table1[[#This Row],["Volume
BA MC-0"]]-Table1[[#This Row],[Total Panjang Pipa Aktual
(Sum-&gt;)3]]-Table1[[#This Row],[Total Volume
tidak dapat dipasang]])&gt;=0,Table1[[#This Row],["Volume
BA MC-0"]]-Table1[[#This Row],[Total Panjang Pipa Aktual
(Sum-&gt;)3]]-Table1[[#This Row],[Total Volume
tidak dapat dipasang]],0)</f>
        <v>0</v>
      </c>
      <c r="CK327" s="42"/>
      <c r="CL327" s="466" t="s">
        <v>1821</v>
      </c>
      <c r="CM327" s="459" t="s">
        <v>1821</v>
      </c>
      <c r="CN327" s="466" t="s">
        <v>1821</v>
      </c>
      <c r="CO327" s="466" t="s">
        <v>1821</v>
      </c>
      <c r="CP32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27" s="350">
        <f>IFERROR(Table1[[#This Row],[Progres Keg. Umum
(%)]]*Table1[[#This Row],[Nilai RAB Jaringan
(file pa aji)]],0)</f>
        <v>0</v>
      </c>
      <c r="CR327" s="350">
        <f>IFERROR(Table1[[#This Row],[Progres MOS
(%)]]*Table1[[#This Row],[Nilai RAB Jaringan
(file pa aji)]],0)</f>
        <v>0</v>
      </c>
      <c r="CS327" s="350">
        <f>IFERROR(Table1[[#This Row],[Progres Pemasangan
(%)]]*Table1[[#This Row],[Nilai RAB Jaringan
(file pa aji)]],0)</f>
        <v>0</v>
      </c>
      <c r="CT327" s="350">
        <f>IFERROR(Table1[[#This Row],[Progres Perizinan
(%)]]*Table1[[#This Row],[Nilai RAB Jaringan
(file pa aji)]],0)</f>
        <v>0</v>
      </c>
      <c r="CU327" s="789">
        <v>0</v>
      </c>
      <c r="CV327" s="299">
        <v>0</v>
      </c>
      <c r="CW327" s="551">
        <v>0</v>
      </c>
      <c r="CX327" s="789">
        <f>_xlfn.XLOOKUP(Table1[[#This Row],[Kode Program]],'[1]Breakdown VOWD Greenfield'!$E:$E,'[1]Breakdown VOWD Greenfield'!$AT:$AT)</f>
        <v>0</v>
      </c>
      <c r="CY327" s="42"/>
      <c r="CZ327" s="356">
        <v>45838</v>
      </c>
      <c r="DA327" s="356">
        <v>45865</v>
      </c>
      <c r="DB327" s="358">
        <v>45821</v>
      </c>
      <c r="DC327" s="337" t="s">
        <v>2611</v>
      </c>
      <c r="DD327" s="345">
        <v>12075777391</v>
      </c>
      <c r="DE3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7" s="358">
        <v>45831</v>
      </c>
      <c r="DG327" s="337" t="s">
        <v>2612</v>
      </c>
      <c r="DH327" s="345">
        <v>12075777391</v>
      </c>
      <c r="DI327" s="337"/>
      <c r="DJ327" s="356">
        <v>45866</v>
      </c>
      <c r="DK327" s="356">
        <v>45928</v>
      </c>
      <c r="DL327" s="358">
        <v>45899</v>
      </c>
      <c r="DM327" s="337" t="s">
        <v>2613</v>
      </c>
      <c r="DN327" s="352"/>
      <c r="DO327" s="358">
        <v>45916</v>
      </c>
      <c r="DP327" s="337" t="s">
        <v>2614</v>
      </c>
      <c r="DQ327" s="336" t="s">
        <v>1872</v>
      </c>
      <c r="DR327" s="352"/>
      <c r="DS327" s="356">
        <v>45866</v>
      </c>
      <c r="DT327" s="356" t="e">
        <v>#N/A</v>
      </c>
      <c r="DU327" s="356">
        <v>45907</v>
      </c>
      <c r="DV327" s="356" t="e">
        <v>#N/A</v>
      </c>
      <c r="DW327" s="358">
        <v>45871</v>
      </c>
      <c r="DX327" s="337" t="s">
        <v>2615</v>
      </c>
      <c r="DY327" s="412"/>
      <c r="DZ327" s="412"/>
      <c r="EA327" s="352"/>
      <c r="EB327" s="358"/>
      <c r="EC327" s="412"/>
      <c r="ED327" s="412"/>
      <c r="EE327" s="356"/>
      <c r="EF327" s="341"/>
      <c r="EG327" s="341"/>
      <c r="EH327" s="337"/>
      <c r="EI327"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7" s="356">
        <v>45908</v>
      </c>
      <c r="EK327" s="356" t="e">
        <v>#N/A</v>
      </c>
      <c r="EL327" s="356">
        <v>46005</v>
      </c>
      <c r="EM327" s="356" t="e">
        <v>#N/A</v>
      </c>
      <c r="EN327" s="358"/>
      <c r="EO327" s="412"/>
      <c r="EP327" s="337"/>
      <c r="EQ327" s="341"/>
      <c r="ER327" s="341"/>
      <c r="ES327" s="337"/>
      <c r="ET3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7" s="42"/>
      <c r="EV327" s="356">
        <v>45866</v>
      </c>
      <c r="EW327" s="356" t="e">
        <v>#N/A</v>
      </c>
      <c r="EX327" s="356">
        <v>45956</v>
      </c>
      <c r="EY327" s="356" t="e">
        <v>#N/A</v>
      </c>
      <c r="EZ327" s="354" t="s">
        <v>298</v>
      </c>
      <c r="FA327" s="355" t="s">
        <v>389</v>
      </c>
      <c r="FB327" s="356" t="s">
        <v>260</v>
      </c>
      <c r="FC327" s="300"/>
      <c r="FD327" s="356"/>
      <c r="FE327" s="356"/>
      <c r="FF327" s="356"/>
      <c r="FG327" s="356"/>
      <c r="FH327" s="356"/>
      <c r="FI327" s="356"/>
      <c r="FJ327" s="356"/>
      <c r="FK327" s="356"/>
      <c r="FL327" s="413" t="str">
        <f>Table1[[#This Row],[IPPJU]]</f>
        <v>9.Proses Penerbitan Izin</v>
      </c>
      <c r="FM327" s="413"/>
      <c r="FN327" s="335" t="str">
        <f>IF(Table1[[#This Row],[Tanggal Pengajuan Dokumen]]="","",Table1[[#This Row],[PLAN PERMIT
start]]-Table1[[#This Row],[Tanggal Pengajuan Dokumen]])</f>
        <v/>
      </c>
      <c r="FO327" s="414">
        <v>46097</v>
      </c>
      <c r="FP327" s="337"/>
      <c r="FQ327" s="336"/>
      <c r="FR327" s="336"/>
      <c r="FS327" s="336" t="str">
        <f t="shared" si="17"/>
        <v>On Going</v>
      </c>
      <c r="FT327"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7" s="357">
        <f ca="1">IF(Table1[[#This Row],[Status Izin]]="Selesai",Table1[[#This Row],[PLAN PERMIT
finish]]-Table1[[#This Row],[Tanggal Terbit/ Target Izin Terbit]],ROUNDUP(Table1[[#This Row],[PLAN PERMIT
finish]]-NOW(),0))</f>
        <v>-248</v>
      </c>
      <c r="FV327"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7" s="357"/>
      <c r="FX327" s="42"/>
      <c r="FY327" s="310"/>
      <c r="FZ327" s="311"/>
      <c r="GA3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7" s="356">
        <v>45930</v>
      </c>
      <c r="GC327" s="354">
        <v>45888</v>
      </c>
      <c r="GD32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27" s="356">
        <v>45937</v>
      </c>
      <c r="GF327" s="354">
        <v>45951</v>
      </c>
      <c r="GG32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7" s="356">
        <v>45943</v>
      </c>
      <c r="GI327" s="356">
        <v>45949</v>
      </c>
      <c r="GJ327" s="354"/>
      <c r="GK32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27" s="356">
        <v>45957</v>
      </c>
      <c r="GM327" s="356" t="e">
        <v>#N/A</v>
      </c>
      <c r="GN327" s="356">
        <v>46061</v>
      </c>
      <c r="GO327" s="356" t="e">
        <v>#N/A</v>
      </c>
      <c r="GP327" s="356"/>
      <c r="GQ32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7" s="356" t="s">
        <v>261</v>
      </c>
      <c r="GS327" s="356" t="s">
        <v>261</v>
      </c>
      <c r="GT327" s="360"/>
      <c r="GU327" s="357" t="str">
        <f>IF(Table1[[#This Row],[Hydro Tes Actual
(tanggal)]]&lt;&gt;"","Sudah","Belum")</f>
        <v>Belum</v>
      </c>
      <c r="GV327" s="356" t="s">
        <v>261</v>
      </c>
      <c r="GW327" s="356" t="s">
        <v>261</v>
      </c>
      <c r="GX327" s="358"/>
      <c r="GY327" s="357" t="str">
        <f>IF(Table1[[#This Row],[Interkoneksi Actual
(tanggal)]]&lt;&gt;"","Sudah","Belum")</f>
        <v>Belum</v>
      </c>
      <c r="GZ327" s="356" t="s">
        <v>261</v>
      </c>
      <c r="HA327" s="356" t="s">
        <v>261</v>
      </c>
      <c r="HB327" s="358"/>
      <c r="HC327" s="357" t="str">
        <f>IF(Table1[[#This Row],[Flushing Actual
(tanggal)]]&lt;&gt;"","Sudah","Belum")</f>
        <v>Belum</v>
      </c>
      <c r="HD327" s="356">
        <v>46027</v>
      </c>
      <c r="HE327" s="356" t="e">
        <v>#N/A</v>
      </c>
      <c r="HF327" s="356">
        <v>46040</v>
      </c>
      <c r="HG327" s="354"/>
      <c r="HH32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7" s="356" t="s">
        <v>261</v>
      </c>
      <c r="HJ327" s="356" t="s">
        <v>261</v>
      </c>
      <c r="HK327" s="358"/>
      <c r="HL327" s="337"/>
      <c r="HM327" s="356">
        <v>46066</v>
      </c>
      <c r="HN327" s="356">
        <v>46066</v>
      </c>
      <c r="HO327" s="356" t="e">
        <v>#N/A</v>
      </c>
      <c r="HP327" s="356"/>
      <c r="HQ327" s="358"/>
      <c r="HR327"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7" s="356">
        <v>46073</v>
      </c>
      <c r="HT327" s="356"/>
      <c r="HU327" s="356">
        <v>46073</v>
      </c>
      <c r="HV327" s="356"/>
      <c r="HW327" s="358"/>
      <c r="HX327"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7" s="42"/>
      <c r="HZ327" s="354" t="s">
        <v>2134</v>
      </c>
      <c r="IA327" s="354" t="s">
        <v>2163</v>
      </c>
      <c r="IC327" s="585">
        <f>IFERROR(ROUND((Table1[[#This Row],[PLAN TC
finish]]-Table1[[#This Row],[PLAN MC-0
start]])/30,2),"")</f>
        <v>3.23</v>
      </c>
      <c r="ID327">
        <f>DATEDIF(Table1[[#This Row],[PLAN MC-0
start]],Table1[[#This Row],[PLAN TC
finish]],"m")</f>
        <v>3</v>
      </c>
    </row>
    <row r="328" spans="1:238" s="4" customFormat="1" ht="15" customHeight="1" x14ac:dyDescent="0.25">
      <c r="B328" s="281">
        <f>SUBTOTAL(3,$D$5:D328)</f>
        <v>324</v>
      </c>
      <c r="C328" s="286">
        <v>324</v>
      </c>
      <c r="D328" s="285" t="s">
        <v>673</v>
      </c>
      <c r="E328" s="308" t="s">
        <v>2616</v>
      </c>
      <c r="F328" s="308" t="s">
        <v>2617</v>
      </c>
      <c r="G328" s="319">
        <v>46117</v>
      </c>
      <c r="H328" s="308" t="s">
        <v>681</v>
      </c>
      <c r="I328" s="308" t="s">
        <v>278</v>
      </c>
      <c r="J328" s="450" t="s">
        <v>1818</v>
      </c>
      <c r="K328" s="308" t="s">
        <v>676</v>
      </c>
      <c r="L328" s="286" t="s">
        <v>250</v>
      </c>
      <c r="M328" s="325" t="s">
        <v>269</v>
      </c>
      <c r="N328" s="94">
        <v>5058</v>
      </c>
      <c r="O328" s="31" t="s">
        <v>252</v>
      </c>
      <c r="P32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8" s="35">
        <v>1.0000000000000002</v>
      </c>
      <c r="S328" s="34">
        <v>1</v>
      </c>
      <c r="T328" s="34">
        <f>Table1[[#This Row],[Progres Total Aktual
(%)]]</f>
        <v>0.27751642316180131</v>
      </c>
      <c r="U328" s="85">
        <f>Table1[[#This Row],[Progres Aktual
(%)]]-Table1[[#This Row],[Target Progres
(%)]]</f>
        <v>-0.72248357683819875</v>
      </c>
      <c r="V328" s="75">
        <f>Table1[[#This Row],["Volume
BA MC-0"]]</f>
        <v>5219</v>
      </c>
      <c r="W328" s="41">
        <f>Table1[[#This Row],[Total Panjang Pipa Aktual
(Sum-&gt;)3]]</f>
        <v>3769</v>
      </c>
      <c r="X328" s="42"/>
      <c r="Y328" s="62" t="s">
        <v>2595</v>
      </c>
      <c r="Z328" s="62">
        <v>18074312563</v>
      </c>
      <c r="AA328" s="471">
        <f>ROUND((Table1[[#This Row],[Nilai RAB Jaringan
(Exclude Ppn)]]-Table1[[#This Row],[RAB Perizinan]])*1.11+Table1[[#This Row],[RAB Perizinan]],0)</f>
        <v>18074312562</v>
      </c>
      <c r="AB328" s="456">
        <f>SUM(Table1[[#This Row],[RAB Kegiatan Umum]:[RAB Perizinan]])</f>
        <v>16289808074</v>
      </c>
      <c r="AC328" s="406">
        <v>985264382</v>
      </c>
      <c r="AD328" s="406">
        <v>12315804763</v>
      </c>
      <c r="AE328" s="406">
        <v>2921698929</v>
      </c>
      <c r="AF328" s="406">
        <v>67040000</v>
      </c>
      <c r="AG328" s="453">
        <v>0</v>
      </c>
      <c r="AH328" s="33">
        <f>SUM(Table1[[#This Row],[Bobot Keg Umum]:[Bobot Perizinan]])</f>
        <v>0.99999999999999989</v>
      </c>
      <c r="AI328" s="33">
        <f>Table1[[#This Row],[RAB Kegiatan Umum]]/Table1[[#This Row],[Nilai RAB Jaringan
(Exclude Ppn)]]</f>
        <v>6.048348620955029E-2</v>
      </c>
      <c r="AJ328" s="33">
        <f>Table1[[#This Row],[RAB Pemasangan]]/Table1[[#This Row],[Nilai RAB Jaringan
(Exclude Ppn)]]</f>
        <v>0.75604357688272172</v>
      </c>
      <c r="AK328" s="33">
        <f>Table1[[#This Row],[RAB Pengadaan]]/Table1[[#This Row],[Nilai RAB Jaringan
(Exclude Ppn)]]</f>
        <v>0.17935748019421385</v>
      </c>
      <c r="AL328" s="33">
        <f>Table1[[#This Row],[RAB Perizinan]]/Table1[[#This Row],[Nilai RAB Jaringan
(Exclude Ppn)]]</f>
        <v>4.1154567135141314E-3</v>
      </c>
      <c r="AM328" s="42"/>
      <c r="AN328" s="256">
        <v>5219</v>
      </c>
      <c r="AO328" s="256">
        <f>SUM(Table1[[#This Row],[Pipa 63 mm]:[Pipa 1,800 mm]])</f>
        <v>5219</v>
      </c>
      <c r="AP328" s="256"/>
      <c r="AQ328" s="256">
        <v>34</v>
      </c>
      <c r="AR328" s="256">
        <v>2735</v>
      </c>
      <c r="AS328" s="256">
        <v>1389</v>
      </c>
      <c r="AT328" s="256">
        <v>577</v>
      </c>
      <c r="AU328" s="256"/>
      <c r="AV328" s="256">
        <v>302</v>
      </c>
      <c r="AW328" s="256"/>
      <c r="AX328" s="256">
        <v>182</v>
      </c>
      <c r="AY328" s="256"/>
      <c r="AZ328" s="256"/>
      <c r="BA328" s="256"/>
      <c r="BB328" s="256"/>
      <c r="BC328" s="256"/>
      <c r="BD328" s="256"/>
      <c r="BE328" s="256"/>
      <c r="BF328" s="256"/>
      <c r="BG328" s="256"/>
      <c r="BH328" s="256"/>
      <c r="BI328" s="256"/>
      <c r="BJ328" s="233">
        <f>SUM(Table1[[#This Row],[Pipa 63 mm2]:[Pipa 1,800 mm21]])</f>
        <v>3769</v>
      </c>
      <c r="BK328" s="32"/>
      <c r="BL328" s="32">
        <v>110</v>
      </c>
      <c r="BM328" s="32">
        <v>1397</v>
      </c>
      <c r="BN328" s="32">
        <v>1536</v>
      </c>
      <c r="BO328" s="32">
        <v>726</v>
      </c>
      <c r="BP328" s="32"/>
      <c r="BQ328" s="32"/>
      <c r="BR328" s="32"/>
      <c r="BS328" s="32"/>
      <c r="BT328" s="32"/>
      <c r="BU328" s="32"/>
      <c r="BV328" s="32"/>
      <c r="BW328" s="32"/>
      <c r="BX328" s="32"/>
      <c r="BY328" s="32"/>
      <c r="BZ328" s="32"/>
      <c r="CA328" s="32"/>
      <c r="CB328" s="32"/>
      <c r="CC328" s="32"/>
      <c r="CD328" s="32"/>
      <c r="CE328" s="32">
        <v>0</v>
      </c>
      <c r="CF328" s="32"/>
      <c r="CG328" s="32"/>
      <c r="CH328" s="32"/>
      <c r="CI328" s="32">
        <f t="shared" si="16"/>
        <v>0</v>
      </c>
      <c r="CJ328" s="60">
        <f>IF((Table1[[#This Row],["Volume
BA MC-0"]]-Table1[[#This Row],[Total Panjang Pipa Aktual
(Sum-&gt;)3]]-Table1[[#This Row],[Total Volume
tidak dapat dipasang]])&gt;=0,Table1[[#This Row],["Volume
BA MC-0"]]-Table1[[#This Row],[Total Panjang Pipa Aktual
(Sum-&gt;)3]]-Table1[[#This Row],[Total Volume
tidak dapat dipasang]],0)</f>
        <v>1450</v>
      </c>
      <c r="CK328" s="42"/>
      <c r="CL328" s="454" t="s">
        <v>1821</v>
      </c>
      <c r="CM328" s="34" t="s">
        <v>1821</v>
      </c>
      <c r="CN328" s="454" t="s">
        <v>1821</v>
      </c>
      <c r="CO328" s="454" t="s">
        <v>1821</v>
      </c>
      <c r="CP3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0.27751642316180131</v>
      </c>
      <c r="CQ328" s="61">
        <f>IFERROR(Table1[[#This Row],[Progres Keg. Umum
(%)]]*Table1[[#This Row],[Nilai RAB Jaringan
(file pa aji)]],0)</f>
        <v>0</v>
      </c>
      <c r="CR328" s="61">
        <f>IFERROR(Table1[[#This Row],[Progres MOS
(%)]]*Table1[[#This Row],[Nilai RAB Jaringan
(file pa aji)]],0)</f>
        <v>0</v>
      </c>
      <c r="CS328" s="61">
        <f>IFERROR(Table1[[#This Row],[Progres Pemasangan
(%)]]*Table1[[#This Row],[Nilai RAB Jaringan
(file pa aji)]],0)</f>
        <v>0</v>
      </c>
      <c r="CT328" s="61">
        <f>IFERROR(Table1[[#This Row],[Progres Perizinan
(%)]]*Table1[[#This Row],[Nilai RAB Jaringan
(file pa aji)]],0)</f>
        <v>0</v>
      </c>
      <c r="CU328" s="789">
        <v>5015918573.3146534</v>
      </c>
      <c r="CV328" s="299">
        <v>5015918573.3146534</v>
      </c>
      <c r="CW328" s="552">
        <v>0</v>
      </c>
      <c r="CX328" s="789">
        <f>_xlfn.XLOOKUP(Table1[[#This Row],[Kode Program]],'[1]Breakdown VOWD Greenfield'!$E:$E,'[1]Breakdown VOWD Greenfield'!$AT:$AT)</f>
        <v>0</v>
      </c>
      <c r="CY328" s="42"/>
      <c r="CZ328" s="300">
        <v>45838</v>
      </c>
      <c r="DA328" s="300">
        <v>45865</v>
      </c>
      <c r="DB328" s="301">
        <v>45821</v>
      </c>
      <c r="DC328" s="286" t="s">
        <v>2618</v>
      </c>
      <c r="DD328" s="62">
        <v>18081312563</v>
      </c>
      <c r="DE3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8" s="301">
        <v>45831</v>
      </c>
      <c r="DG328" s="286" t="s">
        <v>2619</v>
      </c>
      <c r="DH328" s="62">
        <v>18081312563</v>
      </c>
      <c r="DI32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8" s="300">
        <v>45866</v>
      </c>
      <c r="DK328" s="300">
        <v>45928</v>
      </c>
      <c r="DL328" s="301">
        <v>45868</v>
      </c>
      <c r="DM328" s="286" t="s">
        <v>2620</v>
      </c>
      <c r="DN3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8" s="301">
        <v>45937</v>
      </c>
      <c r="DP328" s="286" t="s">
        <v>2621</v>
      </c>
      <c r="DQ328" s="308" t="s">
        <v>762</v>
      </c>
      <c r="DR3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28" s="300">
        <v>45866</v>
      </c>
      <c r="DT328" s="300" t="e">
        <v>#N/A</v>
      </c>
      <c r="DU328" s="300">
        <v>45907</v>
      </c>
      <c r="DV328" s="300" t="e">
        <v>#N/A</v>
      </c>
      <c r="DW328" s="301">
        <v>45863</v>
      </c>
      <c r="DX328" s="286" t="s">
        <v>2622</v>
      </c>
      <c r="DY328" s="304">
        <v>126</v>
      </c>
      <c r="DZ328" s="304">
        <v>126</v>
      </c>
      <c r="EA3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8" s="301"/>
      <c r="EC328" s="302">
        <v>100</v>
      </c>
      <c r="ED328" s="302">
        <v>100</v>
      </c>
      <c r="EE328" s="300"/>
      <c r="EF328" s="35">
        <v>0.79365079365079361</v>
      </c>
      <c r="EG328" s="35">
        <f>Table1[[#This Row],[Line PO (kolom  bantu)2]]/Table1[[#This Row],[Line PR]]</f>
        <v>0.79365079365079361</v>
      </c>
      <c r="EH328" s="286" t="str">
        <f>IF(Table1[[#This Row],[PO Material Aktual 
(%)]]&gt;=100%,"Selesai PO = 100%",IF(Table1[[#This Row],[PO Material Aktual 
(%)]]&gt;=50%,"Proses PO &gt; 100%",IF(Table1[[#This Row],[PO Material Aktual 
(%)]]&gt;0%,"Proses PO &gt; 50%",IF(Table1[[#This Row],[PO Material Aktual 
(%)]]=0,"Belum PO = 0%"))))</f>
        <v>Proses PO &gt; 100%</v>
      </c>
      <c r="EI32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8" s="300">
        <v>45908</v>
      </c>
      <c r="EK328" s="300" t="e">
        <v>#N/A</v>
      </c>
      <c r="EL328" s="300">
        <v>45991</v>
      </c>
      <c r="EM328" s="300" t="e">
        <v>#N/A</v>
      </c>
      <c r="EN328" s="301"/>
      <c r="EO328" s="302">
        <v>100</v>
      </c>
      <c r="EP328" s="286">
        <v>100</v>
      </c>
      <c r="EQ328" s="35">
        <v>0.79365079365079361</v>
      </c>
      <c r="ER328" s="35">
        <f>Table1[[#This Row],[Line MOS]]/Table1[[#This Row],[Line PR]]</f>
        <v>0.79365079365079361</v>
      </c>
      <c r="ES328" s="286" t="str">
        <f>IF(Table1[[#This Row],[Progres MOS]]&gt;=100%,"Selesai MOS = 100%",IF(Table1[[#This Row],[Progres MOS]]&gt;=50%,"Proses MOS &gt; 100%",IF(Table1[[#This Row],[Progres MOS]]&gt;0%,"Proses MOS &gt; 50%",IF(Table1[[#This Row],[Progres MOS]]=0,"Belum MOS = 0%"))))</f>
        <v>Proses MOS &gt; 100%</v>
      </c>
      <c r="ET3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8" s="42"/>
      <c r="EV328" s="300">
        <v>45866</v>
      </c>
      <c r="EW328" s="300" t="e">
        <v>#N/A</v>
      </c>
      <c r="EX328" s="300">
        <v>45956</v>
      </c>
      <c r="EY328" s="300" t="e">
        <v>#N/A</v>
      </c>
      <c r="EZ328" s="322" t="s">
        <v>298</v>
      </c>
      <c r="FA328" s="306" t="s">
        <v>298</v>
      </c>
      <c r="FB328" s="300" t="s">
        <v>260</v>
      </c>
      <c r="FC328" s="300">
        <v>45943</v>
      </c>
      <c r="FD328" s="300" t="s">
        <v>260</v>
      </c>
      <c r="FE328" s="300">
        <v>45966</v>
      </c>
      <c r="FF328" s="300">
        <v>45993</v>
      </c>
      <c r="FG328" s="300" t="s">
        <v>260</v>
      </c>
      <c r="FH328" s="300" t="s">
        <v>260</v>
      </c>
      <c r="FI328" s="300">
        <v>46010</v>
      </c>
      <c r="FJ328" s="300" t="s">
        <v>260</v>
      </c>
      <c r="FK328" s="300"/>
      <c r="FL328" s="306" t="s">
        <v>298</v>
      </c>
      <c r="FM328" s="322">
        <v>45943</v>
      </c>
      <c r="FN328" s="308">
        <f>IF(Table1[[#This Row],[Tanggal Pengajuan Dokumen]]="","",Table1[[#This Row],[PLAN PERMIT
start]]-Table1[[#This Row],[Tanggal Pengajuan Dokumen]])</f>
        <v>-77</v>
      </c>
      <c r="FO328" s="407">
        <v>46097</v>
      </c>
      <c r="FP328" s="286" t="s">
        <v>2087</v>
      </c>
      <c r="FQ328" s="308"/>
      <c r="FR328" s="308"/>
      <c r="FS328" s="308" t="str">
        <f t="shared" si="17"/>
        <v>On Going</v>
      </c>
      <c r="FT32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8" s="314">
        <f ca="1">IF(Table1[[#This Row],[Status Izin]]="Selesai",Table1[[#This Row],[PLAN PERMIT
finish]]-Table1[[#This Row],[Tanggal Terbit/ Target Izin Terbit]],ROUNDUP(Table1[[#This Row],[PLAN PERMIT
finish]]-NOW(),0))</f>
        <v>-248</v>
      </c>
      <c r="FV32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8" s="314"/>
      <c r="FX328" s="42"/>
      <c r="FY328" s="310"/>
      <c r="FZ328" s="311"/>
      <c r="GA3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8" s="300">
        <v>45930</v>
      </c>
      <c r="GC328" s="322">
        <v>45937</v>
      </c>
      <c r="GD32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8" s="300">
        <v>45937</v>
      </c>
      <c r="GF328" s="322">
        <v>45950</v>
      </c>
      <c r="GG32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8" s="300">
        <v>45943</v>
      </c>
      <c r="GI328" s="300">
        <v>45949</v>
      </c>
      <c r="GJ328" s="322">
        <v>45954</v>
      </c>
      <c r="GK32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8" s="300">
        <v>45957</v>
      </c>
      <c r="GM328" s="300" t="e">
        <v>#N/A</v>
      </c>
      <c r="GN328" s="300">
        <v>46033</v>
      </c>
      <c r="GO328" s="300" t="e">
        <v>#N/A</v>
      </c>
      <c r="GP328" s="300"/>
      <c r="GQ32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8" s="300" t="s">
        <v>261</v>
      </c>
      <c r="GS328" s="300" t="s">
        <v>261</v>
      </c>
      <c r="GT328" s="324"/>
      <c r="GU328" s="314" t="str">
        <f>IF(Table1[[#This Row],[Hydro Tes Actual
(tanggal)]]&lt;&gt;"","Sudah","Belum")</f>
        <v>Belum</v>
      </c>
      <c r="GV328" s="300" t="s">
        <v>261</v>
      </c>
      <c r="GW328" s="300" t="s">
        <v>261</v>
      </c>
      <c r="GX328" s="301"/>
      <c r="GY328" s="314" t="str">
        <f>IF(Table1[[#This Row],[Interkoneksi Actual
(tanggal)]]&lt;&gt;"","Sudah","Belum")</f>
        <v>Belum</v>
      </c>
      <c r="GZ328" s="300" t="s">
        <v>261</v>
      </c>
      <c r="HA328" s="300" t="s">
        <v>261</v>
      </c>
      <c r="HB328" s="301"/>
      <c r="HC328" s="314" t="str">
        <f>IF(Table1[[#This Row],[Flushing Actual
(tanggal)]]&lt;&gt;"","Sudah","Belum")</f>
        <v>Belum</v>
      </c>
      <c r="HD328" s="300">
        <v>46006</v>
      </c>
      <c r="HE328" s="300" t="e">
        <v>#N/A</v>
      </c>
      <c r="HF328" s="300">
        <v>46019</v>
      </c>
      <c r="HG328" s="322"/>
      <c r="HH32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8" s="300" t="s">
        <v>261</v>
      </c>
      <c r="HJ328" s="300" t="s">
        <v>261</v>
      </c>
      <c r="HK328" s="301"/>
      <c r="HL328" s="286"/>
      <c r="HM328" s="300">
        <v>46038</v>
      </c>
      <c r="HN328" s="300">
        <v>46038</v>
      </c>
      <c r="HO328" s="300" t="e">
        <v>#N/A</v>
      </c>
      <c r="HP328" s="300"/>
      <c r="HQ328" s="301"/>
      <c r="HR32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8" s="300">
        <v>46045</v>
      </c>
      <c r="HT328" s="300"/>
      <c r="HU328" s="300">
        <v>46045</v>
      </c>
      <c r="HV328" s="300"/>
      <c r="HW328" s="301"/>
      <c r="HX32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8" s="42"/>
      <c r="HZ328" s="322"/>
      <c r="IA328" s="322" t="s">
        <v>2623</v>
      </c>
      <c r="IC328" s="585">
        <f>IFERROR(ROUND((Table1[[#This Row],[PLAN TC
finish]]-Table1[[#This Row],[PLAN MC-0
start]])/30,2),"")</f>
        <v>2.5299999999999998</v>
      </c>
      <c r="ID328">
        <f>DATEDIF(Table1[[#This Row],[PLAN MC-0
start]],Table1[[#This Row],[PLAN TC
finish]],"m")</f>
        <v>2</v>
      </c>
    </row>
    <row r="329" spans="1:238" s="4" customFormat="1" ht="15" customHeight="1" x14ac:dyDescent="0.25">
      <c r="B329" s="281">
        <f>SUBTOTAL(3,$D$5:D329)</f>
        <v>325</v>
      </c>
      <c r="C329" s="286">
        <v>325</v>
      </c>
      <c r="D329" s="285" t="s">
        <v>673</v>
      </c>
      <c r="E329" s="308" t="s">
        <v>2624</v>
      </c>
      <c r="F329" s="308" t="s">
        <v>2625</v>
      </c>
      <c r="G329" s="319">
        <v>46117</v>
      </c>
      <c r="H329" s="308" t="s">
        <v>681</v>
      </c>
      <c r="I329" s="308" t="s">
        <v>278</v>
      </c>
      <c r="J329" s="450" t="s">
        <v>1818</v>
      </c>
      <c r="K329" s="308" t="s">
        <v>676</v>
      </c>
      <c r="L329" s="286" t="s">
        <v>250</v>
      </c>
      <c r="M329" s="325" t="s">
        <v>269</v>
      </c>
      <c r="N329" s="94">
        <v>1242</v>
      </c>
      <c r="O329" s="31" t="s">
        <v>252</v>
      </c>
      <c r="P32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29" s="35">
        <v>1</v>
      </c>
      <c r="S329" s="34">
        <v>1</v>
      </c>
      <c r="T329" s="34">
        <f>Table1[[#This Row],[Progres Total Aktual
(%)]]</f>
        <v>0.87379175463756376</v>
      </c>
      <c r="U329" s="85">
        <f>Table1[[#This Row],[Progres Aktual
(%)]]-Table1[[#This Row],[Target Progres
(%)]]</f>
        <v>-0.12620824536243624</v>
      </c>
      <c r="V329" s="75">
        <f>Table1[[#This Row],["Volume
BA MC-0"]]</f>
        <v>1206</v>
      </c>
      <c r="W329" s="41">
        <f>Table1[[#This Row],[Total Panjang Pipa Aktual
(Sum-&gt;)3]]</f>
        <v>1189</v>
      </c>
      <c r="X329" s="42"/>
      <c r="Y329" s="62" t="s">
        <v>2626</v>
      </c>
      <c r="Z329" s="62">
        <v>2502693494</v>
      </c>
      <c r="AA329" s="62">
        <f>ROUND((Table1[[#This Row],[Nilai RAB Jaringan
(Exclude Ppn)]]-Table1[[#This Row],[RAB Perizinan]])*1.11+Table1[[#This Row],[RAB Perizinan]],0)</f>
        <v>2502693494</v>
      </c>
      <c r="AB329" s="456">
        <f>SUM(Table1[[#This Row],[RAB Kegiatan Umum]:[RAB Perizinan]])</f>
        <v>2255909634</v>
      </c>
      <c r="AC329" s="406">
        <v>176137552</v>
      </c>
      <c r="AD329" s="406">
        <v>1761375511</v>
      </c>
      <c r="AE329" s="406">
        <v>305976571</v>
      </c>
      <c r="AF329" s="406">
        <v>12420000</v>
      </c>
      <c r="AG329" s="453">
        <v>0</v>
      </c>
      <c r="AH329" s="33">
        <f>SUM(Table1[[#This Row],[Bobot Keg Umum]:[Bobot Perizinan]])</f>
        <v>1</v>
      </c>
      <c r="AI329" s="33">
        <f>Table1[[#This Row],[RAB Kegiatan Umum]]/Table1[[#This Row],[Nilai RAB Jaringan
(Exclude Ppn)]]</f>
        <v>7.8078283520464808E-2</v>
      </c>
      <c r="AJ329" s="33">
        <f>Table1[[#This Row],[RAB Pemasangan]]/Table1[[#This Row],[Nilai RAB Jaringan
(Exclude Ppn)]]</f>
        <v>0.78078283121512659</v>
      </c>
      <c r="AK329" s="33">
        <f>Table1[[#This Row],[RAB Pengadaan]]/Table1[[#This Row],[Nilai RAB Jaringan
(Exclude Ppn)]]</f>
        <v>0.13563334558639506</v>
      </c>
      <c r="AL329" s="33">
        <f>Table1[[#This Row],[RAB Perizinan]]/Table1[[#This Row],[Nilai RAB Jaringan
(Exclude Ppn)]]</f>
        <v>5.5055396780135388E-3</v>
      </c>
      <c r="AM329" s="42"/>
      <c r="AN329" s="256">
        <v>1206</v>
      </c>
      <c r="AO329" s="256">
        <f>SUM(Table1[[#This Row],[Pipa 63 mm]:[Pipa 1,800 mm]])</f>
        <v>1206</v>
      </c>
      <c r="AP329" s="256"/>
      <c r="AQ329" s="256">
        <v>402</v>
      </c>
      <c r="AR329" s="256">
        <v>799</v>
      </c>
      <c r="AS329" s="256">
        <v>5</v>
      </c>
      <c r="AT329" s="256"/>
      <c r="AU329" s="256"/>
      <c r="AV329" s="256"/>
      <c r="AW329" s="256"/>
      <c r="AX329" s="256"/>
      <c r="AY329" s="256"/>
      <c r="AZ329" s="256"/>
      <c r="BA329" s="256"/>
      <c r="BB329" s="256"/>
      <c r="BC329" s="256"/>
      <c r="BD329" s="256"/>
      <c r="BE329" s="256"/>
      <c r="BF329" s="256"/>
      <c r="BG329" s="256"/>
      <c r="BH329" s="256"/>
      <c r="BI329" s="256"/>
      <c r="BJ329" s="233">
        <f>SUM(Table1[[#This Row],[Pipa 63 mm2]:[Pipa 1,800 mm21]])</f>
        <v>1189</v>
      </c>
      <c r="BK329" s="32"/>
      <c r="BL329" s="32">
        <v>400</v>
      </c>
      <c r="BM329" s="32">
        <v>789</v>
      </c>
      <c r="BN329" s="32"/>
      <c r="BO329" s="32"/>
      <c r="BP329" s="32"/>
      <c r="BQ329" s="32"/>
      <c r="BR329" s="32"/>
      <c r="BS329" s="32"/>
      <c r="BT329" s="32"/>
      <c r="BU329" s="32"/>
      <c r="BV329" s="32"/>
      <c r="BW329" s="32"/>
      <c r="BX329" s="32"/>
      <c r="BY329" s="32"/>
      <c r="BZ329" s="32"/>
      <c r="CA329" s="32"/>
      <c r="CB329" s="32"/>
      <c r="CC329" s="32"/>
      <c r="CD329" s="32"/>
      <c r="CE329" s="32">
        <v>0</v>
      </c>
      <c r="CF329" s="32"/>
      <c r="CG329" s="32"/>
      <c r="CH329" s="32"/>
      <c r="CI329" s="32">
        <f t="shared" si="16"/>
        <v>0</v>
      </c>
      <c r="CJ329" s="60">
        <f>IF((Table1[[#This Row],["Volume
BA MC-0"]]-Table1[[#This Row],[Total Panjang Pipa Aktual
(Sum-&gt;)3]]-Table1[[#This Row],[Total Volume
tidak dapat dipasang]])&gt;=0,Table1[[#This Row],["Volume
BA MC-0"]]-Table1[[#This Row],[Total Panjang Pipa Aktual
(Sum-&gt;)3]]-Table1[[#This Row],[Total Volume
tidak dapat dipasang]],0)</f>
        <v>17</v>
      </c>
      <c r="CK329" s="42"/>
      <c r="CL329" s="454" t="s">
        <v>1821</v>
      </c>
      <c r="CM329" s="34" t="s">
        <v>1821</v>
      </c>
      <c r="CN329" s="454" t="s">
        <v>1821</v>
      </c>
      <c r="CO329" s="454" t="s">
        <v>1821</v>
      </c>
      <c r="CP3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0.87379175463756376</v>
      </c>
      <c r="CQ329" s="61">
        <f>IFERROR(Table1[[#This Row],[Progres Keg. Umum
(%)]]*Table1[[#This Row],[Nilai RAB Jaringan
(file pa aji)]],0)</f>
        <v>0</v>
      </c>
      <c r="CR329" s="61">
        <f>IFERROR(Table1[[#This Row],[Progres MOS
(%)]]*Table1[[#This Row],[Nilai RAB Jaringan
(file pa aji)]],0)</f>
        <v>0</v>
      </c>
      <c r="CS329" s="61">
        <f>IFERROR(Table1[[#This Row],[Progres Pemasangan
(%)]]*Table1[[#This Row],[Nilai RAB Jaringan
(file pa aji)]],0)</f>
        <v>0</v>
      </c>
      <c r="CT329" s="61">
        <f>IFERROR(Table1[[#This Row],[Progres Perizinan
(%)]]*Table1[[#This Row],[Nilai RAB Jaringan
(file pa aji)]],0)</f>
        <v>0</v>
      </c>
      <c r="CU329" s="789">
        <v>2186832939.442275</v>
      </c>
      <c r="CV329" s="299">
        <v>2186832939.442275</v>
      </c>
      <c r="CW329" s="552">
        <v>0</v>
      </c>
      <c r="CX329" s="789">
        <f>_xlfn.XLOOKUP(Table1[[#This Row],[Kode Program]],'[1]Breakdown VOWD Greenfield'!$E:$E,'[1]Breakdown VOWD Greenfield'!$AT:$AT)</f>
        <v>0</v>
      </c>
      <c r="CY329" s="42"/>
      <c r="CZ329" s="300">
        <v>45838</v>
      </c>
      <c r="DA329" s="300">
        <v>45865</v>
      </c>
      <c r="DB329" s="301">
        <v>45821</v>
      </c>
      <c r="DC329" s="286" t="s">
        <v>2627</v>
      </c>
      <c r="DD329" s="62">
        <v>2502693494</v>
      </c>
      <c r="DE3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29" s="301">
        <v>45831</v>
      </c>
      <c r="DG329" s="286" t="s">
        <v>2628</v>
      </c>
      <c r="DH329" s="62">
        <v>2502693494</v>
      </c>
      <c r="DI32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29" s="300">
        <v>45866</v>
      </c>
      <c r="DK329" s="300">
        <v>45928</v>
      </c>
      <c r="DL329" s="301">
        <v>45868</v>
      </c>
      <c r="DM329" s="286" t="s">
        <v>2629</v>
      </c>
      <c r="DN3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29" s="301">
        <v>45917</v>
      </c>
      <c r="DP329" s="286" t="s">
        <v>2630</v>
      </c>
      <c r="DQ329" s="308" t="s">
        <v>1872</v>
      </c>
      <c r="DR3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29" s="300">
        <v>45866</v>
      </c>
      <c r="DT329" s="300" t="e">
        <v>#N/A</v>
      </c>
      <c r="DU329" s="300">
        <v>45907</v>
      </c>
      <c r="DV329" s="300" t="e">
        <v>#N/A</v>
      </c>
      <c r="DW329" s="301">
        <v>45863</v>
      </c>
      <c r="DX329" s="286" t="s">
        <v>2631</v>
      </c>
      <c r="DY329" s="304">
        <v>46</v>
      </c>
      <c r="DZ329" s="304">
        <v>46</v>
      </c>
      <c r="EA3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29" s="301"/>
      <c r="EC329" s="302">
        <v>37</v>
      </c>
      <c r="ED329" s="302">
        <v>37</v>
      </c>
      <c r="EE329" s="300"/>
      <c r="EF329" s="35">
        <v>0.80434782608695654</v>
      </c>
      <c r="EG329" s="35">
        <f>Table1[[#This Row],[Line PO (kolom  bantu)2]]/Table1[[#This Row],[Line PR]]</f>
        <v>0.80434782608695654</v>
      </c>
      <c r="EH329" s="286" t="str">
        <f>IF(Table1[[#This Row],[PO Material Aktual 
(%)]]&gt;=100%,"Selesai PO = 100%",IF(Table1[[#This Row],[PO Material Aktual 
(%)]]&gt;=50%,"Proses PO &gt; 100%",IF(Table1[[#This Row],[PO Material Aktual 
(%)]]&gt;0%,"Proses PO &gt; 50%",IF(Table1[[#This Row],[PO Material Aktual 
(%)]]=0,"Belum PO = 0%"))))</f>
        <v>Proses PO &gt; 100%</v>
      </c>
      <c r="EI32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29" s="300">
        <v>45908</v>
      </c>
      <c r="EK329" s="300" t="e">
        <v>#N/A</v>
      </c>
      <c r="EL329" s="300">
        <v>45977</v>
      </c>
      <c r="EM329" s="300" t="e">
        <v>#N/A</v>
      </c>
      <c r="EN329" s="301"/>
      <c r="EO329" s="302">
        <v>37</v>
      </c>
      <c r="EP329" s="286">
        <v>37</v>
      </c>
      <c r="EQ329" s="35">
        <v>0.80434782608695654</v>
      </c>
      <c r="ER329" s="35">
        <f>Table1[[#This Row],[Line MOS]]/Table1[[#This Row],[Line PR]]</f>
        <v>0.80434782608695654</v>
      </c>
      <c r="ES329" s="286" t="str">
        <f>IF(Table1[[#This Row],[Progres MOS]]&gt;=100%,"Selesai MOS = 100%",IF(Table1[[#This Row],[Progres MOS]]&gt;=50%,"Proses MOS &gt; 100%",IF(Table1[[#This Row],[Progres MOS]]&gt;0%,"Proses MOS &gt; 50%",IF(Table1[[#This Row],[Progres MOS]]=0,"Belum MOS = 0%"))))</f>
        <v>Proses MOS &gt; 100%</v>
      </c>
      <c r="ET3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29" s="42"/>
      <c r="EV329" s="300">
        <v>45866</v>
      </c>
      <c r="EW329" s="300" t="e">
        <v>#N/A</v>
      </c>
      <c r="EX329" s="300">
        <v>45956</v>
      </c>
      <c r="EY329" s="300" t="e">
        <v>#N/A</v>
      </c>
      <c r="EZ329" s="322" t="s">
        <v>298</v>
      </c>
      <c r="FA329" s="306" t="s">
        <v>298</v>
      </c>
      <c r="FB329" s="300" t="s">
        <v>260</v>
      </c>
      <c r="FC329" s="300">
        <v>45943</v>
      </c>
      <c r="FD329" s="300" t="s">
        <v>260</v>
      </c>
      <c r="FE329" s="300">
        <v>45966</v>
      </c>
      <c r="FF329" s="300">
        <v>45993</v>
      </c>
      <c r="FG329" s="300" t="s">
        <v>260</v>
      </c>
      <c r="FH329" s="300" t="s">
        <v>260</v>
      </c>
      <c r="FI329" s="300">
        <v>46010</v>
      </c>
      <c r="FJ329" s="300" t="s">
        <v>260</v>
      </c>
      <c r="FK329" s="300"/>
      <c r="FL329" s="306" t="s">
        <v>298</v>
      </c>
      <c r="FM329" s="322">
        <v>45943</v>
      </c>
      <c r="FN329" s="308">
        <f>IF(Table1[[#This Row],[Tanggal Pengajuan Dokumen]]="","",Table1[[#This Row],[PLAN PERMIT
start]]-Table1[[#This Row],[Tanggal Pengajuan Dokumen]])</f>
        <v>-77</v>
      </c>
      <c r="FO329" s="407">
        <v>46097</v>
      </c>
      <c r="FP329" s="286"/>
      <c r="FQ329" s="308"/>
      <c r="FR329" s="308"/>
      <c r="FS329" s="308" t="str">
        <f t="shared" si="17"/>
        <v>On Going</v>
      </c>
      <c r="FT32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29" s="314">
        <f ca="1">IF(Table1[[#This Row],[Status Izin]]="Selesai",Table1[[#This Row],[PLAN PERMIT
finish]]-Table1[[#This Row],[Tanggal Terbit/ Target Izin Terbit]],ROUNDUP(Table1[[#This Row],[PLAN PERMIT
finish]]-NOW(),0))</f>
        <v>-248</v>
      </c>
      <c r="FV32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29" s="314"/>
      <c r="FX329" s="42"/>
      <c r="FY329" s="310"/>
      <c r="FZ329" s="311"/>
      <c r="GA3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29" s="300">
        <v>45930</v>
      </c>
      <c r="GC329" s="322">
        <v>45937</v>
      </c>
      <c r="GD32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29" s="300">
        <v>45937</v>
      </c>
      <c r="GF329" s="322">
        <v>45951</v>
      </c>
      <c r="GG32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29" s="300">
        <v>45943</v>
      </c>
      <c r="GI329" s="300">
        <v>45949</v>
      </c>
      <c r="GJ329" s="322">
        <v>45959</v>
      </c>
      <c r="GK32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29" s="300">
        <v>45957</v>
      </c>
      <c r="GM329" s="300" t="e">
        <v>#N/A</v>
      </c>
      <c r="GN329" s="300">
        <v>46005</v>
      </c>
      <c r="GO329" s="300" t="e">
        <v>#N/A</v>
      </c>
      <c r="GP329" s="300"/>
      <c r="GQ32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29" s="300" t="s">
        <v>261</v>
      </c>
      <c r="GS329" s="300" t="s">
        <v>261</v>
      </c>
      <c r="GT329" s="324">
        <v>46020</v>
      </c>
      <c r="GU329" s="314" t="str">
        <f>IF(Table1[[#This Row],[Hydro Tes Actual
(tanggal)]]&lt;&gt;"","Sudah","Belum")</f>
        <v>Sudah</v>
      </c>
      <c r="GV329" s="300" t="s">
        <v>261</v>
      </c>
      <c r="GW329" s="300" t="s">
        <v>261</v>
      </c>
      <c r="GX329" s="301"/>
      <c r="GY329" s="314" t="str">
        <f>IF(Table1[[#This Row],[Interkoneksi Actual
(tanggal)]]&lt;&gt;"","Sudah","Belum")</f>
        <v>Belum</v>
      </c>
      <c r="GZ329" s="300" t="s">
        <v>261</v>
      </c>
      <c r="HA329" s="300" t="s">
        <v>261</v>
      </c>
      <c r="HB329" s="301"/>
      <c r="HC329" s="314" t="str">
        <f>IF(Table1[[#This Row],[Flushing Actual
(tanggal)]]&lt;&gt;"","Sudah","Belum")</f>
        <v>Belum</v>
      </c>
      <c r="HD329" s="300">
        <v>45978</v>
      </c>
      <c r="HE329" s="300" t="e">
        <v>#N/A</v>
      </c>
      <c r="HF329" s="300">
        <v>45998</v>
      </c>
      <c r="HG329" s="322"/>
      <c r="HH32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29" s="300" t="s">
        <v>261</v>
      </c>
      <c r="HJ329" s="300" t="s">
        <v>261</v>
      </c>
      <c r="HK329" s="301"/>
      <c r="HL329" s="286"/>
      <c r="HM329" s="300">
        <v>46010</v>
      </c>
      <c r="HN329" s="300">
        <v>46010</v>
      </c>
      <c r="HO329" s="300" t="e">
        <v>#N/A</v>
      </c>
      <c r="HP329" s="300"/>
      <c r="HQ329" s="301"/>
      <c r="HR32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29" s="300">
        <v>46017</v>
      </c>
      <c r="HT329" s="300"/>
      <c r="HU329" s="300">
        <v>46017</v>
      </c>
      <c r="HV329" s="300"/>
      <c r="HW329" s="301"/>
      <c r="HX32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29" s="42"/>
      <c r="HZ329" s="322"/>
      <c r="IA329" s="322"/>
      <c r="IC329" s="585">
        <f>IFERROR(ROUND((Table1[[#This Row],[PLAN TC
finish]]-Table1[[#This Row],[PLAN MC-0
start]])/30,2),"")</f>
        <v>1.83</v>
      </c>
      <c r="ID329">
        <f>DATEDIF(Table1[[#This Row],[PLAN MC-0
start]],Table1[[#This Row],[PLAN TC
finish]],"m")</f>
        <v>1</v>
      </c>
    </row>
    <row r="330" spans="1:238" s="4" customFormat="1" ht="15" customHeight="1" x14ac:dyDescent="0.25">
      <c r="B330" s="281">
        <f>SUBTOTAL(3,$D$5:D330)</f>
        <v>326</v>
      </c>
      <c r="C330" s="286">
        <v>326</v>
      </c>
      <c r="D330" s="285" t="s">
        <v>673</v>
      </c>
      <c r="E330" s="308" t="s">
        <v>2632</v>
      </c>
      <c r="F330" s="308" t="s">
        <v>2633</v>
      </c>
      <c r="G330" s="319">
        <v>46117</v>
      </c>
      <c r="H330" s="308" t="s">
        <v>681</v>
      </c>
      <c r="I330" s="308" t="s">
        <v>278</v>
      </c>
      <c r="J330" s="450" t="s">
        <v>1818</v>
      </c>
      <c r="K330" s="308" t="s">
        <v>676</v>
      </c>
      <c r="L330" s="286" t="s">
        <v>250</v>
      </c>
      <c r="M330" s="325" t="s">
        <v>269</v>
      </c>
      <c r="N330" s="94">
        <v>350</v>
      </c>
      <c r="O330" s="31" t="s">
        <v>252</v>
      </c>
      <c r="P33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0" s="35">
        <v>0.99999999999999956</v>
      </c>
      <c r="S330" s="34">
        <v>1</v>
      </c>
      <c r="T330" s="34">
        <f>Table1[[#This Row],[Progres Total Aktual
(%)]]</f>
        <v>0.81679471466471965</v>
      </c>
      <c r="U330" s="85">
        <f>Table1[[#This Row],[Progres Aktual
(%)]]-Table1[[#This Row],[Target Progres
(%)]]</f>
        <v>-0.18320528533528035</v>
      </c>
      <c r="V330" s="75">
        <f>Table1[[#This Row],["Volume
BA MC-0"]]</f>
        <v>360</v>
      </c>
      <c r="W330" s="41">
        <f>Table1[[#This Row],[Total Panjang Pipa Aktual
(Sum-&gt;)3]]</f>
        <v>300</v>
      </c>
      <c r="X330" s="42"/>
      <c r="Y330" s="62" t="s">
        <v>2634</v>
      </c>
      <c r="Z330" s="62">
        <v>494384995</v>
      </c>
      <c r="AA330" s="62">
        <f>ROUND((Table1[[#This Row],[Nilai RAB Jaringan
(Exclude Ppn)]]-Table1[[#This Row],[RAB Perizinan]])*1.11+Table1[[#This Row],[RAB Perizinan]],0)</f>
        <v>494384995</v>
      </c>
      <c r="AB330" s="456">
        <f>SUM(Table1[[#This Row],[RAB Kegiatan Umum]:[RAB Perizinan]])</f>
        <v>445738734</v>
      </c>
      <c r="AC330" s="406">
        <v>35979071</v>
      </c>
      <c r="AD330" s="406">
        <v>359790701</v>
      </c>
      <c r="AE330" s="406">
        <v>46468962</v>
      </c>
      <c r="AF330" s="406">
        <v>3500000</v>
      </c>
      <c r="AG330" s="453">
        <v>2107039</v>
      </c>
      <c r="AH330" s="33">
        <f>SUM(Table1[[#This Row],[Bobot Keg Umum]:[Bobot Perizinan]])</f>
        <v>1</v>
      </c>
      <c r="AI330" s="33">
        <f>Table1[[#This Row],[RAB Kegiatan Umum]]/Table1[[#This Row],[Nilai RAB Jaringan
(Exclude Ppn)]]</f>
        <v>8.0717847150344357E-2</v>
      </c>
      <c r="AJ330" s="33">
        <f>Table1[[#This Row],[RAB Pemasangan]]/Table1[[#This Row],[Nilai RAB Jaringan
(Exclude Ppn)]]</f>
        <v>0.80717845131224342</v>
      </c>
      <c r="AK330" s="33">
        <f>Table1[[#This Row],[RAB Pengadaan]]/Table1[[#This Row],[Nilai RAB Jaringan
(Exclude Ppn)]]</f>
        <v>0.1042515681394653</v>
      </c>
      <c r="AL330" s="33">
        <f>Table1[[#This Row],[RAB Perizinan]]/Table1[[#This Row],[Nilai RAB Jaringan
(Exclude Ppn)]]</f>
        <v>7.8521333979469695E-3</v>
      </c>
      <c r="AM330" s="42"/>
      <c r="AN330" s="256">
        <v>360</v>
      </c>
      <c r="AO330" s="256">
        <f>SUM(Table1[[#This Row],[Pipa 63 mm]:[Pipa 1,800 mm]])</f>
        <v>360</v>
      </c>
      <c r="AP330" s="256">
        <v>250</v>
      </c>
      <c r="AQ330" s="256">
        <v>110</v>
      </c>
      <c r="AR330" s="256"/>
      <c r="AS330" s="256"/>
      <c r="AT330" s="256"/>
      <c r="AU330" s="256"/>
      <c r="AV330" s="256"/>
      <c r="AW330" s="256"/>
      <c r="AX330" s="256"/>
      <c r="AY330" s="256"/>
      <c r="AZ330" s="256"/>
      <c r="BA330" s="256"/>
      <c r="BB330" s="256"/>
      <c r="BC330" s="256"/>
      <c r="BD330" s="256"/>
      <c r="BE330" s="256"/>
      <c r="BF330" s="256"/>
      <c r="BG330" s="256"/>
      <c r="BH330" s="256"/>
      <c r="BI330" s="256"/>
      <c r="BJ330" s="233">
        <f>SUM(Table1[[#This Row],[Pipa 63 mm2]:[Pipa 1,800 mm21]])</f>
        <v>300</v>
      </c>
      <c r="BK330" s="32">
        <v>200</v>
      </c>
      <c r="BL330" s="32">
        <v>100</v>
      </c>
      <c r="BM330" s="32"/>
      <c r="BN330" s="32"/>
      <c r="BO330" s="32"/>
      <c r="BP330" s="32"/>
      <c r="BQ330" s="32"/>
      <c r="BR330" s="32"/>
      <c r="BS330" s="32"/>
      <c r="BT330" s="32"/>
      <c r="BU330" s="32"/>
      <c r="BV330" s="32"/>
      <c r="BW330" s="32"/>
      <c r="BX330" s="32"/>
      <c r="BY330" s="32"/>
      <c r="BZ330" s="32"/>
      <c r="CA330" s="32"/>
      <c r="CB330" s="32"/>
      <c r="CC330" s="32"/>
      <c r="CD330" s="32"/>
      <c r="CE330" s="32">
        <v>0</v>
      </c>
      <c r="CF330" s="32"/>
      <c r="CG330" s="32"/>
      <c r="CH330" s="32"/>
      <c r="CI330" s="32">
        <f t="shared" si="16"/>
        <v>0</v>
      </c>
      <c r="CJ330" s="60">
        <f>IF((Table1[[#This Row],["Volume
BA MC-0"]]-Table1[[#This Row],[Total Panjang Pipa Aktual
(Sum-&gt;)3]]-Table1[[#This Row],[Total Volume
tidak dapat dipasang]])&gt;=0,Table1[[#This Row],["Volume
BA MC-0"]]-Table1[[#This Row],[Total Panjang Pipa Aktual
(Sum-&gt;)3]]-Table1[[#This Row],[Total Volume
tidak dapat dipasang]],0)</f>
        <v>60</v>
      </c>
      <c r="CK330" s="42"/>
      <c r="CL330" s="454" t="s">
        <v>1821</v>
      </c>
      <c r="CM330" s="34" t="s">
        <v>1821</v>
      </c>
      <c r="CN330" s="454" t="s">
        <v>1821</v>
      </c>
      <c r="CO330" s="454" t="s">
        <v>1821</v>
      </c>
      <c r="CP3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0.81679471466471965</v>
      </c>
      <c r="CQ330" s="61">
        <f>IFERROR(Table1[[#This Row],[Progres Keg. Umum
(%)]]*Table1[[#This Row],[Nilai RAB Jaringan
(file pa aji)]],0)</f>
        <v>0</v>
      </c>
      <c r="CR330" s="61">
        <f>IFERROR(Table1[[#This Row],[Progres MOS
(%)]]*Table1[[#This Row],[Nilai RAB Jaringan
(file pa aji)]],0)</f>
        <v>0</v>
      </c>
      <c r="CS330" s="61">
        <f>IFERROR(Table1[[#This Row],[Progres Pemasangan
(%)]]*Table1[[#This Row],[Nilai RAB Jaringan
(file pa aji)]],0)</f>
        <v>0</v>
      </c>
      <c r="CT330" s="61">
        <f>IFERROR(Table1[[#This Row],[Progres Perizinan
(%)]]*Table1[[#This Row],[Nilai RAB Jaringan
(file pa aji)]],0)</f>
        <v>0</v>
      </c>
      <c r="CU330" s="789">
        <v>403811050.92554384</v>
      </c>
      <c r="CV330" s="299">
        <v>403811050.92554384</v>
      </c>
      <c r="CW330" s="552">
        <v>0</v>
      </c>
      <c r="CX330" s="789">
        <f>_xlfn.XLOOKUP(Table1[[#This Row],[Kode Program]],'[1]Breakdown VOWD Greenfield'!$E:$E,'[1]Breakdown VOWD Greenfield'!$AT:$AT)</f>
        <v>0</v>
      </c>
      <c r="CY330" s="42"/>
      <c r="CZ330" s="300">
        <v>45866</v>
      </c>
      <c r="DA330" s="300">
        <v>45893</v>
      </c>
      <c r="DB330" s="301">
        <v>45901</v>
      </c>
      <c r="DC330" s="286" t="s">
        <v>2635</v>
      </c>
      <c r="DD330" s="62">
        <v>494384994.74000001</v>
      </c>
      <c r="DE3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0" s="301">
        <v>45915</v>
      </c>
      <c r="DG330" s="286" t="s">
        <v>2636</v>
      </c>
      <c r="DH330" s="62">
        <v>494384994.74000001</v>
      </c>
      <c r="DI33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0" s="300">
        <v>45894</v>
      </c>
      <c r="DK330" s="300">
        <v>45963</v>
      </c>
      <c r="DL330" s="301">
        <v>45937</v>
      </c>
      <c r="DM330" s="286" t="s">
        <v>2637</v>
      </c>
      <c r="DN3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0" s="301">
        <v>45946</v>
      </c>
      <c r="DP330" s="286" t="s">
        <v>2638</v>
      </c>
      <c r="DQ330" s="308" t="s">
        <v>762</v>
      </c>
      <c r="DR3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0" s="300">
        <v>45894</v>
      </c>
      <c r="DT330" s="300" t="e">
        <v>#N/A</v>
      </c>
      <c r="DU330" s="300">
        <v>45935</v>
      </c>
      <c r="DV330" s="300" t="e">
        <v>#N/A</v>
      </c>
      <c r="DW330" s="301">
        <v>45937</v>
      </c>
      <c r="DX330" s="454" t="s">
        <v>2639</v>
      </c>
      <c r="DY330" s="304">
        <v>20</v>
      </c>
      <c r="DZ330" s="304">
        <v>20</v>
      </c>
      <c r="EA3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0" s="301"/>
      <c r="EC330" s="302">
        <v>19</v>
      </c>
      <c r="ED330" s="302">
        <v>19</v>
      </c>
      <c r="EE330" s="300"/>
      <c r="EF330" s="35">
        <v>0.95</v>
      </c>
      <c r="EG330" s="35">
        <f>Table1[[#This Row],[Line PO (kolom  bantu)2]]/Table1[[#This Row],[Line PR]]</f>
        <v>0.95</v>
      </c>
      <c r="EH330" s="286" t="str">
        <f>IF(Table1[[#This Row],[PO Material Aktual 
(%)]]&gt;=100%,"Selesai PO = 100%",IF(Table1[[#This Row],[PO Material Aktual 
(%)]]&gt;=50%,"Proses PO &gt; 100%",IF(Table1[[#This Row],[PO Material Aktual 
(%)]]&gt;0%,"Proses PO &gt; 50%",IF(Table1[[#This Row],[PO Material Aktual 
(%)]]=0,"Belum PO = 0%"))))</f>
        <v>Proses PO &gt; 100%</v>
      </c>
      <c r="EI33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0" s="300">
        <v>45936</v>
      </c>
      <c r="EK330" s="300" t="e">
        <v>#N/A</v>
      </c>
      <c r="EL330" s="300">
        <v>45991</v>
      </c>
      <c r="EM330" s="300" t="e">
        <v>#N/A</v>
      </c>
      <c r="EN330" s="301"/>
      <c r="EO330" s="302">
        <v>19</v>
      </c>
      <c r="EP330" s="286">
        <v>19</v>
      </c>
      <c r="EQ330" s="35">
        <v>0.95</v>
      </c>
      <c r="ER330" s="35">
        <f>Table1[[#This Row],[Line MOS]]/Table1[[#This Row],[Line PR]]</f>
        <v>0.95</v>
      </c>
      <c r="ES330" s="286" t="str">
        <f>IF(Table1[[#This Row],[Progres MOS]]&gt;=100%,"Selesai MOS = 100%",IF(Table1[[#This Row],[Progres MOS]]&gt;=50%,"Proses MOS &gt; 100%",IF(Table1[[#This Row],[Progres MOS]]&gt;0%,"Proses MOS &gt; 50%",IF(Table1[[#This Row],[Progres MOS]]=0,"Belum MOS = 0%"))))</f>
        <v>Proses MOS &gt; 100%</v>
      </c>
      <c r="ET3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0" s="42"/>
      <c r="EV330" s="300">
        <v>45894</v>
      </c>
      <c r="EW330" s="300" t="e">
        <v>#N/A</v>
      </c>
      <c r="EX330" s="300">
        <v>45991</v>
      </c>
      <c r="EY330" s="300" t="e">
        <v>#N/A</v>
      </c>
      <c r="EZ330" s="322" t="s">
        <v>298</v>
      </c>
      <c r="FA330" s="306" t="s">
        <v>259</v>
      </c>
      <c r="FB330" s="300" t="s">
        <v>260</v>
      </c>
      <c r="FC330" s="300">
        <v>45945</v>
      </c>
      <c r="FD330" s="300" t="s">
        <v>260</v>
      </c>
      <c r="FE330" s="300">
        <v>45966</v>
      </c>
      <c r="FF330" s="300">
        <v>45993</v>
      </c>
      <c r="FG330" s="300" t="s">
        <v>260</v>
      </c>
      <c r="FH330" s="300" t="s">
        <v>260</v>
      </c>
      <c r="FI330" s="300">
        <v>46013</v>
      </c>
      <c r="FJ330" s="300" t="s">
        <v>260</v>
      </c>
      <c r="FK330" s="300">
        <v>46142</v>
      </c>
      <c r="FL330" s="306" t="s">
        <v>298</v>
      </c>
      <c r="FM330" s="322">
        <v>45945</v>
      </c>
      <c r="FN330" s="308">
        <f>IF(Table1[[#This Row],[Tanggal Pengajuan Dokumen]]="","",Table1[[#This Row],[PLAN PERMIT
start]]-Table1[[#This Row],[Tanggal Pengajuan Dokumen]])</f>
        <v>-51</v>
      </c>
      <c r="FO330" s="407">
        <v>46097</v>
      </c>
      <c r="FP330" s="286"/>
      <c r="FQ330" s="308"/>
      <c r="FR330" s="308"/>
      <c r="FS330" s="308" t="str">
        <f t="shared" si="17"/>
        <v>Sudah Terbit</v>
      </c>
      <c r="FT33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0" s="314">
        <f ca="1">IF(Table1[[#This Row],[Status Izin]]="Selesai",Table1[[#This Row],[PLAN PERMIT
finish]]-Table1[[#This Row],[Tanggal Terbit/ Target Izin Terbit]],ROUNDUP(Table1[[#This Row],[PLAN PERMIT
finish]]-NOW(),0))</f>
        <v>-106</v>
      </c>
      <c r="FV33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0" s="314"/>
      <c r="FX330" s="42"/>
      <c r="FY330" s="310"/>
      <c r="FZ330" s="311"/>
      <c r="GA3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0" s="300">
        <v>45965</v>
      </c>
      <c r="GC330" s="322">
        <v>45950</v>
      </c>
      <c r="GD33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0" s="300">
        <v>45972</v>
      </c>
      <c r="GF330" s="322">
        <v>45950</v>
      </c>
      <c r="GG33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0" s="300">
        <v>45978</v>
      </c>
      <c r="GI330" s="300">
        <v>45984</v>
      </c>
      <c r="GJ330" s="322">
        <v>45954</v>
      </c>
      <c r="GK33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0" s="300">
        <v>45992</v>
      </c>
      <c r="GM330" s="300" t="e">
        <v>#N/A</v>
      </c>
      <c r="GN330" s="300">
        <v>46033</v>
      </c>
      <c r="GO330" s="300" t="e">
        <v>#N/A</v>
      </c>
      <c r="GP330" s="300"/>
      <c r="GQ33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0" s="300" t="s">
        <v>261</v>
      </c>
      <c r="GS330" s="300" t="s">
        <v>261</v>
      </c>
      <c r="GT330" s="324">
        <v>46195</v>
      </c>
      <c r="GU330" s="314" t="str">
        <f>IF(Table1[[#This Row],[Hydro Tes Actual
(tanggal)]]&lt;&gt;"","Sudah","Belum")</f>
        <v>Sudah</v>
      </c>
      <c r="GV330" s="300" t="s">
        <v>261</v>
      </c>
      <c r="GW330" s="300" t="s">
        <v>261</v>
      </c>
      <c r="GX330" s="301"/>
      <c r="GY330" s="314" t="str">
        <f>IF(Table1[[#This Row],[Interkoneksi Actual
(tanggal)]]&lt;&gt;"","Sudah","Belum")</f>
        <v>Belum</v>
      </c>
      <c r="GZ330" s="300" t="s">
        <v>261</v>
      </c>
      <c r="HA330" s="300" t="s">
        <v>261</v>
      </c>
      <c r="HB330" s="301"/>
      <c r="HC330" s="314" t="str">
        <f>IF(Table1[[#This Row],[Flushing Actual
(tanggal)]]&lt;&gt;"","Sudah","Belum")</f>
        <v>Belum</v>
      </c>
      <c r="HD330" s="300">
        <v>46013</v>
      </c>
      <c r="HE330" s="300" t="e">
        <v>#N/A</v>
      </c>
      <c r="HF330" s="300">
        <v>46026</v>
      </c>
      <c r="HG330" s="322"/>
      <c r="HH33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0" s="300" t="s">
        <v>261</v>
      </c>
      <c r="HJ330" s="300" t="s">
        <v>261</v>
      </c>
      <c r="HK330" s="301"/>
      <c r="HL330" s="286"/>
      <c r="HM330" s="300">
        <v>46038</v>
      </c>
      <c r="HN330" s="300">
        <v>46038</v>
      </c>
      <c r="HO330" s="300" t="e">
        <v>#N/A</v>
      </c>
      <c r="HP330" s="300"/>
      <c r="HQ330" s="301"/>
      <c r="HR33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0" s="300">
        <v>46045</v>
      </c>
      <c r="HT330" s="300"/>
      <c r="HU330" s="300">
        <v>46045</v>
      </c>
      <c r="HV330" s="300"/>
      <c r="HW330" s="301"/>
      <c r="HX33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0" s="42"/>
      <c r="HZ330" s="322"/>
      <c r="IA330" s="322" t="s">
        <v>2584</v>
      </c>
      <c r="IC330" s="585">
        <f>IFERROR(ROUND((Table1[[#This Row],[PLAN TC
finish]]-Table1[[#This Row],[PLAN MC-0
start]])/30,2),"")</f>
        <v>1.6</v>
      </c>
      <c r="ID330">
        <f>DATEDIF(Table1[[#This Row],[PLAN MC-0
start]],Table1[[#This Row],[PLAN TC
finish]],"m")</f>
        <v>1</v>
      </c>
    </row>
    <row r="331" spans="1:238" s="4" customFormat="1" ht="15" customHeight="1" x14ac:dyDescent="0.25">
      <c r="B331" s="281">
        <f>SUBTOTAL(3,$D$5:D331)</f>
        <v>327</v>
      </c>
      <c r="C331" s="286">
        <v>327</v>
      </c>
      <c r="D331" s="285" t="s">
        <v>673</v>
      </c>
      <c r="E331" s="308" t="s">
        <v>2640</v>
      </c>
      <c r="F331" s="308" t="s">
        <v>2641</v>
      </c>
      <c r="G331" s="319">
        <v>46117</v>
      </c>
      <c r="H331" s="308" t="s">
        <v>681</v>
      </c>
      <c r="I331" s="308" t="s">
        <v>278</v>
      </c>
      <c r="J331" s="450" t="s">
        <v>1830</v>
      </c>
      <c r="K331" s="308" t="s">
        <v>676</v>
      </c>
      <c r="L331" s="286" t="s">
        <v>250</v>
      </c>
      <c r="M331" s="325" t="s">
        <v>269</v>
      </c>
      <c r="N331" s="94">
        <v>193</v>
      </c>
      <c r="O331" s="31" t="s">
        <v>252</v>
      </c>
      <c r="P33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1" s="35">
        <v>1</v>
      </c>
      <c r="S331" s="34">
        <v>1</v>
      </c>
      <c r="T331" s="34">
        <f>Table1[[#This Row],[Progres Total Aktual
(%)]]</f>
        <v>1</v>
      </c>
      <c r="U331" s="85">
        <f>Table1[[#This Row],[Progres Aktual
(%)]]-Table1[[#This Row],[Target Progres
(%)]]</f>
        <v>0</v>
      </c>
      <c r="V331" s="75">
        <f>Table1[[#This Row],["Volume
BA MC-0"]]</f>
        <v>200</v>
      </c>
      <c r="W331" s="41">
        <f>Table1[[#This Row],[Total Panjang Pipa Aktual
(Sum-&gt;)3]]</f>
        <v>200</v>
      </c>
      <c r="X331" s="42"/>
      <c r="Y331" s="62" t="s">
        <v>2642</v>
      </c>
      <c r="Z331" s="62">
        <v>491752264</v>
      </c>
      <c r="AA331" s="62">
        <f>ROUND((Table1[[#This Row],[Nilai RAB Jaringan
(Exclude Ppn)]]-Table1[[#This Row],[RAB Perizinan]])*1.11+Table1[[#This Row],[RAB Perizinan]],0)</f>
        <v>491752264</v>
      </c>
      <c r="AB331" s="456">
        <f>SUM(Table1[[#This Row],[RAB Kegiatan Umum]:[RAB Perizinan]])</f>
        <v>443905012.23890841</v>
      </c>
      <c r="AC331" s="406">
        <v>34439500.748991676</v>
      </c>
      <c r="AD331" s="406">
        <v>344395007.48991674</v>
      </c>
      <c r="AE331" s="406">
        <v>56140504</v>
      </c>
      <c r="AF331" s="406">
        <v>8930000</v>
      </c>
      <c r="AG331" s="453">
        <v>2107039</v>
      </c>
      <c r="AH331" s="33">
        <f>SUM(Table1[[#This Row],[Bobot Keg Umum]:[Bobot Perizinan]])</f>
        <v>1</v>
      </c>
      <c r="AI331" s="33">
        <f>Table1[[#This Row],[RAB Kegiatan Umum]]/Table1[[#This Row],[Nilai RAB Jaringan
(Exclude Ppn)]]</f>
        <v>7.7583040964755851E-2</v>
      </c>
      <c r="AJ331" s="33">
        <f>Table1[[#This Row],[RAB Pemasangan]]/Table1[[#This Row],[Nilai RAB Jaringan
(Exclude Ppn)]]</f>
        <v>0.77583040964755845</v>
      </c>
      <c r="AK331" s="33">
        <f>Table1[[#This Row],[RAB Pengadaan]]/Table1[[#This Row],[Nilai RAB Jaringan
(Exclude Ppn)]]</f>
        <v>0.12646963303443245</v>
      </c>
      <c r="AL331" s="33">
        <f>Table1[[#This Row],[RAB Perizinan]]/Table1[[#This Row],[Nilai RAB Jaringan
(Exclude Ppn)]]</f>
        <v>2.0116916353253293E-2</v>
      </c>
      <c r="AM331" s="42"/>
      <c r="AN331" s="256">
        <v>200</v>
      </c>
      <c r="AO331" s="256">
        <f>SUM(Table1[[#This Row],[Pipa 63 mm]:[Pipa 1,800 mm]])</f>
        <v>200</v>
      </c>
      <c r="AP331" s="256">
        <v>200</v>
      </c>
      <c r="AQ331" s="256"/>
      <c r="AR331" s="256"/>
      <c r="AS331" s="256"/>
      <c r="AT331" s="256"/>
      <c r="AU331" s="256"/>
      <c r="AV331" s="256"/>
      <c r="AW331" s="256"/>
      <c r="AX331" s="256"/>
      <c r="AY331" s="256"/>
      <c r="AZ331" s="256"/>
      <c r="BA331" s="256"/>
      <c r="BB331" s="256"/>
      <c r="BC331" s="256"/>
      <c r="BD331" s="256"/>
      <c r="BE331" s="256"/>
      <c r="BF331" s="256"/>
      <c r="BG331" s="256"/>
      <c r="BH331" s="256"/>
      <c r="BI331" s="256"/>
      <c r="BJ331" s="233">
        <f>SUM(Table1[[#This Row],[Pipa 63 mm2]:[Pipa 1,800 mm21]])</f>
        <v>200</v>
      </c>
      <c r="BK331" s="32">
        <v>200</v>
      </c>
      <c r="BL331" s="32"/>
      <c r="BM331" s="32"/>
      <c r="BN331" s="32"/>
      <c r="BO331" s="32"/>
      <c r="BP331" s="32"/>
      <c r="BQ331" s="32"/>
      <c r="BR331" s="32"/>
      <c r="BS331" s="32"/>
      <c r="BT331" s="32"/>
      <c r="BU331" s="32"/>
      <c r="BV331" s="32"/>
      <c r="BW331" s="32"/>
      <c r="BX331" s="32"/>
      <c r="BY331" s="32"/>
      <c r="BZ331" s="32"/>
      <c r="CA331" s="32"/>
      <c r="CB331" s="32"/>
      <c r="CC331" s="32"/>
      <c r="CD331" s="32"/>
      <c r="CE331" s="32">
        <v>0</v>
      </c>
      <c r="CF331" s="32"/>
      <c r="CG331" s="32"/>
      <c r="CH331" s="32"/>
      <c r="CI331" s="32">
        <f t="shared" si="16"/>
        <v>0</v>
      </c>
      <c r="CJ331" s="60">
        <f>IF((Table1[[#This Row],["Volume
BA MC-0"]]-Table1[[#This Row],[Total Panjang Pipa Aktual
(Sum-&gt;)3]]-Table1[[#This Row],[Total Volume
tidak dapat dipasang]])&gt;=0,Table1[[#This Row],["Volume
BA MC-0"]]-Table1[[#This Row],[Total Panjang Pipa Aktual
(Sum-&gt;)3]]-Table1[[#This Row],[Total Volume
tidak dapat dipasang]],0)</f>
        <v>0</v>
      </c>
      <c r="CK331" s="42"/>
      <c r="CL331" s="454" t="s">
        <v>1821</v>
      </c>
      <c r="CM331" s="34" t="s">
        <v>1821</v>
      </c>
      <c r="CN331" s="454" t="s">
        <v>1821</v>
      </c>
      <c r="CO331" s="454" t="s">
        <v>1821</v>
      </c>
      <c r="CP3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1" s="61">
        <f>IFERROR(Table1[[#This Row],[Progres Keg. Umum
(%)]]*Table1[[#This Row],[Nilai RAB Jaringan
(file pa aji)]],0)</f>
        <v>0</v>
      </c>
      <c r="CR331" s="61">
        <f>IFERROR(Table1[[#This Row],[Progres MOS
(%)]]*Table1[[#This Row],[Nilai RAB Jaringan
(file pa aji)]],0)</f>
        <v>0</v>
      </c>
      <c r="CS331" s="61">
        <f>IFERROR(Table1[[#This Row],[Progres Pemasangan
(%)]]*Table1[[#This Row],[Nilai RAB Jaringan
(file pa aji)]],0)</f>
        <v>0</v>
      </c>
      <c r="CT331" s="61">
        <f>IFERROR(Table1[[#This Row],[Progres Perizinan
(%)]]*Table1[[#This Row],[Nilai RAB Jaringan
(file pa aji)]],0)</f>
        <v>0</v>
      </c>
      <c r="CU331" s="789">
        <v>432025761</v>
      </c>
      <c r="CV331" s="299">
        <v>432025761</v>
      </c>
      <c r="CW331" s="552">
        <v>432025761</v>
      </c>
      <c r="CX331" s="789">
        <f>_xlfn.XLOOKUP(Table1[[#This Row],[Kode Program]],'[1]Breakdown VOWD Greenfield'!$E:$E,'[1]Breakdown VOWD Greenfield'!$AT:$AT)</f>
        <v>432025761</v>
      </c>
      <c r="CY331" s="42"/>
      <c r="CZ331" s="300">
        <v>45866</v>
      </c>
      <c r="DA331" s="300">
        <v>45893</v>
      </c>
      <c r="DB331" s="301">
        <v>45901</v>
      </c>
      <c r="DC331" s="286" t="s">
        <v>2643</v>
      </c>
      <c r="DD331" s="62">
        <v>491752263.31999999</v>
      </c>
      <c r="DE3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1" s="301">
        <v>45915</v>
      </c>
      <c r="DG331" s="286" t="s">
        <v>2644</v>
      </c>
      <c r="DH331" s="62">
        <v>491752263.31999999</v>
      </c>
      <c r="DI33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1" s="300">
        <v>45894</v>
      </c>
      <c r="DK331" s="300">
        <v>45956</v>
      </c>
      <c r="DL331" s="301">
        <v>45937</v>
      </c>
      <c r="DM331" s="286" t="s">
        <v>2645</v>
      </c>
      <c r="DN3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1" s="301">
        <v>45960</v>
      </c>
      <c r="DP331" s="286" t="s">
        <v>2646</v>
      </c>
      <c r="DQ331" s="308" t="s">
        <v>365</v>
      </c>
      <c r="DR3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1" s="300">
        <v>45894</v>
      </c>
      <c r="DT331" s="300" t="e">
        <v>#N/A</v>
      </c>
      <c r="DU331" s="300">
        <v>45935</v>
      </c>
      <c r="DV331" s="300" t="e">
        <v>#N/A</v>
      </c>
      <c r="DW331" s="301">
        <v>45937</v>
      </c>
      <c r="DX331" s="454" t="s">
        <v>2647</v>
      </c>
      <c r="DY331" s="302">
        <v>46</v>
      </c>
      <c r="DZ331" s="304">
        <v>46</v>
      </c>
      <c r="EA3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1" s="301">
        <v>46127</v>
      </c>
      <c r="EC331" s="302">
        <v>41</v>
      </c>
      <c r="ED331" s="302">
        <v>41</v>
      </c>
      <c r="EE331" s="395" t="s">
        <v>2648</v>
      </c>
      <c r="EF331" s="35">
        <v>1</v>
      </c>
      <c r="EG331" s="307">
        <v>1</v>
      </c>
      <c r="EH331" s="286" t="str">
        <f>IF(Table1[[#This Row],[PO Material Aktual 
(%)]]&gt;=100%,"Selesai PO = 100%",IF(Table1[[#This Row],[PO Material Aktual 
(%)]]&gt;=50%,"Proses PO &gt; 100%",IF(Table1[[#This Row],[PO Material Aktual 
(%)]]&gt;0%,"Proses PO &gt; 50%",IF(Table1[[#This Row],[PO Material Aktual 
(%)]]=0,"Belum PO = 0%"))))</f>
        <v>Selesai PO = 100%</v>
      </c>
      <c r="EI33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1" s="300">
        <v>45936</v>
      </c>
      <c r="EK331" s="300" t="e">
        <v>#N/A</v>
      </c>
      <c r="EL331" s="300">
        <v>45984</v>
      </c>
      <c r="EM331" s="300" t="e">
        <v>#N/A</v>
      </c>
      <c r="EN331" s="301">
        <v>46149</v>
      </c>
      <c r="EO331" s="302">
        <v>41</v>
      </c>
      <c r="EP331" s="286">
        <v>41</v>
      </c>
      <c r="EQ331" s="35">
        <v>0.89130434782608692</v>
      </c>
      <c r="ER331" s="35">
        <f>Table1[[#This Row],[Line MOS]]/Table1[[#This Row],[Line PR]]</f>
        <v>0.89130434782608692</v>
      </c>
      <c r="ES331" s="286" t="str">
        <f>IF(Table1[[#This Row],[Progres MOS]]&gt;=100%,"Selesai MOS = 100%",IF(Table1[[#This Row],[Progres MOS]]&gt;=50%,"Proses MOS &gt; 100%",IF(Table1[[#This Row],[Progres MOS]]&gt;0%,"Proses MOS &gt; 50%",IF(Table1[[#This Row],[Progres MOS]]=0,"Belum MOS = 0%"))))</f>
        <v>Proses MOS &gt; 100%</v>
      </c>
      <c r="ET3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1" s="42"/>
      <c r="EV331" s="300">
        <v>45894</v>
      </c>
      <c r="EW331" s="300" t="e">
        <v>#N/A</v>
      </c>
      <c r="EX331" s="300">
        <v>45984</v>
      </c>
      <c r="EY331" s="300" t="e">
        <v>#N/A</v>
      </c>
      <c r="EZ331" s="322" t="s">
        <v>298</v>
      </c>
      <c r="FA331" s="306" t="s">
        <v>259</v>
      </c>
      <c r="FB331" s="300" t="s">
        <v>260</v>
      </c>
      <c r="FC331" s="300">
        <v>45945</v>
      </c>
      <c r="FD331" s="300" t="s">
        <v>260</v>
      </c>
      <c r="FE331" s="300">
        <v>45966</v>
      </c>
      <c r="FF331" s="300">
        <v>45993</v>
      </c>
      <c r="FG331" s="300" t="s">
        <v>260</v>
      </c>
      <c r="FH331" s="300" t="s">
        <v>260</v>
      </c>
      <c r="FI331" s="300">
        <v>46010</v>
      </c>
      <c r="FJ331" s="300" t="s">
        <v>260</v>
      </c>
      <c r="FK331" s="300">
        <v>46098</v>
      </c>
      <c r="FL331" s="306" t="s">
        <v>298</v>
      </c>
      <c r="FM331" s="322">
        <v>45945</v>
      </c>
      <c r="FN331" s="308">
        <f>IF(Table1[[#This Row],[Tanggal Pengajuan Dokumen]]="","",Table1[[#This Row],[PLAN PERMIT
start]]-Table1[[#This Row],[Tanggal Pengajuan Dokumen]])</f>
        <v>-51</v>
      </c>
      <c r="FO331" s="407">
        <v>46097</v>
      </c>
      <c r="FP331" s="286"/>
      <c r="FQ331" s="308"/>
      <c r="FR331" s="308"/>
      <c r="FS331" s="308" t="str">
        <f t="shared" si="17"/>
        <v>Sudah Terbit</v>
      </c>
      <c r="FT33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1" s="314">
        <f ca="1">IF(Table1[[#This Row],[Status Izin]]="Selesai",Table1[[#This Row],[PLAN PERMIT
finish]]-Table1[[#This Row],[Tanggal Terbit/ Target Izin Terbit]],ROUNDUP(Table1[[#This Row],[PLAN PERMIT
finish]]-NOW(),0))</f>
        <v>-113</v>
      </c>
      <c r="FV33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1" s="314"/>
      <c r="FX331" s="42"/>
      <c r="FY331" s="310"/>
      <c r="FZ331" s="311"/>
      <c r="GA3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1" s="300">
        <v>45958</v>
      </c>
      <c r="GC331" s="322">
        <v>45965</v>
      </c>
      <c r="GD33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1" s="300">
        <v>45965</v>
      </c>
      <c r="GF331" s="322">
        <v>45951</v>
      </c>
      <c r="GG33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1" s="300">
        <v>45971</v>
      </c>
      <c r="GI331" s="300">
        <v>45977</v>
      </c>
      <c r="GJ331" s="322">
        <v>45959</v>
      </c>
      <c r="GK33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1" s="300">
        <v>45985</v>
      </c>
      <c r="GM331" s="300" t="e">
        <v>#N/A</v>
      </c>
      <c r="GN331" s="300">
        <v>46005</v>
      </c>
      <c r="GO331" s="300" t="e">
        <v>#N/A</v>
      </c>
      <c r="GP331" s="300"/>
      <c r="GQ33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1" s="300" t="s">
        <v>261</v>
      </c>
      <c r="GS331" s="300" t="s">
        <v>261</v>
      </c>
      <c r="GT331" s="324">
        <v>45996</v>
      </c>
      <c r="GU331" s="314" t="str">
        <f>IF(Table1[[#This Row],[Hydro Tes Actual
(tanggal)]]&lt;&gt;"","Sudah","Belum")</f>
        <v>Sudah</v>
      </c>
      <c r="GV331" s="300" t="s">
        <v>261</v>
      </c>
      <c r="GW331" s="300" t="s">
        <v>261</v>
      </c>
      <c r="GX331" s="301">
        <v>45996</v>
      </c>
      <c r="GY331" s="314" t="str">
        <f>IF(Table1[[#This Row],[Interkoneksi Actual
(tanggal)]]&lt;&gt;"","Sudah","Belum")</f>
        <v>Sudah</v>
      </c>
      <c r="GZ331" s="300" t="s">
        <v>261</v>
      </c>
      <c r="HA331" s="300" t="s">
        <v>261</v>
      </c>
      <c r="HB331" s="301">
        <v>45997</v>
      </c>
      <c r="HC331" s="314" t="str">
        <f>IF(Table1[[#This Row],[Flushing Actual
(tanggal)]]&lt;&gt;"","Sudah","Belum")</f>
        <v>Sudah</v>
      </c>
      <c r="HD331" s="300">
        <v>45992</v>
      </c>
      <c r="HE331" s="300" t="e">
        <v>#N/A</v>
      </c>
      <c r="HF331" s="300">
        <v>46005</v>
      </c>
      <c r="HG331" s="322">
        <v>46010</v>
      </c>
      <c r="HH33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1" s="300" t="s">
        <v>261</v>
      </c>
      <c r="HJ331" s="300" t="s">
        <v>261</v>
      </c>
      <c r="HK331" s="301"/>
      <c r="HL331" s="286"/>
      <c r="HM331" s="300">
        <v>46010</v>
      </c>
      <c r="HN331" s="300">
        <v>46010</v>
      </c>
      <c r="HO331" s="300" t="e">
        <v>#N/A</v>
      </c>
      <c r="HP331" s="300"/>
      <c r="HQ331" s="301">
        <v>46044</v>
      </c>
      <c r="HR33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1" s="300">
        <v>46017</v>
      </c>
      <c r="HT331" s="300"/>
      <c r="HU331" s="300">
        <v>46017</v>
      </c>
      <c r="HV331" s="300"/>
      <c r="HW331" s="301">
        <v>46056</v>
      </c>
      <c r="HX33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1" s="42"/>
      <c r="HZ331" s="322"/>
      <c r="IA331" s="322"/>
      <c r="IC331" s="585">
        <f>IFERROR(ROUND((Table1[[#This Row],[PLAN TC
finish]]-Table1[[#This Row],[PLAN MC-0
start]])/30,2),"")</f>
        <v>1.1299999999999999</v>
      </c>
      <c r="ID331">
        <f>DATEDIF(Table1[[#This Row],[PLAN MC-0
start]],Table1[[#This Row],[PLAN TC
finish]],"m")</f>
        <v>1</v>
      </c>
    </row>
    <row r="332" spans="1:238" s="30" customFormat="1" ht="15" customHeight="1" x14ac:dyDescent="0.25">
      <c r="A332" s="72"/>
      <c r="B332" s="281">
        <f>SUBTOTAL(3,$D$5:D332)</f>
        <v>328</v>
      </c>
      <c r="C332" s="337">
        <v>328</v>
      </c>
      <c r="D332" s="333" t="s">
        <v>673</v>
      </c>
      <c r="E332" s="336" t="s">
        <v>2649</v>
      </c>
      <c r="F332" s="336" t="s">
        <v>2650</v>
      </c>
      <c r="G332" s="334">
        <v>46117</v>
      </c>
      <c r="H332" s="336" t="s">
        <v>681</v>
      </c>
      <c r="I332" s="336" t="s">
        <v>278</v>
      </c>
      <c r="J332" s="355" t="s">
        <v>389</v>
      </c>
      <c r="K332" s="336" t="s">
        <v>676</v>
      </c>
      <c r="L332" s="337" t="s">
        <v>250</v>
      </c>
      <c r="M332" s="362" t="s">
        <v>269</v>
      </c>
      <c r="N332" s="338">
        <v>95</v>
      </c>
      <c r="O332" s="339" t="s">
        <v>252</v>
      </c>
      <c r="P332" s="409"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2" s="355" t="s">
        <v>389</v>
      </c>
      <c r="R332" s="341">
        <v>1</v>
      </c>
      <c r="S332" s="34">
        <v>1</v>
      </c>
      <c r="T332" s="459">
        <f>Table1[[#This Row],[Progres Total Aktual
(%)]]</f>
        <v>0</v>
      </c>
      <c r="U332" s="460">
        <f>Table1[[#This Row],[Progres Aktual
(%)]]-Table1[[#This Row],[Target Progres
(%)]]</f>
        <v>-1</v>
      </c>
      <c r="V332" s="461">
        <f>Table1[[#This Row],["Volume
BA MC-0"]]</f>
        <v>0</v>
      </c>
      <c r="W332" s="462">
        <f>Table1[[#This Row],[Total Panjang Pipa Aktual
(Sum-&gt;)3]]</f>
        <v>0</v>
      </c>
      <c r="X332" s="42"/>
      <c r="Y332" s="345" t="s">
        <v>2651</v>
      </c>
      <c r="Z332" s="345">
        <v>213781927</v>
      </c>
      <c r="AA332" s="345">
        <f>ROUND((Table1[[#This Row],[Nilai RAB Jaringan
(Exclude Ppn)]]-Table1[[#This Row],[RAB Perizinan]])*1.11+Table1[[#This Row],[RAB Perizinan]],0)</f>
        <v>0</v>
      </c>
      <c r="AB332" s="463">
        <f>SUM(Table1[[#This Row],[RAB Kegiatan Umum]:[RAB Perizinan]])</f>
        <v>0</v>
      </c>
      <c r="AC332" s="409"/>
      <c r="AD332" s="409"/>
      <c r="AE332" s="409"/>
      <c r="AF332" s="409"/>
      <c r="AG332" s="464">
        <v>8428155</v>
      </c>
      <c r="AH332" s="465" t="e">
        <f>SUM(Table1[[#This Row],[Bobot Keg Umum]:[Bobot Perizinan]])</f>
        <v>#DIV/0!</v>
      </c>
      <c r="AI332" s="465" t="e">
        <f>Table1[[#This Row],[RAB Kegiatan Umum]]/Table1[[#This Row],[Nilai RAB Jaringan
(Exclude Ppn)]]</f>
        <v>#DIV/0!</v>
      </c>
      <c r="AJ332" s="465" t="e">
        <f>Table1[[#This Row],[RAB Pemasangan]]/Table1[[#This Row],[Nilai RAB Jaringan
(Exclude Ppn)]]</f>
        <v>#DIV/0!</v>
      </c>
      <c r="AK332" s="465" t="e">
        <f>Table1[[#This Row],[RAB Pengadaan]]/Table1[[#This Row],[Nilai RAB Jaringan
(Exclude Ppn)]]</f>
        <v>#DIV/0!</v>
      </c>
      <c r="AL332" s="465" t="e">
        <f>Table1[[#This Row],[RAB Perizinan]]/Table1[[#This Row],[Nilai RAB Jaringan
(Exclude Ppn)]]</f>
        <v>#DIV/0!</v>
      </c>
      <c r="AM332" s="42"/>
      <c r="AN332" s="346"/>
      <c r="AO332" s="346">
        <f>SUM(Table1[[#This Row],[Pipa 63 mm]:[Pipa 1,800 mm]])</f>
        <v>0</v>
      </c>
      <c r="AP332" s="346"/>
      <c r="AQ332" s="346"/>
      <c r="AR332" s="346"/>
      <c r="AS332" s="346"/>
      <c r="AT332" s="346"/>
      <c r="AU332" s="346"/>
      <c r="AV332" s="346"/>
      <c r="AW332" s="346"/>
      <c r="AX332" s="346"/>
      <c r="AY332" s="346"/>
      <c r="AZ332" s="346"/>
      <c r="BA332" s="346"/>
      <c r="BB332" s="346"/>
      <c r="BC332" s="346"/>
      <c r="BD332" s="346"/>
      <c r="BE332" s="346"/>
      <c r="BF332" s="346"/>
      <c r="BG332" s="346"/>
      <c r="BH332" s="346"/>
      <c r="BI332" s="346"/>
      <c r="BJ332" s="233">
        <f>SUM(Table1[[#This Row],[Pipa 63 mm2]:[Pipa 1,800 mm21]])</f>
        <v>0</v>
      </c>
      <c r="BK332" s="348"/>
      <c r="BL332" s="348"/>
      <c r="BM332" s="348"/>
      <c r="BN332" s="348"/>
      <c r="BO332" s="348"/>
      <c r="BP332" s="348"/>
      <c r="BQ332" s="348"/>
      <c r="BR332" s="348"/>
      <c r="BS332" s="348"/>
      <c r="BT332" s="348"/>
      <c r="BU332" s="348"/>
      <c r="BV332" s="348"/>
      <c r="BW332" s="348"/>
      <c r="BX332" s="348"/>
      <c r="BY332" s="348"/>
      <c r="BZ332" s="348"/>
      <c r="CA332" s="348"/>
      <c r="CB332" s="348"/>
      <c r="CC332" s="348"/>
      <c r="CD332" s="348"/>
      <c r="CE332" s="348">
        <v>0</v>
      </c>
      <c r="CF332" s="348"/>
      <c r="CG332" s="348"/>
      <c r="CH332" s="348"/>
      <c r="CI332" s="348">
        <f t="shared" si="16"/>
        <v>0</v>
      </c>
      <c r="CJ332" s="348">
        <f>IF((Table1[[#This Row],["Volume
BA MC-0"]]-Table1[[#This Row],[Total Panjang Pipa Aktual
(Sum-&gt;)3]]-Table1[[#This Row],[Total Volume
tidak dapat dipasang]])&gt;=0,Table1[[#This Row],["Volume
BA MC-0"]]-Table1[[#This Row],[Total Panjang Pipa Aktual
(Sum-&gt;)3]]-Table1[[#This Row],[Total Volume
tidak dapat dipasang]],0)</f>
        <v>0</v>
      </c>
      <c r="CK332" s="42"/>
      <c r="CL332" s="466" t="s">
        <v>1821</v>
      </c>
      <c r="CM332" s="459" t="s">
        <v>1821</v>
      </c>
      <c r="CN332" s="466" t="s">
        <v>1821</v>
      </c>
      <c r="CO332" s="466" t="s">
        <v>1821</v>
      </c>
      <c r="CP332"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2" s="350">
        <f>IFERROR(Table1[[#This Row],[Progres Keg. Umum
(%)]]*Table1[[#This Row],[Nilai RAB Jaringan
(file pa aji)]],0)</f>
        <v>0</v>
      </c>
      <c r="CR332" s="350">
        <f>IFERROR(Table1[[#This Row],[Progres MOS
(%)]]*Table1[[#This Row],[Nilai RAB Jaringan
(file pa aji)]],0)</f>
        <v>0</v>
      </c>
      <c r="CS332" s="350">
        <f>IFERROR(Table1[[#This Row],[Progres Pemasangan
(%)]]*Table1[[#This Row],[Nilai RAB Jaringan
(file pa aji)]],0)</f>
        <v>0</v>
      </c>
      <c r="CT332" s="350">
        <f>IFERROR(Table1[[#This Row],[Progres Perizinan
(%)]]*Table1[[#This Row],[Nilai RAB Jaringan
(file pa aji)]],0)</f>
        <v>0</v>
      </c>
      <c r="CU332" s="789">
        <v>0</v>
      </c>
      <c r="CV332" s="299">
        <v>0</v>
      </c>
      <c r="CW332" s="551">
        <v>0</v>
      </c>
      <c r="CX332" s="789">
        <f>_xlfn.XLOOKUP(Table1[[#This Row],[Kode Program]],'[1]Breakdown VOWD Greenfield'!$E:$E,'[1]Breakdown VOWD Greenfield'!$AT:$AT)</f>
        <v>0</v>
      </c>
      <c r="CY332" s="42"/>
      <c r="CZ332" s="356">
        <v>45866</v>
      </c>
      <c r="DA332" s="356">
        <v>45893</v>
      </c>
      <c r="DB332" s="358">
        <v>45901</v>
      </c>
      <c r="DC332" s="337" t="s">
        <v>2652</v>
      </c>
      <c r="DD332" s="345">
        <v>213781926.14000002</v>
      </c>
      <c r="DE3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2" s="358">
        <v>45915</v>
      </c>
      <c r="DG332" s="337" t="s">
        <v>2653</v>
      </c>
      <c r="DH332" s="345">
        <v>213781926.14000002</v>
      </c>
      <c r="DI332" s="337"/>
      <c r="DJ332" s="356">
        <v>45894</v>
      </c>
      <c r="DK332" s="356">
        <v>45956</v>
      </c>
      <c r="DL332" s="358">
        <v>45938</v>
      </c>
      <c r="DM332" s="337" t="s">
        <v>2654</v>
      </c>
      <c r="DN332" s="352"/>
      <c r="DO332" s="358">
        <v>45946</v>
      </c>
      <c r="DP332" s="337" t="s">
        <v>2655</v>
      </c>
      <c r="DQ332" s="336" t="s">
        <v>297</v>
      </c>
      <c r="DR332" s="352"/>
      <c r="DS332" s="356">
        <v>45894</v>
      </c>
      <c r="DT332" s="356" t="e">
        <v>#N/A</v>
      </c>
      <c r="DU332" s="356">
        <v>45935</v>
      </c>
      <c r="DV332" s="356" t="e">
        <v>#N/A</v>
      </c>
      <c r="DW332" s="358">
        <v>45938</v>
      </c>
      <c r="DX332" s="466" t="s">
        <v>2656</v>
      </c>
      <c r="DY332" s="412"/>
      <c r="DZ332" s="412"/>
      <c r="EA332" s="352"/>
      <c r="EB332" s="358"/>
      <c r="EC332" s="412"/>
      <c r="ED332" s="412"/>
      <c r="EE332" s="356"/>
      <c r="EF332" s="341"/>
      <c r="EG332" s="341"/>
      <c r="EH332" s="337"/>
      <c r="EI332"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2" s="356">
        <v>45936</v>
      </c>
      <c r="EK332" s="356" t="e">
        <v>#N/A</v>
      </c>
      <c r="EL332" s="356">
        <v>45984</v>
      </c>
      <c r="EM332" s="356" t="e">
        <v>#N/A</v>
      </c>
      <c r="EN332" s="358"/>
      <c r="EO332" s="412"/>
      <c r="EP332" s="337"/>
      <c r="EQ332" s="341"/>
      <c r="ER332" s="341"/>
      <c r="ES332" s="337"/>
      <c r="ET3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2" s="42"/>
      <c r="EV332" s="356">
        <v>45894</v>
      </c>
      <c r="EW332" s="356" t="e">
        <v>#N/A</v>
      </c>
      <c r="EX332" s="356">
        <v>45984</v>
      </c>
      <c r="EY332" s="356" t="e">
        <v>#N/A</v>
      </c>
      <c r="EZ332" s="354" t="s">
        <v>298</v>
      </c>
      <c r="FA332" s="355" t="s">
        <v>389</v>
      </c>
      <c r="FB332" s="356" t="s">
        <v>260</v>
      </c>
      <c r="FC332" s="300"/>
      <c r="FD332" s="356"/>
      <c r="FE332" s="356"/>
      <c r="FF332" s="356"/>
      <c r="FG332" s="356"/>
      <c r="FH332" s="356"/>
      <c r="FI332" s="356"/>
      <c r="FJ332" s="356"/>
      <c r="FK332" s="356"/>
      <c r="FL332" s="413" t="str">
        <f>Table1[[#This Row],[IPPJU]]</f>
        <v>9.Proses Penerbitan Izin</v>
      </c>
      <c r="FM332" s="413"/>
      <c r="FN332" s="335" t="str">
        <f>IF(Table1[[#This Row],[Tanggal Pengajuan Dokumen]]="","",Table1[[#This Row],[PLAN PERMIT
start]]-Table1[[#This Row],[Tanggal Pengajuan Dokumen]])</f>
        <v/>
      </c>
      <c r="FO332" s="414">
        <v>46097</v>
      </c>
      <c r="FP332" s="337"/>
      <c r="FQ332" s="336"/>
      <c r="FR332" s="336"/>
      <c r="FS332" s="336" t="str">
        <f t="shared" si="17"/>
        <v>On Going</v>
      </c>
      <c r="FT332" s="337"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2" s="357">
        <f ca="1">IF(Table1[[#This Row],[Status Izin]]="Selesai",Table1[[#This Row],[PLAN PERMIT
finish]]-Table1[[#This Row],[Tanggal Terbit/ Target Izin Terbit]],ROUNDUP(Table1[[#This Row],[PLAN PERMIT
finish]]-NOW(),0))</f>
        <v>-220</v>
      </c>
      <c r="FV332" s="357"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2" s="357"/>
      <c r="FX332" s="42"/>
      <c r="FY332" s="310"/>
      <c r="FZ332" s="311"/>
      <c r="GA3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2" s="356">
        <v>45958</v>
      </c>
      <c r="GC332" s="354">
        <v>45965</v>
      </c>
      <c r="GD332"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2" s="356">
        <v>45965</v>
      </c>
      <c r="GF332" s="354">
        <v>45964</v>
      </c>
      <c r="GG332"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2" s="356">
        <v>45971</v>
      </c>
      <c r="GI332" s="356">
        <v>45977</v>
      </c>
      <c r="GJ332" s="354"/>
      <c r="GK332"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32" s="356">
        <v>45985</v>
      </c>
      <c r="GM332" s="356" t="e">
        <v>#N/A</v>
      </c>
      <c r="GN332" s="356">
        <v>46005</v>
      </c>
      <c r="GO332" s="356" t="e">
        <v>#N/A</v>
      </c>
      <c r="GP332" s="356"/>
      <c r="GQ332"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2" s="356" t="s">
        <v>261</v>
      </c>
      <c r="GS332" s="356" t="s">
        <v>261</v>
      </c>
      <c r="GT332" s="360"/>
      <c r="GU332" s="357" t="str">
        <f>IF(Table1[[#This Row],[Hydro Tes Actual
(tanggal)]]&lt;&gt;"","Sudah","Belum")</f>
        <v>Belum</v>
      </c>
      <c r="GV332" s="356" t="s">
        <v>261</v>
      </c>
      <c r="GW332" s="356" t="s">
        <v>261</v>
      </c>
      <c r="GX332" s="358"/>
      <c r="GY332" s="357" t="str">
        <f>IF(Table1[[#This Row],[Interkoneksi Actual
(tanggal)]]&lt;&gt;"","Sudah","Belum")</f>
        <v>Belum</v>
      </c>
      <c r="GZ332" s="356" t="s">
        <v>261</v>
      </c>
      <c r="HA332" s="356" t="s">
        <v>261</v>
      </c>
      <c r="HB332" s="358"/>
      <c r="HC332" s="357" t="str">
        <f>IF(Table1[[#This Row],[Flushing Actual
(tanggal)]]&lt;&gt;"","Sudah","Belum")</f>
        <v>Belum</v>
      </c>
      <c r="HD332" s="356">
        <v>45992</v>
      </c>
      <c r="HE332" s="356" t="e">
        <v>#N/A</v>
      </c>
      <c r="HF332" s="356">
        <v>46005</v>
      </c>
      <c r="HG332" s="354"/>
      <c r="HH332"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2" s="356" t="s">
        <v>261</v>
      </c>
      <c r="HJ332" s="356" t="s">
        <v>261</v>
      </c>
      <c r="HK332" s="358"/>
      <c r="HL332" s="337"/>
      <c r="HM332" s="356">
        <v>46010</v>
      </c>
      <c r="HN332" s="356">
        <v>46010</v>
      </c>
      <c r="HO332" s="356" t="e">
        <v>#N/A</v>
      </c>
      <c r="HP332" s="356"/>
      <c r="HQ332" s="358"/>
      <c r="HR332" s="337"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2" s="356">
        <v>46017</v>
      </c>
      <c r="HT332" s="356"/>
      <c r="HU332" s="356">
        <v>46017</v>
      </c>
      <c r="HV332" s="356"/>
      <c r="HW332" s="358"/>
      <c r="HX332" s="358"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2" s="42"/>
      <c r="HZ332" s="354" t="s">
        <v>2199</v>
      </c>
      <c r="IA332" s="354"/>
      <c r="IC332" s="585">
        <f>IFERROR(ROUND((Table1[[#This Row],[PLAN TC
finish]]-Table1[[#This Row],[PLAN MC-0
start]])/30,2),"")</f>
        <v>1.1299999999999999</v>
      </c>
      <c r="ID332">
        <f>DATEDIF(Table1[[#This Row],[PLAN MC-0
start]],Table1[[#This Row],[PLAN TC
finish]],"m")</f>
        <v>1</v>
      </c>
    </row>
    <row r="333" spans="1:238" s="30" customFormat="1" ht="15" customHeight="1" x14ac:dyDescent="0.25">
      <c r="A333" s="72"/>
      <c r="B333" s="281">
        <f>SUBTOTAL(3,$D$5:D333)</f>
        <v>329</v>
      </c>
      <c r="C333" s="286">
        <v>329</v>
      </c>
      <c r="D333" s="333" t="s">
        <v>673</v>
      </c>
      <c r="E333" s="336" t="s">
        <v>2657</v>
      </c>
      <c r="F333" s="336" t="s">
        <v>2658</v>
      </c>
      <c r="G333" s="334">
        <v>46117</v>
      </c>
      <c r="H333" s="336" t="s">
        <v>681</v>
      </c>
      <c r="I333" s="308" t="s">
        <v>278</v>
      </c>
      <c r="J333" s="355" t="s">
        <v>389</v>
      </c>
      <c r="K333" s="308" t="s">
        <v>676</v>
      </c>
      <c r="L333" s="286" t="s">
        <v>250</v>
      </c>
      <c r="M333" s="362" t="s">
        <v>269</v>
      </c>
      <c r="N333" s="338">
        <v>92</v>
      </c>
      <c r="O333" s="339" t="s">
        <v>252</v>
      </c>
      <c r="P33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3" s="355" t="s">
        <v>389</v>
      </c>
      <c r="R333" s="35">
        <v>1.0000000000000002</v>
      </c>
      <c r="S333" s="34">
        <v>1</v>
      </c>
      <c r="T333" s="459">
        <f>Table1[[#This Row],[Progres Total Aktual
(%)]]</f>
        <v>0</v>
      </c>
      <c r="U333" s="460">
        <f>Table1[[#This Row],[Progres Aktual
(%)]]-Table1[[#This Row],[Target Progres
(%)]]</f>
        <v>-1</v>
      </c>
      <c r="V333" s="461">
        <f>Table1[[#This Row],["Volume
BA MC-0"]]</f>
        <v>100</v>
      </c>
      <c r="W333" s="462">
        <f>Table1[[#This Row],[Total Panjang Pipa Aktual
(Sum-&gt;)3]]</f>
        <v>0</v>
      </c>
      <c r="X333" s="42"/>
      <c r="Y333" s="345" t="s">
        <v>2659</v>
      </c>
      <c r="Z333" s="345">
        <v>209411676</v>
      </c>
      <c r="AA333" s="345">
        <f>ROUND((Table1[[#This Row],[Nilai RAB Jaringan
(Exclude Ppn)]]-Table1[[#This Row],[RAB Perizinan]])*1.11+Table1[[#This Row],[RAB Perizinan]],0)</f>
        <v>209411675</v>
      </c>
      <c r="AB333" s="463">
        <f>SUM(Table1[[#This Row],[RAB Kegiatan Umum]:[RAB Perizinan]])</f>
        <v>188750338.09999999</v>
      </c>
      <c r="AC333" s="409">
        <v>11686485.1</v>
      </c>
      <c r="AD333" s="409">
        <v>116864851</v>
      </c>
      <c r="AE333" s="409">
        <v>59279002</v>
      </c>
      <c r="AF333" s="409">
        <v>920000</v>
      </c>
      <c r="AG333" s="464">
        <v>2107039</v>
      </c>
      <c r="AH333" s="465">
        <f>SUM(Table1[[#This Row],[Bobot Keg Umum]:[Bobot Perizinan]])</f>
        <v>1</v>
      </c>
      <c r="AI333" s="465">
        <f>Table1[[#This Row],[RAB Kegiatan Umum]]/Table1[[#This Row],[Nilai RAB Jaringan
(Exclude Ppn)]]</f>
        <v>6.1915041941850699E-2</v>
      </c>
      <c r="AJ333" s="465">
        <f>Table1[[#This Row],[RAB Pemasangan]]/Table1[[#This Row],[Nilai RAB Jaringan
(Exclude Ppn)]]</f>
        <v>0.61915041941850701</v>
      </c>
      <c r="AK333" s="465">
        <f>Table1[[#This Row],[RAB Pengadaan]]/Table1[[#This Row],[Nilai RAB Jaringan
(Exclude Ppn)]]</f>
        <v>0.3140603751850975</v>
      </c>
      <c r="AL333" s="465">
        <f>Table1[[#This Row],[RAB Perizinan]]/Table1[[#This Row],[Nilai RAB Jaringan
(Exclude Ppn)]]</f>
        <v>4.8741634545448271E-3</v>
      </c>
      <c r="AM333" s="42"/>
      <c r="AN333" s="346">
        <v>100</v>
      </c>
      <c r="AO333" s="346">
        <f>SUM(Table1[[#This Row],[Pipa 63 mm]:[Pipa 1,800 mm]])</f>
        <v>0</v>
      </c>
      <c r="AP333" s="346"/>
      <c r="AQ333" s="346"/>
      <c r="AR333" s="346"/>
      <c r="AS333" s="346"/>
      <c r="AT333" s="346"/>
      <c r="AU333" s="346"/>
      <c r="AV333" s="346"/>
      <c r="AW333" s="346"/>
      <c r="AX333" s="346"/>
      <c r="AY333" s="346"/>
      <c r="AZ333" s="346"/>
      <c r="BA333" s="346"/>
      <c r="BB333" s="346"/>
      <c r="BC333" s="346"/>
      <c r="BD333" s="346"/>
      <c r="BE333" s="346"/>
      <c r="BF333" s="346"/>
      <c r="BG333" s="346"/>
      <c r="BH333" s="346"/>
      <c r="BI333" s="346"/>
      <c r="BJ333" s="233">
        <f>SUM(Table1[[#This Row],[Pipa 63 mm2]:[Pipa 1,800 mm21]])</f>
        <v>0</v>
      </c>
      <c r="BK333" s="348"/>
      <c r="BL333" s="348"/>
      <c r="BM333" s="348"/>
      <c r="BN333" s="348"/>
      <c r="BO333" s="348"/>
      <c r="BP333" s="348"/>
      <c r="BQ333" s="348"/>
      <c r="BR333" s="348"/>
      <c r="BS333" s="348"/>
      <c r="BT333" s="348"/>
      <c r="BU333" s="348"/>
      <c r="BV333" s="348"/>
      <c r="BW333" s="348"/>
      <c r="BX333" s="348"/>
      <c r="BY333" s="348"/>
      <c r="BZ333" s="348"/>
      <c r="CA333" s="348"/>
      <c r="CB333" s="348"/>
      <c r="CC333" s="348"/>
      <c r="CD333" s="348"/>
      <c r="CE333" s="348">
        <v>0</v>
      </c>
      <c r="CF333" s="348"/>
      <c r="CG333" s="348"/>
      <c r="CH333" s="348"/>
      <c r="CI333" s="348">
        <f t="shared" si="16"/>
        <v>0</v>
      </c>
      <c r="CJ333" s="410">
        <f>IF((Table1[[#This Row],["Volume
BA MC-0"]]-Table1[[#This Row],[Total Panjang Pipa Aktual
(Sum-&gt;)3]]-Table1[[#This Row],[Total Volume
tidak dapat dipasang]])&gt;=0,Table1[[#This Row],["Volume
BA MC-0"]]-Table1[[#This Row],[Total Panjang Pipa Aktual
(Sum-&gt;)3]]-Table1[[#This Row],[Total Volume
tidak dapat dipasang]],0)</f>
        <v>100</v>
      </c>
      <c r="CK333" s="42"/>
      <c r="CL333" s="454" t="s">
        <v>1821</v>
      </c>
      <c r="CM333" s="34" t="s">
        <v>1821</v>
      </c>
      <c r="CN333" s="454" t="s">
        <v>1821</v>
      </c>
      <c r="CO333" s="454" t="s">
        <v>1821</v>
      </c>
      <c r="CP33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3" s="61">
        <f>IFERROR(Table1[[#This Row],[Progres Keg. Umum
(%)]]*Table1[[#This Row],[Nilai RAB Jaringan
(file pa aji)]],0)</f>
        <v>0</v>
      </c>
      <c r="CR333" s="61">
        <f>IFERROR(Table1[[#This Row],[Progres MOS
(%)]]*Table1[[#This Row],[Nilai RAB Jaringan
(file pa aji)]],0)</f>
        <v>0</v>
      </c>
      <c r="CS333" s="61">
        <f>IFERROR(Table1[[#This Row],[Progres Pemasangan
(%)]]*Table1[[#This Row],[Nilai RAB Jaringan
(file pa aji)]],0)</f>
        <v>0</v>
      </c>
      <c r="CT333" s="61">
        <f>IFERROR(Table1[[#This Row],[Progres Perizinan
(%)]]*Table1[[#This Row],[Nilai RAB Jaringan
(file pa aji)]],0)</f>
        <v>0</v>
      </c>
      <c r="CU333" s="789">
        <v>0</v>
      </c>
      <c r="CV333" s="299">
        <v>0</v>
      </c>
      <c r="CW333" s="552">
        <v>0</v>
      </c>
      <c r="CX333" s="789">
        <f>_xlfn.XLOOKUP(Table1[[#This Row],[Kode Program]],'[1]Breakdown VOWD Greenfield'!$E:$E,'[1]Breakdown VOWD Greenfield'!$AT:$AT)</f>
        <v>0</v>
      </c>
      <c r="CY333" s="42"/>
      <c r="CZ333" s="356">
        <v>45866</v>
      </c>
      <c r="DA333" s="356">
        <v>45893</v>
      </c>
      <c r="DB333" s="358">
        <v>45902</v>
      </c>
      <c r="DC333" s="337" t="s">
        <v>2660</v>
      </c>
      <c r="DD333" s="345">
        <v>209411675.18000001</v>
      </c>
      <c r="DE3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3" s="358">
        <v>45957</v>
      </c>
      <c r="DG333" s="337" t="s">
        <v>2661</v>
      </c>
      <c r="DH333" s="345">
        <v>209411675.18000001</v>
      </c>
      <c r="DI333"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3" s="356">
        <v>45894</v>
      </c>
      <c r="DK333" s="356">
        <v>45956</v>
      </c>
      <c r="DL333" s="358">
        <v>45962</v>
      </c>
      <c r="DM333" s="277" t="s">
        <v>2662</v>
      </c>
      <c r="DN333"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33" s="358">
        <v>45966</v>
      </c>
      <c r="DP333" s="72" t="s">
        <v>2663</v>
      </c>
      <c r="DQ333" s="72" t="s">
        <v>297</v>
      </c>
      <c r="DR333"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3" s="356">
        <v>45894</v>
      </c>
      <c r="DT333" s="356" t="e">
        <v>#N/A</v>
      </c>
      <c r="DU333" s="356">
        <v>45935</v>
      </c>
      <c r="DV333" s="356" t="e">
        <v>#N/A</v>
      </c>
      <c r="DW333" s="358">
        <v>45962</v>
      </c>
      <c r="DX333" s="337" t="s">
        <v>2664</v>
      </c>
      <c r="DY333" s="412"/>
      <c r="DZ333" s="412"/>
      <c r="EA333"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3" s="358"/>
      <c r="EC333" s="412"/>
      <c r="ED333" s="412"/>
      <c r="EE333" s="356"/>
      <c r="EF333" s="341"/>
      <c r="EG333" s="341"/>
      <c r="EH333" s="337" t="str">
        <f>IF(Table1[[#This Row],[PO Material Aktual 
(%)]]&gt;=100%,"Selesai PO = 100%",IF(Table1[[#This Row],[PO Material Aktual 
(%)]]&gt;=50%,"Proses PO &gt; 100%",IF(Table1[[#This Row],[PO Material Aktual 
(%)]]&gt;0%,"Proses PO &gt; 50%",IF(Table1[[#This Row],[PO Material Aktual 
(%)]]=0,"Belum PO = 0%"))))</f>
        <v>Belum PO = 0%</v>
      </c>
      <c r="EI333" s="41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3" s="356">
        <v>45936</v>
      </c>
      <c r="EK333" s="356" t="e">
        <v>#N/A</v>
      </c>
      <c r="EL333" s="356">
        <v>45984</v>
      </c>
      <c r="EM333" s="356" t="e">
        <v>#N/A</v>
      </c>
      <c r="EN333" s="358"/>
      <c r="EO333" s="412"/>
      <c r="EP333" s="337"/>
      <c r="EQ333" s="341"/>
      <c r="ER333" s="341"/>
      <c r="ES333" s="337"/>
      <c r="ET3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3" s="42"/>
      <c r="EV333" s="300">
        <v>45894</v>
      </c>
      <c r="EW333" s="300" t="e">
        <v>#N/A</v>
      </c>
      <c r="EX333" s="300">
        <v>45984</v>
      </c>
      <c r="EY333" s="300" t="e">
        <v>#N/A</v>
      </c>
      <c r="EZ333" s="322" t="s">
        <v>298</v>
      </c>
      <c r="FA333" s="355" t="s">
        <v>389</v>
      </c>
      <c r="FB333" s="300" t="s">
        <v>260</v>
      </c>
      <c r="FC333" s="300">
        <v>45945</v>
      </c>
      <c r="FD333" s="300" t="s">
        <v>260</v>
      </c>
      <c r="FE333" s="300">
        <v>45966</v>
      </c>
      <c r="FF333" s="300">
        <v>45993</v>
      </c>
      <c r="FG333" s="300" t="s">
        <v>260</v>
      </c>
      <c r="FH333" s="300" t="s">
        <v>260</v>
      </c>
      <c r="FI333" s="300">
        <v>46013</v>
      </c>
      <c r="FJ333" s="300" t="s">
        <v>260</v>
      </c>
      <c r="FK333" s="300">
        <v>46142</v>
      </c>
      <c r="FL333" s="306" t="s">
        <v>298</v>
      </c>
      <c r="FM333" s="322">
        <v>45945</v>
      </c>
      <c r="FN333" s="308">
        <f>IF(Table1[[#This Row],[Tanggal Pengajuan Dokumen]]="","",Table1[[#This Row],[PLAN PERMIT
start]]-Table1[[#This Row],[Tanggal Pengajuan Dokumen]])</f>
        <v>-51</v>
      </c>
      <c r="FO333" s="407">
        <v>46097</v>
      </c>
      <c r="FP333" s="286"/>
      <c r="FQ333" s="308"/>
      <c r="FR333" s="308"/>
      <c r="FS333" s="308" t="str">
        <f t="shared" si="17"/>
        <v>On Going</v>
      </c>
      <c r="FT33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3" s="314">
        <f ca="1">IF(Table1[[#This Row],[Status Izin]]="Selesai",Table1[[#This Row],[PLAN PERMIT
finish]]-Table1[[#This Row],[Tanggal Terbit/ Target Izin Terbit]],ROUNDUP(Table1[[#This Row],[PLAN PERMIT
finish]]-NOW(),0))</f>
        <v>-220</v>
      </c>
      <c r="FV33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3" s="314"/>
      <c r="FX333" s="42"/>
      <c r="FY333" s="310"/>
      <c r="FZ333" s="311"/>
      <c r="GA3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3" s="300">
        <v>45958</v>
      </c>
      <c r="GC333" s="322">
        <v>45950</v>
      </c>
      <c r="GD33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3" s="300">
        <v>45965</v>
      </c>
      <c r="GF333" s="322">
        <v>45950</v>
      </c>
      <c r="GG33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3" s="300">
        <v>45971</v>
      </c>
      <c r="GI333" s="300">
        <v>45977</v>
      </c>
      <c r="GJ333" s="322">
        <v>45952</v>
      </c>
      <c r="GK33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3" s="300">
        <v>45985</v>
      </c>
      <c r="GM333" s="300" t="e">
        <v>#N/A</v>
      </c>
      <c r="GN333" s="300">
        <v>46005</v>
      </c>
      <c r="GO333" s="300" t="e">
        <v>#N/A</v>
      </c>
      <c r="GP333" s="300"/>
      <c r="GQ33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3" s="300" t="s">
        <v>261</v>
      </c>
      <c r="GS333" s="300" t="s">
        <v>261</v>
      </c>
      <c r="GT333" s="324"/>
      <c r="GU333" s="314" t="str">
        <f>IF(Table1[[#This Row],[Hydro Tes Actual
(tanggal)]]&lt;&gt;"","Sudah","Belum")</f>
        <v>Belum</v>
      </c>
      <c r="GV333" s="300" t="s">
        <v>261</v>
      </c>
      <c r="GW333" s="300" t="s">
        <v>261</v>
      </c>
      <c r="GX333" s="301"/>
      <c r="GY333" s="314" t="str">
        <f>IF(Table1[[#This Row],[Interkoneksi Actual
(tanggal)]]&lt;&gt;"","Sudah","Belum")</f>
        <v>Belum</v>
      </c>
      <c r="GZ333" s="300" t="s">
        <v>261</v>
      </c>
      <c r="HA333" s="300" t="s">
        <v>261</v>
      </c>
      <c r="HB333" s="301"/>
      <c r="HC333" s="314" t="str">
        <f>IF(Table1[[#This Row],[Flushing Actual
(tanggal)]]&lt;&gt;"","Sudah","Belum")</f>
        <v>Belum</v>
      </c>
      <c r="HD333" s="300">
        <v>45992</v>
      </c>
      <c r="HE333" s="300" t="e">
        <v>#N/A</v>
      </c>
      <c r="HF333" s="300">
        <v>46005</v>
      </c>
      <c r="HG333" s="322"/>
      <c r="HH33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3" s="300" t="s">
        <v>261</v>
      </c>
      <c r="HJ333" s="300" t="s">
        <v>261</v>
      </c>
      <c r="HK333" s="301"/>
      <c r="HL333" s="286"/>
      <c r="HM333" s="300">
        <v>46010</v>
      </c>
      <c r="HN333" s="300">
        <v>46010</v>
      </c>
      <c r="HO333" s="300" t="e">
        <v>#N/A</v>
      </c>
      <c r="HP333" s="300"/>
      <c r="HQ333" s="301"/>
      <c r="HR33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3" s="300">
        <v>46017</v>
      </c>
      <c r="HT333" s="300"/>
      <c r="HU333" s="300">
        <v>46017</v>
      </c>
      <c r="HV333" s="300"/>
      <c r="HW333" s="301"/>
      <c r="HX33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3" s="42"/>
      <c r="HZ333" s="354" t="s">
        <v>2134</v>
      </c>
      <c r="IA333" s="322" t="s">
        <v>2163</v>
      </c>
      <c r="IC333" s="585">
        <f>IFERROR(ROUND((Table1[[#This Row],[PLAN TC
finish]]-Table1[[#This Row],[PLAN MC-0
start]])/30,2),"")</f>
        <v>1.1299999999999999</v>
      </c>
      <c r="ID333">
        <f>DATEDIF(Table1[[#This Row],[PLAN MC-0
start]],Table1[[#This Row],[PLAN TC
finish]],"m")</f>
        <v>1</v>
      </c>
    </row>
    <row r="334" spans="1:238" s="4" customFormat="1" ht="15" customHeight="1" x14ac:dyDescent="0.25">
      <c r="B334" s="281">
        <f>SUBTOTAL(3,$D$5:D334)</f>
        <v>330</v>
      </c>
      <c r="C334" s="286">
        <v>330</v>
      </c>
      <c r="D334" s="285" t="s">
        <v>673</v>
      </c>
      <c r="E334" s="308" t="s">
        <v>2665</v>
      </c>
      <c r="F334" s="308" t="s">
        <v>2666</v>
      </c>
      <c r="G334" s="319">
        <v>46117</v>
      </c>
      <c r="H334" s="308" t="s">
        <v>681</v>
      </c>
      <c r="I334" s="308" t="s">
        <v>278</v>
      </c>
      <c r="J334" s="450" t="s">
        <v>1818</v>
      </c>
      <c r="K334" s="308" t="s">
        <v>676</v>
      </c>
      <c r="L334" s="286" t="s">
        <v>250</v>
      </c>
      <c r="M334" s="325" t="s">
        <v>269</v>
      </c>
      <c r="N334" s="94">
        <v>183</v>
      </c>
      <c r="O334" s="31" t="s">
        <v>252</v>
      </c>
      <c r="P33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4" s="35">
        <v>1.0000000000000002</v>
      </c>
      <c r="S334" s="34">
        <v>1</v>
      </c>
      <c r="T334" s="34">
        <f>Table1[[#This Row],[Progres Total Aktual
(%)]]</f>
        <v>0.93261965807520808</v>
      </c>
      <c r="U334" s="85">
        <f>Table1[[#This Row],[Progres Aktual
(%)]]-Table1[[#This Row],[Target Progres
(%)]]</f>
        <v>-6.738034192479192E-2</v>
      </c>
      <c r="V334" s="75">
        <f>Table1[[#This Row],["Volume
BA MC-0"]]</f>
        <v>332</v>
      </c>
      <c r="W334" s="41">
        <f>Table1[[#This Row],[Total Panjang Pipa Aktual
(Sum-&gt;)3]]</f>
        <v>174</v>
      </c>
      <c r="X334" s="42"/>
      <c r="Y334" s="62" t="s">
        <v>2667</v>
      </c>
      <c r="Z334" s="62">
        <v>316355941</v>
      </c>
      <c r="AA334" s="62">
        <f>ROUND((Table1[[#This Row],[Nilai RAB Jaringan
(Exclude Ppn)]]-Table1[[#This Row],[RAB Perizinan]])*1.11+Table1[[#This Row],[RAB Perizinan]],0)</f>
        <v>235332171</v>
      </c>
      <c r="AB334" s="456">
        <f>SUM(Table1[[#This Row],[RAB Kegiatan Umum]:[RAB Perizinan]])</f>
        <v>212192316</v>
      </c>
      <c r="AC334" s="406">
        <v>16700223</v>
      </c>
      <c r="AD334" s="406">
        <v>167002229</v>
      </c>
      <c r="AE334" s="406">
        <v>26659864</v>
      </c>
      <c r="AF334" s="406">
        <v>1830000</v>
      </c>
      <c r="AG334" s="453">
        <v>2107039</v>
      </c>
      <c r="AH334" s="33">
        <f>SUM(Table1[[#This Row],[Bobot Keg Umum]:[Bobot Perizinan]])</f>
        <v>0.99999999999999989</v>
      </c>
      <c r="AI334" s="33">
        <f>Table1[[#This Row],[RAB Kegiatan Umum]]/Table1[[#This Row],[Nilai RAB Jaringan
(Exclude Ppn)]]</f>
        <v>7.8703241073065061E-2</v>
      </c>
      <c r="AJ334" s="33">
        <f>Table1[[#This Row],[RAB Pemasangan]]/Table1[[#This Row],[Nilai RAB Jaringan
(Exclude Ppn)]]</f>
        <v>0.78703240601794455</v>
      </c>
      <c r="AK334" s="33">
        <f>Table1[[#This Row],[RAB Pengadaan]]/Table1[[#This Row],[Nilai RAB Jaringan
(Exclude Ppn)]]</f>
        <v>0.12564010093560599</v>
      </c>
      <c r="AL334" s="33">
        <f>Table1[[#This Row],[RAB Perizinan]]/Table1[[#This Row],[Nilai RAB Jaringan
(Exclude Ppn)]]</f>
        <v>8.6242519733843708E-3</v>
      </c>
      <c r="AM334" s="42"/>
      <c r="AN334" s="256">
        <v>332</v>
      </c>
      <c r="AO334" s="256">
        <f>SUM(Table1[[#This Row],[Pipa 63 mm]:[Pipa 1,800 mm]])</f>
        <v>332</v>
      </c>
      <c r="AP334" s="256">
        <v>332</v>
      </c>
      <c r="AQ334" s="256"/>
      <c r="AR334" s="256"/>
      <c r="AS334" s="256"/>
      <c r="AT334" s="256"/>
      <c r="AU334" s="256"/>
      <c r="AV334" s="256"/>
      <c r="AW334" s="256"/>
      <c r="AX334" s="256"/>
      <c r="AY334" s="256"/>
      <c r="AZ334" s="256"/>
      <c r="BA334" s="256"/>
      <c r="BB334" s="256"/>
      <c r="BC334" s="256"/>
      <c r="BD334" s="256"/>
      <c r="BE334" s="256"/>
      <c r="BF334" s="256"/>
      <c r="BG334" s="256"/>
      <c r="BH334" s="256"/>
      <c r="BI334" s="256"/>
      <c r="BJ334" s="233">
        <f>SUM(Table1[[#This Row],[Pipa 63 mm2]:[Pipa 1,800 mm21]])</f>
        <v>174</v>
      </c>
      <c r="BK334" s="32">
        <v>174</v>
      </c>
      <c r="BL334" s="32"/>
      <c r="BM334" s="32"/>
      <c r="BN334" s="32"/>
      <c r="BO334" s="32"/>
      <c r="BP334" s="32"/>
      <c r="BQ334" s="32"/>
      <c r="BR334" s="32"/>
      <c r="BS334" s="32"/>
      <c r="BT334" s="32"/>
      <c r="BU334" s="32"/>
      <c r="BV334" s="32"/>
      <c r="BW334" s="32"/>
      <c r="BX334" s="32"/>
      <c r="BY334" s="32"/>
      <c r="BZ334" s="32"/>
      <c r="CA334" s="32"/>
      <c r="CB334" s="32"/>
      <c r="CC334" s="32"/>
      <c r="CD334" s="32"/>
      <c r="CE334" s="32">
        <v>0</v>
      </c>
      <c r="CF334" s="32"/>
      <c r="CG334" s="32"/>
      <c r="CH334" s="32"/>
      <c r="CI334" s="32">
        <f t="shared" si="16"/>
        <v>0</v>
      </c>
      <c r="CJ334" s="60">
        <f>IF((Table1[[#This Row],["Volume
BA MC-0"]]-Table1[[#This Row],[Total Panjang Pipa Aktual
(Sum-&gt;)3]]-Table1[[#This Row],[Total Volume
tidak dapat dipasang]])&gt;=0,Table1[[#This Row],["Volume
BA MC-0"]]-Table1[[#This Row],[Total Panjang Pipa Aktual
(Sum-&gt;)3]]-Table1[[#This Row],[Total Volume
tidak dapat dipasang]],0)</f>
        <v>158</v>
      </c>
      <c r="CK334" s="42"/>
      <c r="CL334" s="454" t="s">
        <v>1821</v>
      </c>
      <c r="CM334" s="34" t="s">
        <v>1821</v>
      </c>
      <c r="CN334" s="454" t="s">
        <v>1821</v>
      </c>
      <c r="CO334" s="454" t="s">
        <v>1821</v>
      </c>
      <c r="CP33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0.93261965807520808</v>
      </c>
      <c r="CQ334" s="61">
        <f>IFERROR(Table1[[#This Row],[Progres Keg. Umum
(%)]]*Table1[[#This Row],[Nilai RAB Jaringan
(file pa aji)]],0)</f>
        <v>0</v>
      </c>
      <c r="CR334" s="61">
        <f>IFERROR(Table1[[#This Row],[Progres MOS
(%)]]*Table1[[#This Row],[Nilai RAB Jaringan
(file pa aji)]],0)</f>
        <v>0</v>
      </c>
      <c r="CS334" s="61">
        <f>IFERROR(Table1[[#This Row],[Progres Pemasangan
(%)]]*Table1[[#This Row],[Nilai RAB Jaringan
(file pa aji)]],0)</f>
        <v>0</v>
      </c>
      <c r="CT334" s="61">
        <f>IFERROR(Table1[[#This Row],[Progres Perizinan
(%)]]*Table1[[#This Row],[Nilai RAB Jaringan
(file pa aji)]],0)</f>
        <v>0</v>
      </c>
      <c r="CU334" s="789">
        <v>219475408.85211641</v>
      </c>
      <c r="CV334" s="299">
        <v>219475408.85211641</v>
      </c>
      <c r="CW334" s="552">
        <v>0</v>
      </c>
      <c r="CX334" s="789">
        <f>_xlfn.XLOOKUP(Table1[[#This Row],[Kode Program]],'[1]Breakdown VOWD Greenfield'!$E:$E,'[1]Breakdown VOWD Greenfield'!$AT:$AT)</f>
        <v>0</v>
      </c>
      <c r="CY334" s="42"/>
      <c r="CZ334" s="300">
        <v>45866</v>
      </c>
      <c r="DA334" s="300">
        <v>45893</v>
      </c>
      <c r="DB334" s="301">
        <v>45902</v>
      </c>
      <c r="DC334" s="286" t="s">
        <v>2668</v>
      </c>
      <c r="DD334" s="62">
        <v>235332170.75999999</v>
      </c>
      <c r="DE3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4" s="301">
        <v>45915</v>
      </c>
      <c r="DG334" s="286" t="s">
        <v>2669</v>
      </c>
      <c r="DH334" s="62">
        <v>235332170.75999999</v>
      </c>
      <c r="DI33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4" s="300">
        <v>45894</v>
      </c>
      <c r="DK334" s="300">
        <v>45956</v>
      </c>
      <c r="DL334" s="301">
        <v>45937</v>
      </c>
      <c r="DM334" s="286" t="s">
        <v>2670</v>
      </c>
      <c r="DN3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4" s="301">
        <v>45944</v>
      </c>
      <c r="DP334" s="286" t="s">
        <v>2671</v>
      </c>
      <c r="DQ334" s="308" t="s">
        <v>762</v>
      </c>
      <c r="DR3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4" s="300">
        <v>45894</v>
      </c>
      <c r="DT334" s="300" t="e">
        <v>#N/A</v>
      </c>
      <c r="DU334" s="300">
        <v>45935</v>
      </c>
      <c r="DV334" s="300" t="e">
        <v>#N/A</v>
      </c>
      <c r="DW334" s="301">
        <v>45937</v>
      </c>
      <c r="DX334" s="454" t="s">
        <v>2672</v>
      </c>
      <c r="DY334" s="304">
        <v>10</v>
      </c>
      <c r="DZ334" s="304">
        <v>10</v>
      </c>
      <c r="EA3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4" s="301">
        <v>45967</v>
      </c>
      <c r="EC334" s="302">
        <v>10</v>
      </c>
      <c r="ED334" s="302">
        <v>10</v>
      </c>
      <c r="EE334" s="300" t="s">
        <v>2673</v>
      </c>
      <c r="EF334" s="35">
        <v>1</v>
      </c>
      <c r="EG334" s="35">
        <f>Table1[[#This Row],[Line PO (kolom  bantu)2]]/Table1[[#This Row],[Line PR]]</f>
        <v>1</v>
      </c>
      <c r="EH334" s="286" t="str">
        <f>IF(Table1[[#This Row],[PO Material Aktual 
(%)]]&gt;=100%,"Selesai PO = 100%",IF(Table1[[#This Row],[PO Material Aktual 
(%)]]&gt;=50%,"Proses PO &gt; 100%",IF(Table1[[#This Row],[PO Material Aktual 
(%)]]&gt;0%,"Proses PO &gt; 50%",IF(Table1[[#This Row],[PO Material Aktual 
(%)]]=0,"Belum PO = 0%"))))</f>
        <v>Selesai PO = 100%</v>
      </c>
      <c r="EI33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4" s="300">
        <v>45936</v>
      </c>
      <c r="EK334" s="300" t="e">
        <v>#N/A</v>
      </c>
      <c r="EL334" s="300">
        <v>45984</v>
      </c>
      <c r="EM334" s="300" t="e">
        <v>#N/A</v>
      </c>
      <c r="EN334" s="301">
        <v>46041</v>
      </c>
      <c r="EO334" s="302">
        <v>10</v>
      </c>
      <c r="EP334" s="286">
        <v>10</v>
      </c>
      <c r="EQ334" s="35">
        <v>1</v>
      </c>
      <c r="ER334" s="35">
        <f>Table1[[#This Row],[Line MOS]]/Table1[[#This Row],[Line PR]]</f>
        <v>1</v>
      </c>
      <c r="ES334" s="286" t="str">
        <f>IF(Table1[[#This Row],[Progres MOS]]&gt;=100%,"Selesai MOS = 100%",IF(Table1[[#This Row],[Progres MOS]]&gt;=50%,"Proses MOS &gt; 100%",IF(Table1[[#This Row],[Progres MOS]]&gt;0%,"Proses MOS &gt; 50%",IF(Table1[[#This Row],[Progres MOS]]=0,"Belum MOS = 0%"))))</f>
        <v>Selesai MOS = 100%</v>
      </c>
      <c r="ET3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4" s="42"/>
      <c r="EV334" s="300">
        <v>45894</v>
      </c>
      <c r="EW334" s="300" t="e">
        <v>#N/A</v>
      </c>
      <c r="EX334" s="300">
        <v>45984</v>
      </c>
      <c r="EY334" s="300" t="e">
        <v>#N/A</v>
      </c>
      <c r="EZ334" s="322" t="s">
        <v>298</v>
      </c>
      <c r="FA334" s="306" t="s">
        <v>259</v>
      </c>
      <c r="FB334" s="300" t="s">
        <v>260</v>
      </c>
      <c r="FC334" s="300">
        <v>45945</v>
      </c>
      <c r="FD334" s="300" t="s">
        <v>260</v>
      </c>
      <c r="FE334" s="300">
        <v>45966</v>
      </c>
      <c r="FF334" s="300">
        <v>45993</v>
      </c>
      <c r="FG334" s="300" t="s">
        <v>260</v>
      </c>
      <c r="FH334" s="300" t="s">
        <v>260</v>
      </c>
      <c r="FI334" s="300">
        <v>46013</v>
      </c>
      <c r="FJ334" s="300" t="s">
        <v>260</v>
      </c>
      <c r="FK334" s="300">
        <v>46142</v>
      </c>
      <c r="FL334" s="306" t="s">
        <v>298</v>
      </c>
      <c r="FM334" s="322">
        <v>45945</v>
      </c>
      <c r="FN334" s="308">
        <f>IF(Table1[[#This Row],[Tanggal Pengajuan Dokumen]]="","",Table1[[#This Row],[PLAN PERMIT
start]]-Table1[[#This Row],[Tanggal Pengajuan Dokumen]])</f>
        <v>-51</v>
      </c>
      <c r="FO334" s="407">
        <v>46097</v>
      </c>
      <c r="FP334" s="286"/>
      <c r="FQ334" s="308"/>
      <c r="FR334" s="308"/>
      <c r="FS334" s="308" t="str">
        <f t="shared" si="17"/>
        <v>Sudah Terbit</v>
      </c>
      <c r="FT33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4" s="314">
        <f ca="1">IF(Table1[[#This Row],[Status Izin]]="Selesai",Table1[[#This Row],[PLAN PERMIT
finish]]-Table1[[#This Row],[Tanggal Terbit/ Target Izin Terbit]],ROUNDUP(Table1[[#This Row],[PLAN PERMIT
finish]]-NOW(),0))</f>
        <v>-113</v>
      </c>
      <c r="FV33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4" s="314"/>
      <c r="FX334" s="42"/>
      <c r="FY334" s="310"/>
      <c r="FZ334" s="311"/>
      <c r="GA3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4" s="300">
        <v>45958</v>
      </c>
      <c r="GC334" s="322">
        <v>45965</v>
      </c>
      <c r="GD33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4" s="300">
        <v>45965</v>
      </c>
      <c r="GF334" s="322">
        <v>45950</v>
      </c>
      <c r="GG33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4" s="300">
        <v>45971</v>
      </c>
      <c r="GI334" s="300">
        <v>45977</v>
      </c>
      <c r="GJ334" s="322">
        <v>45954</v>
      </c>
      <c r="GK33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4" s="300">
        <v>45985</v>
      </c>
      <c r="GM334" s="300" t="e">
        <v>#N/A</v>
      </c>
      <c r="GN334" s="300">
        <v>46005</v>
      </c>
      <c r="GO334" s="300" t="e">
        <v>#N/A</v>
      </c>
      <c r="GP334" s="300"/>
      <c r="GQ33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4" s="300" t="s">
        <v>261</v>
      </c>
      <c r="GS334" s="300" t="s">
        <v>261</v>
      </c>
      <c r="GT334" s="324"/>
      <c r="GU334" s="314" t="str">
        <f>IF(Table1[[#This Row],[Hydro Tes Actual
(tanggal)]]&lt;&gt;"","Sudah","Belum")</f>
        <v>Belum</v>
      </c>
      <c r="GV334" s="300" t="s">
        <v>261</v>
      </c>
      <c r="GW334" s="300" t="s">
        <v>261</v>
      </c>
      <c r="GX334" s="301"/>
      <c r="GY334" s="314" t="str">
        <f>IF(Table1[[#This Row],[Interkoneksi Actual
(tanggal)]]&lt;&gt;"","Sudah","Belum")</f>
        <v>Belum</v>
      </c>
      <c r="GZ334" s="300" t="s">
        <v>261</v>
      </c>
      <c r="HA334" s="300" t="s">
        <v>261</v>
      </c>
      <c r="HB334" s="301"/>
      <c r="HC334" s="314" t="str">
        <f>IF(Table1[[#This Row],[Flushing Actual
(tanggal)]]&lt;&gt;"","Sudah","Belum")</f>
        <v>Belum</v>
      </c>
      <c r="HD334" s="300">
        <v>45992</v>
      </c>
      <c r="HE334" s="300" t="e">
        <v>#N/A</v>
      </c>
      <c r="HF334" s="300">
        <v>46005</v>
      </c>
      <c r="HG334" s="322"/>
      <c r="HH33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4" s="300" t="s">
        <v>261</v>
      </c>
      <c r="HJ334" s="300" t="s">
        <v>261</v>
      </c>
      <c r="HK334" s="301"/>
      <c r="HL334" s="286"/>
      <c r="HM334" s="300">
        <v>46010</v>
      </c>
      <c r="HN334" s="300">
        <v>46010</v>
      </c>
      <c r="HO334" s="300" t="e">
        <v>#N/A</v>
      </c>
      <c r="HP334" s="300"/>
      <c r="HQ334" s="301"/>
      <c r="HR33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4" s="300">
        <v>46017</v>
      </c>
      <c r="HT334" s="300"/>
      <c r="HU334" s="300">
        <v>46017</v>
      </c>
      <c r="HV334" s="300"/>
      <c r="HW334" s="301"/>
      <c r="HX33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4" s="42"/>
      <c r="HZ334" s="322"/>
      <c r="IA334" s="322" t="s">
        <v>2566</v>
      </c>
      <c r="IC334" s="585">
        <f>IFERROR(ROUND((Table1[[#This Row],[PLAN TC
finish]]-Table1[[#This Row],[PLAN MC-0
start]])/30,2),"")</f>
        <v>1.1299999999999999</v>
      </c>
      <c r="ID334">
        <f>DATEDIF(Table1[[#This Row],[PLAN MC-0
start]],Table1[[#This Row],[PLAN TC
finish]],"m")</f>
        <v>1</v>
      </c>
    </row>
    <row r="335" spans="1:238" s="4" customFormat="1" ht="15" customHeight="1" x14ac:dyDescent="0.25">
      <c r="B335" s="281">
        <f>SUBTOTAL(3,$D$5:D335)</f>
        <v>331</v>
      </c>
      <c r="C335" s="286">
        <v>331</v>
      </c>
      <c r="D335" s="285" t="s">
        <v>673</v>
      </c>
      <c r="E335" s="308" t="s">
        <v>2674</v>
      </c>
      <c r="F335" s="308" t="s">
        <v>2675</v>
      </c>
      <c r="G335" s="319">
        <v>46117</v>
      </c>
      <c r="H335" s="308" t="s">
        <v>681</v>
      </c>
      <c r="I335" s="308" t="s">
        <v>278</v>
      </c>
      <c r="J335" s="450" t="s">
        <v>1830</v>
      </c>
      <c r="K335" s="308" t="s">
        <v>676</v>
      </c>
      <c r="L335" s="286" t="s">
        <v>250</v>
      </c>
      <c r="M335" s="325" t="s">
        <v>269</v>
      </c>
      <c r="N335" s="94">
        <v>52</v>
      </c>
      <c r="O335" s="31" t="s">
        <v>252</v>
      </c>
      <c r="P335"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5" s="35">
        <v>0.99999999999999989</v>
      </c>
      <c r="S335" s="34">
        <v>1</v>
      </c>
      <c r="T335" s="34">
        <f>Table1[[#This Row],[Progres Total Aktual
(%)]]</f>
        <v>1</v>
      </c>
      <c r="U335" s="85">
        <f>Table1[[#This Row],[Progres Aktual
(%)]]-Table1[[#This Row],[Target Progres
(%)]]</f>
        <v>0</v>
      </c>
      <c r="V335" s="75">
        <f>Table1[[#This Row],["Volume
BA MC-0"]]</f>
        <v>52</v>
      </c>
      <c r="W335" s="41">
        <f>Table1[[#This Row],[Total Panjang Pipa Aktual
(Sum-&gt;)3]]</f>
        <v>54</v>
      </c>
      <c r="X335" s="42"/>
      <c r="Y335" s="62" t="s">
        <v>2676</v>
      </c>
      <c r="Z335" s="62">
        <v>119843593</v>
      </c>
      <c r="AA335" s="62">
        <f>ROUND((Table1[[#This Row],[Nilai RAB Jaringan
(Exclude Ppn)]]-Table1[[#This Row],[RAB Perizinan]])*1.11+Table1[[#This Row],[RAB Perizinan]],0)</f>
        <v>119843593</v>
      </c>
      <c r="AB335" s="456">
        <f>SUM(Table1[[#This Row],[RAB Kegiatan Umum]:[RAB Perizinan]])</f>
        <v>108018732</v>
      </c>
      <c r="AC335" s="406">
        <v>7113783</v>
      </c>
      <c r="AD335" s="406">
        <v>71137830</v>
      </c>
      <c r="AE335" s="406">
        <v>29247119</v>
      </c>
      <c r="AF335" s="406">
        <v>520000</v>
      </c>
      <c r="AG335" s="453">
        <v>21070387</v>
      </c>
      <c r="AH335" s="33">
        <f>SUM(Table1[[#This Row],[Bobot Keg Umum]:[Bobot Perizinan]])</f>
        <v>1</v>
      </c>
      <c r="AI335" s="33">
        <f>Table1[[#This Row],[RAB Kegiatan Umum]]/Table1[[#This Row],[Nilai RAB Jaringan
(Exclude Ppn)]]</f>
        <v>6.585693859098439E-2</v>
      </c>
      <c r="AJ335" s="33">
        <f>Table1[[#This Row],[RAB Pemasangan]]/Table1[[#This Row],[Nilai RAB Jaringan
(Exclude Ppn)]]</f>
        <v>0.65856938590984382</v>
      </c>
      <c r="AK335" s="33">
        <f>Table1[[#This Row],[RAB Pengadaan]]/Table1[[#This Row],[Nilai RAB Jaringan
(Exclude Ppn)]]</f>
        <v>0.27075969564241875</v>
      </c>
      <c r="AL335" s="33">
        <f>Table1[[#This Row],[RAB Perizinan]]/Table1[[#This Row],[Nilai RAB Jaringan
(Exclude Ppn)]]</f>
        <v>4.8139798567529936E-3</v>
      </c>
      <c r="AM335" s="42"/>
      <c r="AN335" s="256">
        <v>52</v>
      </c>
      <c r="AO335" s="256">
        <f>SUM(Table1[[#This Row],[Pipa 63 mm]:[Pipa 1,800 mm]])</f>
        <v>52</v>
      </c>
      <c r="AP335" s="256">
        <v>52</v>
      </c>
      <c r="AQ335" s="256"/>
      <c r="AR335" s="256"/>
      <c r="AS335" s="256"/>
      <c r="AT335" s="256"/>
      <c r="AU335" s="256"/>
      <c r="AV335" s="256"/>
      <c r="AW335" s="256"/>
      <c r="AX335" s="256"/>
      <c r="AY335" s="256"/>
      <c r="AZ335" s="256"/>
      <c r="BA335" s="256"/>
      <c r="BB335" s="256"/>
      <c r="BC335" s="256"/>
      <c r="BD335" s="256"/>
      <c r="BE335" s="256"/>
      <c r="BF335" s="256"/>
      <c r="BG335" s="256"/>
      <c r="BH335" s="256"/>
      <c r="BI335" s="256"/>
      <c r="BJ335" s="233">
        <f>SUM(Table1[[#This Row],[Pipa 63 mm2]:[Pipa 1,800 mm21]])</f>
        <v>54</v>
      </c>
      <c r="BK335" s="32">
        <v>54</v>
      </c>
      <c r="BL335" s="32"/>
      <c r="BM335" s="32"/>
      <c r="BN335" s="32"/>
      <c r="BO335" s="32"/>
      <c r="BP335" s="32"/>
      <c r="BQ335" s="32"/>
      <c r="BR335" s="32"/>
      <c r="BS335" s="32"/>
      <c r="BT335" s="32"/>
      <c r="BU335" s="32"/>
      <c r="BV335" s="32"/>
      <c r="BW335" s="32"/>
      <c r="BX335" s="32"/>
      <c r="BY335" s="32"/>
      <c r="BZ335" s="32"/>
      <c r="CA335" s="32"/>
      <c r="CB335" s="32"/>
      <c r="CC335" s="32"/>
      <c r="CD335" s="32"/>
      <c r="CE335" s="32">
        <v>0</v>
      </c>
      <c r="CF335" s="32"/>
      <c r="CG335" s="32"/>
      <c r="CH335" s="32"/>
      <c r="CI335" s="32">
        <f t="shared" si="16"/>
        <v>0</v>
      </c>
      <c r="CJ335" s="60">
        <f>IF((Table1[[#This Row],["Volume
BA MC-0"]]-Table1[[#This Row],[Total Panjang Pipa Aktual
(Sum-&gt;)3]]-Table1[[#This Row],[Total Volume
tidak dapat dipasang]])&gt;=0,Table1[[#This Row],["Volume
BA MC-0"]]-Table1[[#This Row],[Total Panjang Pipa Aktual
(Sum-&gt;)3]]-Table1[[#This Row],[Total Volume
tidak dapat dipasang]],0)</f>
        <v>0</v>
      </c>
      <c r="CK335" s="42"/>
      <c r="CL335" s="454" t="s">
        <v>1821</v>
      </c>
      <c r="CM335" s="34" t="s">
        <v>1821</v>
      </c>
      <c r="CN335" s="454" t="s">
        <v>1821</v>
      </c>
      <c r="CO335" s="454" t="s">
        <v>1821</v>
      </c>
      <c r="CP3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5" s="61">
        <f>IFERROR(Table1[[#This Row],[Progres Keg. Umum
(%)]]*Table1[[#This Row],[Nilai RAB Jaringan
(file pa aji)]],0)</f>
        <v>0</v>
      </c>
      <c r="CR335" s="61">
        <f>IFERROR(Table1[[#This Row],[Progres MOS
(%)]]*Table1[[#This Row],[Nilai RAB Jaringan
(file pa aji)]],0)</f>
        <v>0</v>
      </c>
      <c r="CS335" s="61">
        <f>IFERROR(Table1[[#This Row],[Progres Pemasangan
(%)]]*Table1[[#This Row],[Nilai RAB Jaringan
(file pa aji)]],0)</f>
        <v>0</v>
      </c>
      <c r="CT335" s="61">
        <f>IFERROR(Table1[[#This Row],[Progres Perizinan
(%)]]*Table1[[#This Row],[Nilai RAB Jaringan
(file pa aji)]],0)</f>
        <v>0</v>
      </c>
      <c r="CU335" s="789">
        <v>155505758</v>
      </c>
      <c r="CV335" s="299">
        <v>155505758</v>
      </c>
      <c r="CW335" s="552">
        <v>155505758</v>
      </c>
      <c r="CX335" s="789">
        <f>_xlfn.XLOOKUP(Table1[[#This Row],[Kode Program]],'[1]Breakdown VOWD Greenfield'!$E:$E,'[1]Breakdown VOWD Greenfield'!$AT:$AT)</f>
        <v>155505758</v>
      </c>
      <c r="CY335" s="42"/>
      <c r="CZ335" s="300">
        <v>45866</v>
      </c>
      <c r="DA335" s="300">
        <v>45893</v>
      </c>
      <c r="DB335" s="301">
        <v>45902</v>
      </c>
      <c r="DC335" s="286" t="s">
        <v>2677</v>
      </c>
      <c r="DD335" s="62">
        <v>119843592.52000001</v>
      </c>
      <c r="DE3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5" s="301">
        <v>45919</v>
      </c>
      <c r="DG335" s="286" t="s">
        <v>2678</v>
      </c>
      <c r="DH335" s="62">
        <v>119843592.52000001</v>
      </c>
      <c r="DI3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5" s="300">
        <v>45894</v>
      </c>
      <c r="DK335" s="300">
        <v>45956</v>
      </c>
      <c r="DL335" s="301">
        <v>45938</v>
      </c>
      <c r="DM335" s="286" t="s">
        <v>2679</v>
      </c>
      <c r="DN3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5" s="301">
        <v>45966</v>
      </c>
      <c r="DP335" s="286" t="s">
        <v>2680</v>
      </c>
      <c r="DQ335" s="308" t="s">
        <v>783</v>
      </c>
      <c r="DR3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35" s="300">
        <v>45894</v>
      </c>
      <c r="DT335" s="300" t="e">
        <v>#N/A</v>
      </c>
      <c r="DU335" s="300">
        <v>45935</v>
      </c>
      <c r="DV335" s="300" t="e">
        <v>#N/A</v>
      </c>
      <c r="DW335" s="301">
        <v>45938</v>
      </c>
      <c r="DX335" s="454" t="s">
        <v>2681</v>
      </c>
      <c r="DY335" s="302">
        <v>22</v>
      </c>
      <c r="DZ335" s="304">
        <v>22</v>
      </c>
      <c r="EA3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5" s="301">
        <v>46006</v>
      </c>
      <c r="EC335" s="302">
        <v>20</v>
      </c>
      <c r="ED335" s="302">
        <v>20</v>
      </c>
      <c r="EE335" s="395" t="s">
        <v>2682</v>
      </c>
      <c r="EF335" s="35">
        <v>1</v>
      </c>
      <c r="EG335" s="307">
        <v>1</v>
      </c>
      <c r="EH335" s="286" t="str">
        <f>IF(Table1[[#This Row],[PO Material Aktual 
(%)]]&gt;=100%,"Selesai PO = 100%",IF(Table1[[#This Row],[PO Material Aktual 
(%)]]&gt;=50%,"Proses PO &gt; 100%",IF(Table1[[#This Row],[PO Material Aktual 
(%)]]&gt;0%,"Proses PO &gt; 50%",IF(Table1[[#This Row],[PO Material Aktual 
(%)]]=0,"Belum PO = 0%"))))</f>
        <v>Selesai PO = 100%</v>
      </c>
      <c r="EI335"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5" s="300">
        <v>45936</v>
      </c>
      <c r="EK335" s="300" t="e">
        <v>#N/A</v>
      </c>
      <c r="EL335" s="300">
        <v>45984</v>
      </c>
      <c r="EM335" s="300" t="e">
        <v>#N/A</v>
      </c>
      <c r="EN335" s="301">
        <v>46039</v>
      </c>
      <c r="EO335" s="302">
        <v>20</v>
      </c>
      <c r="EP335" s="286">
        <v>20</v>
      </c>
      <c r="EQ335" s="35">
        <v>0.90909090909090906</v>
      </c>
      <c r="ER335" s="35">
        <f>Table1[[#This Row],[Line MOS]]/Table1[[#This Row],[Line PR]]</f>
        <v>0.90909090909090906</v>
      </c>
      <c r="ES335" s="286" t="str">
        <f>IF(Table1[[#This Row],[Progres MOS]]&gt;=100%,"Selesai MOS = 100%",IF(Table1[[#This Row],[Progres MOS]]&gt;=50%,"Proses MOS &gt; 100%",IF(Table1[[#This Row],[Progres MOS]]&gt;0%,"Proses MOS &gt; 50%",IF(Table1[[#This Row],[Progres MOS]]=0,"Belum MOS = 0%"))))</f>
        <v>Proses MOS &gt; 100%</v>
      </c>
      <c r="ET3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5" s="42"/>
      <c r="EV335" s="300">
        <v>45894</v>
      </c>
      <c r="EW335" s="300" t="e">
        <v>#N/A</v>
      </c>
      <c r="EX335" s="300">
        <v>45984</v>
      </c>
      <c r="EY335" s="300" t="e">
        <v>#N/A</v>
      </c>
      <c r="EZ335" s="322" t="s">
        <v>298</v>
      </c>
      <c r="FA335" s="306" t="s">
        <v>259</v>
      </c>
      <c r="FB335" s="300" t="s">
        <v>260</v>
      </c>
      <c r="FC335" s="300">
        <v>45945</v>
      </c>
      <c r="FD335" s="300" t="s">
        <v>260</v>
      </c>
      <c r="FE335" s="300">
        <v>45966</v>
      </c>
      <c r="FF335" s="300">
        <v>45992</v>
      </c>
      <c r="FG335" s="300" t="s">
        <v>260</v>
      </c>
      <c r="FH335" s="300" t="s">
        <v>260</v>
      </c>
      <c r="FI335" s="300">
        <v>46013</v>
      </c>
      <c r="FJ335" s="300" t="s">
        <v>260</v>
      </c>
      <c r="FK335" s="300">
        <v>46118</v>
      </c>
      <c r="FL335" s="306" t="s">
        <v>298</v>
      </c>
      <c r="FM335" s="322">
        <v>45945</v>
      </c>
      <c r="FN335" s="308">
        <f>IF(Table1[[#This Row],[Tanggal Pengajuan Dokumen]]="","",Table1[[#This Row],[PLAN PERMIT
start]]-Table1[[#This Row],[Tanggal Pengajuan Dokumen]])</f>
        <v>-51</v>
      </c>
      <c r="FO335" s="407">
        <v>46097</v>
      </c>
      <c r="FP335" s="286"/>
      <c r="FQ335" s="308"/>
      <c r="FR335" s="308"/>
      <c r="FS335" s="308" t="str">
        <f t="shared" si="17"/>
        <v>Sudah Terbit</v>
      </c>
      <c r="FT3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5" s="314">
        <f ca="1">IF(Table1[[#This Row],[Status Izin]]="Selesai",Table1[[#This Row],[PLAN PERMIT
finish]]-Table1[[#This Row],[Tanggal Terbit/ Target Izin Terbit]],ROUNDUP(Table1[[#This Row],[PLAN PERMIT
finish]]-NOW(),0))</f>
        <v>-113</v>
      </c>
      <c r="FV3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5" s="314"/>
      <c r="FX335" s="42"/>
      <c r="FY335" s="310"/>
      <c r="FZ335" s="311"/>
      <c r="GA3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5" s="300">
        <v>45958</v>
      </c>
      <c r="GC335" s="322">
        <v>45965</v>
      </c>
      <c r="GD3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5" s="300">
        <v>45965</v>
      </c>
      <c r="GF335" s="322">
        <v>45964</v>
      </c>
      <c r="GG3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5" s="300">
        <v>45971</v>
      </c>
      <c r="GI335" s="300">
        <v>45977</v>
      </c>
      <c r="GJ335" s="322">
        <v>45968</v>
      </c>
      <c r="GK3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5" s="300">
        <v>45985</v>
      </c>
      <c r="GM335" s="300" t="e">
        <v>#N/A</v>
      </c>
      <c r="GN335" s="300">
        <v>46005</v>
      </c>
      <c r="GO335" s="300" t="e">
        <v>#N/A</v>
      </c>
      <c r="GP335" s="300"/>
      <c r="GQ3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5" s="300" t="s">
        <v>261</v>
      </c>
      <c r="GS335" s="300" t="s">
        <v>261</v>
      </c>
      <c r="GT335" s="324">
        <v>46083</v>
      </c>
      <c r="GU335" s="314" t="str">
        <f>IF(Table1[[#This Row],[Hydro Tes Actual
(tanggal)]]&lt;&gt;"","Sudah","Belum")</f>
        <v>Sudah</v>
      </c>
      <c r="GV335" s="300" t="s">
        <v>261</v>
      </c>
      <c r="GW335" s="300" t="s">
        <v>261</v>
      </c>
      <c r="GX335" s="301">
        <v>46083</v>
      </c>
      <c r="GY335" s="314" t="str">
        <f>IF(Table1[[#This Row],[Interkoneksi Actual
(tanggal)]]&lt;&gt;"","Sudah","Belum")</f>
        <v>Sudah</v>
      </c>
      <c r="GZ335" s="300" t="s">
        <v>261</v>
      </c>
      <c r="HA335" s="300" t="s">
        <v>261</v>
      </c>
      <c r="HB335" s="301">
        <v>46083</v>
      </c>
      <c r="HC335" s="314" t="str">
        <f>IF(Table1[[#This Row],[Flushing Actual
(tanggal)]]&lt;&gt;"","Sudah","Belum")</f>
        <v>Sudah</v>
      </c>
      <c r="HD335" s="300">
        <v>45992</v>
      </c>
      <c r="HE335" s="300" t="e">
        <v>#N/A</v>
      </c>
      <c r="HF335" s="300">
        <v>46005</v>
      </c>
      <c r="HG335" s="322">
        <v>46091</v>
      </c>
      <c r="HH3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5" s="300" t="s">
        <v>261</v>
      </c>
      <c r="HJ335" s="300" t="s">
        <v>261</v>
      </c>
      <c r="HK335" s="301"/>
      <c r="HL335" s="286"/>
      <c r="HM335" s="300">
        <v>46010</v>
      </c>
      <c r="HN335" s="300">
        <v>46010</v>
      </c>
      <c r="HO335" s="300" t="e">
        <v>#N/A</v>
      </c>
      <c r="HP335" s="300"/>
      <c r="HQ335" s="301">
        <v>46093</v>
      </c>
      <c r="HR335"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5" s="300">
        <v>46017</v>
      </c>
      <c r="HT335" s="300"/>
      <c r="HU335" s="300">
        <v>46017</v>
      </c>
      <c r="HV335" s="300"/>
      <c r="HW335" s="301">
        <v>46099</v>
      </c>
      <c r="HX335"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5" s="42"/>
      <c r="HZ335" s="322"/>
      <c r="IA335" s="322" t="s">
        <v>2683</v>
      </c>
      <c r="IC335" s="585">
        <f>IFERROR(ROUND((Table1[[#This Row],[PLAN TC
finish]]-Table1[[#This Row],[PLAN MC-0
start]])/30,2),"")</f>
        <v>1.1299999999999999</v>
      </c>
      <c r="ID335">
        <f>DATEDIF(Table1[[#This Row],[PLAN MC-0
start]],Table1[[#This Row],[PLAN TC
finish]],"m")</f>
        <v>1</v>
      </c>
    </row>
    <row r="336" spans="1:238" s="4" customFormat="1" ht="15" customHeight="1" x14ac:dyDescent="0.25">
      <c r="B336" s="281">
        <f>SUBTOTAL(3,$D$5:D336)</f>
        <v>332</v>
      </c>
      <c r="C336" s="286">
        <v>332</v>
      </c>
      <c r="D336" s="285" t="s">
        <v>673</v>
      </c>
      <c r="E336" s="308" t="s">
        <v>2684</v>
      </c>
      <c r="F336" s="308" t="s">
        <v>2685</v>
      </c>
      <c r="G336" s="319">
        <v>46117</v>
      </c>
      <c r="H336" s="308" t="s">
        <v>681</v>
      </c>
      <c r="I336" s="308" t="s">
        <v>278</v>
      </c>
      <c r="J336" s="450" t="s">
        <v>1818</v>
      </c>
      <c r="K336" s="308" t="s">
        <v>676</v>
      </c>
      <c r="L336" s="286" t="s">
        <v>250</v>
      </c>
      <c r="M336" s="325" t="s">
        <v>269</v>
      </c>
      <c r="N336" s="94">
        <v>739</v>
      </c>
      <c r="O336" s="31" t="s">
        <v>252</v>
      </c>
      <c r="P336"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6" s="35">
        <v>0.99999999999999989</v>
      </c>
      <c r="S336" s="34">
        <v>1</v>
      </c>
      <c r="T336" s="34">
        <f>Table1[[#This Row],[Progres Total Aktual
(%)]]</f>
        <v>0.40543083784313005</v>
      </c>
      <c r="U336" s="85">
        <f>Table1[[#This Row],[Progres Aktual
(%)]]-Table1[[#This Row],[Target Progres
(%)]]</f>
        <v>-0.59456916215686995</v>
      </c>
      <c r="V336" s="75">
        <f>Table1[[#This Row],["Volume
BA MC-0"]]</f>
        <v>739</v>
      </c>
      <c r="W336" s="41">
        <f>Table1[[#This Row],[Total Panjang Pipa Aktual
(Sum-&gt;)3]]</f>
        <v>569</v>
      </c>
      <c r="X336" s="42"/>
      <c r="Y336" s="62" t="s">
        <v>2686</v>
      </c>
      <c r="Z336" s="62">
        <v>1960724806</v>
      </c>
      <c r="AA336" s="62">
        <f>ROUND((Table1[[#This Row],[Nilai RAB Jaringan
(Exclude Ppn)]]-Table1[[#This Row],[RAB Perizinan]])*1.11+Table1[[#This Row],[RAB Perizinan]],0)</f>
        <v>1960724806</v>
      </c>
      <c r="AB336" s="456">
        <f>SUM(Table1[[#This Row],[RAB Kegiatan Umum]:[RAB Perizinan]])</f>
        <v>1767844780</v>
      </c>
      <c r="AC336" s="406">
        <v>146250717</v>
      </c>
      <c r="AD336" s="406">
        <v>1462507165</v>
      </c>
      <c r="AE336" s="406">
        <v>144696898</v>
      </c>
      <c r="AF336" s="406">
        <v>14390000</v>
      </c>
      <c r="AG336" s="453">
        <v>4214078</v>
      </c>
      <c r="AH336" s="33">
        <f>SUM(Table1[[#This Row],[Bobot Keg Umum]:[Bobot Perizinan]])</f>
        <v>1</v>
      </c>
      <c r="AI336" s="33">
        <f>Table1[[#This Row],[RAB Kegiatan Umum]]/Table1[[#This Row],[Nilai RAB Jaringan
(Exclude Ppn)]]</f>
        <v>8.2728256832593633E-2</v>
      </c>
      <c r="AJ336" s="33">
        <f>Table1[[#This Row],[RAB Pemasangan]]/Table1[[#This Row],[Nilai RAB Jaringan
(Exclude Ppn)]]</f>
        <v>0.82728256549763379</v>
      </c>
      <c r="AK336" s="33">
        <f>Table1[[#This Row],[RAB Pengadaan]]/Table1[[#This Row],[Nilai RAB Jaringan
(Exclude Ppn)]]</f>
        <v>8.1849322766900379E-2</v>
      </c>
      <c r="AL336" s="33">
        <f>Table1[[#This Row],[RAB Perizinan]]/Table1[[#This Row],[Nilai RAB Jaringan
(Exclude Ppn)]]</f>
        <v>8.1398549028721852E-3</v>
      </c>
      <c r="AM336" s="42"/>
      <c r="AN336" s="256">
        <v>739</v>
      </c>
      <c r="AO336" s="256">
        <f>SUM(Table1[[#This Row],[Pipa 63 mm]:[Pipa 1,800 mm]])</f>
        <v>739</v>
      </c>
      <c r="AP336" s="256">
        <v>389</v>
      </c>
      <c r="AQ336" s="256">
        <v>350</v>
      </c>
      <c r="AR336" s="256"/>
      <c r="AS336" s="256"/>
      <c r="AT336" s="256"/>
      <c r="AU336" s="256"/>
      <c r="AV336" s="256"/>
      <c r="AW336" s="256"/>
      <c r="AX336" s="256"/>
      <c r="AY336" s="256"/>
      <c r="AZ336" s="256"/>
      <c r="BA336" s="256"/>
      <c r="BB336" s="256"/>
      <c r="BC336" s="256"/>
      <c r="BD336" s="256"/>
      <c r="BE336" s="256"/>
      <c r="BF336" s="256"/>
      <c r="BG336" s="256"/>
      <c r="BH336" s="256"/>
      <c r="BI336" s="256"/>
      <c r="BJ336" s="233">
        <f>SUM(Table1[[#This Row],[Pipa 63 mm2]:[Pipa 1,800 mm21]])</f>
        <v>569</v>
      </c>
      <c r="BK336" s="32">
        <v>364</v>
      </c>
      <c r="BL336" s="32">
        <v>205</v>
      </c>
      <c r="BM336" s="32"/>
      <c r="BN336" s="32"/>
      <c r="BO336" s="32"/>
      <c r="BP336" s="32"/>
      <c r="BQ336" s="32"/>
      <c r="BR336" s="32"/>
      <c r="BS336" s="32"/>
      <c r="BT336" s="32"/>
      <c r="BU336" s="32"/>
      <c r="BV336" s="32"/>
      <c r="BW336" s="32"/>
      <c r="BX336" s="32"/>
      <c r="BY336" s="32"/>
      <c r="BZ336" s="32"/>
      <c r="CA336" s="32"/>
      <c r="CB336" s="32"/>
      <c r="CC336" s="32"/>
      <c r="CD336" s="32"/>
      <c r="CE336" s="32">
        <v>0</v>
      </c>
      <c r="CF336" s="32"/>
      <c r="CG336" s="32"/>
      <c r="CH336" s="32"/>
      <c r="CI336" s="32">
        <f t="shared" si="16"/>
        <v>0</v>
      </c>
      <c r="CJ336" s="60">
        <f>IF((Table1[[#This Row],["Volume
BA MC-0"]]-Table1[[#This Row],[Total Panjang Pipa Aktual
(Sum-&gt;)3]]-Table1[[#This Row],[Total Volume
tidak dapat dipasang]])&gt;=0,Table1[[#This Row],["Volume
BA MC-0"]]-Table1[[#This Row],[Total Panjang Pipa Aktual
(Sum-&gt;)3]]-Table1[[#This Row],[Total Volume
tidak dapat dipasang]],0)</f>
        <v>170</v>
      </c>
      <c r="CK336" s="42"/>
      <c r="CL336" s="454" t="s">
        <v>1821</v>
      </c>
      <c r="CM336" s="34" t="s">
        <v>1821</v>
      </c>
      <c r="CN336" s="454" t="s">
        <v>1821</v>
      </c>
      <c r="CO336" s="454" t="s">
        <v>1821</v>
      </c>
      <c r="CP3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0.40543083784313005</v>
      </c>
      <c r="CQ336" s="61">
        <f>IFERROR(Table1[[#This Row],[Progres Keg. Umum
(%)]]*Table1[[#This Row],[Nilai RAB Jaringan
(file pa aji)]],0)</f>
        <v>0</v>
      </c>
      <c r="CR336" s="61">
        <f>IFERROR(Table1[[#This Row],[Progres MOS
(%)]]*Table1[[#This Row],[Nilai RAB Jaringan
(file pa aji)]],0)</f>
        <v>0</v>
      </c>
      <c r="CS336" s="61">
        <f>IFERROR(Table1[[#This Row],[Progres Pemasangan
(%)]]*Table1[[#This Row],[Nilai RAB Jaringan
(file pa aji)]],0)</f>
        <v>0</v>
      </c>
      <c r="CT336" s="61">
        <f>IFERROR(Table1[[#This Row],[Progres Perizinan
(%)]]*Table1[[#This Row],[Nilai RAB Jaringan
(file pa aji)]],0)</f>
        <v>0</v>
      </c>
      <c r="CU336" s="789">
        <v>794938300.87638867</v>
      </c>
      <c r="CV336" s="299">
        <v>794938300.87638867</v>
      </c>
      <c r="CW336" s="552">
        <v>0</v>
      </c>
      <c r="CX336" s="789">
        <f>_xlfn.XLOOKUP(Table1[[#This Row],[Kode Program]],'[1]Breakdown VOWD Greenfield'!$E:$E,'[1]Breakdown VOWD Greenfield'!$AT:$AT)</f>
        <v>0</v>
      </c>
      <c r="CY336" s="42"/>
      <c r="CZ336" s="300">
        <v>45866</v>
      </c>
      <c r="DA336" s="300">
        <v>45893</v>
      </c>
      <c r="DB336" s="301">
        <v>45901</v>
      </c>
      <c r="DC336" s="286" t="s">
        <v>2687</v>
      </c>
      <c r="DD336" s="62">
        <v>1960724805.8</v>
      </c>
      <c r="DE3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6" s="301">
        <v>45915</v>
      </c>
      <c r="DG336" s="286" t="s">
        <v>2688</v>
      </c>
      <c r="DH336" s="62">
        <v>1960724805.8</v>
      </c>
      <c r="DI3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6" s="300">
        <v>45894</v>
      </c>
      <c r="DK336" s="300">
        <v>45963</v>
      </c>
      <c r="DL336" s="301">
        <v>45937</v>
      </c>
      <c r="DM336" s="286" t="s">
        <v>2689</v>
      </c>
      <c r="DN3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6" s="301">
        <v>45946</v>
      </c>
      <c r="DP336" s="286" t="s">
        <v>2690</v>
      </c>
      <c r="DQ336" s="308" t="s">
        <v>297</v>
      </c>
      <c r="DR3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6" s="300">
        <v>45894</v>
      </c>
      <c r="DT336" s="300" t="e">
        <v>#N/A</v>
      </c>
      <c r="DU336" s="300">
        <v>45935</v>
      </c>
      <c r="DV336" s="300" t="e">
        <v>#N/A</v>
      </c>
      <c r="DW336" s="301">
        <v>45937</v>
      </c>
      <c r="DX336" s="454" t="s">
        <v>2691</v>
      </c>
      <c r="DY336" s="304">
        <v>76</v>
      </c>
      <c r="DZ336" s="304">
        <v>76</v>
      </c>
      <c r="EA3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36" s="301"/>
      <c r="EC336" s="302">
        <v>70</v>
      </c>
      <c r="ED336" s="302">
        <v>70</v>
      </c>
      <c r="EE336" s="300"/>
      <c r="EF336" s="35">
        <v>0.92105263157894735</v>
      </c>
      <c r="EG336" s="35">
        <f>Table1[[#This Row],[Line PO (kolom  bantu)2]]/Table1[[#This Row],[Line PR]]</f>
        <v>0.92105263157894735</v>
      </c>
      <c r="EH336" s="286" t="str">
        <f>IF(Table1[[#This Row],[PO Material Aktual 
(%)]]&gt;=100%,"Selesai PO = 100%",IF(Table1[[#This Row],[PO Material Aktual 
(%)]]&gt;=50%,"Proses PO &gt; 100%",IF(Table1[[#This Row],[PO Material Aktual 
(%)]]&gt;0%,"Proses PO &gt; 50%",IF(Table1[[#This Row],[PO Material Aktual 
(%)]]=0,"Belum PO = 0%"))))</f>
        <v>Proses PO &gt; 100%</v>
      </c>
      <c r="EI336"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36" s="300">
        <v>45936</v>
      </c>
      <c r="EK336" s="300" t="e">
        <v>#N/A</v>
      </c>
      <c r="EL336" s="300">
        <v>45991</v>
      </c>
      <c r="EM336" s="300" t="e">
        <v>#N/A</v>
      </c>
      <c r="EN336" s="301"/>
      <c r="EO336" s="302">
        <v>70</v>
      </c>
      <c r="EP336" s="286">
        <v>70</v>
      </c>
      <c r="EQ336" s="35">
        <v>0.92105263157894735</v>
      </c>
      <c r="ER336" s="35">
        <f>Table1[[#This Row],[Line MOS]]/Table1[[#This Row],[Line PR]]</f>
        <v>0.92105263157894735</v>
      </c>
      <c r="ES336" s="286" t="str">
        <f>IF(Table1[[#This Row],[Progres MOS]]&gt;=100%,"Selesai MOS = 100%",IF(Table1[[#This Row],[Progres MOS]]&gt;=50%,"Proses MOS &gt; 100%",IF(Table1[[#This Row],[Progres MOS]]&gt;0%,"Proses MOS &gt; 50%",IF(Table1[[#This Row],[Progres MOS]]=0,"Belum MOS = 0%"))))</f>
        <v>Proses MOS &gt; 100%</v>
      </c>
      <c r="ET3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36" s="42"/>
      <c r="EV336" s="300">
        <v>45894</v>
      </c>
      <c r="EW336" s="300" t="e">
        <v>#N/A</v>
      </c>
      <c r="EX336" s="300">
        <v>45991</v>
      </c>
      <c r="EY336" s="300" t="e">
        <v>#N/A</v>
      </c>
      <c r="EZ336" s="322" t="s">
        <v>298</v>
      </c>
      <c r="FA336" s="306" t="s">
        <v>259</v>
      </c>
      <c r="FB336" s="300" t="s">
        <v>260</v>
      </c>
      <c r="FC336" s="300">
        <v>45943</v>
      </c>
      <c r="FD336" s="300" t="s">
        <v>260</v>
      </c>
      <c r="FE336" s="300">
        <v>45966</v>
      </c>
      <c r="FF336" s="300">
        <v>45992</v>
      </c>
      <c r="FG336" s="300" t="s">
        <v>260</v>
      </c>
      <c r="FH336" s="300" t="s">
        <v>260</v>
      </c>
      <c r="FI336" s="300">
        <v>46013</v>
      </c>
      <c r="FJ336" s="300" t="s">
        <v>260</v>
      </c>
      <c r="FK336" s="300">
        <v>46118</v>
      </c>
      <c r="FL336" s="306" t="s">
        <v>298</v>
      </c>
      <c r="FM336" s="322">
        <v>45943</v>
      </c>
      <c r="FN336" s="308">
        <f>IF(Table1[[#This Row],[Tanggal Pengajuan Dokumen]]="","",Table1[[#This Row],[PLAN PERMIT
start]]-Table1[[#This Row],[Tanggal Pengajuan Dokumen]])</f>
        <v>-49</v>
      </c>
      <c r="FO336" s="407">
        <v>46097</v>
      </c>
      <c r="FP336" s="286" t="s">
        <v>2087</v>
      </c>
      <c r="FQ336" s="308"/>
      <c r="FR336" s="308"/>
      <c r="FS336" s="308" t="str">
        <f t="shared" si="17"/>
        <v>On Going</v>
      </c>
      <c r="FT3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6" s="314">
        <f ca="1">IF(Table1[[#This Row],[Status Izin]]="Selesai",Table1[[#This Row],[PLAN PERMIT
finish]]-Table1[[#This Row],[Tanggal Terbit/ Target Izin Terbit]],ROUNDUP(Table1[[#This Row],[PLAN PERMIT
finish]]-NOW(),0))</f>
        <v>-213</v>
      </c>
      <c r="FV3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6" s="314"/>
      <c r="FX336" s="42"/>
      <c r="FY336" s="310"/>
      <c r="FZ336" s="311"/>
      <c r="GA3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6" s="300">
        <v>45965</v>
      </c>
      <c r="GC336" s="322">
        <v>45972</v>
      </c>
      <c r="GD3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36" s="300">
        <v>45972</v>
      </c>
      <c r="GF336" s="322">
        <v>45964</v>
      </c>
      <c r="GG3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6" s="300">
        <v>45978</v>
      </c>
      <c r="GI336" s="300">
        <v>45984</v>
      </c>
      <c r="GJ336" s="322">
        <v>45968</v>
      </c>
      <c r="GK3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6" s="300">
        <v>45992</v>
      </c>
      <c r="GM336" s="300" t="e">
        <v>#N/A</v>
      </c>
      <c r="GN336" s="300">
        <v>46033</v>
      </c>
      <c r="GO336" s="300" t="e">
        <v>#N/A</v>
      </c>
      <c r="GP336" s="300"/>
      <c r="GQ3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6" s="300" t="s">
        <v>261</v>
      </c>
      <c r="GS336" s="300" t="s">
        <v>261</v>
      </c>
      <c r="GT336" s="324"/>
      <c r="GU336" s="314" t="str">
        <f>IF(Table1[[#This Row],[Hydro Tes Actual
(tanggal)]]&lt;&gt;"","Sudah","Belum")</f>
        <v>Belum</v>
      </c>
      <c r="GV336" s="300" t="s">
        <v>261</v>
      </c>
      <c r="GW336" s="300" t="s">
        <v>261</v>
      </c>
      <c r="GX336" s="301"/>
      <c r="GY336" s="314" t="str">
        <f>IF(Table1[[#This Row],[Interkoneksi Actual
(tanggal)]]&lt;&gt;"","Sudah","Belum")</f>
        <v>Belum</v>
      </c>
      <c r="GZ336" s="300" t="s">
        <v>261</v>
      </c>
      <c r="HA336" s="300" t="s">
        <v>261</v>
      </c>
      <c r="HB336" s="301"/>
      <c r="HC336" s="314" t="str">
        <f>IF(Table1[[#This Row],[Flushing Actual
(tanggal)]]&lt;&gt;"","Sudah","Belum")</f>
        <v>Belum</v>
      </c>
      <c r="HD336" s="300">
        <v>46013</v>
      </c>
      <c r="HE336" s="300" t="e">
        <v>#N/A</v>
      </c>
      <c r="HF336" s="300">
        <v>46026</v>
      </c>
      <c r="HG336" s="322"/>
      <c r="HH3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6" s="300" t="s">
        <v>261</v>
      </c>
      <c r="HJ336" s="300" t="s">
        <v>261</v>
      </c>
      <c r="HK336" s="301"/>
      <c r="HL336" s="286"/>
      <c r="HM336" s="300">
        <v>46038</v>
      </c>
      <c r="HN336" s="300">
        <v>46038</v>
      </c>
      <c r="HO336" s="300" t="e">
        <v>#N/A</v>
      </c>
      <c r="HP336" s="300"/>
      <c r="HQ336" s="301"/>
      <c r="HR336"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6" s="300">
        <v>46045</v>
      </c>
      <c r="HT336" s="300"/>
      <c r="HU336" s="300">
        <v>46045</v>
      </c>
      <c r="HV336" s="300"/>
      <c r="HW336" s="301"/>
      <c r="HX336"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6" s="42"/>
      <c r="HZ336" s="322"/>
      <c r="IA336" s="322" t="s">
        <v>2692</v>
      </c>
      <c r="IC336" s="585">
        <f>IFERROR(ROUND((Table1[[#This Row],[PLAN TC
finish]]-Table1[[#This Row],[PLAN MC-0
start]])/30,2),"")</f>
        <v>1.6</v>
      </c>
      <c r="ID336">
        <f>DATEDIF(Table1[[#This Row],[PLAN MC-0
start]],Table1[[#This Row],[PLAN TC
finish]],"m")</f>
        <v>1</v>
      </c>
    </row>
    <row r="337" spans="2:262" s="4" customFormat="1" ht="15" customHeight="1" x14ac:dyDescent="0.25">
      <c r="B337" s="281">
        <f>SUBTOTAL(3,$D$5:D337)</f>
        <v>333</v>
      </c>
      <c r="C337" s="286">
        <v>333</v>
      </c>
      <c r="D337" s="285" t="s">
        <v>673</v>
      </c>
      <c r="E337" s="308" t="s">
        <v>2693</v>
      </c>
      <c r="F337" s="308" t="s">
        <v>2694</v>
      </c>
      <c r="G337" s="319">
        <v>46117</v>
      </c>
      <c r="H337" s="308" t="s">
        <v>681</v>
      </c>
      <c r="I337" s="308" t="s">
        <v>278</v>
      </c>
      <c r="J337" s="450" t="s">
        <v>1818</v>
      </c>
      <c r="K337" s="308" t="s">
        <v>676</v>
      </c>
      <c r="L337" s="286" t="s">
        <v>250</v>
      </c>
      <c r="M337" s="325" t="s">
        <v>269</v>
      </c>
      <c r="N337" s="94">
        <v>1</v>
      </c>
      <c r="O337" s="31" t="s">
        <v>327</v>
      </c>
      <c r="P337"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37" s="35">
        <v>0.99999999999999978</v>
      </c>
      <c r="S337" s="34">
        <v>1</v>
      </c>
      <c r="T337" s="34">
        <f>Table1[[#This Row],[Progres Total Aktual
(%)]]</f>
        <v>0</v>
      </c>
      <c r="U337" s="85">
        <f>Table1[[#This Row],[Progres Aktual
(%)]]-Table1[[#This Row],[Target Progres
(%)]]</f>
        <v>-1</v>
      </c>
      <c r="V337" s="75">
        <f>Table1[[#This Row],["Volume
BA MC-0"]]</f>
        <v>1</v>
      </c>
      <c r="W337" s="41">
        <f>Table1[[#This Row],[Total Panjang Pipa Aktual
(Sum-&gt;)3]]</f>
        <v>1</v>
      </c>
      <c r="X337" s="42"/>
      <c r="Y337" s="62" t="s">
        <v>2595</v>
      </c>
      <c r="Z337" s="62">
        <v>126204245</v>
      </c>
      <c r="AA337" s="62">
        <f>ROUND((Table1[[#This Row],[Nilai RAB Jaringan
(Exclude Ppn)]]-Table1[[#This Row],[RAB Perizinan]])*1.11+Table1[[#This Row],[RAB Perizinan]],0)</f>
        <v>0</v>
      </c>
      <c r="AB337" s="456">
        <f>SUM(Table1[[#This Row],[RAB Kegiatan Umum]:[RAB Perizinan]])</f>
        <v>0</v>
      </c>
      <c r="AC337" s="406"/>
      <c r="AD337" s="406"/>
      <c r="AE337" s="406"/>
      <c r="AF337" s="406"/>
      <c r="AG337" s="453"/>
      <c r="AH337" s="33" t="e">
        <f>SUM(Table1[[#This Row],[Bobot Keg Umum]:[Bobot Perizinan]])</f>
        <v>#DIV/0!</v>
      </c>
      <c r="AI337" s="33" t="e">
        <f>Table1[[#This Row],[RAB Kegiatan Umum]]/Table1[[#This Row],[Nilai RAB Jaringan
(Exclude Ppn)]]</f>
        <v>#DIV/0!</v>
      </c>
      <c r="AJ337" s="33" t="e">
        <f>Table1[[#This Row],[RAB Pemasangan]]/Table1[[#This Row],[Nilai RAB Jaringan
(Exclude Ppn)]]</f>
        <v>#DIV/0!</v>
      </c>
      <c r="AK337" s="33" t="e">
        <f>Table1[[#This Row],[RAB Pengadaan]]/Table1[[#This Row],[Nilai RAB Jaringan
(Exclude Ppn)]]</f>
        <v>#DIV/0!</v>
      </c>
      <c r="AL337" s="33" t="e">
        <f>Table1[[#This Row],[RAB Perizinan]]/Table1[[#This Row],[Nilai RAB Jaringan
(Exclude Ppn)]]</f>
        <v>#DIV/0!</v>
      </c>
      <c r="AM337" s="42"/>
      <c r="AN337" s="256">
        <v>1</v>
      </c>
      <c r="AO337" s="256">
        <f>SUM(Table1[[#This Row],[Pipa 63 mm]:[Pipa 1,800 mm]])</f>
        <v>1</v>
      </c>
      <c r="AP337" s="256">
        <v>1</v>
      </c>
      <c r="AQ337" s="256"/>
      <c r="AR337" s="256"/>
      <c r="AS337" s="256"/>
      <c r="AT337" s="256"/>
      <c r="AU337" s="256"/>
      <c r="AV337" s="256"/>
      <c r="AW337" s="256"/>
      <c r="AX337" s="256"/>
      <c r="AY337" s="256"/>
      <c r="AZ337" s="256"/>
      <c r="BA337" s="256"/>
      <c r="BB337" s="256"/>
      <c r="BC337" s="256"/>
      <c r="BD337" s="256"/>
      <c r="BE337" s="256"/>
      <c r="BF337" s="256"/>
      <c r="BG337" s="256"/>
      <c r="BH337" s="256"/>
      <c r="BI337" s="256"/>
      <c r="BJ337" s="233">
        <f>SUM(Table1[[#This Row],[Pipa 63 mm2]:[Pipa 1,800 mm21]])</f>
        <v>1</v>
      </c>
      <c r="BK337" s="32">
        <v>1</v>
      </c>
      <c r="BL337" s="32"/>
      <c r="BM337" s="32"/>
      <c r="BN337" s="32"/>
      <c r="BO337" s="32"/>
      <c r="BP337" s="32"/>
      <c r="BQ337" s="32"/>
      <c r="BR337" s="32"/>
      <c r="BS337" s="32"/>
      <c r="BT337" s="32"/>
      <c r="BU337" s="32"/>
      <c r="BV337" s="32"/>
      <c r="BW337" s="32"/>
      <c r="BX337" s="32"/>
      <c r="BY337" s="32"/>
      <c r="BZ337" s="32"/>
      <c r="CA337" s="32"/>
      <c r="CB337" s="32"/>
      <c r="CC337" s="32"/>
      <c r="CD337" s="32"/>
      <c r="CE337" s="32"/>
      <c r="CF337" s="32"/>
      <c r="CG337" s="32"/>
      <c r="CH337" s="32"/>
      <c r="CI337" s="32"/>
      <c r="CJ337" s="60">
        <f>IF((Table1[[#This Row],["Volume
BA MC-0"]]-Table1[[#This Row],[Total Panjang Pipa Aktual
(Sum-&gt;)3]]-Table1[[#This Row],[Total Volume
tidak dapat dipasang]])&gt;=0,Table1[[#This Row],["Volume
BA MC-0"]]-Table1[[#This Row],[Total Panjang Pipa Aktual
(Sum-&gt;)3]]-Table1[[#This Row],[Total Volume
tidak dapat dipasang]],0)</f>
        <v>0</v>
      </c>
      <c r="CK337" s="42"/>
      <c r="CL337" s="454" t="s">
        <v>1821</v>
      </c>
      <c r="CM337" s="34" t="s">
        <v>1821</v>
      </c>
      <c r="CN337" s="454" t="s">
        <v>1821</v>
      </c>
      <c r="CO337" s="454" t="s">
        <v>1821</v>
      </c>
      <c r="CP3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37" s="61">
        <f>IFERROR(Table1[[#This Row],[Progres Keg. Umum
(%)]]*Table1[[#This Row],[Nilai RAB Jaringan
(file pa aji)]],0)</f>
        <v>0</v>
      </c>
      <c r="CR337" s="61">
        <f>IFERROR(Table1[[#This Row],[Progres MOS
(%)]]*Table1[[#This Row],[Nilai RAB Jaringan
(file pa aji)]],0)</f>
        <v>0</v>
      </c>
      <c r="CS337" s="61">
        <f>IFERROR(Table1[[#This Row],[Progres Pemasangan
(%)]]*Table1[[#This Row],[Nilai RAB Jaringan
(file pa aji)]],0)</f>
        <v>0</v>
      </c>
      <c r="CT337" s="61">
        <f>IFERROR(Table1[[#This Row],[Progres Perizinan
(%)]]*Table1[[#This Row],[Nilai RAB Jaringan
(file pa aji)]],0)</f>
        <v>0</v>
      </c>
      <c r="CU337" s="789">
        <v>0</v>
      </c>
      <c r="CV337" s="299">
        <v>0</v>
      </c>
      <c r="CW337" s="552">
        <v>0</v>
      </c>
      <c r="CX337" s="789">
        <f>_xlfn.XLOOKUP(Table1[[#This Row],[Kode Program]],'[1]Breakdown VOWD Greenfield'!$E:$E,'[1]Breakdown VOWD Greenfield'!$AT:$AT)</f>
        <v>0</v>
      </c>
      <c r="CY337" s="42"/>
      <c r="CZ337" s="300">
        <v>45866</v>
      </c>
      <c r="DA337" s="300">
        <v>45893</v>
      </c>
      <c r="DB337" s="301">
        <v>45989</v>
      </c>
      <c r="DC337" s="286" t="s">
        <v>2695</v>
      </c>
      <c r="DD337" s="62">
        <v>104448245</v>
      </c>
      <c r="DE3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37" s="301">
        <v>45916</v>
      </c>
      <c r="DG337" s="286" t="s">
        <v>2696</v>
      </c>
      <c r="DH337" s="62">
        <v>104448245</v>
      </c>
      <c r="DI3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7" s="300">
        <v>45894</v>
      </c>
      <c r="DK337" s="300">
        <v>45956</v>
      </c>
      <c r="DL337" s="301">
        <v>45827</v>
      </c>
      <c r="DM337" s="286" t="s">
        <v>2598</v>
      </c>
      <c r="DN3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7" s="301">
        <v>45847</v>
      </c>
      <c r="DP337" s="286" t="s">
        <v>2599</v>
      </c>
      <c r="DQ337" s="308" t="s">
        <v>1872</v>
      </c>
      <c r="DR3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7" s="300">
        <v>45894</v>
      </c>
      <c r="DT337" s="300" t="e">
        <v>#N/A</v>
      </c>
      <c r="DU337" s="300">
        <v>45935</v>
      </c>
      <c r="DV337" s="300" t="e">
        <v>#N/A</v>
      </c>
      <c r="DW337" s="301">
        <v>45890</v>
      </c>
      <c r="DX337" s="286" t="s">
        <v>2697</v>
      </c>
      <c r="DY337" s="304">
        <v>6</v>
      </c>
      <c r="DZ337" s="304">
        <v>6</v>
      </c>
      <c r="EA3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7" s="301">
        <v>46051</v>
      </c>
      <c r="EC337" s="302">
        <v>6</v>
      </c>
      <c r="ED337" s="302">
        <v>6</v>
      </c>
      <c r="EE337" s="300"/>
      <c r="EF337" s="35">
        <v>1</v>
      </c>
      <c r="EG337" s="35">
        <f>Table1[[#This Row],[Line PO (kolom  bantu)2]]/Table1[[#This Row],[Line PR]]</f>
        <v>1</v>
      </c>
      <c r="EH337" s="286" t="str">
        <f>IF(Table1[[#This Row],[PO Material Aktual 
(%)]]&gt;=100%,"Selesai PO = 100%",IF(Table1[[#This Row],[PO Material Aktual 
(%)]]&gt;=50%,"Proses PO &gt; 100%",IF(Table1[[#This Row],[PO Material Aktual 
(%)]]&gt;0%,"Proses PO &gt; 50%",IF(Table1[[#This Row],[PO Material Aktual 
(%)]]=0,"Belum PO = 0%"))))</f>
        <v>Selesai PO = 100%</v>
      </c>
      <c r="EI337"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7" s="300">
        <v>45936</v>
      </c>
      <c r="EK337" s="300" t="e">
        <v>#N/A</v>
      </c>
      <c r="EL337" s="300">
        <v>45984</v>
      </c>
      <c r="EM337" s="300" t="e">
        <v>#N/A</v>
      </c>
      <c r="EN337" s="301">
        <v>46059</v>
      </c>
      <c r="EO337" s="302">
        <v>6</v>
      </c>
      <c r="EP337" s="286">
        <v>6</v>
      </c>
      <c r="EQ337" s="35">
        <v>1</v>
      </c>
      <c r="ER337" s="35">
        <f>Table1[[#This Row],[Line MOS]]/Table1[[#This Row],[Line PR]]</f>
        <v>1</v>
      </c>
      <c r="ES337" s="286" t="str">
        <f>IF(Table1[[#This Row],[Progres MOS]]&gt;=100%,"Selesai MOS = 100%",IF(Table1[[#This Row],[Progres MOS]]&gt;=50%,"Proses MOS &gt; 100%",IF(Table1[[#This Row],[Progres MOS]]&gt;0%,"Proses MOS &gt; 50%",IF(Table1[[#This Row],[Progres MOS]]=0,"Belum MOS = 0%"))))</f>
        <v>Selesai MOS = 100%</v>
      </c>
      <c r="ET3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7" s="42"/>
      <c r="EV337" s="300">
        <v>45894</v>
      </c>
      <c r="EW337" s="300" t="e">
        <v>#N/A</v>
      </c>
      <c r="EX337" s="300">
        <v>45984</v>
      </c>
      <c r="EY337" s="300" t="e">
        <v>#N/A</v>
      </c>
      <c r="EZ337" s="322" t="s">
        <v>298</v>
      </c>
      <c r="FA337" s="306" t="s">
        <v>298</v>
      </c>
      <c r="FB337" s="300" t="s">
        <v>260</v>
      </c>
      <c r="FC337" s="300">
        <v>45112</v>
      </c>
      <c r="FD337" s="300" t="s">
        <v>260</v>
      </c>
      <c r="FE337" s="300">
        <v>45966</v>
      </c>
      <c r="FF337" s="300">
        <v>45993</v>
      </c>
      <c r="FG337" s="300" t="s">
        <v>260</v>
      </c>
      <c r="FH337" s="300" t="s">
        <v>260</v>
      </c>
      <c r="FI337" s="300"/>
      <c r="FJ337" s="300" t="s">
        <v>260</v>
      </c>
      <c r="FK337" s="300"/>
      <c r="FL337" s="306" t="s">
        <v>298</v>
      </c>
      <c r="FM337" s="322">
        <v>45112</v>
      </c>
      <c r="FN337" s="308">
        <f>IF(Table1[[#This Row],[Tanggal Pengajuan Dokumen]]="","",Table1[[#This Row],[PLAN PERMIT
start]]-Table1[[#This Row],[Tanggal Pengajuan Dokumen]])</f>
        <v>782</v>
      </c>
      <c r="FO337" s="407">
        <v>46097</v>
      </c>
      <c r="FP337" s="286"/>
      <c r="FQ337" s="308"/>
      <c r="FR337" s="308"/>
      <c r="FS337" s="308" t="str">
        <f t="shared" si="17"/>
        <v>On Going</v>
      </c>
      <c r="FT3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7" s="314">
        <f ca="1">IF(Table1[[#This Row],[Status Izin]]="Selesai",Table1[[#This Row],[PLAN PERMIT
finish]]-Table1[[#This Row],[Tanggal Terbit/ Target Izin Terbit]],ROUNDUP(Table1[[#This Row],[PLAN PERMIT
finish]]-NOW(),0))</f>
        <v>-220</v>
      </c>
      <c r="FV3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7" s="314"/>
      <c r="FX337" s="42"/>
      <c r="FY337" s="310"/>
      <c r="FZ337" s="311"/>
      <c r="GA3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7" s="300">
        <v>45958</v>
      </c>
      <c r="GC337" s="322">
        <v>45880</v>
      </c>
      <c r="GD3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7" s="300">
        <v>45965</v>
      </c>
      <c r="GF337" s="322">
        <v>45880</v>
      </c>
      <c r="GG3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7" s="300">
        <v>45971</v>
      </c>
      <c r="GI337" s="300">
        <v>45977</v>
      </c>
      <c r="GJ337" s="322">
        <v>45882</v>
      </c>
      <c r="GK3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7" s="300">
        <v>45985</v>
      </c>
      <c r="GM337" s="300" t="e">
        <v>#N/A</v>
      </c>
      <c r="GN337" s="300">
        <v>46005</v>
      </c>
      <c r="GO337" s="300" t="e">
        <v>#N/A</v>
      </c>
      <c r="GP337" s="300"/>
      <c r="GQ3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7" s="300" t="s">
        <v>261</v>
      </c>
      <c r="GS337" s="300" t="s">
        <v>261</v>
      </c>
      <c r="GT337" s="324"/>
      <c r="GU337" s="314" t="str">
        <f>IF(Table1[[#This Row],[Hydro Tes Actual
(tanggal)]]&lt;&gt;"","Sudah","Belum")</f>
        <v>Belum</v>
      </c>
      <c r="GV337" s="300" t="s">
        <v>261</v>
      </c>
      <c r="GW337" s="300" t="s">
        <v>261</v>
      </c>
      <c r="GX337" s="301"/>
      <c r="GY337" s="314" t="str">
        <f>IF(Table1[[#This Row],[Interkoneksi Actual
(tanggal)]]&lt;&gt;"","Sudah","Belum")</f>
        <v>Belum</v>
      </c>
      <c r="GZ337" s="300" t="s">
        <v>261</v>
      </c>
      <c r="HA337" s="300" t="s">
        <v>261</v>
      </c>
      <c r="HB337" s="301"/>
      <c r="HC337" s="314" t="str">
        <f>IF(Table1[[#This Row],[Flushing Actual
(tanggal)]]&lt;&gt;"","Sudah","Belum")</f>
        <v>Belum</v>
      </c>
      <c r="HD337" s="300">
        <v>45992</v>
      </c>
      <c r="HE337" s="300" t="e">
        <v>#N/A</v>
      </c>
      <c r="HF337" s="300">
        <v>46005</v>
      </c>
      <c r="HG337" s="322"/>
      <c r="HH3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37" s="300" t="s">
        <v>261</v>
      </c>
      <c r="HJ337" s="300" t="s">
        <v>261</v>
      </c>
      <c r="HK337" s="301"/>
      <c r="HL337" s="286"/>
      <c r="HM337" s="300">
        <v>46010</v>
      </c>
      <c r="HN337" s="300">
        <v>46010</v>
      </c>
      <c r="HO337" s="300" t="e">
        <v>#N/A</v>
      </c>
      <c r="HP337" s="300"/>
      <c r="HQ337" s="301"/>
      <c r="HR337"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37" s="300">
        <v>46017</v>
      </c>
      <c r="HT337" s="300"/>
      <c r="HU337" s="300">
        <v>46017</v>
      </c>
      <c r="HV337" s="300"/>
      <c r="HW337" s="301"/>
      <c r="HX337"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37" s="42"/>
      <c r="HZ337" s="322"/>
      <c r="IA337" s="322" t="s">
        <v>2698</v>
      </c>
      <c r="IC337" s="585">
        <f>IFERROR(ROUND((Table1[[#This Row],[PLAN TC
finish]]-Table1[[#This Row],[PLAN MC-0
start]])/30,2),"")</f>
        <v>1.1299999999999999</v>
      </c>
      <c r="ID337">
        <f>DATEDIF(Table1[[#This Row],[PLAN MC-0
start]],Table1[[#This Row],[PLAN TC
finish]],"m")</f>
        <v>1</v>
      </c>
    </row>
    <row r="338" spans="2:262" s="4" customFormat="1" ht="15" customHeight="1" x14ac:dyDescent="0.25">
      <c r="B338" s="281">
        <f>SUBTOTAL(3,$D$5:D338)</f>
        <v>334</v>
      </c>
      <c r="C338" s="286">
        <v>334</v>
      </c>
      <c r="D338" s="285" t="s">
        <v>673</v>
      </c>
      <c r="E338" s="308" t="s">
        <v>2699</v>
      </c>
      <c r="F338" s="308" t="s">
        <v>2700</v>
      </c>
      <c r="G338" s="319">
        <v>46117</v>
      </c>
      <c r="H338" s="308" t="s">
        <v>681</v>
      </c>
      <c r="I338" s="308" t="s">
        <v>278</v>
      </c>
      <c r="J338" s="450" t="s">
        <v>1830</v>
      </c>
      <c r="K338" s="308" t="s">
        <v>676</v>
      </c>
      <c r="L338" s="286" t="s">
        <v>250</v>
      </c>
      <c r="M338" s="325" t="s">
        <v>269</v>
      </c>
      <c r="N338" s="94">
        <v>2396</v>
      </c>
      <c r="O338" s="31" t="s">
        <v>252</v>
      </c>
      <c r="P338"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8" s="35">
        <v>0.99999999999999978</v>
      </c>
      <c r="S338" s="34">
        <v>1</v>
      </c>
      <c r="T338" s="34">
        <f>Table1[[#This Row],[Progres Total Aktual
(%)]]</f>
        <v>1</v>
      </c>
      <c r="U338" s="85">
        <f>Table1[[#This Row],[Progres Aktual
(%)]]-Table1[[#This Row],[Target Progres
(%)]]</f>
        <v>0</v>
      </c>
      <c r="V338" s="75">
        <f>Table1[[#This Row],["Volume
BA MC-0"]]</f>
        <v>2426</v>
      </c>
      <c r="W338" s="41">
        <f>Table1[[#This Row],[Total Panjang Pipa Aktual
(Sum-&gt;)3]]</f>
        <v>2396</v>
      </c>
      <c r="X338" s="42"/>
      <c r="Y338" s="62" t="s">
        <v>2701</v>
      </c>
      <c r="Z338" s="62">
        <v>4182131005</v>
      </c>
      <c r="AA338" s="471">
        <f>ROUND((Table1[[#This Row],[Nilai RAB Jaringan
(Exclude Ppn)]]-Table1[[#This Row],[RAB Perizinan]])*1.11+Table1[[#This Row],[RAB Perizinan]],0)</f>
        <v>4182131004</v>
      </c>
      <c r="AB338" s="456">
        <f>SUM(Table1[[#This Row],[RAB Kegiatan Umum]:[RAB Perizinan]])</f>
        <v>3770060004</v>
      </c>
      <c r="AC338" s="406">
        <v>270606252</v>
      </c>
      <c r="AD338" s="406">
        <v>2706062519</v>
      </c>
      <c r="AE338" s="406">
        <v>769431233</v>
      </c>
      <c r="AF338" s="406">
        <v>23960000</v>
      </c>
      <c r="AG338" s="453"/>
      <c r="AH338" s="33">
        <f>SUM(Table1[[#This Row],[Bobot Keg Umum]:[Bobot Perizinan]])</f>
        <v>1</v>
      </c>
      <c r="AI338" s="33">
        <f>Table1[[#This Row],[RAB Kegiatan Umum]]/Table1[[#This Row],[Nilai RAB Jaringan
(Exclude Ppn)]]</f>
        <v>7.1777704257462535E-2</v>
      </c>
      <c r="AJ338" s="33">
        <f>Table1[[#This Row],[RAB Pemasangan]]/Table1[[#This Row],[Nilai RAB Jaringan
(Exclude Ppn)]]</f>
        <v>0.71777704230937756</v>
      </c>
      <c r="AK338" s="33">
        <f>Table1[[#This Row],[RAB Pengadaan]]/Table1[[#This Row],[Nilai RAB Jaringan
(Exclude Ppn)]]</f>
        <v>0.20408991692005971</v>
      </c>
      <c r="AL338" s="33">
        <f>Table1[[#This Row],[RAB Perizinan]]/Table1[[#This Row],[Nilai RAB Jaringan
(Exclude Ppn)]]</f>
        <v>6.3553365131002303E-3</v>
      </c>
      <c r="AM338" s="42"/>
      <c r="AN338" s="256">
        <v>2426</v>
      </c>
      <c r="AO338" s="256">
        <f>SUM(Table1[[#This Row],[Pipa 63 mm]:[Pipa 1,800 mm]])</f>
        <v>2436</v>
      </c>
      <c r="AP338" s="256">
        <v>664</v>
      </c>
      <c r="AQ338" s="256">
        <v>36</v>
      </c>
      <c r="AR338" s="256"/>
      <c r="AS338" s="256">
        <v>1736</v>
      </c>
      <c r="AT338" s="256"/>
      <c r="AU338" s="256"/>
      <c r="AV338" s="256"/>
      <c r="AW338" s="256"/>
      <c r="AX338" s="256"/>
      <c r="AY338" s="256"/>
      <c r="AZ338" s="256"/>
      <c r="BA338" s="256"/>
      <c r="BB338" s="256"/>
      <c r="BC338" s="256"/>
      <c r="BD338" s="256"/>
      <c r="BE338" s="256"/>
      <c r="BF338" s="256"/>
      <c r="BG338" s="256"/>
      <c r="BH338" s="256"/>
      <c r="BI338" s="256"/>
      <c r="BJ338" s="233">
        <f>SUM(Table1[[#This Row],[Pipa 63 mm2]:[Pipa 1,800 mm21]])</f>
        <v>2396</v>
      </c>
      <c r="BK338" s="32">
        <v>656</v>
      </c>
      <c r="BL338" s="32"/>
      <c r="BM338" s="32">
        <v>42</v>
      </c>
      <c r="BN338" s="32">
        <v>1698</v>
      </c>
      <c r="BO338" s="32"/>
      <c r="BP338" s="32"/>
      <c r="BQ338" s="32"/>
      <c r="BR338" s="32"/>
      <c r="BS338" s="32"/>
      <c r="BT338" s="32"/>
      <c r="BU338" s="32"/>
      <c r="BV338" s="32"/>
      <c r="BW338" s="32"/>
      <c r="BX338" s="32"/>
      <c r="BY338" s="32"/>
      <c r="BZ338" s="32"/>
      <c r="CA338" s="32"/>
      <c r="CB338" s="32"/>
      <c r="CC338" s="32"/>
      <c r="CD338" s="32"/>
      <c r="CE338" s="32"/>
      <c r="CF338" s="32"/>
      <c r="CG338" s="32"/>
      <c r="CH338" s="32"/>
      <c r="CI338" s="32"/>
      <c r="CJ338" s="60">
        <f>IF((Table1[[#This Row],["Volume
BA MC-0"]]-Table1[[#This Row],[Total Panjang Pipa Aktual
(Sum-&gt;)3]]-Table1[[#This Row],[Total Volume
tidak dapat dipasang]])&gt;=0,Table1[[#This Row],["Volume
BA MC-0"]]-Table1[[#This Row],[Total Panjang Pipa Aktual
(Sum-&gt;)3]]-Table1[[#This Row],[Total Volume
tidak dapat dipasang]],0)</f>
        <v>30</v>
      </c>
      <c r="CK338" s="42"/>
      <c r="CL338" s="454" t="s">
        <v>1821</v>
      </c>
      <c r="CM338" s="34" t="s">
        <v>1821</v>
      </c>
      <c r="CN338" s="454" t="s">
        <v>1821</v>
      </c>
      <c r="CO338" s="454" t="s">
        <v>1821</v>
      </c>
      <c r="CP3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8" s="61">
        <f>IFERROR(Table1[[#This Row],[Progres Keg. Umum
(%)]]*Table1[[#This Row],[Nilai RAB Jaringan
(file pa aji)]],0)</f>
        <v>0</v>
      </c>
      <c r="CR338" s="61">
        <f>IFERROR(Table1[[#This Row],[Progres MOS
(%)]]*Table1[[#This Row],[Nilai RAB Jaringan
(file pa aji)]],0)</f>
        <v>0</v>
      </c>
      <c r="CS338" s="61">
        <f>IFERROR(Table1[[#This Row],[Progres Pemasangan
(%)]]*Table1[[#This Row],[Nilai RAB Jaringan
(file pa aji)]],0)</f>
        <v>0</v>
      </c>
      <c r="CT338" s="61">
        <f>IFERROR(Table1[[#This Row],[Progres Perizinan
(%)]]*Table1[[#This Row],[Nilai RAB Jaringan
(file pa aji)]],0)</f>
        <v>0</v>
      </c>
      <c r="CU338" s="789">
        <v>4201949807</v>
      </c>
      <c r="CV338" s="299">
        <v>4201949807</v>
      </c>
      <c r="CW338" s="552">
        <v>4201949807</v>
      </c>
      <c r="CX338" s="789">
        <f>_xlfn.XLOOKUP(Table1[[#This Row],[Kode Program]],'[1]Breakdown VOWD Greenfield'!$E:$E,'[1]Breakdown VOWD Greenfield'!$AT:$AT)</f>
        <v>4201949807</v>
      </c>
      <c r="CY338" s="42"/>
      <c r="CZ338" s="300">
        <v>45866</v>
      </c>
      <c r="DA338" s="300">
        <v>45893</v>
      </c>
      <c r="DB338" s="301">
        <v>45883</v>
      </c>
      <c r="DC338" s="286" t="s">
        <v>2702</v>
      </c>
      <c r="DD338" s="62">
        <v>4182131005</v>
      </c>
      <c r="DE3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8" s="301">
        <v>45916</v>
      </c>
      <c r="DG338" s="286" t="s">
        <v>2703</v>
      </c>
      <c r="DH338" s="62">
        <v>4182131005</v>
      </c>
      <c r="DI3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38" s="300">
        <v>45894</v>
      </c>
      <c r="DK338" s="300">
        <v>45963</v>
      </c>
      <c r="DL338" s="301">
        <v>45926</v>
      </c>
      <c r="DM338" s="286" t="s">
        <v>2704</v>
      </c>
      <c r="DN3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8" s="301">
        <v>45944</v>
      </c>
      <c r="DP338" s="286" t="s">
        <v>2705</v>
      </c>
      <c r="DQ338" s="308" t="s">
        <v>297</v>
      </c>
      <c r="DR3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8" s="300">
        <v>45894</v>
      </c>
      <c r="DT338" s="300" t="e">
        <v>#N/A</v>
      </c>
      <c r="DU338" s="300">
        <v>45935</v>
      </c>
      <c r="DV338" s="300" t="e">
        <v>#N/A</v>
      </c>
      <c r="DW338" s="301">
        <v>45926</v>
      </c>
      <c r="DX338" s="286" t="s">
        <v>2706</v>
      </c>
      <c r="DY338" s="302">
        <v>38</v>
      </c>
      <c r="DZ338" s="304">
        <v>38</v>
      </c>
      <c r="EA3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8" s="301">
        <v>45974</v>
      </c>
      <c r="EC338" s="302">
        <v>38</v>
      </c>
      <c r="ED338" s="302">
        <v>38</v>
      </c>
      <c r="EE338" s="300" t="s">
        <v>2707</v>
      </c>
      <c r="EF338" s="35">
        <v>1</v>
      </c>
      <c r="EG338" s="35">
        <f>Table1[[#This Row],[Line PO (kolom  bantu)2]]/Table1[[#This Row],[Line PR]]</f>
        <v>1</v>
      </c>
      <c r="EH338" s="286" t="str">
        <f>IF(Table1[[#This Row],[PO Material Aktual 
(%)]]&gt;=100%,"Selesai PO = 100%",IF(Table1[[#This Row],[PO Material Aktual 
(%)]]&gt;=50%,"Proses PO &gt; 100%",IF(Table1[[#This Row],[PO Material Aktual 
(%)]]&gt;0%,"Proses PO &gt; 50%",IF(Table1[[#This Row],[PO Material Aktual 
(%)]]=0,"Belum PO = 0%"))))</f>
        <v>Selesai PO = 100%</v>
      </c>
      <c r="EI338"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38" s="300">
        <v>45936</v>
      </c>
      <c r="EK338" s="300" t="e">
        <v>#N/A</v>
      </c>
      <c r="EL338" s="300">
        <v>46019</v>
      </c>
      <c r="EM338" s="300" t="e">
        <v>#N/A</v>
      </c>
      <c r="EN338" s="301">
        <v>45985</v>
      </c>
      <c r="EO338" s="302">
        <v>37</v>
      </c>
      <c r="EP338" s="595">
        <v>37</v>
      </c>
      <c r="EQ338" s="35">
        <v>0.97368421052631582</v>
      </c>
      <c r="ER338" s="35">
        <f>Table1[[#This Row],[Line MOS]]/Table1[[#This Row],[Line PR]]</f>
        <v>0.97368421052631582</v>
      </c>
      <c r="ES338" s="286" t="str">
        <f>IF(Table1[[#This Row],[Progres MOS]]&gt;=100%,"Selesai MOS = 100%",IF(Table1[[#This Row],[Progres MOS]]&gt;=50%,"Proses MOS &gt; 100%",IF(Table1[[#This Row],[Progres MOS]]&gt;0%,"Proses MOS &gt; 50%",IF(Table1[[#This Row],[Progres MOS]]=0,"Belum MOS = 0%"))))</f>
        <v>Proses MOS &gt; 100%</v>
      </c>
      <c r="ET3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OnSchedule</v>
      </c>
      <c r="EU338" s="42"/>
      <c r="EV338" s="300">
        <v>45894</v>
      </c>
      <c r="EW338" s="300" t="e">
        <v>#N/A</v>
      </c>
      <c r="EX338" s="300">
        <v>45991</v>
      </c>
      <c r="EY338" s="300" t="e">
        <v>#N/A</v>
      </c>
      <c r="EZ338" s="322" t="s">
        <v>298</v>
      </c>
      <c r="FA338" s="306" t="s">
        <v>259</v>
      </c>
      <c r="FB338" s="300" t="s">
        <v>260</v>
      </c>
      <c r="FC338" s="300">
        <v>45909</v>
      </c>
      <c r="FD338" s="300" t="s">
        <v>260</v>
      </c>
      <c r="FE338" s="300">
        <v>45939</v>
      </c>
      <c r="FF338" s="300">
        <v>45958</v>
      </c>
      <c r="FG338" s="300" t="s">
        <v>260</v>
      </c>
      <c r="FH338" s="300" t="s">
        <v>260</v>
      </c>
      <c r="FI338" s="300">
        <v>46008</v>
      </c>
      <c r="FJ338" s="300" t="s">
        <v>260</v>
      </c>
      <c r="FK338" s="300">
        <v>46114</v>
      </c>
      <c r="FL338" s="306" t="s">
        <v>298</v>
      </c>
      <c r="FM338" s="322">
        <v>45909</v>
      </c>
      <c r="FN338" s="308">
        <f>IF(Table1[[#This Row],[Tanggal Pengajuan Dokumen]]="","",Table1[[#This Row],[PLAN PERMIT
start]]-Table1[[#This Row],[Tanggal Pengajuan Dokumen]])</f>
        <v>-15</v>
      </c>
      <c r="FO338" s="407">
        <v>46086</v>
      </c>
      <c r="FP338" s="286" t="s">
        <v>2087</v>
      </c>
      <c r="FQ338" s="308"/>
      <c r="FR338" s="308"/>
      <c r="FS338" s="308" t="str">
        <f t="shared" si="17"/>
        <v>On Going</v>
      </c>
      <c r="FT3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On Going</v>
      </c>
      <c r="FU338" s="314">
        <f ca="1">IF(Table1[[#This Row],[Status Izin]]="Selesai",Table1[[#This Row],[PLAN PERMIT
finish]]-Table1[[#This Row],[Tanggal Terbit/ Target Izin Terbit]],ROUNDUP(Table1[[#This Row],[PLAN PERMIT
finish]]-NOW(),0))</f>
        <v>-213</v>
      </c>
      <c r="FV3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8" s="314"/>
      <c r="FX338" s="42"/>
      <c r="FY338" s="310"/>
      <c r="FZ338" s="311"/>
      <c r="GA3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8" s="300">
        <v>45965</v>
      </c>
      <c r="GC338" s="322">
        <v>45950</v>
      </c>
      <c r="GD3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8" s="300">
        <v>45972</v>
      </c>
      <c r="GF338" s="322">
        <v>45950</v>
      </c>
      <c r="GG3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8" s="300">
        <v>45978</v>
      </c>
      <c r="GI338" s="300">
        <v>45984</v>
      </c>
      <c r="GJ338" s="322">
        <v>45952</v>
      </c>
      <c r="GK3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8" s="300">
        <v>45992</v>
      </c>
      <c r="GM338" s="300" t="e">
        <v>#N/A</v>
      </c>
      <c r="GN338" s="300">
        <v>46061</v>
      </c>
      <c r="GO338" s="300" t="e">
        <v>#N/A</v>
      </c>
      <c r="GP338" s="300"/>
      <c r="GQ3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8" s="300" t="s">
        <v>261</v>
      </c>
      <c r="GS338" s="300" t="s">
        <v>261</v>
      </c>
      <c r="GT338" s="324">
        <v>46034</v>
      </c>
      <c r="GU338" s="314" t="str">
        <f>IF(Table1[[#This Row],[Hydro Tes Actual
(tanggal)]]&lt;&gt;"","Sudah","Belum")</f>
        <v>Sudah</v>
      </c>
      <c r="GV338" s="300" t="s">
        <v>261</v>
      </c>
      <c r="GW338" s="300" t="s">
        <v>261</v>
      </c>
      <c r="GX338" s="301">
        <v>46064</v>
      </c>
      <c r="GY338" s="314" t="str">
        <f>IF(Table1[[#This Row],[Interkoneksi Actual
(tanggal)]]&lt;&gt;"","Sudah","Belum")</f>
        <v>Sudah</v>
      </c>
      <c r="GZ338" s="300" t="s">
        <v>261</v>
      </c>
      <c r="HA338" s="300" t="s">
        <v>261</v>
      </c>
      <c r="HB338" s="301">
        <v>46075</v>
      </c>
      <c r="HC338" s="314" t="str">
        <f>IF(Table1[[#This Row],[Flushing Actual
(tanggal)]]&lt;&gt;"","Sudah","Belum")</f>
        <v>Sudah</v>
      </c>
      <c r="HD338" s="300">
        <v>46044</v>
      </c>
      <c r="HE338" s="300" t="e">
        <v>#N/A</v>
      </c>
      <c r="HF338" s="300">
        <v>46054</v>
      </c>
      <c r="HG338" s="322">
        <v>46084</v>
      </c>
      <c r="HH3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8" s="300" t="s">
        <v>261</v>
      </c>
      <c r="HJ338" s="300" t="s">
        <v>261</v>
      </c>
      <c r="HK338" s="301"/>
      <c r="HL338" s="286"/>
      <c r="HM338" s="300">
        <v>46066</v>
      </c>
      <c r="HN338" s="300">
        <v>46066</v>
      </c>
      <c r="HO338" s="300" t="e">
        <v>#N/A</v>
      </c>
      <c r="HP338" s="300"/>
      <c r="HQ338" s="301">
        <v>46093</v>
      </c>
      <c r="HR338"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8" s="300">
        <v>46073</v>
      </c>
      <c r="HT338" s="300"/>
      <c r="HU338" s="300">
        <v>46073</v>
      </c>
      <c r="HV338" s="300"/>
      <c r="HW338" s="301">
        <v>46099</v>
      </c>
      <c r="HX338"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8" s="42"/>
      <c r="HZ338" s="322"/>
      <c r="IA338" s="322"/>
      <c r="IC338" s="585">
        <f>IFERROR(ROUND((Table1[[#This Row],[PLAN TC
finish]]-Table1[[#This Row],[PLAN MC-0
start]])/30,2),"")</f>
        <v>2.5299999999999998</v>
      </c>
      <c r="ID338">
        <f>DATEDIF(Table1[[#This Row],[PLAN MC-0
start]],Table1[[#This Row],[PLAN TC
finish]],"m")</f>
        <v>2</v>
      </c>
    </row>
    <row r="339" spans="2:262" s="4" customFormat="1" ht="15" customHeight="1" x14ac:dyDescent="0.25">
      <c r="B339" s="281">
        <f>SUBTOTAL(3,$D$5:D339)</f>
        <v>335</v>
      </c>
      <c r="C339" s="286">
        <v>335</v>
      </c>
      <c r="D339" s="285" t="s">
        <v>673</v>
      </c>
      <c r="E339" s="308" t="s">
        <v>2708</v>
      </c>
      <c r="F339" s="308" t="s">
        <v>2709</v>
      </c>
      <c r="G339" s="319">
        <v>46117</v>
      </c>
      <c r="H339" s="308" t="s">
        <v>681</v>
      </c>
      <c r="I339" s="308" t="s">
        <v>278</v>
      </c>
      <c r="J339" s="450" t="s">
        <v>1830</v>
      </c>
      <c r="K339" s="308" t="s">
        <v>676</v>
      </c>
      <c r="L339" s="286" t="s">
        <v>250</v>
      </c>
      <c r="M339" s="325" t="s">
        <v>269</v>
      </c>
      <c r="N339" s="94">
        <v>585</v>
      </c>
      <c r="O339" s="31" t="s">
        <v>252</v>
      </c>
      <c r="P339"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39" s="35">
        <v>0.99999999999999967</v>
      </c>
      <c r="S339" s="34">
        <v>1</v>
      </c>
      <c r="T339" s="34">
        <f>Table1[[#This Row],[Progres Total Aktual
(%)]]</f>
        <v>1</v>
      </c>
      <c r="U339" s="85">
        <f>Table1[[#This Row],[Progres Aktual
(%)]]-Table1[[#This Row],[Target Progres
(%)]]</f>
        <v>0</v>
      </c>
      <c r="V339" s="75">
        <f>Table1[[#This Row],["Volume
BA MC-0"]]</f>
        <v>546</v>
      </c>
      <c r="W339" s="41">
        <f>Table1[[#This Row],[Total Panjang Pipa Aktual
(Sum-&gt;)3]]</f>
        <v>527</v>
      </c>
      <c r="X339" s="42"/>
      <c r="Y339" s="62" t="s">
        <v>2710</v>
      </c>
      <c r="Z339" s="62">
        <v>1011832705</v>
      </c>
      <c r="AA339" s="62">
        <f>ROUND((Table1[[#This Row],[Nilai RAB Jaringan
(Exclude Ppn)]]-Table1[[#This Row],[RAB Perizinan]])*1.11+Table1[[#This Row],[RAB Perizinan]],0)</f>
        <v>1011832705</v>
      </c>
      <c r="AB339" s="456">
        <f>SUM(Table1[[#This Row],[RAB Kegiatan Umum]:[RAB Perizinan]])</f>
        <v>912140725</v>
      </c>
      <c r="AC339" s="406">
        <v>64927612</v>
      </c>
      <c r="AD339" s="406">
        <v>649276116</v>
      </c>
      <c r="AE339" s="406">
        <v>192086997</v>
      </c>
      <c r="AF339" s="474">
        <v>5850000</v>
      </c>
      <c r="AG339" s="453"/>
      <c r="AH339" s="33">
        <f>SUM(Table1[[#This Row],[Bobot Keg Umum]:[Bobot Perizinan]])</f>
        <v>1</v>
      </c>
      <c r="AI339" s="33">
        <f>Table1[[#This Row],[RAB Kegiatan Umum]]/Table1[[#This Row],[Nilai RAB Jaringan
(Exclude Ppn)]]</f>
        <v>7.1181573435392873E-2</v>
      </c>
      <c r="AJ339" s="33">
        <f>Table1[[#This Row],[RAB Pemasangan]]/Table1[[#This Row],[Nilai RAB Jaringan
(Exclude Ppn)]]</f>
        <v>0.71181572996864051</v>
      </c>
      <c r="AK339" s="33">
        <f>Table1[[#This Row],[RAB Pengadaan]]/Table1[[#This Row],[Nilai RAB Jaringan
(Exclude Ppn)]]</f>
        <v>0.2105892125362564</v>
      </c>
      <c r="AL339" s="33">
        <f>Table1[[#This Row],[RAB Perizinan]]/Table1[[#This Row],[Nilai RAB Jaringan
(Exclude Ppn)]]</f>
        <v>6.4134840597101948E-3</v>
      </c>
      <c r="AM339" s="42"/>
      <c r="AN339" s="256">
        <v>546</v>
      </c>
      <c r="AO339" s="256">
        <f>SUM(Table1[[#This Row],[Pipa 63 mm]:[Pipa 1,800 mm]])</f>
        <v>546</v>
      </c>
      <c r="AP339" s="256">
        <v>460</v>
      </c>
      <c r="AQ339" s="256">
        <v>86</v>
      </c>
      <c r="AR339" s="256"/>
      <c r="AS339" s="256"/>
      <c r="AT339" s="256"/>
      <c r="AU339" s="256"/>
      <c r="AV339" s="256"/>
      <c r="AW339" s="256"/>
      <c r="AX339" s="256"/>
      <c r="AY339" s="256"/>
      <c r="AZ339" s="256"/>
      <c r="BA339" s="256"/>
      <c r="BB339" s="256"/>
      <c r="BC339" s="256"/>
      <c r="BD339" s="256"/>
      <c r="BE339" s="256"/>
      <c r="BF339" s="256"/>
      <c r="BG339" s="256"/>
      <c r="BH339" s="256"/>
      <c r="BI339" s="256"/>
      <c r="BJ339" s="233">
        <f>SUM(Table1[[#This Row],[Pipa 63 mm2]:[Pipa 1,800 mm21]])</f>
        <v>527</v>
      </c>
      <c r="BK339" s="32">
        <v>441</v>
      </c>
      <c r="BL339" s="32">
        <v>86</v>
      </c>
      <c r="BM339" s="32"/>
      <c r="BN339" s="32"/>
      <c r="BO339" s="32"/>
      <c r="BP339" s="32"/>
      <c r="BQ339" s="32"/>
      <c r="BR339" s="32"/>
      <c r="BS339" s="32"/>
      <c r="BT339" s="32"/>
      <c r="BU339" s="32"/>
      <c r="BV339" s="32"/>
      <c r="BW339" s="32"/>
      <c r="BX339" s="32"/>
      <c r="BY339" s="32"/>
      <c r="BZ339" s="32"/>
      <c r="CA339" s="32"/>
      <c r="CB339" s="32"/>
      <c r="CC339" s="32"/>
      <c r="CD339" s="32"/>
      <c r="CE339" s="32"/>
      <c r="CF339" s="32"/>
      <c r="CG339" s="32"/>
      <c r="CH339" s="32"/>
      <c r="CI339" s="32"/>
      <c r="CJ339" s="60">
        <f>IF((Table1[[#This Row],["Volume
BA MC-0"]]-Table1[[#This Row],[Total Panjang Pipa Aktual
(Sum-&gt;)3]]-Table1[[#This Row],[Total Volume
tidak dapat dipasang]])&gt;=0,Table1[[#This Row],["Volume
BA MC-0"]]-Table1[[#This Row],[Total Panjang Pipa Aktual
(Sum-&gt;)3]]-Table1[[#This Row],[Total Volume
tidak dapat dipasang]],0)</f>
        <v>19</v>
      </c>
      <c r="CK339" s="42"/>
      <c r="CL339" s="454" t="s">
        <v>1821</v>
      </c>
      <c r="CM339" s="34" t="s">
        <v>1821</v>
      </c>
      <c r="CN339" s="454" t="s">
        <v>1821</v>
      </c>
      <c r="CO339" s="454" t="s">
        <v>1821</v>
      </c>
      <c r="CP3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39" s="61">
        <f>IFERROR(Table1[[#This Row],[Progres Keg. Umum
(%)]]*Table1[[#This Row],[Nilai RAB Jaringan
(file pa aji)]],0)</f>
        <v>0</v>
      </c>
      <c r="CR339" s="61">
        <f>IFERROR(Table1[[#This Row],[Progres MOS
(%)]]*Table1[[#This Row],[Nilai RAB Jaringan
(file pa aji)]],0)</f>
        <v>0</v>
      </c>
      <c r="CS339" s="61">
        <f>IFERROR(Table1[[#This Row],[Progres Pemasangan
(%)]]*Table1[[#This Row],[Nilai RAB Jaringan
(file pa aji)]],0)</f>
        <v>0</v>
      </c>
      <c r="CT339" s="61">
        <f>IFERROR(Table1[[#This Row],[Progres Perizinan
(%)]]*Table1[[#This Row],[Nilai RAB Jaringan
(file pa aji)]],0)</f>
        <v>0</v>
      </c>
      <c r="CU339" s="789">
        <v>644083278</v>
      </c>
      <c r="CV339" s="299">
        <v>644083278</v>
      </c>
      <c r="CW339" s="552">
        <v>644083278</v>
      </c>
      <c r="CX339" s="789">
        <f>_xlfn.XLOOKUP(Table1[[#This Row],[Kode Program]],'[1]Breakdown VOWD Greenfield'!$E:$E,'[1]Breakdown VOWD Greenfield'!$AT:$AT)</f>
        <v>644083278</v>
      </c>
      <c r="CY339" s="42"/>
      <c r="CZ339" s="300">
        <v>45901</v>
      </c>
      <c r="DA339" s="300">
        <v>45928</v>
      </c>
      <c r="DB339" s="301">
        <v>45901</v>
      </c>
      <c r="DC339" s="286" t="s">
        <v>2711</v>
      </c>
      <c r="DD339" s="62">
        <v>1011832704.75</v>
      </c>
      <c r="DE3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39" s="301">
        <v>45915</v>
      </c>
      <c r="DG339" s="286" t="s">
        <v>2712</v>
      </c>
      <c r="DH339" s="62">
        <v>1011832704.75</v>
      </c>
      <c r="DI33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39" s="300">
        <v>45929</v>
      </c>
      <c r="DK339" s="300">
        <v>45991</v>
      </c>
      <c r="DL339" s="301">
        <v>45930</v>
      </c>
      <c r="DM339" s="286" t="s">
        <v>2713</v>
      </c>
      <c r="DN3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39" s="301">
        <v>45944</v>
      </c>
      <c r="DP339" s="286" t="s">
        <v>2714</v>
      </c>
      <c r="DQ339" s="308" t="s">
        <v>365</v>
      </c>
      <c r="DR3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39" s="300">
        <v>45929</v>
      </c>
      <c r="DT339" s="300" t="e">
        <v>#N/A</v>
      </c>
      <c r="DU339" s="300">
        <v>45970</v>
      </c>
      <c r="DV339" s="300" t="e">
        <v>#N/A</v>
      </c>
      <c r="DW339" s="301">
        <v>45930</v>
      </c>
      <c r="DX339" s="454" t="s">
        <v>2715</v>
      </c>
      <c r="DY339" s="302">
        <v>33</v>
      </c>
      <c r="DZ339" s="304">
        <v>33</v>
      </c>
      <c r="EA3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39" s="301">
        <v>45967</v>
      </c>
      <c r="EC339" s="302">
        <v>32</v>
      </c>
      <c r="ED339" s="302">
        <v>32</v>
      </c>
      <c r="EE339" s="395" t="s">
        <v>2716</v>
      </c>
      <c r="EF339" s="35">
        <v>1</v>
      </c>
      <c r="EG339" s="307">
        <v>1</v>
      </c>
      <c r="EH339" s="286" t="str">
        <f>IF(Table1[[#This Row],[PO Material Aktual 
(%)]]&gt;=100%,"Selesai PO = 100%",IF(Table1[[#This Row],[PO Material Aktual 
(%)]]&gt;=50%,"Proses PO &gt; 100%",IF(Table1[[#This Row],[PO Material Aktual 
(%)]]&gt;0%,"Proses PO &gt; 50%",IF(Table1[[#This Row],[PO Material Aktual 
(%)]]=0,"Belum PO = 0%"))))</f>
        <v>Selesai PO = 100%</v>
      </c>
      <c r="EI339"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OnSchedule</v>
      </c>
      <c r="EJ339" s="300">
        <v>45971</v>
      </c>
      <c r="EK339" s="300" t="e">
        <v>#N/A</v>
      </c>
      <c r="EL339" s="300">
        <v>46026</v>
      </c>
      <c r="EM339" s="300" t="e">
        <v>#N/A</v>
      </c>
      <c r="EN339" s="301">
        <v>46091</v>
      </c>
      <c r="EO339" s="302">
        <v>30</v>
      </c>
      <c r="EP339" s="595">
        <v>30</v>
      </c>
      <c r="EQ339" s="35">
        <v>0.90909090909090906</v>
      </c>
      <c r="ER339" s="35">
        <f>Table1[[#This Row],[Line MOS]]/Table1[[#This Row],[Line PR]]</f>
        <v>0.90909090909090906</v>
      </c>
      <c r="ES339" s="286" t="str">
        <f>IF(Table1[[#This Row],[Progres MOS]]&gt;=100%,"Selesai MOS = 100%",IF(Table1[[#This Row],[Progres MOS]]&gt;=50%,"Proses MOS &gt; 100%",IF(Table1[[#This Row],[Progres MOS]]&gt;0%,"Proses MOS &gt; 50%",IF(Table1[[#This Row],[Progres MOS]]=0,"Belum MOS = 0%"))))</f>
        <v>Proses MOS &gt; 100%</v>
      </c>
      <c r="ET3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39" s="42"/>
      <c r="EV339" s="300">
        <v>45929</v>
      </c>
      <c r="EW339" s="300" t="e">
        <v>#N/A</v>
      </c>
      <c r="EX339" s="300">
        <v>46019</v>
      </c>
      <c r="EY339" s="300" t="e">
        <v>#N/A</v>
      </c>
      <c r="EZ339" s="322" t="s">
        <v>298</v>
      </c>
      <c r="FA339" s="306" t="s">
        <v>259</v>
      </c>
      <c r="FB339" s="300" t="s">
        <v>260</v>
      </c>
      <c r="FC339" s="300">
        <v>45945</v>
      </c>
      <c r="FD339" s="300" t="s">
        <v>260</v>
      </c>
      <c r="FE339" s="300">
        <v>45966</v>
      </c>
      <c r="FF339" s="300">
        <v>45993</v>
      </c>
      <c r="FG339" s="300" t="s">
        <v>260</v>
      </c>
      <c r="FH339" s="300" t="s">
        <v>260</v>
      </c>
      <c r="FI339" s="300">
        <v>46013</v>
      </c>
      <c r="FJ339" s="300" t="s">
        <v>260</v>
      </c>
      <c r="FK339" s="300">
        <v>46142</v>
      </c>
      <c r="FL339" s="306" t="s">
        <v>298</v>
      </c>
      <c r="FM339" s="322">
        <v>45945</v>
      </c>
      <c r="FN339" s="308">
        <f>IF(Table1[[#This Row],[Tanggal Pengajuan Dokumen]]="","",Table1[[#This Row],[PLAN PERMIT
start]]-Table1[[#This Row],[Tanggal Pengajuan Dokumen]])</f>
        <v>-16</v>
      </c>
      <c r="FO339" s="407">
        <v>46097</v>
      </c>
      <c r="FP339" s="286"/>
      <c r="FQ339" s="308"/>
      <c r="FR339" s="308"/>
      <c r="FS339" s="308" t="str">
        <f t="shared" si="17"/>
        <v>Sudah Terbit</v>
      </c>
      <c r="FT33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39" s="314">
        <f ca="1">IF(Table1[[#This Row],[Status Izin]]="Selesai",Table1[[#This Row],[PLAN PERMIT
finish]]-Table1[[#This Row],[Tanggal Terbit/ Target Izin Terbit]],ROUNDUP(Table1[[#This Row],[PLAN PERMIT
finish]]-NOW(),0))</f>
        <v>-78</v>
      </c>
      <c r="FV33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39" s="314"/>
      <c r="FX339" s="42"/>
      <c r="FY339" s="310"/>
      <c r="FZ339" s="311"/>
      <c r="GA3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39" s="300">
        <v>45993</v>
      </c>
      <c r="GC339" s="322">
        <v>45961</v>
      </c>
      <c r="GD33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39" s="300">
        <v>46000</v>
      </c>
      <c r="GF339" s="322">
        <v>45961</v>
      </c>
      <c r="GG33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39" s="300">
        <v>46006</v>
      </c>
      <c r="GI339" s="300">
        <v>46012</v>
      </c>
      <c r="GJ339" s="322">
        <v>45964</v>
      </c>
      <c r="GK33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39" s="300">
        <v>46020</v>
      </c>
      <c r="GM339" s="300" t="e">
        <v>#N/A</v>
      </c>
      <c r="GN339" s="300">
        <v>46061</v>
      </c>
      <c r="GO339" s="300" t="e">
        <v>#N/A</v>
      </c>
      <c r="GP339" s="300"/>
      <c r="GQ33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39" s="300" t="s">
        <v>261</v>
      </c>
      <c r="GS339" s="300" t="s">
        <v>261</v>
      </c>
      <c r="GT339" s="324">
        <v>46059</v>
      </c>
      <c r="GU339" s="314" t="str">
        <f>IF(Table1[[#This Row],[Hydro Tes Actual
(tanggal)]]&lt;&gt;"","Sudah","Belum")</f>
        <v>Sudah</v>
      </c>
      <c r="GV339" s="300" t="s">
        <v>261</v>
      </c>
      <c r="GW339" s="300" t="s">
        <v>261</v>
      </c>
      <c r="GX339" s="301">
        <v>46050</v>
      </c>
      <c r="GY339" s="314" t="str">
        <f>IF(Table1[[#This Row],[Interkoneksi Actual
(tanggal)]]&lt;&gt;"","Sudah","Belum")</f>
        <v>Sudah</v>
      </c>
      <c r="GZ339" s="300" t="s">
        <v>261</v>
      </c>
      <c r="HA339" s="300" t="s">
        <v>261</v>
      </c>
      <c r="HB339" s="301">
        <v>46061</v>
      </c>
      <c r="HC339" s="314" t="str">
        <f>IF(Table1[[#This Row],[Flushing Actual
(tanggal)]]&lt;&gt;"","Sudah","Belum")</f>
        <v>Sudah</v>
      </c>
      <c r="HD339" s="300">
        <v>46041</v>
      </c>
      <c r="HE339" s="300" t="e">
        <v>#N/A</v>
      </c>
      <c r="HF339" s="300">
        <v>46054</v>
      </c>
      <c r="HG339" s="322">
        <v>46080</v>
      </c>
      <c r="HH33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39" s="300" t="s">
        <v>261</v>
      </c>
      <c r="HJ339" s="300" t="s">
        <v>261</v>
      </c>
      <c r="HK339" s="301"/>
      <c r="HL339" s="286"/>
      <c r="HM339" s="300">
        <v>46066</v>
      </c>
      <c r="HN339" s="300">
        <v>46066</v>
      </c>
      <c r="HO339" s="300" t="e">
        <v>#N/A</v>
      </c>
      <c r="HP339" s="300"/>
      <c r="HQ339" s="301">
        <v>46093</v>
      </c>
      <c r="HR339"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39" s="300">
        <v>46073</v>
      </c>
      <c r="HT339" s="300"/>
      <c r="HU339" s="300">
        <v>46073</v>
      </c>
      <c r="HV339" s="300"/>
      <c r="HW339" s="301">
        <v>46099</v>
      </c>
      <c r="HX339"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39" s="42"/>
      <c r="HZ339" s="322"/>
      <c r="IA339" s="322"/>
      <c r="IC339" s="585">
        <f>IFERROR(ROUND((Table1[[#This Row],[PLAN TC
finish]]-Table1[[#This Row],[PLAN MC-0
start]])/30,2),"")</f>
        <v>1.6</v>
      </c>
      <c r="ID339">
        <f>DATEDIF(Table1[[#This Row],[PLAN MC-0
start]],Table1[[#This Row],[PLAN TC
finish]],"m")</f>
        <v>1</v>
      </c>
    </row>
    <row r="340" spans="2:262" s="4" customFormat="1" ht="15" customHeight="1" x14ac:dyDescent="0.25">
      <c r="B340" s="281">
        <f>SUBTOTAL(3,$D$5:D340)</f>
        <v>336</v>
      </c>
      <c r="C340" s="286">
        <v>336</v>
      </c>
      <c r="D340" s="285" t="s">
        <v>673</v>
      </c>
      <c r="E340" s="308" t="s">
        <v>2717</v>
      </c>
      <c r="F340" s="308" t="s">
        <v>2718</v>
      </c>
      <c r="G340" s="319">
        <v>46117</v>
      </c>
      <c r="H340" s="308" t="s">
        <v>681</v>
      </c>
      <c r="I340" s="308" t="s">
        <v>278</v>
      </c>
      <c r="J340" s="450" t="s">
        <v>1818</v>
      </c>
      <c r="K340" s="308" t="s">
        <v>676</v>
      </c>
      <c r="L340" s="286" t="s">
        <v>250</v>
      </c>
      <c r="M340" s="325" t="s">
        <v>269</v>
      </c>
      <c r="N340" s="94">
        <v>78</v>
      </c>
      <c r="O340" s="31" t="s">
        <v>252</v>
      </c>
      <c r="P340"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40" s="35">
        <v>1</v>
      </c>
      <c r="S340" s="34">
        <v>1</v>
      </c>
      <c r="T340" s="34">
        <f>Table1[[#This Row],[Progres Total Aktual
(%)]]</f>
        <v>0.27070733631921118</v>
      </c>
      <c r="U340" s="85">
        <f>Table1[[#This Row],[Progres Aktual
(%)]]-Table1[[#This Row],[Target Progres
(%)]]</f>
        <v>-0.72929266368078882</v>
      </c>
      <c r="V340" s="75">
        <f>Table1[[#This Row],["Volume
BA MC-0"]]</f>
        <v>100</v>
      </c>
      <c r="W340" s="41">
        <f>Table1[[#This Row],[Total Panjang Pipa Aktual
(Sum-&gt;)3]]</f>
        <v>1</v>
      </c>
      <c r="X340" s="42"/>
      <c r="Y340" s="62" t="s">
        <v>2719</v>
      </c>
      <c r="Z340" s="62">
        <v>207134590</v>
      </c>
      <c r="AA340" s="471">
        <f>ROUND((Table1[[#This Row],[Nilai RAB Jaringan
(Exclude Ppn)]]-Table1[[#This Row],[RAB Perizinan]])*1.11+Table1[[#This Row],[RAB Perizinan]],0)</f>
        <v>216965732</v>
      </c>
      <c r="AB340" s="456">
        <f>SUM(Table1[[#This Row],[RAB Kegiatan Umum]:[RAB Perizinan]])</f>
        <v>195541921</v>
      </c>
      <c r="AC340" s="406">
        <v>11942636</v>
      </c>
      <c r="AD340" s="406">
        <v>119426360</v>
      </c>
      <c r="AE340" s="406">
        <v>63392925</v>
      </c>
      <c r="AF340" s="406">
        <v>780000</v>
      </c>
      <c r="AG340" s="453"/>
      <c r="AH340" s="33">
        <f>SUM(Table1[[#This Row],[Bobot Keg Umum]:[Bobot Perizinan]])</f>
        <v>1</v>
      </c>
      <c r="AI340" s="33">
        <f>Table1[[#This Row],[RAB Kegiatan Umum]]/Table1[[#This Row],[Nilai RAB Jaringan
(Exclude Ppn)]]</f>
        <v>6.1074555977180978E-2</v>
      </c>
      <c r="AJ340" s="33">
        <f>Table1[[#This Row],[RAB Pemasangan]]/Table1[[#This Row],[Nilai RAB Jaringan
(Exclude Ppn)]]</f>
        <v>0.61074555977180978</v>
      </c>
      <c r="AK340" s="33">
        <f>Table1[[#This Row],[RAB Pengadaan]]/Table1[[#This Row],[Nilai RAB Jaringan
(Exclude Ppn)]]</f>
        <v>0.32419096977164297</v>
      </c>
      <c r="AL340" s="33">
        <f>Table1[[#This Row],[RAB Perizinan]]/Table1[[#This Row],[Nilai RAB Jaringan
(Exclude Ppn)]]</f>
        <v>3.9889144793662937E-3</v>
      </c>
      <c r="AM340" s="42"/>
      <c r="AN340" s="256">
        <v>100</v>
      </c>
      <c r="AO340" s="256">
        <f>SUM(Table1[[#This Row],[Pipa 63 mm]:[Pipa 1,800 mm]])</f>
        <v>100</v>
      </c>
      <c r="AP340" s="256"/>
      <c r="AQ340" s="256"/>
      <c r="AR340" s="256">
        <v>100</v>
      </c>
      <c r="AS340" s="256"/>
      <c r="AT340" s="256"/>
      <c r="AU340" s="256"/>
      <c r="AV340" s="256"/>
      <c r="AW340" s="256"/>
      <c r="AX340" s="256"/>
      <c r="AY340" s="256"/>
      <c r="AZ340" s="256"/>
      <c r="BA340" s="256"/>
      <c r="BB340" s="256"/>
      <c r="BC340" s="256"/>
      <c r="BD340" s="256"/>
      <c r="BE340" s="256"/>
      <c r="BF340" s="256"/>
      <c r="BG340" s="256"/>
      <c r="BH340" s="256"/>
      <c r="BI340" s="256"/>
      <c r="BJ340" s="233">
        <f>SUM(Table1[[#This Row],[Pipa 63 mm2]:[Pipa 1,800 mm21]])</f>
        <v>1</v>
      </c>
      <c r="BK340" s="32">
        <v>1</v>
      </c>
      <c r="BL340" s="32"/>
      <c r="BM340" s="32"/>
      <c r="BN340" s="32"/>
      <c r="BO340" s="32"/>
      <c r="BP340" s="32"/>
      <c r="BQ340" s="32"/>
      <c r="BR340" s="32"/>
      <c r="BS340" s="32"/>
      <c r="BT340" s="32"/>
      <c r="BU340" s="32"/>
      <c r="BV340" s="32"/>
      <c r="BW340" s="32"/>
      <c r="BX340" s="32"/>
      <c r="BY340" s="32"/>
      <c r="BZ340" s="32"/>
      <c r="CA340" s="32"/>
      <c r="CB340" s="32"/>
      <c r="CC340" s="32"/>
      <c r="CD340" s="32"/>
      <c r="CE340" s="32"/>
      <c r="CF340" s="32"/>
      <c r="CG340" s="32"/>
      <c r="CH340" s="32"/>
      <c r="CI340" s="32"/>
      <c r="CJ340" s="60">
        <f>IF((Table1[[#This Row],["Volume
BA MC-0"]]-Table1[[#This Row],[Total Panjang Pipa Aktual
(Sum-&gt;)3]]-Table1[[#This Row],[Total Volume
tidak dapat dipasang]])&gt;=0,Table1[[#This Row],["Volume
BA MC-0"]]-Table1[[#This Row],[Total Panjang Pipa Aktual
(Sum-&gt;)3]]-Table1[[#This Row],[Total Volume
tidak dapat dipasang]],0)</f>
        <v>99</v>
      </c>
      <c r="CK340" s="42"/>
      <c r="CL340" s="454" t="s">
        <v>1821</v>
      </c>
      <c r="CM340" s="34" t="s">
        <v>1821</v>
      </c>
      <c r="CN340" s="454" t="s">
        <v>1821</v>
      </c>
      <c r="CO340" s="454" t="s">
        <v>1821</v>
      </c>
      <c r="CP3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0.27070733631921118</v>
      </c>
      <c r="CQ340" s="61">
        <f>IFERROR(Table1[[#This Row],[Progres Keg. Umum
(%)]]*Table1[[#This Row],[Nilai RAB Jaringan
(file pa aji)]],0)</f>
        <v>0</v>
      </c>
      <c r="CR340" s="61">
        <f>IFERROR(Table1[[#This Row],[Progres MOS
(%)]]*Table1[[#This Row],[Nilai RAB Jaringan
(file pa aji)]],0)</f>
        <v>0</v>
      </c>
      <c r="CS340" s="61">
        <f>IFERROR(Table1[[#This Row],[Progres Pemasangan
(%)]]*Table1[[#This Row],[Nilai RAB Jaringan
(file pa aji)]],0)</f>
        <v>0</v>
      </c>
      <c r="CT340" s="61">
        <f>IFERROR(Table1[[#This Row],[Progres Perizinan
(%)]]*Table1[[#This Row],[Nilai RAB Jaringan
(file pa aji)]],0)</f>
        <v>0</v>
      </c>
      <c r="CU340" s="789">
        <v>58734215.38226784</v>
      </c>
      <c r="CV340" s="299">
        <v>58734215.38226784</v>
      </c>
      <c r="CW340" s="552">
        <v>0</v>
      </c>
      <c r="CX340" s="789">
        <f>_xlfn.XLOOKUP(Table1[[#This Row],[Kode Program]],'[1]Breakdown VOWD Greenfield'!$E:$E,'[1]Breakdown VOWD Greenfield'!$AT:$AT)</f>
        <v>0</v>
      </c>
      <c r="CY340" s="42"/>
      <c r="CZ340" s="300">
        <v>45901</v>
      </c>
      <c r="DA340" s="300">
        <v>45928</v>
      </c>
      <c r="DB340" s="301">
        <v>45901</v>
      </c>
      <c r="DC340" s="286" t="s">
        <v>2720</v>
      </c>
      <c r="DD340" s="62">
        <v>216965732.31</v>
      </c>
      <c r="DE3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0" s="301">
        <v>45915</v>
      </c>
      <c r="DG340" s="286" t="s">
        <v>2721</v>
      </c>
      <c r="DH340" s="62">
        <v>216965732.31</v>
      </c>
      <c r="DI34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0" s="300">
        <v>45929</v>
      </c>
      <c r="DK340" s="300">
        <v>45991</v>
      </c>
      <c r="DL340" s="301">
        <v>45936</v>
      </c>
      <c r="DM340" s="286" t="s">
        <v>2722</v>
      </c>
      <c r="DN3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0" s="301">
        <v>45968</v>
      </c>
      <c r="DP340" s="286" t="s">
        <v>2723</v>
      </c>
      <c r="DQ340" s="308" t="s">
        <v>783</v>
      </c>
      <c r="DR3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0" s="300">
        <v>45929</v>
      </c>
      <c r="DT340" s="300" t="e">
        <v>#N/A</v>
      </c>
      <c r="DU340" s="300">
        <v>45970</v>
      </c>
      <c r="DV340" s="300" t="e">
        <v>#N/A</v>
      </c>
      <c r="DW340" s="301">
        <v>45936</v>
      </c>
      <c r="DX340" s="454" t="s">
        <v>2724</v>
      </c>
      <c r="DY340" s="302">
        <v>32</v>
      </c>
      <c r="DZ340" s="304">
        <v>32</v>
      </c>
      <c r="EA3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0" s="301">
        <v>46006</v>
      </c>
      <c r="EC340" s="302">
        <v>29</v>
      </c>
      <c r="ED340" s="302">
        <v>29</v>
      </c>
      <c r="EE340" s="300"/>
      <c r="EF340" s="35">
        <v>0.90625</v>
      </c>
      <c r="EG340" s="35">
        <f>Table1[[#This Row],[Line PO (kolom  bantu)2]]/Table1[[#This Row],[Line PR]]</f>
        <v>0.90625</v>
      </c>
      <c r="EH340" s="286" t="str">
        <f>IF(Table1[[#This Row],[PO Material Aktual 
(%)]]&gt;=100%,"Selesai PO = 100%",IF(Table1[[#This Row],[PO Material Aktual 
(%)]]&gt;=50%,"Proses PO &gt; 100%",IF(Table1[[#This Row],[PO Material Aktual 
(%)]]&gt;0%,"Proses PO &gt; 50%",IF(Table1[[#This Row],[PO Material Aktual 
(%)]]=0,"Belum PO = 0%"))))</f>
        <v>Proses PO &gt; 100%</v>
      </c>
      <c r="EI340"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0" s="300">
        <v>45971</v>
      </c>
      <c r="EK340" s="300" t="e">
        <v>#N/A</v>
      </c>
      <c r="EL340" s="300">
        <v>46026</v>
      </c>
      <c r="EM340" s="300" t="e">
        <v>#N/A</v>
      </c>
      <c r="EN340" s="301">
        <v>46122</v>
      </c>
      <c r="EO340" s="302">
        <v>29</v>
      </c>
      <c r="EP340" s="286">
        <v>29</v>
      </c>
      <c r="EQ340" s="35">
        <v>0.90625</v>
      </c>
      <c r="ER340" s="35">
        <f>Table1[[#This Row],[Line MOS]]/Table1[[#This Row],[Line PR]]</f>
        <v>0.90625</v>
      </c>
      <c r="ES340" s="286" t="str">
        <f>IF(Table1[[#This Row],[Progres MOS]]&gt;=100%,"Selesai MOS = 100%",IF(Table1[[#This Row],[Progres MOS]]&gt;=50%,"Proses MOS &gt; 100%",IF(Table1[[#This Row],[Progres MOS]]&gt;0%,"Proses MOS &gt; 50%",IF(Table1[[#This Row],[Progres MOS]]=0,"Belum MOS = 0%"))))</f>
        <v>Proses MOS &gt; 100%</v>
      </c>
      <c r="ET3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0" s="42"/>
      <c r="EV340" s="300">
        <v>45929</v>
      </c>
      <c r="EW340" s="300" t="e">
        <v>#N/A</v>
      </c>
      <c r="EX340" s="300">
        <v>46019</v>
      </c>
      <c r="EY340" s="300" t="e">
        <v>#N/A</v>
      </c>
      <c r="EZ340" s="322" t="s">
        <v>298</v>
      </c>
      <c r="FA340" s="306" t="s">
        <v>259</v>
      </c>
      <c r="FB340" s="300" t="s">
        <v>260</v>
      </c>
      <c r="FC340" s="300">
        <v>45943</v>
      </c>
      <c r="FD340" s="300" t="s">
        <v>260</v>
      </c>
      <c r="FE340" s="300">
        <v>45966</v>
      </c>
      <c r="FF340" s="300">
        <v>45992</v>
      </c>
      <c r="FG340" s="300" t="s">
        <v>260</v>
      </c>
      <c r="FH340" s="300" t="s">
        <v>260</v>
      </c>
      <c r="FI340" s="300">
        <v>46013</v>
      </c>
      <c r="FJ340" s="300" t="s">
        <v>260</v>
      </c>
      <c r="FK340" s="300">
        <v>46118</v>
      </c>
      <c r="FL340" s="306" t="s">
        <v>298</v>
      </c>
      <c r="FM340" s="322">
        <v>45943</v>
      </c>
      <c r="FN340" s="308">
        <f>IF(Table1[[#This Row],[Tanggal Pengajuan Dokumen]]="","",Table1[[#This Row],[PLAN PERMIT
start]]-Table1[[#This Row],[Tanggal Pengajuan Dokumen]])</f>
        <v>-14</v>
      </c>
      <c r="FO340" s="407">
        <v>46097</v>
      </c>
      <c r="FP340" s="286"/>
      <c r="FQ340" s="308"/>
      <c r="FR340" s="308"/>
      <c r="FS340" s="308" t="str">
        <f t="shared" si="17"/>
        <v>Sudah Terbit</v>
      </c>
      <c r="FT34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0" s="314">
        <f ca="1">IF(Table1[[#This Row],[Status Izin]]="Selesai",Table1[[#This Row],[PLAN PERMIT
finish]]-Table1[[#This Row],[Tanggal Terbit/ Target Izin Terbit]],ROUNDUP(Table1[[#This Row],[PLAN PERMIT
finish]]-NOW(),0))</f>
        <v>-78</v>
      </c>
      <c r="FV34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0" s="314"/>
      <c r="FX340" s="42"/>
      <c r="FY340" s="310"/>
      <c r="FZ340" s="311"/>
      <c r="GA34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0" s="300">
        <v>45993</v>
      </c>
      <c r="GC340" s="322">
        <v>45964</v>
      </c>
      <c r="GD34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0" s="300">
        <v>46000</v>
      </c>
      <c r="GF340" s="322">
        <v>45964</v>
      </c>
      <c r="GG34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0" s="300">
        <v>46006</v>
      </c>
      <c r="GI340" s="300">
        <v>46012</v>
      </c>
      <c r="GJ340" s="322">
        <v>45968</v>
      </c>
      <c r="GK34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0" s="300">
        <v>46020</v>
      </c>
      <c r="GM340" s="300" t="e">
        <v>#N/A</v>
      </c>
      <c r="GN340" s="300">
        <v>46040</v>
      </c>
      <c r="GO340" s="300" t="e">
        <v>#N/A</v>
      </c>
      <c r="GP340" s="300"/>
      <c r="GQ34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0" s="300" t="s">
        <v>261</v>
      </c>
      <c r="GS340" s="300" t="s">
        <v>261</v>
      </c>
      <c r="GT340" s="324"/>
      <c r="GU340" s="314" t="str">
        <f>IF(Table1[[#This Row],[Hydro Tes Actual
(tanggal)]]&lt;&gt;"","Sudah","Belum")</f>
        <v>Belum</v>
      </c>
      <c r="GV340" s="300" t="s">
        <v>261</v>
      </c>
      <c r="GW340" s="300" t="s">
        <v>261</v>
      </c>
      <c r="GX340" s="301"/>
      <c r="GY340" s="314" t="str">
        <f>IF(Table1[[#This Row],[Interkoneksi Actual
(tanggal)]]&lt;&gt;"","Sudah","Belum")</f>
        <v>Belum</v>
      </c>
      <c r="GZ340" s="300" t="s">
        <v>261</v>
      </c>
      <c r="HA340" s="300" t="s">
        <v>261</v>
      </c>
      <c r="HB340" s="301"/>
      <c r="HC340" s="314" t="str">
        <f>IF(Table1[[#This Row],[Flushing Actual
(tanggal)]]&lt;&gt;"","Sudah","Belum")</f>
        <v>Belum</v>
      </c>
      <c r="HD340" s="300">
        <v>46020</v>
      </c>
      <c r="HE340" s="300" t="e">
        <v>#N/A</v>
      </c>
      <c r="HF340" s="300">
        <v>46033</v>
      </c>
      <c r="HG340" s="322"/>
      <c r="HH34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40" s="300" t="s">
        <v>261</v>
      </c>
      <c r="HJ340" s="300" t="s">
        <v>261</v>
      </c>
      <c r="HK340" s="301"/>
      <c r="HL340" s="286"/>
      <c r="HM340" s="300">
        <v>46038</v>
      </c>
      <c r="HN340" s="300">
        <v>46038</v>
      </c>
      <c r="HO340" s="300" t="e">
        <v>#N/A</v>
      </c>
      <c r="HP340" s="300"/>
      <c r="HQ340" s="301"/>
      <c r="HR340"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40" s="300">
        <v>46045</v>
      </c>
      <c r="HT340" s="300"/>
      <c r="HU340" s="300">
        <v>46045</v>
      </c>
      <c r="HV340" s="300"/>
      <c r="HW340" s="301"/>
      <c r="HX340"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40" s="42"/>
      <c r="HZ340" s="322"/>
      <c r="IA340" s="322" t="s">
        <v>2725</v>
      </c>
      <c r="IC340" s="585">
        <f>IFERROR(ROUND((Table1[[#This Row],[PLAN TC
finish]]-Table1[[#This Row],[PLAN MC-0
start]])/30,2),"")</f>
        <v>0.9</v>
      </c>
      <c r="ID340">
        <f>DATEDIF(Table1[[#This Row],[PLAN MC-0
start]],Table1[[#This Row],[PLAN TC
finish]],"m")</f>
        <v>0</v>
      </c>
    </row>
    <row r="341" spans="2:262" s="4" customFormat="1" ht="15" customHeight="1" x14ac:dyDescent="0.25">
      <c r="B341" s="281">
        <f>SUBTOTAL(3,$D$5:D341)</f>
        <v>337</v>
      </c>
      <c r="C341" s="286">
        <v>337</v>
      </c>
      <c r="D341" s="285" t="s">
        <v>673</v>
      </c>
      <c r="E341" s="308" t="s">
        <v>2726</v>
      </c>
      <c r="F341" s="308" t="s">
        <v>2727</v>
      </c>
      <c r="G341" s="319">
        <v>46117</v>
      </c>
      <c r="H341" s="308" t="s">
        <v>681</v>
      </c>
      <c r="I341" s="308" t="s">
        <v>278</v>
      </c>
      <c r="J341" s="450" t="s">
        <v>1830</v>
      </c>
      <c r="K341" s="308" t="s">
        <v>676</v>
      </c>
      <c r="L341" s="286" t="s">
        <v>250</v>
      </c>
      <c r="M341" s="325" t="s">
        <v>269</v>
      </c>
      <c r="N341" s="94">
        <v>833</v>
      </c>
      <c r="O341" s="31" t="s">
        <v>252</v>
      </c>
      <c r="P341"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1" s="35">
        <v>0.99999999999999978</v>
      </c>
      <c r="S341" s="34">
        <v>1</v>
      </c>
      <c r="T341" s="34">
        <f>Table1[[#This Row],[Progres Total Aktual
(%)]]</f>
        <v>1</v>
      </c>
      <c r="U341" s="85">
        <f>Table1[[#This Row],[Progres Aktual
(%)]]-Table1[[#This Row],[Target Progres
(%)]]</f>
        <v>0</v>
      </c>
      <c r="V341" s="75">
        <f>Table1[[#This Row],["Volume
BA MC-0"]]</f>
        <v>981</v>
      </c>
      <c r="W341" s="41">
        <f>Table1[[#This Row],[Total Panjang Pipa Aktual
(Sum-&gt;)3]]</f>
        <v>856</v>
      </c>
      <c r="X341" s="42"/>
      <c r="Y341" s="62" t="s">
        <v>2728</v>
      </c>
      <c r="Z341" s="62">
        <v>996536617</v>
      </c>
      <c r="AA341" s="471">
        <f>ROUND((Table1[[#This Row],[Nilai RAB Jaringan
(Exclude Ppn)]]-Table1[[#This Row],[RAB Perizinan]])*1.11+Table1[[#This Row],[RAB Perizinan]],0)</f>
        <v>996536616</v>
      </c>
      <c r="AB341" s="456">
        <f>SUM(Table1[[#This Row],[RAB Kegiatan Umum]:[RAB Perizinan]])</f>
        <v>898606231</v>
      </c>
      <c r="AC341" s="406">
        <v>59242714</v>
      </c>
      <c r="AD341" s="406">
        <v>592427137</v>
      </c>
      <c r="AE341" s="406">
        <v>238606380</v>
      </c>
      <c r="AF341" s="406">
        <v>8330000</v>
      </c>
      <c r="AG341" s="453"/>
      <c r="AH341" s="33">
        <f>SUM(Table1[[#This Row],[Bobot Keg Umum]:[Bobot Perizinan]])</f>
        <v>1</v>
      </c>
      <c r="AI341" s="33">
        <f>Table1[[#This Row],[RAB Kegiatan Umum]]/Table1[[#This Row],[Nilai RAB Jaringan
(Exclude Ppn)]]</f>
        <v>6.5927334973042276E-2</v>
      </c>
      <c r="AJ341" s="33">
        <f>Table1[[#This Row],[RAB Pemasangan]]/Table1[[#This Row],[Nilai RAB Jaringan
(Exclude Ppn)]]</f>
        <v>0.65927334639191926</v>
      </c>
      <c r="AK341" s="33">
        <f>Table1[[#This Row],[RAB Pengadaan]]/Table1[[#This Row],[Nilai RAB Jaringan
(Exclude Ppn)]]</f>
        <v>0.26552940739624137</v>
      </c>
      <c r="AL341" s="33">
        <f>Table1[[#This Row],[RAB Perizinan]]/Table1[[#This Row],[Nilai RAB Jaringan
(Exclude Ppn)]]</f>
        <v>9.2699112387970971E-3</v>
      </c>
      <c r="AM341" s="42"/>
      <c r="AN341" s="256">
        <f>110+793+78</f>
        <v>981</v>
      </c>
      <c r="AO341" s="256">
        <f>SUM(Table1[[#This Row],[Pipa 63 mm]:[Pipa 1,800 mm]])</f>
        <v>981</v>
      </c>
      <c r="AP341" s="256">
        <f>793+78</f>
        <v>871</v>
      </c>
      <c r="AQ341" s="256">
        <v>110</v>
      </c>
      <c r="AR341" s="256"/>
      <c r="AS341" s="256"/>
      <c r="AT341" s="256"/>
      <c r="AU341" s="256"/>
      <c r="AV341" s="256"/>
      <c r="AW341" s="256"/>
      <c r="AX341" s="256"/>
      <c r="AY341" s="256"/>
      <c r="AZ341" s="256"/>
      <c r="BA341" s="256"/>
      <c r="BB341" s="256"/>
      <c r="BC341" s="256"/>
      <c r="BD341" s="256"/>
      <c r="BE341" s="256"/>
      <c r="BF341" s="256"/>
      <c r="BG341" s="256"/>
      <c r="BH341" s="256"/>
      <c r="BI341" s="256"/>
      <c r="BJ341" s="233">
        <f>SUM(Table1[[#This Row],[Pipa 63 mm2]:[Pipa 1,800 mm21]])</f>
        <v>856</v>
      </c>
      <c r="BK341" s="32">
        <v>746</v>
      </c>
      <c r="BL341" s="32">
        <v>110</v>
      </c>
      <c r="BM341" s="32"/>
      <c r="BN341" s="32"/>
      <c r="BO341" s="32"/>
      <c r="BP341" s="32"/>
      <c r="BQ341" s="32"/>
      <c r="BR341" s="32"/>
      <c r="BS341" s="32"/>
      <c r="BT341" s="32"/>
      <c r="BU341" s="32"/>
      <c r="BV341" s="32"/>
      <c r="BW341" s="32"/>
      <c r="BX341" s="32"/>
      <c r="BY341" s="32"/>
      <c r="BZ341" s="32"/>
      <c r="CA341" s="32"/>
      <c r="CB341" s="32"/>
      <c r="CC341" s="32"/>
      <c r="CD341" s="32"/>
      <c r="CE341" s="32"/>
      <c r="CF341" s="32"/>
      <c r="CG341" s="32"/>
      <c r="CH341" s="32"/>
      <c r="CI341" s="32"/>
      <c r="CJ341" s="60">
        <f>IF((Table1[[#This Row],["Volume
BA MC-0"]]-Table1[[#This Row],[Total Panjang Pipa Aktual
(Sum-&gt;)3]]-Table1[[#This Row],[Total Volume
tidak dapat dipasang]])&gt;=0,Table1[[#This Row],["Volume
BA MC-0"]]-Table1[[#This Row],[Total Panjang Pipa Aktual
(Sum-&gt;)3]]-Table1[[#This Row],[Total Volume
tidak dapat dipasang]],0)</f>
        <v>125</v>
      </c>
      <c r="CK341" s="42"/>
      <c r="CL341" s="454" t="s">
        <v>1821</v>
      </c>
      <c r="CM341" s="34" t="s">
        <v>1821</v>
      </c>
      <c r="CN341" s="454" t="s">
        <v>1821</v>
      </c>
      <c r="CO341" s="454" t="s">
        <v>1821</v>
      </c>
      <c r="CP34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1" s="61">
        <f>IFERROR(Table1[[#This Row],[Progres Keg. Umum
(%)]]*Table1[[#This Row],[Nilai RAB Jaringan
(file pa aji)]],0)</f>
        <v>0</v>
      </c>
      <c r="CR341" s="61">
        <f>IFERROR(Table1[[#This Row],[Progres MOS
(%)]]*Table1[[#This Row],[Nilai RAB Jaringan
(file pa aji)]],0)</f>
        <v>0</v>
      </c>
      <c r="CS341" s="61">
        <f>IFERROR(Table1[[#This Row],[Progres Pemasangan
(%)]]*Table1[[#This Row],[Nilai RAB Jaringan
(file pa aji)]],0)</f>
        <v>0</v>
      </c>
      <c r="CT341" s="61">
        <f>IFERROR(Table1[[#This Row],[Progres Perizinan
(%)]]*Table1[[#This Row],[Nilai RAB Jaringan
(file pa aji)]],0)</f>
        <v>0</v>
      </c>
      <c r="CU341" s="789">
        <v>985527340</v>
      </c>
      <c r="CV341" s="299">
        <v>985527340</v>
      </c>
      <c r="CW341" s="552">
        <v>985527340</v>
      </c>
      <c r="CX341" s="789">
        <f>_xlfn.XLOOKUP(Table1[[#This Row],[Kode Program]],'[1]Breakdown VOWD Greenfield'!$E:$E,'[1]Breakdown VOWD Greenfield'!$AT:$AT)</f>
        <v>985527340</v>
      </c>
      <c r="CY341" s="42"/>
      <c r="CZ341" s="300">
        <v>45901</v>
      </c>
      <c r="DA341" s="300">
        <v>45928</v>
      </c>
      <c r="DB341" s="301">
        <v>45886</v>
      </c>
      <c r="DC341" s="286" t="s">
        <v>2729</v>
      </c>
      <c r="DD341" s="62">
        <v>996536616</v>
      </c>
      <c r="DE3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1" s="301">
        <v>45915</v>
      </c>
      <c r="DG341" s="286" t="s">
        <v>2730</v>
      </c>
      <c r="DH341" s="62">
        <v>996536616</v>
      </c>
      <c r="DI34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1" s="300">
        <v>45929</v>
      </c>
      <c r="DK341" s="300">
        <v>45991</v>
      </c>
      <c r="DL341" s="301">
        <v>45919</v>
      </c>
      <c r="DM341" s="286" t="s">
        <v>2731</v>
      </c>
      <c r="DN3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1" s="301">
        <v>45926</v>
      </c>
      <c r="DP341" s="286" t="s">
        <v>2732</v>
      </c>
      <c r="DQ341" s="308" t="s">
        <v>297</v>
      </c>
      <c r="DR3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1" s="300">
        <v>45929</v>
      </c>
      <c r="DT341" s="300" t="e">
        <v>#N/A</v>
      </c>
      <c r="DU341" s="300">
        <v>45970</v>
      </c>
      <c r="DV341" s="300" t="e">
        <v>#N/A</v>
      </c>
      <c r="DW341" s="301">
        <v>45919</v>
      </c>
      <c r="DX341" s="286" t="s">
        <v>2733</v>
      </c>
      <c r="DY341" s="302">
        <v>36</v>
      </c>
      <c r="DZ341" s="304">
        <v>36</v>
      </c>
      <c r="EA3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1" s="301">
        <v>46006</v>
      </c>
      <c r="EC341" s="302">
        <v>36</v>
      </c>
      <c r="ED341" s="302">
        <v>36</v>
      </c>
      <c r="EE341" s="300" t="s">
        <v>2734</v>
      </c>
      <c r="EF341" s="35">
        <v>1</v>
      </c>
      <c r="EG341" s="35">
        <f>Table1[[#This Row],[Line PO (kolom  bantu)2]]/Table1[[#This Row],[Line PR]]</f>
        <v>1</v>
      </c>
      <c r="EH341" s="286" t="str">
        <f>IF(Table1[[#This Row],[PO Material Aktual 
(%)]]&gt;=100%,"Selesai PO = 100%",IF(Table1[[#This Row],[PO Material Aktual 
(%)]]&gt;=50%,"Proses PO &gt; 100%",IF(Table1[[#This Row],[PO Material Aktual 
(%)]]&gt;0%,"Proses PO &gt; 50%",IF(Table1[[#This Row],[PO Material Aktual 
(%)]]=0,"Belum PO = 0%"))))</f>
        <v>Selesai PO = 100%</v>
      </c>
      <c r="EI341"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1" s="300">
        <v>45971</v>
      </c>
      <c r="EK341" s="300" t="e">
        <v>#N/A</v>
      </c>
      <c r="EL341" s="300">
        <v>46026</v>
      </c>
      <c r="EM341" s="300" t="e">
        <v>#N/A</v>
      </c>
      <c r="EN341" s="301">
        <v>46156</v>
      </c>
      <c r="EO341" s="302">
        <v>36</v>
      </c>
      <c r="EP341" s="286">
        <v>36</v>
      </c>
      <c r="EQ341" s="35">
        <v>1</v>
      </c>
      <c r="ER341" s="35">
        <f>Table1[[#This Row],[Line MOS]]/Table1[[#This Row],[Line PR]]</f>
        <v>1</v>
      </c>
      <c r="ES341" s="286" t="str">
        <f>IF(Table1[[#This Row],[Progres MOS]]&gt;=100%,"Selesai MOS = 100%",IF(Table1[[#This Row],[Progres MOS]]&gt;=50%,"Proses MOS &gt; 100%",IF(Table1[[#This Row],[Progres MOS]]&gt;0%,"Proses MOS &gt; 50%",IF(Table1[[#This Row],[Progres MOS]]=0,"Belum MOS = 0%"))))</f>
        <v>Selesai MOS = 100%</v>
      </c>
      <c r="ET3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1" s="42"/>
      <c r="EV341" s="300">
        <v>45929</v>
      </c>
      <c r="EW341" s="300" t="e">
        <v>#N/A</v>
      </c>
      <c r="EX341" s="300">
        <v>46019</v>
      </c>
      <c r="EY341" s="300" t="e">
        <v>#N/A</v>
      </c>
      <c r="EZ341" s="322" t="s">
        <v>298</v>
      </c>
      <c r="FA341" s="306" t="s">
        <v>259</v>
      </c>
      <c r="FB341" s="300" t="s">
        <v>260</v>
      </c>
      <c r="FC341" s="300">
        <v>45945</v>
      </c>
      <c r="FD341" s="300" t="s">
        <v>260</v>
      </c>
      <c r="FE341" s="300">
        <v>45966</v>
      </c>
      <c r="FF341" s="300">
        <v>45993</v>
      </c>
      <c r="FG341" s="300" t="s">
        <v>260</v>
      </c>
      <c r="FH341" s="300" t="s">
        <v>260</v>
      </c>
      <c r="FI341" s="300">
        <v>46013</v>
      </c>
      <c r="FJ341" s="300" t="s">
        <v>260</v>
      </c>
      <c r="FK341" s="300">
        <v>46142</v>
      </c>
      <c r="FL341" s="306" t="s">
        <v>298</v>
      </c>
      <c r="FM341" s="322">
        <v>45945</v>
      </c>
      <c r="FN341" s="308">
        <f>IF(Table1[[#This Row],[Tanggal Pengajuan Dokumen]]="","",Table1[[#This Row],[PLAN PERMIT
start]]-Table1[[#This Row],[Tanggal Pengajuan Dokumen]])</f>
        <v>-16</v>
      </c>
      <c r="FO341" s="407">
        <v>46097</v>
      </c>
      <c r="FP341" s="286"/>
      <c r="FQ341" s="308"/>
      <c r="FR341" s="308"/>
      <c r="FS341" s="308" t="str">
        <f t="shared" si="17"/>
        <v>Sudah Terbit</v>
      </c>
      <c r="FT34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1" s="314">
        <f ca="1">IF(Table1[[#This Row],[Status Izin]]="Selesai",Table1[[#This Row],[PLAN PERMIT
finish]]-Table1[[#This Row],[Tanggal Terbit/ Target Izin Terbit]],ROUNDUP(Table1[[#This Row],[PLAN PERMIT
finish]]-NOW(),0))</f>
        <v>-78</v>
      </c>
      <c r="FV34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1" s="314"/>
      <c r="FX341" s="42"/>
      <c r="FY341" s="310"/>
      <c r="FZ341" s="311"/>
      <c r="GA34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1" s="300">
        <v>45993</v>
      </c>
      <c r="GC341" s="322">
        <v>45950</v>
      </c>
      <c r="GD34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1" s="300">
        <v>46000</v>
      </c>
      <c r="GF341" s="322">
        <v>45950</v>
      </c>
      <c r="GG34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1" s="300">
        <v>46006</v>
      </c>
      <c r="GI341" s="300">
        <v>46012</v>
      </c>
      <c r="GJ341" s="322">
        <v>45952</v>
      </c>
      <c r="GK34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1" s="300">
        <v>46020</v>
      </c>
      <c r="GM341" s="300" t="e">
        <v>#N/A</v>
      </c>
      <c r="GN341" s="300">
        <v>46061</v>
      </c>
      <c r="GO341" s="300" t="e">
        <v>#N/A</v>
      </c>
      <c r="GP341" s="300"/>
      <c r="GQ34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1" s="300" t="s">
        <v>261</v>
      </c>
      <c r="GS341" s="300" t="s">
        <v>261</v>
      </c>
      <c r="GT341" s="324">
        <v>46083</v>
      </c>
      <c r="GU341" s="314" t="str">
        <f>IF(Table1[[#This Row],[Hydro Tes Actual
(tanggal)]]&lt;&gt;"","Sudah","Belum")</f>
        <v>Sudah</v>
      </c>
      <c r="GV341" s="300" t="s">
        <v>261</v>
      </c>
      <c r="GW341" s="300" t="s">
        <v>261</v>
      </c>
      <c r="GX341" s="301">
        <v>46086</v>
      </c>
      <c r="GY341" s="314" t="str">
        <f>IF(Table1[[#This Row],[Interkoneksi Actual
(tanggal)]]&lt;&gt;"","Sudah","Belum")</f>
        <v>Sudah</v>
      </c>
      <c r="GZ341" s="300" t="s">
        <v>261</v>
      </c>
      <c r="HA341" s="300" t="s">
        <v>261</v>
      </c>
      <c r="HB341" s="301">
        <v>46087</v>
      </c>
      <c r="HC341" s="314" t="str">
        <f>IF(Table1[[#This Row],[Flushing Actual
(tanggal)]]&lt;&gt;"","Sudah","Belum")</f>
        <v>Sudah</v>
      </c>
      <c r="HD341" s="300">
        <v>46041</v>
      </c>
      <c r="HE341" s="300" t="e">
        <v>#N/A</v>
      </c>
      <c r="HF341" s="300">
        <v>46054</v>
      </c>
      <c r="HG341" s="322">
        <v>46091</v>
      </c>
      <c r="HH34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Delay</v>
      </c>
      <c r="HI341" s="300" t="s">
        <v>261</v>
      </c>
      <c r="HJ341" s="300" t="s">
        <v>261</v>
      </c>
      <c r="HK341" s="301"/>
      <c r="HL341" s="286"/>
      <c r="HM341" s="300">
        <v>46066</v>
      </c>
      <c r="HN341" s="300">
        <v>46066</v>
      </c>
      <c r="HO341" s="300" t="e">
        <v>#N/A</v>
      </c>
      <c r="HP341" s="300"/>
      <c r="HQ341" s="301">
        <v>46093</v>
      </c>
      <c r="HR341"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1" s="300">
        <v>46073</v>
      </c>
      <c r="HT341" s="300"/>
      <c r="HU341" s="300">
        <v>46073</v>
      </c>
      <c r="HV341" s="300"/>
      <c r="HW341" s="301">
        <v>46099</v>
      </c>
      <c r="HX341"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1" s="42"/>
      <c r="HZ341" s="322"/>
      <c r="IA341" s="322"/>
      <c r="IC341" s="585">
        <f>IFERROR(ROUND((Table1[[#This Row],[PLAN TC
finish]]-Table1[[#This Row],[PLAN MC-0
start]])/30,2),"")</f>
        <v>1.6</v>
      </c>
      <c r="ID341">
        <f>DATEDIF(Table1[[#This Row],[PLAN MC-0
start]],Table1[[#This Row],[PLAN TC
finish]],"m")</f>
        <v>1</v>
      </c>
    </row>
    <row r="342" spans="2:262" s="4" customFormat="1" ht="15" customHeight="1" x14ac:dyDescent="0.25">
      <c r="B342" s="281">
        <f>SUBTOTAL(3,$D$5:D342)</f>
        <v>338</v>
      </c>
      <c r="C342" s="286">
        <v>338</v>
      </c>
      <c r="D342" s="285" t="s">
        <v>673</v>
      </c>
      <c r="E342" s="308" t="s">
        <v>2735</v>
      </c>
      <c r="F342" s="308" t="s">
        <v>2736</v>
      </c>
      <c r="G342" s="319">
        <v>46117</v>
      </c>
      <c r="H342" s="308" t="s">
        <v>681</v>
      </c>
      <c r="I342" s="308" t="s">
        <v>278</v>
      </c>
      <c r="J342" s="450" t="s">
        <v>1830</v>
      </c>
      <c r="K342" s="308" t="s">
        <v>676</v>
      </c>
      <c r="L342" s="286" t="s">
        <v>250</v>
      </c>
      <c r="M342" s="325" t="s">
        <v>269</v>
      </c>
      <c r="N342" s="94">
        <v>285</v>
      </c>
      <c r="O342" s="31" t="s">
        <v>252</v>
      </c>
      <c r="P342"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2" s="35">
        <v>0.99999999999999989</v>
      </c>
      <c r="S342" s="34">
        <v>1</v>
      </c>
      <c r="T342" s="34">
        <f>Table1[[#This Row],[Progres Total Aktual
(%)]]</f>
        <v>1</v>
      </c>
      <c r="U342" s="85">
        <f>Table1[[#This Row],[Progres Aktual
(%)]]-Table1[[#This Row],[Target Progres
(%)]]</f>
        <v>0</v>
      </c>
      <c r="V342" s="75">
        <f>Table1[[#This Row],["Volume
BA MC-0"]]</f>
        <v>310</v>
      </c>
      <c r="W342" s="41">
        <f>Table1[[#This Row],[Total Panjang Pipa Aktual
(Sum-&gt;)3]]</f>
        <v>310</v>
      </c>
      <c r="X342" s="42"/>
      <c r="Y342" s="62" t="s">
        <v>2737</v>
      </c>
      <c r="Z342" s="62">
        <v>433691056</v>
      </c>
      <c r="AA342" s="62">
        <f>ROUND((Table1[[#This Row],[Nilai RAB Jaringan
(Exclude Ppn)]]-Table1[[#This Row],[RAB Perizinan]])*1.11+Table1[[#This Row],[RAB Perizinan]],0)</f>
        <v>433691055</v>
      </c>
      <c r="AB342" s="456">
        <f>SUM(Table1[[#This Row],[RAB Kegiatan Umum]:[RAB Perizinan]])</f>
        <v>390995095</v>
      </c>
      <c r="AC342" s="406">
        <v>27752849</v>
      </c>
      <c r="AD342" s="406">
        <v>277528482</v>
      </c>
      <c r="AE342" s="406">
        <v>82863764</v>
      </c>
      <c r="AF342" s="406">
        <v>2850000</v>
      </c>
      <c r="AG342" s="453"/>
      <c r="AH342" s="33">
        <f>SUM(Table1[[#This Row],[Bobot Keg Umum]:[Bobot Perizinan]])</f>
        <v>1</v>
      </c>
      <c r="AI342" s="33">
        <f>Table1[[#This Row],[RAB Kegiatan Umum]]/Table1[[#This Row],[Nilai RAB Jaringan
(Exclude Ppn)]]</f>
        <v>7.0980043880090105E-2</v>
      </c>
      <c r="AJ342" s="33">
        <f>Table1[[#This Row],[RAB Pemasangan]]/Table1[[#This Row],[Nilai RAB Jaringan
(Exclude Ppn)]]</f>
        <v>0.70980041834028629</v>
      </c>
      <c r="AK342" s="33">
        <f>Table1[[#This Row],[RAB Pengadaan]]/Table1[[#This Row],[Nilai RAB Jaringan
(Exclude Ppn)]]</f>
        <v>0.21193044378216561</v>
      </c>
      <c r="AL342" s="33">
        <f>Table1[[#This Row],[RAB Perizinan]]/Table1[[#This Row],[Nilai RAB Jaringan
(Exclude Ppn)]]</f>
        <v>7.2890939974579478E-3</v>
      </c>
      <c r="AM342" s="42"/>
      <c r="AN342" s="256">
        <v>310</v>
      </c>
      <c r="AO342" s="256">
        <f>SUM(Table1[[#This Row],[Pipa 63 mm]:[Pipa 1,800 mm]])</f>
        <v>310</v>
      </c>
      <c r="AP342" s="256">
        <v>310</v>
      </c>
      <c r="AQ342" s="256"/>
      <c r="AR342" s="256"/>
      <c r="AS342" s="256"/>
      <c r="AT342" s="256"/>
      <c r="AU342" s="256"/>
      <c r="AV342" s="256"/>
      <c r="AW342" s="256"/>
      <c r="AX342" s="256"/>
      <c r="AY342" s="256"/>
      <c r="AZ342" s="256"/>
      <c r="BA342" s="256"/>
      <c r="BB342" s="256"/>
      <c r="BC342" s="256"/>
      <c r="BD342" s="256"/>
      <c r="BE342" s="256"/>
      <c r="BF342" s="256"/>
      <c r="BG342" s="256"/>
      <c r="BH342" s="256"/>
      <c r="BI342" s="256"/>
      <c r="BJ342" s="233">
        <f>SUM(Table1[[#This Row],[Pipa 63 mm2]:[Pipa 1,800 mm21]])</f>
        <v>310</v>
      </c>
      <c r="BK342" s="32">
        <v>310</v>
      </c>
      <c r="BL342" s="32"/>
      <c r="BM342" s="32"/>
      <c r="BN342" s="32"/>
      <c r="BO342" s="32"/>
      <c r="BP342" s="32"/>
      <c r="BQ342" s="32"/>
      <c r="BR342" s="32"/>
      <c r="BS342" s="32"/>
      <c r="BT342" s="32"/>
      <c r="BU342" s="32"/>
      <c r="BV342" s="32"/>
      <c r="BW342" s="32"/>
      <c r="BX342" s="32"/>
      <c r="BY342" s="32"/>
      <c r="BZ342" s="32"/>
      <c r="CA342" s="32"/>
      <c r="CB342" s="32"/>
      <c r="CC342" s="32"/>
      <c r="CD342" s="32"/>
      <c r="CE342" s="32"/>
      <c r="CF342" s="32"/>
      <c r="CG342" s="32"/>
      <c r="CH342" s="32"/>
      <c r="CI342" s="32"/>
      <c r="CJ342" s="60">
        <f>IF((Table1[[#This Row],["Volume
BA MC-0"]]-Table1[[#This Row],[Total Panjang Pipa Aktual
(Sum-&gt;)3]]-Table1[[#This Row],[Total Volume
tidak dapat dipasang]])&gt;=0,Table1[[#This Row],["Volume
BA MC-0"]]-Table1[[#This Row],[Total Panjang Pipa Aktual
(Sum-&gt;)3]]-Table1[[#This Row],[Total Volume
tidak dapat dipasang]],0)</f>
        <v>0</v>
      </c>
      <c r="CK342" s="42"/>
      <c r="CL342" s="454" t="s">
        <v>1821</v>
      </c>
      <c r="CM342" s="34" t="s">
        <v>1821</v>
      </c>
      <c r="CN342" s="454" t="s">
        <v>1821</v>
      </c>
      <c r="CO342" s="454" t="s">
        <v>1821</v>
      </c>
      <c r="CP34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2" s="61">
        <f>IFERROR(Table1[[#This Row],[Progres Keg. Umum
(%)]]*Table1[[#This Row],[Nilai RAB Jaringan
(file pa aji)]],0)</f>
        <v>0</v>
      </c>
      <c r="CR342" s="61">
        <f>IFERROR(Table1[[#This Row],[Progres MOS
(%)]]*Table1[[#This Row],[Nilai RAB Jaringan
(file pa aji)]],0)</f>
        <v>0</v>
      </c>
      <c r="CS342" s="61">
        <f>IFERROR(Table1[[#This Row],[Progres Pemasangan
(%)]]*Table1[[#This Row],[Nilai RAB Jaringan
(file pa aji)]],0)</f>
        <v>0</v>
      </c>
      <c r="CT342" s="61">
        <f>IFERROR(Table1[[#This Row],[Progres Perizinan
(%)]]*Table1[[#This Row],[Nilai RAB Jaringan
(file pa aji)]],0)</f>
        <v>0</v>
      </c>
      <c r="CU342" s="789">
        <v>471574655</v>
      </c>
      <c r="CV342" s="299">
        <v>471574655</v>
      </c>
      <c r="CW342" s="552">
        <v>471574655</v>
      </c>
      <c r="CX342" s="789">
        <f>_xlfn.XLOOKUP(Table1[[#This Row],[Kode Program]],'[1]Breakdown VOWD Greenfield'!$E:$E,'[1]Breakdown VOWD Greenfield'!$AT:$AT)</f>
        <v>471574655</v>
      </c>
      <c r="CY342" s="42"/>
      <c r="CZ342" s="300">
        <v>45901</v>
      </c>
      <c r="DA342" s="300">
        <v>45928</v>
      </c>
      <c r="DB342" s="301">
        <v>45886</v>
      </c>
      <c r="DC342" s="286" t="s">
        <v>2738</v>
      </c>
      <c r="DD342" s="62">
        <v>433691055</v>
      </c>
      <c r="DE3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2" s="301">
        <v>45915</v>
      </c>
      <c r="DG342" s="286" t="s">
        <v>2739</v>
      </c>
      <c r="DH342" s="62">
        <v>433691055</v>
      </c>
      <c r="DI3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2" s="300">
        <v>45929</v>
      </c>
      <c r="DK342" s="300">
        <v>45991</v>
      </c>
      <c r="DL342" s="301">
        <v>45918</v>
      </c>
      <c r="DM342" s="286" t="s">
        <v>2740</v>
      </c>
      <c r="DN34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2" s="301">
        <v>45926</v>
      </c>
      <c r="DP342" s="286" t="s">
        <v>2741</v>
      </c>
      <c r="DQ342" s="308" t="s">
        <v>365</v>
      </c>
      <c r="DR34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2" s="300">
        <v>45929</v>
      </c>
      <c r="DT342" s="300" t="e">
        <v>#N/A</v>
      </c>
      <c r="DU342" s="300">
        <v>45970</v>
      </c>
      <c r="DV342" s="300" t="e">
        <v>#N/A</v>
      </c>
      <c r="DW342" s="301">
        <v>45918</v>
      </c>
      <c r="DX342" s="286" t="s">
        <v>2742</v>
      </c>
      <c r="DY342" s="302">
        <v>21</v>
      </c>
      <c r="DZ342" s="304">
        <v>21</v>
      </c>
      <c r="EA34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2" s="301">
        <v>46008</v>
      </c>
      <c r="EC342" s="302">
        <v>20</v>
      </c>
      <c r="ED342" s="302">
        <v>20</v>
      </c>
      <c r="EE342" s="395" t="s">
        <v>2399</v>
      </c>
      <c r="EF342" s="35">
        <v>1</v>
      </c>
      <c r="EG342" s="307">
        <v>1</v>
      </c>
      <c r="EH342" s="286" t="str">
        <f>IF(Table1[[#This Row],[PO Material Aktual 
(%)]]&gt;=100%,"Selesai PO = 100%",IF(Table1[[#This Row],[PO Material Aktual 
(%)]]&gt;=50%,"Proses PO &gt; 100%",IF(Table1[[#This Row],[PO Material Aktual 
(%)]]&gt;0%,"Proses PO &gt; 50%",IF(Table1[[#This Row],[PO Material Aktual 
(%)]]=0,"Belum PO = 0%"))))</f>
        <v>Selesai PO = 100%</v>
      </c>
      <c r="EI342"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2" s="300">
        <v>45971</v>
      </c>
      <c r="EK342" s="300" t="e">
        <v>#N/A</v>
      </c>
      <c r="EL342" s="300">
        <v>46026</v>
      </c>
      <c r="EM342" s="300" t="e">
        <v>#N/A</v>
      </c>
      <c r="EN342" s="301">
        <v>46091</v>
      </c>
      <c r="EO342" s="302">
        <v>20</v>
      </c>
      <c r="EP342" s="286">
        <v>20</v>
      </c>
      <c r="EQ342" s="35">
        <v>0.95238095238095233</v>
      </c>
      <c r="ER342" s="35">
        <f>Table1[[#This Row],[Line MOS]]/Table1[[#This Row],[Line PR]]</f>
        <v>0.95238095238095233</v>
      </c>
      <c r="ES342" s="286" t="str">
        <f>IF(Table1[[#This Row],[Progres MOS]]&gt;=100%,"Selesai MOS = 100%",IF(Table1[[#This Row],[Progres MOS]]&gt;=50%,"Proses MOS &gt; 100%",IF(Table1[[#This Row],[Progres MOS]]&gt;0%,"Proses MOS &gt; 50%",IF(Table1[[#This Row],[Progres MOS]]=0,"Belum MOS = 0%"))))</f>
        <v>Proses MOS &gt; 100%</v>
      </c>
      <c r="ET3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2" s="42"/>
      <c r="EV342" s="300">
        <v>45929</v>
      </c>
      <c r="EW342" s="300" t="e">
        <v>#N/A</v>
      </c>
      <c r="EX342" s="300">
        <v>46019</v>
      </c>
      <c r="EY342" s="300" t="e">
        <v>#N/A</v>
      </c>
      <c r="EZ342" s="322" t="s">
        <v>298</v>
      </c>
      <c r="FA342" s="306" t="s">
        <v>259</v>
      </c>
      <c r="FB342" s="300" t="s">
        <v>260</v>
      </c>
      <c r="FC342" s="300">
        <v>45945</v>
      </c>
      <c r="FD342" s="300" t="s">
        <v>260</v>
      </c>
      <c r="FE342" s="300">
        <v>45966</v>
      </c>
      <c r="FF342" s="300">
        <v>45993</v>
      </c>
      <c r="FG342" s="300" t="s">
        <v>260</v>
      </c>
      <c r="FH342" s="300" t="s">
        <v>260</v>
      </c>
      <c r="FI342" s="300">
        <v>46013</v>
      </c>
      <c r="FJ342" s="300" t="s">
        <v>260</v>
      </c>
      <c r="FK342" s="300">
        <v>46142</v>
      </c>
      <c r="FL342" s="306" t="s">
        <v>298</v>
      </c>
      <c r="FM342" s="322">
        <v>45945</v>
      </c>
      <c r="FN342" s="308">
        <f>IF(Table1[[#This Row],[Tanggal Pengajuan Dokumen]]="","",Table1[[#This Row],[PLAN PERMIT
start]]-Table1[[#This Row],[Tanggal Pengajuan Dokumen]])</f>
        <v>-16</v>
      </c>
      <c r="FO342" s="407">
        <v>46097</v>
      </c>
      <c r="FP342" s="286"/>
      <c r="FQ342" s="308"/>
      <c r="FR342" s="308"/>
      <c r="FS342" s="308" t="str">
        <f t="shared" si="17"/>
        <v>Sudah Terbit</v>
      </c>
      <c r="FT3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2" s="314">
        <f ca="1">IF(Table1[[#This Row],[Status Izin]]="Selesai",Table1[[#This Row],[PLAN PERMIT
finish]]-Table1[[#This Row],[Tanggal Terbit/ Target Izin Terbit]],ROUNDUP(Table1[[#This Row],[PLAN PERMIT
finish]]-NOW(),0))</f>
        <v>-78</v>
      </c>
      <c r="FV3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2" s="314"/>
      <c r="FX342" s="42"/>
      <c r="FY342" s="310"/>
      <c r="FZ342" s="311"/>
      <c r="GA34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2" s="300">
        <v>45993</v>
      </c>
      <c r="GC342" s="322">
        <v>45951</v>
      </c>
      <c r="GD3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2" s="300">
        <v>46000</v>
      </c>
      <c r="GF342" s="322">
        <v>45951</v>
      </c>
      <c r="GG3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2" s="300">
        <v>46006</v>
      </c>
      <c r="GI342" s="300">
        <v>46012</v>
      </c>
      <c r="GJ342" s="322">
        <v>45964</v>
      </c>
      <c r="GK3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2" s="300">
        <v>46020</v>
      </c>
      <c r="GM342" s="300" t="e">
        <v>#N/A</v>
      </c>
      <c r="GN342" s="300">
        <v>46040</v>
      </c>
      <c r="GO342" s="300" t="e">
        <v>#N/A</v>
      </c>
      <c r="GP342" s="300"/>
      <c r="GQ3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2" s="300" t="s">
        <v>261</v>
      </c>
      <c r="GS342" s="300" t="s">
        <v>261</v>
      </c>
      <c r="GT342" s="324">
        <v>46006</v>
      </c>
      <c r="GU342" s="314" t="str">
        <f>IF(Table1[[#This Row],[Hydro Tes Actual
(tanggal)]]&lt;&gt;"","Sudah","Belum")</f>
        <v>Sudah</v>
      </c>
      <c r="GV342" s="300" t="s">
        <v>261</v>
      </c>
      <c r="GW342" s="300" t="s">
        <v>261</v>
      </c>
      <c r="GX342" s="301">
        <v>46006</v>
      </c>
      <c r="GY342" s="314" t="str">
        <f>IF(Table1[[#This Row],[Interkoneksi Actual
(tanggal)]]&lt;&gt;"","Sudah","Belum")</f>
        <v>Sudah</v>
      </c>
      <c r="GZ342" s="300" t="s">
        <v>261</v>
      </c>
      <c r="HA342" s="300" t="s">
        <v>261</v>
      </c>
      <c r="HB342" s="301">
        <v>46006</v>
      </c>
      <c r="HC342" s="314" t="str">
        <f>IF(Table1[[#This Row],[Flushing Actual
(tanggal)]]&lt;&gt;"","Sudah","Belum")</f>
        <v>Sudah</v>
      </c>
      <c r="HD342" s="300">
        <v>46020</v>
      </c>
      <c r="HE342" s="300" t="e">
        <v>#N/A</v>
      </c>
      <c r="HF342" s="300">
        <v>46033</v>
      </c>
      <c r="HG342" s="322">
        <v>46010</v>
      </c>
      <c r="HH3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2" s="300" t="s">
        <v>261</v>
      </c>
      <c r="HJ342" s="300" t="s">
        <v>261</v>
      </c>
      <c r="HK342" s="301"/>
      <c r="HL342" s="286"/>
      <c r="HM342" s="300">
        <v>46038</v>
      </c>
      <c r="HN342" s="300">
        <v>46038</v>
      </c>
      <c r="HO342" s="300" t="e">
        <v>#N/A</v>
      </c>
      <c r="HP342" s="300"/>
      <c r="HQ342" s="301">
        <v>46044</v>
      </c>
      <c r="HR342"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2" s="300">
        <v>46045</v>
      </c>
      <c r="HT342" s="300"/>
      <c r="HU342" s="300">
        <v>46045</v>
      </c>
      <c r="HV342" s="300"/>
      <c r="HW342" s="301">
        <v>46059</v>
      </c>
      <c r="HX342"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2" s="42"/>
      <c r="HZ342" s="322"/>
      <c r="IA342" s="322"/>
      <c r="IC342" s="585">
        <f>IFERROR(ROUND((Table1[[#This Row],[PLAN TC
finish]]-Table1[[#This Row],[PLAN MC-0
start]])/30,2),"")</f>
        <v>0.9</v>
      </c>
      <c r="ID342">
        <f>DATEDIF(Table1[[#This Row],[PLAN MC-0
start]],Table1[[#This Row],[PLAN TC
finish]],"m")</f>
        <v>0</v>
      </c>
    </row>
    <row r="343" spans="2:262" s="4" customFormat="1" ht="15" customHeight="1" x14ac:dyDescent="0.25">
      <c r="B343" s="281">
        <f>SUBTOTAL(3,$D$5:D343)</f>
        <v>339</v>
      </c>
      <c r="C343" s="286">
        <v>339</v>
      </c>
      <c r="D343" s="285" t="s">
        <v>673</v>
      </c>
      <c r="E343" s="308" t="s">
        <v>2743</v>
      </c>
      <c r="F343" s="308" t="s">
        <v>2744</v>
      </c>
      <c r="G343" s="319">
        <v>46117</v>
      </c>
      <c r="H343" s="308" t="s">
        <v>681</v>
      </c>
      <c r="I343" s="308" t="s">
        <v>278</v>
      </c>
      <c r="J343" s="450" t="s">
        <v>1830</v>
      </c>
      <c r="K343" s="308" t="s">
        <v>676</v>
      </c>
      <c r="L343" s="286" t="s">
        <v>250</v>
      </c>
      <c r="M343" s="325" t="s">
        <v>269</v>
      </c>
      <c r="N343" s="94">
        <v>36</v>
      </c>
      <c r="O343" s="31" t="s">
        <v>252</v>
      </c>
      <c r="P343"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3" s="35">
        <v>0.99999999999999989</v>
      </c>
      <c r="S343" s="34">
        <v>1</v>
      </c>
      <c r="T343" s="34">
        <f>Table1[[#This Row],[Progres Total Aktual
(%)]]</f>
        <v>1</v>
      </c>
      <c r="U343" s="85">
        <f>Table1[[#This Row],[Progres Aktual
(%)]]-Table1[[#This Row],[Target Progres
(%)]]</f>
        <v>0</v>
      </c>
      <c r="V343" s="75">
        <f>Table1[[#This Row],["Volume
BA MC-0"]]</f>
        <v>39</v>
      </c>
      <c r="W343" s="41">
        <f>Table1[[#This Row],[Total Panjang Pipa Aktual
(Sum-&gt;)3]]</f>
        <v>39</v>
      </c>
      <c r="X343" s="42"/>
      <c r="Y343" s="62" t="s">
        <v>2745</v>
      </c>
      <c r="Z343" s="62">
        <v>76222944</v>
      </c>
      <c r="AA343" s="62">
        <f>ROUND((Table1[[#This Row],[Nilai RAB Jaringan
(Exclude Ppn)]]-Table1[[#This Row],[RAB Perizinan]])*1.11+Table1[[#This Row],[RAB Perizinan]],0)</f>
        <v>76222943</v>
      </c>
      <c r="AB343" s="456">
        <f>SUM(Table1[[#This Row],[RAB Kegiatan Umum]:[RAB Perizinan]])</f>
        <v>68704994</v>
      </c>
      <c r="AC343" s="406">
        <v>4048382</v>
      </c>
      <c r="AD343" s="406">
        <v>40483812</v>
      </c>
      <c r="AE343" s="406">
        <v>23812800</v>
      </c>
      <c r="AF343" s="406">
        <v>360000</v>
      </c>
      <c r="AG343" s="453"/>
      <c r="AH343" s="33">
        <f>SUM(Table1[[#This Row],[Bobot Keg Umum]:[Bobot Perizinan]])</f>
        <v>0.99999999999999989</v>
      </c>
      <c r="AI343" s="33">
        <f>Table1[[#This Row],[RAB Kegiatan Umum]]/Table1[[#This Row],[Nilai RAB Jaringan
(Exclude Ppn)]]</f>
        <v>5.8924130027578493E-2</v>
      </c>
      <c r="AJ343" s="33">
        <f>Table1[[#This Row],[RAB Pemasangan]]/Table1[[#This Row],[Nilai RAB Jaringan
(Exclude Ppn)]]</f>
        <v>0.58924118383592317</v>
      </c>
      <c r="AK343" s="33">
        <f>Table1[[#This Row],[RAB Pengadaan]]/Table1[[#This Row],[Nilai RAB Jaringan
(Exclude Ppn)]]</f>
        <v>0.34659489235964419</v>
      </c>
      <c r="AL343" s="33">
        <f>Table1[[#This Row],[RAB Perizinan]]/Table1[[#This Row],[Nilai RAB Jaringan
(Exclude Ppn)]]</f>
        <v>5.2397937768541248E-3</v>
      </c>
      <c r="AM343" s="42"/>
      <c r="AN343" s="256">
        <v>39</v>
      </c>
      <c r="AO343" s="256">
        <f>SUM(Table1[[#This Row],[Pipa 63 mm]:[Pipa 1,800 mm]])</f>
        <v>39</v>
      </c>
      <c r="AP343" s="256">
        <v>39</v>
      </c>
      <c r="AQ343" s="256"/>
      <c r="AR343" s="256"/>
      <c r="AS343" s="256"/>
      <c r="AT343" s="256"/>
      <c r="AU343" s="256"/>
      <c r="AV343" s="256"/>
      <c r="AW343" s="256"/>
      <c r="AX343" s="256"/>
      <c r="AY343" s="256"/>
      <c r="AZ343" s="256"/>
      <c r="BA343" s="256"/>
      <c r="BB343" s="256"/>
      <c r="BC343" s="256"/>
      <c r="BD343" s="256"/>
      <c r="BE343" s="256"/>
      <c r="BF343" s="256"/>
      <c r="BG343" s="256"/>
      <c r="BH343" s="256"/>
      <c r="BI343" s="256"/>
      <c r="BJ343" s="233">
        <f>SUM(Table1[[#This Row],[Pipa 63 mm2]:[Pipa 1,800 mm21]])</f>
        <v>39</v>
      </c>
      <c r="BK343" s="32">
        <v>39</v>
      </c>
      <c r="BL343" s="32"/>
      <c r="BM343" s="32"/>
      <c r="BN343" s="32"/>
      <c r="BO343" s="32"/>
      <c r="BP343" s="32"/>
      <c r="BQ343" s="32"/>
      <c r="BR343" s="32"/>
      <c r="BS343" s="32"/>
      <c r="BT343" s="32"/>
      <c r="BU343" s="32"/>
      <c r="BV343" s="32"/>
      <c r="BW343" s="32"/>
      <c r="BX343" s="32"/>
      <c r="BY343" s="32"/>
      <c r="BZ343" s="32"/>
      <c r="CA343" s="32"/>
      <c r="CB343" s="32"/>
      <c r="CC343" s="32"/>
      <c r="CD343" s="32"/>
      <c r="CE343" s="32"/>
      <c r="CF343" s="32"/>
      <c r="CG343" s="32"/>
      <c r="CH343" s="32"/>
      <c r="CI343" s="32"/>
      <c r="CJ343" s="60">
        <f>IF((Table1[[#This Row],["Volume
BA MC-0"]]-Table1[[#This Row],[Total Panjang Pipa Aktual
(Sum-&gt;)3]]-Table1[[#This Row],[Total Volume
tidak dapat dipasang]])&gt;=0,Table1[[#This Row],["Volume
BA MC-0"]]-Table1[[#This Row],[Total Panjang Pipa Aktual
(Sum-&gt;)3]]-Table1[[#This Row],[Total Volume
tidak dapat dipasang]],0)</f>
        <v>0</v>
      </c>
      <c r="CK343" s="42"/>
      <c r="CL343" s="297">
        <v>0</v>
      </c>
      <c r="CM343" s="34">
        <v>0</v>
      </c>
      <c r="CN343" s="297">
        <v>0</v>
      </c>
      <c r="CO343" s="297">
        <v>0</v>
      </c>
      <c r="CP34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3" s="61">
        <f>IFERROR(Table1[[#This Row],[Progres Keg. Umum
(%)]]*Table1[[#This Row],[Nilai RAB Jaringan
(file pa aji)]],0)</f>
        <v>0</v>
      </c>
      <c r="CR343" s="61">
        <f>IFERROR(Table1[[#This Row],[Progres MOS
(%)]]*Table1[[#This Row],[Nilai RAB Jaringan
(file pa aji)]],0)</f>
        <v>0</v>
      </c>
      <c r="CS343" s="61">
        <f>IFERROR(Table1[[#This Row],[Progres Pemasangan
(%)]]*Table1[[#This Row],[Nilai RAB Jaringan
(file pa aji)]],0)</f>
        <v>0</v>
      </c>
      <c r="CT343" s="61">
        <f>IFERROR(Table1[[#This Row],[Progres Perizinan
(%)]]*Table1[[#This Row],[Nilai RAB Jaringan
(file pa aji)]],0)</f>
        <v>0</v>
      </c>
      <c r="CU343" s="789">
        <v>96737368</v>
      </c>
      <c r="CV343" s="299">
        <v>96737368</v>
      </c>
      <c r="CW343" s="552">
        <v>96737368</v>
      </c>
      <c r="CX343" s="789">
        <f>_xlfn.XLOOKUP(Table1[[#This Row],[Kode Program]],'[1]Breakdown VOWD Greenfield'!$E:$E,'[1]Breakdown VOWD Greenfield'!$AT:$AT)</f>
        <v>96737368</v>
      </c>
      <c r="CY343" s="42"/>
      <c r="CZ343" s="300">
        <v>45901</v>
      </c>
      <c r="DA343" s="300">
        <v>45928</v>
      </c>
      <c r="DB343" s="301">
        <v>45902</v>
      </c>
      <c r="DC343" s="286" t="s">
        <v>2746</v>
      </c>
      <c r="DD343" s="62">
        <v>76222943</v>
      </c>
      <c r="DE3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3" s="301">
        <v>45915</v>
      </c>
      <c r="DG343" s="286" t="s">
        <v>2747</v>
      </c>
      <c r="DH343" s="62">
        <v>76222943</v>
      </c>
      <c r="DI3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3" s="300">
        <v>45929</v>
      </c>
      <c r="DK343" s="300">
        <v>45991</v>
      </c>
      <c r="DL343" s="301">
        <v>45918</v>
      </c>
      <c r="DM343" s="286" t="s">
        <v>2748</v>
      </c>
      <c r="DN34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3" s="301">
        <v>45926</v>
      </c>
      <c r="DP343" s="286" t="s">
        <v>2749</v>
      </c>
      <c r="DQ343" s="308" t="s">
        <v>365</v>
      </c>
      <c r="DR34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3" s="300">
        <v>45929</v>
      </c>
      <c r="DT343" s="300" t="e">
        <v>#N/A</v>
      </c>
      <c r="DU343" s="300">
        <v>45970</v>
      </c>
      <c r="DV343" s="300" t="e">
        <v>#N/A</v>
      </c>
      <c r="DW343" s="301">
        <v>45918</v>
      </c>
      <c r="DX343" s="286" t="s">
        <v>2750</v>
      </c>
      <c r="DY343" s="302">
        <v>20</v>
      </c>
      <c r="DZ343" s="304">
        <v>20</v>
      </c>
      <c r="EA34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3" s="301">
        <v>46008</v>
      </c>
      <c r="EC343" s="302">
        <v>18</v>
      </c>
      <c r="ED343" s="302">
        <v>18</v>
      </c>
      <c r="EE343" s="395" t="s">
        <v>2751</v>
      </c>
      <c r="EF343" s="35">
        <v>1</v>
      </c>
      <c r="EG343" s="307">
        <v>1</v>
      </c>
      <c r="EH343" s="286" t="str">
        <f>IF(Table1[[#This Row],[PO Material Aktual 
(%)]]&gt;=100%,"Selesai PO = 100%",IF(Table1[[#This Row],[PO Material Aktual 
(%)]]&gt;=50%,"Proses PO &gt; 100%",IF(Table1[[#This Row],[PO Material Aktual 
(%)]]&gt;0%,"Proses PO &gt; 50%",IF(Table1[[#This Row],[PO Material Aktual 
(%)]]=0,"Belum PO = 0%"))))</f>
        <v>Selesai PO = 100%</v>
      </c>
      <c r="EI343"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3" s="300">
        <v>45971</v>
      </c>
      <c r="EK343" s="300" t="e">
        <v>#N/A</v>
      </c>
      <c r="EL343" s="300">
        <v>46026</v>
      </c>
      <c r="EM343" s="300" t="e">
        <v>#N/A</v>
      </c>
      <c r="EN343" s="301">
        <v>46064</v>
      </c>
      <c r="EO343" s="302">
        <v>18</v>
      </c>
      <c r="EP343" s="286">
        <v>18</v>
      </c>
      <c r="EQ343" s="35">
        <v>0.9</v>
      </c>
      <c r="ER343" s="35">
        <f>Table1[[#This Row],[Line MOS]]/Table1[[#This Row],[Line PR]]</f>
        <v>0.9</v>
      </c>
      <c r="ES343" s="286" t="str">
        <f>IF(Table1[[#This Row],[Progres MOS]]&gt;=100%,"Selesai MOS = 100%",IF(Table1[[#This Row],[Progres MOS]]&gt;=50%,"Proses MOS &gt; 100%",IF(Table1[[#This Row],[Progres MOS]]&gt;0%,"Proses MOS &gt; 50%",IF(Table1[[#This Row],[Progres MOS]]=0,"Belum MOS = 0%"))))</f>
        <v>Proses MOS &gt; 100%</v>
      </c>
      <c r="ET3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3" s="42"/>
      <c r="EV343" s="300">
        <v>45929</v>
      </c>
      <c r="EW343" s="300" t="e">
        <v>#N/A</v>
      </c>
      <c r="EX343" s="300">
        <v>46019</v>
      </c>
      <c r="EY343" s="300" t="e">
        <v>#N/A</v>
      </c>
      <c r="EZ343" s="322" t="s">
        <v>259</v>
      </c>
      <c r="FA343" s="306" t="s">
        <v>259</v>
      </c>
      <c r="FB343" s="300" t="s">
        <v>260</v>
      </c>
      <c r="FC343" s="300">
        <v>45982</v>
      </c>
      <c r="FD343" s="300" t="s">
        <v>260</v>
      </c>
      <c r="FE343" s="300">
        <v>45966</v>
      </c>
      <c r="FF343" s="300">
        <v>45993</v>
      </c>
      <c r="FG343" s="300" t="s">
        <v>260</v>
      </c>
      <c r="FH343" s="300" t="s">
        <v>260</v>
      </c>
      <c r="FI343" s="300">
        <v>46013</v>
      </c>
      <c r="FJ343" s="300" t="s">
        <v>260</v>
      </c>
      <c r="FK343" s="300">
        <v>46049</v>
      </c>
      <c r="FL343" s="306" t="s">
        <v>259</v>
      </c>
      <c r="FM343" s="322">
        <v>45982</v>
      </c>
      <c r="FN343" s="308">
        <f>IF(Table1[[#This Row],[Tanggal Pengajuan Dokumen]]="","",Table1[[#This Row],[PLAN PERMIT
start]]-Table1[[#This Row],[Tanggal Pengajuan Dokumen]])</f>
        <v>-53</v>
      </c>
      <c r="FO343" s="407">
        <v>46097</v>
      </c>
      <c r="FP343" s="286"/>
      <c r="FQ343" s="308"/>
      <c r="FR343" s="308"/>
      <c r="FS343" s="308" t="str">
        <f t="shared" si="17"/>
        <v>Sudah Terbit</v>
      </c>
      <c r="FT3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3" s="314">
        <f ca="1">IF(Table1[[#This Row],[Status Izin]]="Selesai",Table1[[#This Row],[PLAN PERMIT
finish]]-Table1[[#This Row],[Tanggal Terbit/ Target Izin Terbit]],ROUNDUP(Table1[[#This Row],[PLAN PERMIT
finish]]-NOW(),0))</f>
        <v>-78</v>
      </c>
      <c r="FV3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3" s="314"/>
      <c r="FX343" s="42"/>
      <c r="FY343" s="310"/>
      <c r="FZ343" s="311"/>
      <c r="GA34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3" s="300">
        <v>45993</v>
      </c>
      <c r="GC343" s="322">
        <v>45951</v>
      </c>
      <c r="GD3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3" s="300">
        <v>46000</v>
      </c>
      <c r="GF343" s="322">
        <v>45951</v>
      </c>
      <c r="GG3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3" s="300">
        <v>46006</v>
      </c>
      <c r="GI343" s="300">
        <v>46012</v>
      </c>
      <c r="GJ343" s="322">
        <v>45964</v>
      </c>
      <c r="GK3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3" s="300">
        <v>46020</v>
      </c>
      <c r="GM343" s="300" t="e">
        <v>#N/A</v>
      </c>
      <c r="GN343" s="300">
        <v>46040</v>
      </c>
      <c r="GO343" s="300" t="e">
        <v>#N/A</v>
      </c>
      <c r="GP343" s="300"/>
      <c r="GQ3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3" s="300" t="s">
        <v>261</v>
      </c>
      <c r="GS343" s="300" t="s">
        <v>261</v>
      </c>
      <c r="GT343" s="324">
        <v>46001</v>
      </c>
      <c r="GU343" s="314" t="str">
        <f>IF(Table1[[#This Row],[Hydro Tes Actual
(tanggal)]]&lt;&gt;"","Sudah","Belum")</f>
        <v>Sudah</v>
      </c>
      <c r="GV343" s="300" t="s">
        <v>261</v>
      </c>
      <c r="GW343" s="300" t="s">
        <v>261</v>
      </c>
      <c r="GX343" s="301">
        <v>46001</v>
      </c>
      <c r="GY343" s="314" t="str">
        <f>IF(Table1[[#This Row],[Interkoneksi Actual
(tanggal)]]&lt;&gt;"","Sudah","Belum")</f>
        <v>Sudah</v>
      </c>
      <c r="GZ343" s="300" t="s">
        <v>261</v>
      </c>
      <c r="HA343" s="300" t="s">
        <v>261</v>
      </c>
      <c r="HB343" s="301">
        <v>46002</v>
      </c>
      <c r="HC343" s="314" t="str">
        <f>IF(Table1[[#This Row],[Flushing Actual
(tanggal)]]&lt;&gt;"","Sudah","Belum")</f>
        <v>Sudah</v>
      </c>
      <c r="HD343" s="300">
        <v>46020</v>
      </c>
      <c r="HE343" s="300" t="e">
        <v>#N/A</v>
      </c>
      <c r="HF343" s="300">
        <v>46033</v>
      </c>
      <c r="HG343" s="322">
        <v>46010</v>
      </c>
      <c r="HH3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3" s="300" t="s">
        <v>261</v>
      </c>
      <c r="HJ343" s="300" t="s">
        <v>261</v>
      </c>
      <c r="HK343" s="301"/>
      <c r="HL343" s="286"/>
      <c r="HM343" s="300">
        <v>46038</v>
      </c>
      <c r="HN343" s="300">
        <v>46038</v>
      </c>
      <c r="HO343" s="300" t="e">
        <v>#N/A</v>
      </c>
      <c r="HP343" s="300"/>
      <c r="HQ343" s="301">
        <v>46044</v>
      </c>
      <c r="HR343"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343" s="300">
        <v>46045</v>
      </c>
      <c r="HT343" s="300"/>
      <c r="HU343" s="300">
        <v>46045</v>
      </c>
      <c r="HV343" s="300"/>
      <c r="HW343" s="301">
        <v>46059</v>
      </c>
      <c r="HX343"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343" s="42"/>
      <c r="HZ343" s="322"/>
      <c r="IA343" s="322"/>
      <c r="IC343" s="585">
        <f>IFERROR(ROUND((Table1[[#This Row],[PLAN TC
finish]]-Table1[[#This Row],[PLAN MC-0
start]])/30,2),"")</f>
        <v>0.9</v>
      </c>
      <c r="ID343">
        <f>DATEDIF(Table1[[#This Row],[PLAN MC-0
start]],Table1[[#This Row],[PLAN TC
finish]],"m")</f>
        <v>0</v>
      </c>
    </row>
    <row r="344" spans="2:262" s="4" customFormat="1" ht="15" customHeight="1" x14ac:dyDescent="0.25">
      <c r="B344" s="281">
        <f>SUBTOTAL(3,$D$5:D344)</f>
        <v>340</v>
      </c>
      <c r="C344" s="286">
        <v>340</v>
      </c>
      <c r="D344" s="285" t="s">
        <v>673</v>
      </c>
      <c r="E344" s="308" t="s">
        <v>2752</v>
      </c>
      <c r="F344" s="308" t="s">
        <v>2753</v>
      </c>
      <c r="G344" s="319">
        <v>46117</v>
      </c>
      <c r="H344" s="308" t="s">
        <v>681</v>
      </c>
      <c r="I344" s="431" t="s">
        <v>278</v>
      </c>
      <c r="J344" s="450" t="s">
        <v>1830</v>
      </c>
      <c r="K344" s="308" t="s">
        <v>676</v>
      </c>
      <c r="L344" s="304" t="s">
        <v>250</v>
      </c>
      <c r="M344" s="449" t="s">
        <v>269</v>
      </c>
      <c r="N344" s="94">
        <v>399</v>
      </c>
      <c r="O344" s="31" t="s">
        <v>252</v>
      </c>
      <c r="P344" s="406"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44" s="35">
        <v>0.62946116024133514</v>
      </c>
      <c r="S344" s="34">
        <v>1</v>
      </c>
      <c r="T344" s="34">
        <f>Table1[[#This Row],[Progres Total Aktual
(%)]]</f>
        <v>1</v>
      </c>
      <c r="U344" s="85">
        <f>Table1[[#This Row],[Progres Aktual
(%)]]-Table1[[#This Row],[Target Progres
(%)]]</f>
        <v>0</v>
      </c>
      <c r="V344" s="75">
        <f>Table1[[#This Row],["Volume
BA MC-0"]]</f>
        <v>403</v>
      </c>
      <c r="W344" s="41">
        <f>Table1[[#This Row],[Total Panjang Pipa Aktual
(Sum-&gt;)3]]</f>
        <v>403</v>
      </c>
      <c r="X344" s="42"/>
      <c r="Y344" s="62" t="s">
        <v>2754</v>
      </c>
      <c r="Z344" s="62">
        <v>457998021</v>
      </c>
      <c r="AA344" s="62">
        <f>ROUND((Table1[[#This Row],[Nilai RAB Jaringan
(Exclude Ppn)]]-Table1[[#This Row],[RAB Perizinan]])*1.11+Table1[[#This Row],[RAB Perizinan]],0)</f>
        <v>454008021</v>
      </c>
      <c r="AB344" s="456">
        <f>SUM(Table1[[#This Row],[RAB Kegiatan Umum]:[RAB Perizinan]])</f>
        <v>409016235</v>
      </c>
      <c r="AC344" s="406">
        <v>30562379</v>
      </c>
      <c r="AD344" s="406">
        <v>305623784</v>
      </c>
      <c r="AE344" s="406">
        <v>72830072</v>
      </c>
      <c r="AF344" s="406"/>
      <c r="AG344" s="475"/>
      <c r="AH344" s="476">
        <f>SUM(Table1[[#This Row],[Bobot Keg Umum]:[Bobot Perizinan]])</f>
        <v>1</v>
      </c>
      <c r="AI344" s="476">
        <f>Table1[[#This Row],[RAB Kegiatan Umum]]/Table1[[#This Row],[Nilai RAB Jaringan
(Exclude Ppn)]]</f>
        <v>7.4721677001403142E-2</v>
      </c>
      <c r="AJ344" s="476">
        <f>Table1[[#This Row],[RAB Pemasangan]]/Table1[[#This Row],[Nilai RAB Jaringan
(Exclude Ppn)]]</f>
        <v>0.74721675534468701</v>
      </c>
      <c r="AK344" s="33">
        <f>Table1[[#This Row],[RAB Pengadaan]]/Table1[[#This Row],[Nilai RAB Jaringan
(Exclude Ppn)]]</f>
        <v>0.17806156765390987</v>
      </c>
      <c r="AL344" s="476">
        <f>Table1[[#This Row],[RAB Perizinan]]/Table1[[#This Row],[Nilai RAB Jaringan
(Exclude Ppn)]]</f>
        <v>0</v>
      </c>
      <c r="AM344" s="42"/>
      <c r="AN344" s="256">
        <v>403</v>
      </c>
      <c r="AO344" s="256">
        <f>SUM(Table1[[#This Row],[Pipa 63 mm]:[Pipa 1,800 mm]])</f>
        <v>403</v>
      </c>
      <c r="AP344" s="256">
        <v>403</v>
      </c>
      <c r="AQ344" s="256"/>
      <c r="AR344" s="256"/>
      <c r="AS344" s="256"/>
      <c r="AT344" s="256"/>
      <c r="AU344" s="256"/>
      <c r="AV344" s="256"/>
      <c r="AW344" s="256"/>
      <c r="AX344" s="256"/>
      <c r="AY344" s="256"/>
      <c r="AZ344" s="256"/>
      <c r="BA344" s="256"/>
      <c r="BB344" s="256"/>
      <c r="BC344" s="256"/>
      <c r="BD344" s="256"/>
      <c r="BE344" s="256"/>
      <c r="BF344" s="256"/>
      <c r="BG344" s="256"/>
      <c r="BH344" s="256"/>
      <c r="BI344" s="256"/>
      <c r="BJ344" s="233">
        <f>SUM(Table1[[#This Row],[Pipa 63 mm2]:[Pipa 1,800 mm21]])</f>
        <v>403</v>
      </c>
      <c r="BK344" s="32">
        <v>403</v>
      </c>
      <c r="BL344" s="32"/>
      <c r="BM344" s="32"/>
      <c r="BN344" s="32"/>
      <c r="BO344" s="32"/>
      <c r="BP344" s="32"/>
      <c r="BQ344" s="32"/>
      <c r="BR344" s="32"/>
      <c r="BS344" s="32"/>
      <c r="BT344" s="32"/>
      <c r="BU344" s="32"/>
      <c r="BV344" s="32"/>
      <c r="BW344" s="32"/>
      <c r="BX344" s="32"/>
      <c r="BY344" s="32"/>
      <c r="BZ344" s="32"/>
      <c r="CA344" s="32"/>
      <c r="CB344" s="32"/>
      <c r="CC344" s="32"/>
      <c r="CD344" s="32"/>
      <c r="CE344" s="32"/>
      <c r="CF344" s="32"/>
      <c r="CG344" s="32"/>
      <c r="CH344" s="32"/>
      <c r="CI344" s="32"/>
      <c r="CJ344" s="60">
        <f>IF((Table1[[#This Row],["Volume
BA MC-0"]]-Table1[[#This Row],[Total Panjang Pipa Aktual
(Sum-&gt;)3]]-Table1[[#This Row],[Total Volume
tidak dapat dipasang]])&gt;=0,Table1[[#This Row],["Volume
BA MC-0"]]-Table1[[#This Row],[Total Panjang Pipa Aktual
(Sum-&gt;)3]]-Table1[[#This Row],[Total Volume
tidak dapat dipasang]],0)</f>
        <v>0</v>
      </c>
      <c r="CK344" s="42"/>
      <c r="CL344" s="454" t="s">
        <v>1821</v>
      </c>
      <c r="CM344" s="34" t="s">
        <v>1821</v>
      </c>
      <c r="CN344" s="454" t="s">
        <v>1821</v>
      </c>
      <c r="CO344" s="454" t="s">
        <v>1821</v>
      </c>
      <c r="CP34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44" s="61">
        <f>IFERROR(Table1[[#This Row],[Progres Keg. Umum
(%)]]*Table1[[#This Row],[Nilai RAB Jaringan
(file pa aji)]],0)</f>
        <v>0</v>
      </c>
      <c r="CR344" s="61">
        <f>IFERROR(Table1[[#This Row],[Progres MOS
(%)]]*Table1[[#This Row],[Nilai RAB Jaringan
(file pa aji)]],0)</f>
        <v>0</v>
      </c>
      <c r="CS344" s="61">
        <f>IFERROR(Table1[[#This Row],[Progres Pemasangan
(%)]]*Table1[[#This Row],[Nilai RAB Jaringan
(file pa aji)]],0)</f>
        <v>0</v>
      </c>
      <c r="CT344" s="61">
        <f>IFERROR(Table1[[#This Row],[Progres Perizinan
(%)]]*Table1[[#This Row],[Nilai RAB Jaringan
(file pa aji)]],0)</f>
        <v>0</v>
      </c>
      <c r="CU344" s="789">
        <v>461103509</v>
      </c>
      <c r="CV344" s="299">
        <v>461103509</v>
      </c>
      <c r="CW344" s="552">
        <v>461103509</v>
      </c>
      <c r="CX344" s="789">
        <f>_xlfn.XLOOKUP(Table1[[#This Row],[Kode Program]],'[1]Breakdown VOWD Greenfield'!$E:$E,'[1]Breakdown VOWD Greenfield'!$AT:$AT)</f>
        <v>461103509</v>
      </c>
      <c r="CY344" s="42"/>
      <c r="CZ344" s="300">
        <v>45929</v>
      </c>
      <c r="DA344" s="300">
        <v>45956</v>
      </c>
      <c r="DB344" s="301">
        <v>45916</v>
      </c>
      <c r="DC344" s="286" t="s">
        <v>2755</v>
      </c>
      <c r="DD344" s="62">
        <v>457998020.85000002</v>
      </c>
      <c r="DE3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4" s="301">
        <v>45944</v>
      </c>
      <c r="DG344" s="286" t="s">
        <v>2756</v>
      </c>
      <c r="DH344" s="62">
        <v>457998020.85000002</v>
      </c>
      <c r="DI34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4" s="300">
        <v>45957</v>
      </c>
      <c r="DK344" s="300">
        <v>46019</v>
      </c>
      <c r="DL344" s="301">
        <v>45917</v>
      </c>
      <c r="DM344" s="286" t="s">
        <v>2757</v>
      </c>
      <c r="DN3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4" s="301">
        <v>45940</v>
      </c>
      <c r="DP344" s="286" t="s">
        <v>2758</v>
      </c>
      <c r="DQ344" s="308" t="s">
        <v>297</v>
      </c>
      <c r="DR3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4" s="300">
        <v>45957</v>
      </c>
      <c r="DT344" s="300" t="e">
        <v>#N/A</v>
      </c>
      <c r="DU344" s="300">
        <v>45998</v>
      </c>
      <c r="DV344" s="300" t="e">
        <v>#N/A</v>
      </c>
      <c r="DW344" s="301">
        <v>45918</v>
      </c>
      <c r="DX344" s="286" t="s">
        <v>2759</v>
      </c>
      <c r="DY344" s="302">
        <v>21</v>
      </c>
      <c r="DZ344" s="304">
        <v>21</v>
      </c>
      <c r="EA3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4" s="301">
        <v>46008</v>
      </c>
      <c r="EC344" s="302">
        <v>20</v>
      </c>
      <c r="ED344" s="302">
        <v>20</v>
      </c>
      <c r="EE344" s="395" t="s">
        <v>2760</v>
      </c>
      <c r="EF344" s="35">
        <v>1</v>
      </c>
      <c r="EG344" s="307">
        <v>1</v>
      </c>
      <c r="EH344" s="286" t="str">
        <f>IF(Table1[[#This Row],[PO Material Aktual 
(%)]]&gt;=100%,"Selesai PO = 100%",IF(Table1[[#This Row],[PO Material Aktual 
(%)]]&gt;=50%,"Proses PO &gt; 100%",IF(Table1[[#This Row],[PO Material Aktual 
(%)]]&gt;0%,"Proses PO &gt; 50%",IF(Table1[[#This Row],[PO Material Aktual 
(%)]]=0,"Belum PO = 0%"))))</f>
        <v>Selesai PO = 100%</v>
      </c>
      <c r="EI344" s="302"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44" s="300">
        <v>45999</v>
      </c>
      <c r="EK344" s="300" t="e">
        <v>#N/A</v>
      </c>
      <c r="EL344" s="300">
        <v>46068</v>
      </c>
      <c r="EM344" s="300" t="e">
        <v>#N/A</v>
      </c>
      <c r="EN344" s="301">
        <v>46081</v>
      </c>
      <c r="EO344" s="302">
        <v>20</v>
      </c>
      <c r="EP344" s="286">
        <v>20</v>
      </c>
      <c r="EQ344" s="35">
        <v>0.95238095238095233</v>
      </c>
      <c r="ER344" s="35">
        <f>Table1[[#This Row],[Line MOS]]/Table1[[#This Row],[Line PR]]</f>
        <v>0.95238095238095233</v>
      </c>
      <c r="ES344" s="286" t="str">
        <f>IF(Table1[[#This Row],[Progres MOS]]&gt;=100%,"Selesai MOS = 100%",IF(Table1[[#This Row],[Progres MOS]]&gt;=50%,"Proses MOS &gt; 100%",IF(Table1[[#This Row],[Progres MOS]]&gt;0%,"Proses MOS &gt; 50%",IF(Table1[[#This Row],[Progres MOS]]=0,"Belum MOS = 0%"))))</f>
        <v>Proses MOS &gt; 100%</v>
      </c>
      <c r="ET3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Sudah, Delay</v>
      </c>
      <c r="EU344" s="42"/>
      <c r="EV344" s="300">
        <v>45957</v>
      </c>
      <c r="EW344" s="300" t="e">
        <v>#N/A</v>
      </c>
      <c r="EX344" s="300">
        <v>46047</v>
      </c>
      <c r="EY344" s="300" t="e">
        <v>#N/A</v>
      </c>
      <c r="EZ344" s="322" t="s">
        <v>298</v>
      </c>
      <c r="FA344" s="306" t="s">
        <v>259</v>
      </c>
      <c r="FB344" s="300" t="s">
        <v>260</v>
      </c>
      <c r="FC344" s="300">
        <v>45945</v>
      </c>
      <c r="FD344" s="300" t="s">
        <v>260</v>
      </c>
      <c r="FE344" s="300">
        <v>45966</v>
      </c>
      <c r="FF344" s="300">
        <v>45993</v>
      </c>
      <c r="FG344" s="300" t="s">
        <v>260</v>
      </c>
      <c r="FH344" s="300" t="s">
        <v>260</v>
      </c>
      <c r="FI344" s="300">
        <v>46013</v>
      </c>
      <c r="FJ344" s="300" t="s">
        <v>260</v>
      </c>
      <c r="FK344" s="300">
        <v>46142</v>
      </c>
      <c r="FL344" s="306" t="s">
        <v>298</v>
      </c>
      <c r="FM344" s="322">
        <v>45945</v>
      </c>
      <c r="FN344" s="308">
        <f>IF(Table1[[#This Row],[Tanggal Pengajuan Dokumen]]="","",Table1[[#This Row],[PLAN PERMIT
start]]-Table1[[#This Row],[Tanggal Pengajuan Dokumen]])</f>
        <v>12</v>
      </c>
      <c r="FO344" s="407">
        <v>46097</v>
      </c>
      <c r="FP344" s="286"/>
      <c r="FQ344" s="308"/>
      <c r="FR344" s="308"/>
      <c r="FS344" s="308" t="str">
        <f t="shared" si="17"/>
        <v>Sudah Terbit</v>
      </c>
      <c r="FT34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Selesai</v>
      </c>
      <c r="FU344" s="314">
        <f ca="1">IF(Table1[[#This Row],[Status Izin]]="Selesai",Table1[[#This Row],[PLAN PERMIT
finish]]-Table1[[#This Row],[Tanggal Terbit/ Target Izin Terbit]],ROUNDUP(Table1[[#This Row],[PLAN PERMIT
finish]]-NOW(),0))</f>
        <v>-50</v>
      </c>
      <c r="FV34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4" s="314"/>
      <c r="FX344" s="42"/>
      <c r="FY344" s="310"/>
      <c r="FZ344" s="311"/>
      <c r="GA34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344" s="300">
        <v>46021</v>
      </c>
      <c r="GC344" s="322">
        <v>45950</v>
      </c>
      <c r="GD34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4" s="300">
        <v>46028</v>
      </c>
      <c r="GF344" s="322">
        <v>45950</v>
      </c>
      <c r="GG34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4" s="300">
        <v>46034</v>
      </c>
      <c r="GI344" s="300">
        <v>46040</v>
      </c>
      <c r="GJ344" s="322">
        <v>45952</v>
      </c>
      <c r="GK34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4" s="300">
        <v>46048</v>
      </c>
      <c r="GM344" s="300" t="e">
        <v>#N/A</v>
      </c>
      <c r="GN344" s="300">
        <v>46096</v>
      </c>
      <c r="GO344" s="300" t="e">
        <v>#N/A</v>
      </c>
      <c r="GP344" s="300"/>
      <c r="GQ34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44" s="300" t="s">
        <v>261</v>
      </c>
      <c r="GS344" s="300" t="s">
        <v>261</v>
      </c>
      <c r="GT344" s="324">
        <v>45994</v>
      </c>
      <c r="GU344" s="314" t="str">
        <f>IF(Table1[[#This Row],[Hydro Tes Actual
(tanggal)]]&lt;&gt;"","Sudah","Belum")</f>
        <v>Sudah</v>
      </c>
      <c r="GV344" s="300" t="s">
        <v>261</v>
      </c>
      <c r="GW344" s="300" t="s">
        <v>261</v>
      </c>
      <c r="GX344" s="301">
        <v>45994</v>
      </c>
      <c r="GY344" s="314" t="str">
        <f>IF(Table1[[#This Row],[Interkoneksi Actual
(tanggal)]]&lt;&gt;"","Sudah","Belum")</f>
        <v>Sudah</v>
      </c>
      <c r="GZ344" s="300" t="s">
        <v>261</v>
      </c>
      <c r="HA344" s="300" t="s">
        <v>261</v>
      </c>
      <c r="HB344" s="301">
        <v>45996</v>
      </c>
      <c r="HC344" s="314" t="str">
        <f>IF(Table1[[#This Row],[Flushing Actual
(tanggal)]]&lt;&gt;"","Sudah","Belum")</f>
        <v>Sudah</v>
      </c>
      <c r="HD344" s="300">
        <v>46076</v>
      </c>
      <c r="HE344" s="300" t="e">
        <v>#N/A</v>
      </c>
      <c r="HF344" s="300">
        <v>46089</v>
      </c>
      <c r="HG344" s="322">
        <v>46001</v>
      </c>
      <c r="HH34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44" s="300" t="s">
        <v>261</v>
      </c>
      <c r="HJ344" s="300" t="s">
        <v>261</v>
      </c>
      <c r="HK344" s="301"/>
      <c r="HL344" s="286"/>
      <c r="HM344" s="300">
        <v>46101</v>
      </c>
      <c r="HN344" s="300">
        <v>46101</v>
      </c>
      <c r="HO344" s="300" t="e">
        <v>#N/A</v>
      </c>
      <c r="HP344" s="300"/>
      <c r="HQ344" s="301">
        <v>46044</v>
      </c>
      <c r="HR344" s="286"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44" s="300">
        <v>46108</v>
      </c>
      <c r="HT344" s="300"/>
      <c r="HU344" s="300">
        <v>46108</v>
      </c>
      <c r="HV344" s="300"/>
      <c r="HW344" s="301">
        <v>46057</v>
      </c>
      <c r="HX344" s="301"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44" s="42"/>
      <c r="HZ344" s="322"/>
      <c r="IA344" s="322"/>
      <c r="IC344" s="585">
        <f>IFERROR(ROUND((Table1[[#This Row],[PLAN TC
finish]]-Table1[[#This Row],[PLAN MC-0
start]])/30,2),"")</f>
        <v>1.83</v>
      </c>
      <c r="ID344">
        <f>DATEDIF(Table1[[#This Row],[PLAN MC-0
start]],Table1[[#This Row],[PLAN TC
finish]],"m")</f>
        <v>1</v>
      </c>
    </row>
    <row r="345" spans="2:262" ht="15" customHeight="1" x14ac:dyDescent="0.25">
      <c r="B345" s="281">
        <f>SUBTOTAL(3,$D$5:D345)</f>
        <v>341</v>
      </c>
      <c r="C345" s="286">
        <v>341</v>
      </c>
      <c r="D345" s="285" t="s">
        <v>244</v>
      </c>
      <c r="E345" s="285" t="s">
        <v>2761</v>
      </c>
      <c r="F345" s="308" t="s">
        <v>2762</v>
      </c>
      <c r="G345" s="319">
        <v>46300</v>
      </c>
      <c r="H345" s="308" t="s">
        <v>247</v>
      </c>
      <c r="I345" s="308" t="s">
        <v>248</v>
      </c>
      <c r="J345" s="450"/>
      <c r="K345" s="308"/>
      <c r="L345" s="286"/>
      <c r="M345" s="325" t="s">
        <v>251</v>
      </c>
      <c r="N345" s="477">
        <v>3250</v>
      </c>
      <c r="O345" s="31" t="s">
        <v>252</v>
      </c>
      <c r="P34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45" s="35">
        <v>0.53009851205602232</v>
      </c>
      <c r="S345" s="297">
        <f>_xlfn.XLOOKUP(Table1[[#This Row],[Nama Program]],'[2]Summary Plan'!$E:$E,'[2]Summary Plan'!$M:$M)</f>
        <v>0.67507128807150785</v>
      </c>
      <c r="T345" s="128">
        <f>Table1[[#This Row],[Progres Total Aktual
(%)]]</f>
        <v>6.1813827374598902E-2</v>
      </c>
      <c r="U345" s="103">
        <f>Table1[[#This Row],[Progres Aktual
(%)]]-Table1[[#This Row],[Target Progres
(%)]]</f>
        <v>-0.6132574606969089</v>
      </c>
      <c r="V345" s="75">
        <f>Table1[[#This Row],["Volume
BA MC-0"]]</f>
        <v>0</v>
      </c>
      <c r="W345" s="75">
        <f>Table1[[#This Row],[Total Panjang Pipa Aktual
(Sum-&gt;)3]]</f>
        <v>0</v>
      </c>
      <c r="X345" s="99"/>
      <c r="Y345" s="478" t="s">
        <v>2763</v>
      </c>
      <c r="Z345" s="62">
        <v>116190335817</v>
      </c>
      <c r="AA345" s="479">
        <f>ROUND((Table1[[#This Row],[Nilai RAB Jaringan
(Exclude Ppn)]]-Table1[[#This Row],[RAB Perizinan]])*1.11+Table1[[#This Row],[RAB Perizinan]],0)</f>
        <v>116190335816</v>
      </c>
      <c r="AB345" s="406">
        <f>SUM(Table1[[#This Row],[RAB Kegiatan Umum]:[RAB Perizinan]])</f>
        <v>104692280014</v>
      </c>
      <c r="AC345" s="406">
        <v>3923161508</v>
      </c>
      <c r="AD345" s="406">
        <v>65386025129</v>
      </c>
      <c r="AE345" s="406">
        <v>35218593377</v>
      </c>
      <c r="AF345" s="406">
        <f>162500000+2000000</f>
        <v>164500000</v>
      </c>
      <c r="AG345" s="406"/>
      <c r="AH345" s="480">
        <f>SUM(Table1[[#This Row],[Bobot Keg Umum]:[Bobot Perizinan]])</f>
        <v>0.99999999999999989</v>
      </c>
      <c r="AI345" s="480">
        <f>Table1[[#This Row],[RAB Kegiatan Umum]]/Table1[[#This Row],[Nilai RAB Jaringan
(Exclude Ppn)]]</f>
        <v>3.7473264575720144E-2</v>
      </c>
      <c r="AJ345" s="480">
        <f>Table1[[#This Row],[RAB Pemasangan]]/Table1[[#This Row],[Nilai RAB Jaringan
(Exclude Ppn)]]</f>
        <v>0.62455440955394459</v>
      </c>
      <c r="AK345" s="111">
        <f>Table1[[#This Row],[RAB Pengadaan]]/Table1[[#This Row],[Nilai RAB Jaringan
(Exclude Ppn)]]</f>
        <v>0.33640105433075279</v>
      </c>
      <c r="AL345" s="112">
        <f>Table1[[#This Row],[RAB Perizinan]]/Table1[[#This Row],[Nilai RAB Jaringan
(Exclude Ppn)]]</f>
        <v>1.5712715395825002E-3</v>
      </c>
      <c r="AM345" s="42"/>
      <c r="AN345" s="256"/>
      <c r="AO345" s="256">
        <f>SUM(Table1[[#This Row],[Pipa 63 mm]:[Pipa 1,800 mm]])</f>
        <v>3105.7</v>
      </c>
      <c r="AP345" s="256"/>
      <c r="AQ345" s="256"/>
      <c r="AR345" s="256"/>
      <c r="AS345" s="256"/>
      <c r="AT345" s="256"/>
      <c r="AU345" s="256"/>
      <c r="AV345" s="256"/>
      <c r="AW345" s="256"/>
      <c r="AX345" s="256"/>
      <c r="AY345" s="256"/>
      <c r="AZ345" s="256"/>
      <c r="BA345" s="256"/>
      <c r="BB345" s="256">
        <v>3105.7</v>
      </c>
      <c r="BC345" s="256"/>
      <c r="BD345" s="256"/>
      <c r="BE345" s="256"/>
      <c r="BF345" s="256"/>
      <c r="BG345" s="256"/>
      <c r="BH345" s="256"/>
      <c r="BI345" s="256"/>
      <c r="BJ345" s="36">
        <f>SUM(Table1[[#This Row],[Pipa 63 mm2]:[Pipa 1,800 mm21]])</f>
        <v>0</v>
      </c>
      <c r="BK345" s="32"/>
      <c r="BL345" s="32"/>
      <c r="BM345" s="32"/>
      <c r="BN345" s="32"/>
      <c r="BO345" s="32"/>
      <c r="BP345" s="32"/>
      <c r="BQ345" s="32"/>
      <c r="BR345" s="32"/>
      <c r="BS345" s="32"/>
      <c r="BT345" s="32"/>
      <c r="BU345" s="32"/>
      <c r="BV345" s="32"/>
      <c r="BW345" s="32"/>
      <c r="BX345" s="32"/>
      <c r="BY345" s="32"/>
      <c r="BZ345" s="32"/>
      <c r="CA345" s="32"/>
      <c r="CB345" s="32"/>
      <c r="CC345" s="32"/>
      <c r="CD345" s="32"/>
      <c r="CE345" s="32"/>
      <c r="CF345" s="32"/>
      <c r="CG345" s="32"/>
      <c r="CH345" s="32"/>
      <c r="CI345" s="32"/>
      <c r="CJ345" s="32">
        <f>IF((Table1[[#This Row],["Volume
BA MC-0"]]-Table1[[#This Row],[Total Panjang Pipa Aktual
(Sum-&gt;)3]]-Table1[[#This Row],[Total Volume
tidak dapat dipasang]])&gt;=0,Table1[[#This Row],["Volume
BA MC-0"]]-Table1[[#This Row],[Total Panjang Pipa Aktual
(Sum-&gt;)3]]-Table1[[#This Row],[Total Volume
tidak dapat dipasang]],0)</f>
        <v>0</v>
      </c>
      <c r="CK345" s="42"/>
      <c r="CL345" s="113"/>
      <c r="CM345" s="307"/>
      <c r="CN345" s="113"/>
      <c r="CO345" s="113"/>
      <c r="CP34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6.1813827374598902E-2</v>
      </c>
      <c r="CQ345" s="406">
        <f>IFERROR(Table1[[#This Row],[Progres Keg. Umum
(%)]]*Table1[[#This Row],[Nilai RAB Jaringan
(file pa aji)]],0)</f>
        <v>0</v>
      </c>
      <c r="CR345" s="406">
        <f>IFERROR(Table1[[#This Row],[Progres MOS
(%)]]*Table1[[#This Row],[Nilai RAB Jaringan
(file pa aji)]],0)</f>
        <v>0</v>
      </c>
      <c r="CS345" s="406">
        <f>IFERROR(Table1[[#This Row],[Progres Pemasangan
(%)]]*Table1[[#This Row],[Nilai RAB Jaringan
(file pa aji)]],0)</f>
        <v>0</v>
      </c>
      <c r="CT345" s="406">
        <f>IFERROR(Table1[[#This Row],[Progres Perizinan
(%)]]*Table1[[#This Row],[Nilai RAB Jaringan
(file pa aji)]],0)</f>
        <v>0</v>
      </c>
      <c r="CU345" s="789">
        <v>7182169360.7269001</v>
      </c>
      <c r="CV345" s="299">
        <v>7182169360.7269001</v>
      </c>
      <c r="CW345" s="481">
        <v>0</v>
      </c>
      <c r="CX345" s="789">
        <f>_xlfn.XLOOKUP(Table1[[#This Row],[Kode Program]],'[1]Breakdown VOWD Greenfield'!$E:$E,'[1]Breakdown VOWD Greenfield'!$AT:$AT)</f>
        <v>0</v>
      </c>
      <c r="CY345" s="42"/>
      <c r="CZ345" s="301">
        <v>45929</v>
      </c>
      <c r="DA345" s="301">
        <v>45963</v>
      </c>
      <c r="DB345" s="301">
        <v>45240</v>
      </c>
      <c r="DC345" s="327" t="s">
        <v>2764</v>
      </c>
      <c r="DD345" s="478">
        <v>120152121179.66</v>
      </c>
      <c r="DE3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45" s="301">
        <v>45250</v>
      </c>
      <c r="DG345" s="327" t="s">
        <v>2765</v>
      </c>
      <c r="DH345" s="478">
        <v>120152121179.66</v>
      </c>
      <c r="DI34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45" s="301">
        <v>45964</v>
      </c>
      <c r="DK345" s="301">
        <v>46110</v>
      </c>
      <c r="DL345" s="301">
        <v>45306</v>
      </c>
      <c r="DM345" s="395" t="s">
        <v>2766</v>
      </c>
      <c r="DN3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5" s="301">
        <v>46050</v>
      </c>
      <c r="DP345" s="286" t="s">
        <v>2767</v>
      </c>
      <c r="DQ345" s="308" t="s">
        <v>258</v>
      </c>
      <c r="DR3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45" s="301">
        <v>45964</v>
      </c>
      <c r="DT345" s="301">
        <v>46158</v>
      </c>
      <c r="DU345" s="301">
        <v>46012</v>
      </c>
      <c r="DV345" s="301">
        <v>46172</v>
      </c>
      <c r="DW345" s="301">
        <v>45289</v>
      </c>
      <c r="DX345" t="s">
        <v>2768</v>
      </c>
      <c r="DY345" s="482">
        <v>78</v>
      </c>
      <c r="DZ345" s="482">
        <v>78</v>
      </c>
      <c r="EA3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45" s="301"/>
      <c r="EC345" s="304">
        <v>78</v>
      </c>
      <c r="ED345" s="304">
        <v>78</v>
      </c>
      <c r="EE345"/>
      <c r="EF345" s="307">
        <v>1</v>
      </c>
      <c r="EG345" s="307">
        <f>Table1[[#This Row],[Line PO]]/Table1[[#This Row],[Line PR]]</f>
        <v>1</v>
      </c>
      <c r="EH345" s="286" t="str">
        <f>IF(Table1[[#This Row],[PO Material Aktual 
(%)]]&gt;=100%,"Selesai PO = 100%",IF(Table1[[#This Row],[PO Material Aktual 
(%)]]&gt;=50%,"Proses PO &gt; 100%",IF(Table1[[#This Row],[PO Material Aktual 
(%)]]&gt;0%,"Proses PO &gt; 50%",IF(Table1[[#This Row],[PO Material Aktual 
(%)]]=0,"Belum PO = 0%"))))</f>
        <v>Selesai PO = 100%</v>
      </c>
      <c r="EI34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5" s="301">
        <v>46013</v>
      </c>
      <c r="EK345" s="301">
        <v>46172</v>
      </c>
      <c r="EL345" s="301">
        <v>46201</v>
      </c>
      <c r="EM345" s="301">
        <v>46187</v>
      </c>
      <c r="EN345" s="301"/>
      <c r="EO345" s="482">
        <v>60</v>
      </c>
      <c r="EP345" s="482">
        <v>60</v>
      </c>
      <c r="EQ345" s="307">
        <v>0.76923076923076927</v>
      </c>
      <c r="ER345" s="307">
        <f>Table1[[#This Row],[Line MOS]]/Table1[[#This Row],[Line PR]]</f>
        <v>0.76923076923076927</v>
      </c>
      <c r="ES345" s="286" t="str">
        <f>IF(Table1[[#This Row],[Progres MOS]]&gt;=100%,"Selesai MOS = 100%",IF(Table1[[#This Row],[Progres MOS]]&gt;=50%,"Proses MOS &gt; 100%",IF(Table1[[#This Row],[Progres MOS]]&gt;0%,"Proses MOS &gt; 50%",IF(Table1[[#This Row],[Progres MOS]]=0,"Belum MOS = 0%"))))</f>
        <v>Proses MOS &gt; 100%</v>
      </c>
      <c r="ET3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5" s="42"/>
      <c r="EV345" s="301">
        <v>45964</v>
      </c>
      <c r="EW345" s="301">
        <v>46153</v>
      </c>
      <c r="EX345" s="301">
        <v>46138</v>
      </c>
      <c r="EY345" s="301">
        <v>46183</v>
      </c>
      <c r="EZ345" s="322" t="s">
        <v>2769</v>
      </c>
      <c r="FA345" s="379" t="s">
        <v>2769</v>
      </c>
      <c r="FB345" s="300"/>
      <c r="FC345" s="300"/>
      <c r="FD345" s="300"/>
      <c r="FE345" s="300"/>
      <c r="FF345" s="300"/>
      <c r="FG345" s="300"/>
      <c r="FH345" s="300"/>
      <c r="FI345" s="300"/>
      <c r="FJ345" s="300"/>
      <c r="FK345" s="300"/>
      <c r="FL345" s="306" t="str">
        <f>Table1[[#This Row],[IPPJU]]</f>
        <v>7.Proses Rekomtek</v>
      </c>
      <c r="FM345" s="322"/>
      <c r="FN345" s="308" t="str">
        <f>IF(Table1[[#This Row],[Tanggal Pengajuan Dokumen]]="","",Table1[[#This Row],[PLAN PERMIT
start]]-Table1[[#This Row],[Tanggal Pengajuan Dokumen]])</f>
        <v/>
      </c>
      <c r="FO345" s="322">
        <v>45434</v>
      </c>
      <c r="FP345" s="286"/>
      <c r="FQ345" s="308" t="s">
        <v>171</v>
      </c>
      <c r="FR345" s="301" t="s">
        <v>2087</v>
      </c>
      <c r="FS345" s="308"/>
      <c r="FT34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5" s="314">
        <f ca="1">IF(Table1[[#This Row],[Status Izin]]="Selesai",Table1[[#This Row],[PLAN PERMIT
finish]]-Table1[[#This Row],[Tanggal Terbit/ Target Izin Terbit]],ROUNDUP(Table1[[#This Row],[PLAN PERMIT
finish]]-NOW(),0))</f>
        <v>-66</v>
      </c>
      <c r="FV34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Ahead</v>
      </c>
      <c r="FW345" s="314"/>
      <c r="FX345" s="42"/>
      <c r="FY345" s="483">
        <v>46097</v>
      </c>
      <c r="FZ345" s="483">
        <v>46049</v>
      </c>
      <c r="GA34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5" s="301">
        <v>46111</v>
      </c>
      <c r="GC345" s="322">
        <v>46050</v>
      </c>
      <c r="GD34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45" s="301">
        <v>46118</v>
      </c>
      <c r="GF345" s="322">
        <v>46050</v>
      </c>
      <c r="GG34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45" s="301">
        <v>46125</v>
      </c>
      <c r="GI345" s="301">
        <v>46131</v>
      </c>
      <c r="GJ345" s="322">
        <v>46059</v>
      </c>
      <c r="GK34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45" s="301">
        <v>46139</v>
      </c>
      <c r="GM345" s="301">
        <v>46190</v>
      </c>
      <c r="GN345" s="301">
        <v>46222</v>
      </c>
      <c r="GO345" s="300">
        <v>46275</v>
      </c>
      <c r="GP345" s="286"/>
      <c r="GQ34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5" s="301"/>
      <c r="GS345" s="301"/>
      <c r="GT345" s="324"/>
      <c r="GU345" s="314" t="str">
        <f>IF(Table1[[#This Row],[Hydro Tes Actual
(tanggal)]]&lt;&gt;"","Sudah","Belum")</f>
        <v>Belum</v>
      </c>
      <c r="GV345" s="300"/>
      <c r="GW345" s="300"/>
      <c r="GX345" s="301"/>
      <c r="GY345" s="314" t="str">
        <f>IF(Table1[[#This Row],[Interkoneksi Actual
(tanggal)]]&lt;&gt;"","Sudah","Belum")</f>
        <v>Belum</v>
      </c>
      <c r="GZ345" s="300"/>
      <c r="HA345" s="300"/>
      <c r="HB345" s="301"/>
      <c r="HC345" s="314" t="str">
        <f>IF(Table1[[#This Row],[Flushing Actual
(tanggal)]]&lt;&gt;"","Sudah","Belum")</f>
        <v>Belum</v>
      </c>
      <c r="HD345" s="301">
        <v>46225</v>
      </c>
      <c r="HE345" s="301">
        <v>46293</v>
      </c>
      <c r="HF345" s="301">
        <v>46230</v>
      </c>
      <c r="HG345" s="322"/>
      <c r="HH34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5" s="300"/>
      <c r="HJ345" s="300"/>
      <c r="HK345" s="301"/>
      <c r="HL345" s="301"/>
      <c r="HM345" s="301">
        <v>46247</v>
      </c>
      <c r="HN345" s="301">
        <v>46247</v>
      </c>
      <c r="HO345" s="300">
        <v>46293</v>
      </c>
      <c r="HP345" s="300"/>
      <c r="HQ345" s="301"/>
      <c r="HR34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5" s="301">
        <v>46255</v>
      </c>
      <c r="HT345" s="301"/>
      <c r="HU345" s="301">
        <v>46255</v>
      </c>
      <c r="HV345" s="390">
        <v>46298</v>
      </c>
      <c r="HW345" s="365"/>
      <c r="HX34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5" s="42"/>
      <c r="HZ345" s="322"/>
      <c r="IA345" s="306"/>
      <c r="IB345" s="67"/>
      <c r="IC345" s="585">
        <f>IFERROR(ROUND((Table1[[#This Row],[PLAN TC
finish]]-Table1[[#This Row],[PLAN MC-0
start]])/30,2),"")</f>
        <v>3.5</v>
      </c>
      <c r="ID345">
        <f>DATEDIF(Table1[[#This Row],[PLAN MC-0
start]],Table1[[#This Row],[PLAN TC
finish]],"m")</f>
        <v>3</v>
      </c>
      <c r="IE345" s="6"/>
      <c r="IF345" s="6"/>
      <c r="IG345" s="67"/>
      <c r="II345" s="6"/>
      <c r="IJ345" s="4"/>
      <c r="IK345" s="4"/>
      <c r="IL345" s="6"/>
      <c r="IM345" s="6"/>
      <c r="IN345" s="6"/>
      <c r="IO345" s="6"/>
      <c r="IP345" s="6"/>
      <c r="IR345" s="6"/>
      <c r="IS345" s="6"/>
      <c r="IT345" s="6"/>
      <c r="IU345" s="6"/>
      <c r="IX345" s="6"/>
      <c r="IY345" s="6"/>
      <c r="JA345" s="6"/>
      <c r="JB345" s="6"/>
    </row>
    <row r="346" spans="2:262" ht="15" customHeight="1" x14ac:dyDescent="0.25">
      <c r="B346" s="281">
        <f>SUBTOTAL(3,$D$5:D346)</f>
        <v>342</v>
      </c>
      <c r="C346" s="286">
        <v>342</v>
      </c>
      <c r="D346" s="285" t="s">
        <v>244</v>
      </c>
      <c r="E346" s="430" t="s">
        <v>2770</v>
      </c>
      <c r="F346" s="308" t="s">
        <v>2771</v>
      </c>
      <c r="G346" s="319">
        <v>46300</v>
      </c>
      <c r="H346" s="308" t="s">
        <v>247</v>
      </c>
      <c r="I346" s="308" t="s">
        <v>325</v>
      </c>
      <c r="J346" s="450"/>
      <c r="K346" s="308"/>
      <c r="L346" s="286"/>
      <c r="M346" s="325" t="s">
        <v>251</v>
      </c>
      <c r="N346" s="477">
        <v>2000</v>
      </c>
      <c r="O346" s="31" t="s">
        <v>2772</v>
      </c>
      <c r="P3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Kick Off Meeting</v>
      </c>
      <c r="R346" s="35">
        <v>0.38584905660122143</v>
      </c>
      <c r="S346" s="297">
        <f>_xlfn.XLOOKUP(Table1[[#This Row],[Nama Program]],'[2]Summary Plan'!$E:$E,'[2]Summary Plan'!$M:$M)</f>
        <v>0.57735849056195421</v>
      </c>
      <c r="T346" s="128">
        <f>Table1[[#This Row],[Progres Total Aktual
(%)]]</f>
        <v>0</v>
      </c>
      <c r="U346" s="103">
        <f>Table1[[#This Row],[Progres Aktual
(%)]]-Table1[[#This Row],[Target Progres
(%)]]</f>
        <v>-0.57735849056195421</v>
      </c>
      <c r="V346" s="75">
        <f>Table1[[#This Row],["Volume
BA MC-0"]]</f>
        <v>0</v>
      </c>
      <c r="W346" s="75">
        <f>Table1[[#This Row],[Total Panjang Pipa Aktual
(Sum-&gt;)3]]</f>
        <v>0</v>
      </c>
      <c r="X346" s="99"/>
      <c r="Y346" s="478" t="s">
        <v>2773</v>
      </c>
      <c r="Z346" s="62">
        <v>73854573626</v>
      </c>
      <c r="AA346" s="479">
        <f>ROUND((Table1[[#This Row],[Nilai RAB Jaringan
(Exclude Ppn)]]-Table1[[#This Row],[RAB Perizinan]])*1.11+Table1[[#This Row],[RAB Perizinan]],0)</f>
        <v>73854573626</v>
      </c>
      <c r="AB346" s="406">
        <f>SUM(Table1[[#This Row],[RAB Kegiatan Umum]:[RAB Perizinan]])</f>
        <v>66535651915</v>
      </c>
      <c r="AC346" s="406">
        <v>3766168977</v>
      </c>
      <c r="AD346" s="406">
        <v>62769482938</v>
      </c>
      <c r="AE346" s="406"/>
      <c r="AF346" s="406"/>
      <c r="AG346" s="406"/>
      <c r="AH346" s="480">
        <f>SUM(Table1[[#This Row],[Bobot Keg Umum]:[Bobot Perizinan]])</f>
        <v>1</v>
      </c>
      <c r="AI346" s="480">
        <f>Table1[[#This Row],[RAB Kegiatan Umum]]/Table1[[#This Row],[Nilai RAB Jaringan
(Exclude Ppn)]]</f>
        <v>5.6603773595114405E-2</v>
      </c>
      <c r="AJ346" s="480">
        <f>Table1[[#This Row],[RAB Pemasangan]]/Table1[[#This Row],[Nilai RAB Jaringan
(Exclude Ppn)]]</f>
        <v>0.94339622640488563</v>
      </c>
      <c r="AK346" s="111">
        <f>Table1[[#This Row],[RAB Pengadaan]]/Table1[[#This Row],[Nilai RAB Jaringan
(Exclude Ppn)]]</f>
        <v>0</v>
      </c>
      <c r="AL346" s="112">
        <f>Table1[[#This Row],[RAB Perizinan]]/Table1[[#This Row],[Nilai RAB Jaringan
(Exclude Ppn)]]</f>
        <v>0</v>
      </c>
      <c r="AM346" s="42"/>
      <c r="AN346" s="256"/>
      <c r="AO346" s="256">
        <f>SUM(Table1[[#This Row],[Pipa 63 mm]:[Pipa 1,800 mm]])</f>
        <v>0</v>
      </c>
      <c r="AP346" s="256"/>
      <c r="AQ346" s="256"/>
      <c r="AR346" s="256"/>
      <c r="AS346" s="256"/>
      <c r="AT346" s="256"/>
      <c r="AU346" s="256"/>
      <c r="AV346" s="256"/>
      <c r="AW346" s="256"/>
      <c r="AX346" s="256"/>
      <c r="AY346" s="256"/>
      <c r="AZ346" s="256"/>
      <c r="BA346" s="256"/>
      <c r="BB346" s="256"/>
      <c r="BC346" s="256"/>
      <c r="BD346" s="256"/>
      <c r="BE346" s="256"/>
      <c r="BF346" s="256"/>
      <c r="BG346" s="256"/>
      <c r="BH346" s="256"/>
      <c r="BI346" s="256"/>
      <c r="BJ346" s="36">
        <f>SUM(Table1[[#This Row],[Pipa 63 mm2]:[Pipa 1,800 mm21]])</f>
        <v>0</v>
      </c>
      <c r="BK346" s="32"/>
      <c r="BL346" s="32"/>
      <c r="BM346" s="32"/>
      <c r="BN346" s="32"/>
      <c r="BO346" s="32"/>
      <c r="BP346" s="32"/>
      <c r="BQ346" s="32"/>
      <c r="BR346" s="32"/>
      <c r="BS346" s="32"/>
      <c r="BT346" s="32"/>
      <c r="BU346" s="32"/>
      <c r="BV346" s="32"/>
      <c r="BW346" s="32"/>
      <c r="BX346" s="32"/>
      <c r="BY346" s="32"/>
      <c r="BZ346" s="32"/>
      <c r="CA346" s="32"/>
      <c r="CB346" s="32"/>
      <c r="CC346" s="32"/>
      <c r="CD346" s="32"/>
      <c r="CE346" s="32"/>
      <c r="CF346" s="32"/>
      <c r="CG346" s="32"/>
      <c r="CH346" s="32"/>
      <c r="CI346" s="32"/>
      <c r="CJ346" s="32">
        <f>IF((Table1[[#This Row],["Volume
BA MC-0"]]-Table1[[#This Row],[Total Panjang Pipa Aktual
(Sum-&gt;)3]]-Table1[[#This Row],[Total Volume
tidak dapat dipasang]])&gt;=0,Table1[[#This Row],["Volume
BA MC-0"]]-Table1[[#This Row],[Total Panjang Pipa Aktual
(Sum-&gt;)3]]-Table1[[#This Row],[Total Volume
tidak dapat dipasang]],0)</f>
        <v>0</v>
      </c>
      <c r="CK346" s="42"/>
      <c r="CL346" s="113"/>
      <c r="CM346" s="307"/>
      <c r="CN346" s="113"/>
      <c r="CO346" s="113"/>
      <c r="CP34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346" s="406">
        <f>IFERROR(Table1[[#This Row],[Progres Keg. Umum
(%)]]*Table1[[#This Row],[Nilai RAB Jaringan
(file pa aji)]],0)</f>
        <v>0</v>
      </c>
      <c r="CR346" s="406">
        <f>IFERROR(Table1[[#This Row],[Progres MOS
(%)]]*Table1[[#This Row],[Nilai RAB Jaringan
(file pa aji)]],0)</f>
        <v>0</v>
      </c>
      <c r="CS346" s="406">
        <f>IFERROR(Table1[[#This Row],[Progres Pemasangan
(%)]]*Table1[[#This Row],[Nilai RAB Jaringan
(file pa aji)]],0)</f>
        <v>0</v>
      </c>
      <c r="CT346" s="406">
        <f>IFERROR(Table1[[#This Row],[Progres Perizinan
(%)]]*Table1[[#This Row],[Nilai RAB Jaringan
(file pa aji)]],0)</f>
        <v>0</v>
      </c>
      <c r="CU346" s="789">
        <v>0</v>
      </c>
      <c r="CV346" s="299">
        <v>0</v>
      </c>
      <c r="CW346" s="481">
        <v>0</v>
      </c>
      <c r="CX346" s="789">
        <f>_xlfn.XLOOKUP(Table1[[#This Row],[Kode Program]],'[1]Breakdown VOWD Greenfield'!$E:$E,'[1]Breakdown VOWD Greenfield'!$AT:$AT)</f>
        <v>0</v>
      </c>
      <c r="CY346" s="42"/>
      <c r="CZ346" s="301">
        <v>45929</v>
      </c>
      <c r="DA346" s="301">
        <v>45963</v>
      </c>
      <c r="DB346" s="301">
        <v>45964</v>
      </c>
      <c r="DC346" s="286" t="s">
        <v>2774</v>
      </c>
      <c r="DD346" s="478">
        <v>17840736171.900002</v>
      </c>
      <c r="DE3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6" s="301">
        <v>45999</v>
      </c>
      <c r="DG346" s="286" t="s">
        <v>2775</v>
      </c>
      <c r="DH346" s="478">
        <v>17840736171.900002</v>
      </c>
      <c r="DI3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6" s="301">
        <v>45964</v>
      </c>
      <c r="DK346" s="301">
        <v>46110</v>
      </c>
      <c r="DL346" s="301">
        <v>46057</v>
      </c>
      <c r="DM346" s="395" t="s">
        <v>2776</v>
      </c>
      <c r="DN34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46" s="301">
        <v>46155</v>
      </c>
      <c r="DP346" s="286" t="s">
        <v>2777</v>
      </c>
      <c r="DQ346" s="308" t="s">
        <v>1352</v>
      </c>
      <c r="DR34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6" s="301">
        <v>45964</v>
      </c>
      <c r="DT346" s="301">
        <v>46158</v>
      </c>
      <c r="DU346" s="301">
        <v>46012</v>
      </c>
      <c r="DV346" s="301">
        <v>46172</v>
      </c>
      <c r="DW346" s="301">
        <v>46056</v>
      </c>
      <c r="DX346" s="548" t="s">
        <v>2778</v>
      </c>
      <c r="DY346" s="482">
        <v>148</v>
      </c>
      <c r="DZ346" s="482">
        <v>148</v>
      </c>
      <c r="EA34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6" s="301"/>
      <c r="EC346" s="304">
        <v>130</v>
      </c>
      <c r="ED346" s="304">
        <v>130</v>
      </c>
      <c r="EE346"/>
      <c r="EF346" s="307">
        <v>0.8783783783783784</v>
      </c>
      <c r="EG346" s="307">
        <f>Table1[[#This Row],[Line PO]]/Table1[[#This Row],[Line PR]]</f>
        <v>0.8783783783783784</v>
      </c>
      <c r="EH346" s="286" t="str">
        <f>IF(Table1[[#This Row],[PO Material Aktual 
(%)]]&gt;=100%,"Selesai PO = 100%",IF(Table1[[#This Row],[PO Material Aktual 
(%)]]&gt;=50%,"Proses PO &gt; 100%",IF(Table1[[#This Row],[PO Material Aktual 
(%)]]&gt;0%,"Proses PO &gt; 50%",IF(Table1[[#This Row],[PO Material Aktual 
(%)]]=0,"Belum PO = 0%"))))</f>
        <v>Proses PO &gt; 100%</v>
      </c>
      <c r="EI34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6" s="301">
        <v>46013</v>
      </c>
      <c r="EK346" s="301">
        <v>46172</v>
      </c>
      <c r="EL346" s="301">
        <v>46201</v>
      </c>
      <c r="EM346" s="301">
        <v>46187</v>
      </c>
      <c r="EN346" s="301"/>
      <c r="EO346" s="482">
        <v>6</v>
      </c>
      <c r="EP346" s="482">
        <v>6</v>
      </c>
      <c r="EQ346" s="307">
        <v>4.0540540540540543E-2</v>
      </c>
      <c r="ER346" s="307">
        <f>Table1[[#This Row],[Line MOS]]/Table1[[#This Row],[Line PR]]</f>
        <v>4.0540540540540543E-2</v>
      </c>
      <c r="ES346" s="286" t="str">
        <f>IF(Table1[[#This Row],[Progres MOS]]&gt;=100%,"Selesai MOS = 100%",IF(Table1[[#This Row],[Progres MOS]]&gt;=50%,"Proses MOS &gt; 100%",IF(Table1[[#This Row],[Progres MOS]]&gt;0%,"Proses MOS &gt; 50%",IF(Table1[[#This Row],[Progres MOS]]=0,"Belum MOS = 0%"))))</f>
        <v>Proses MOS &gt; 50%</v>
      </c>
      <c r="ET3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6" s="42"/>
      <c r="EV346" s="301">
        <v>45964</v>
      </c>
      <c r="EW346" s="301">
        <v>46153</v>
      </c>
      <c r="EX346" s="301">
        <v>46138</v>
      </c>
      <c r="EY346" s="301">
        <v>46183</v>
      </c>
      <c r="EZ346" s="322" t="s">
        <v>2779</v>
      </c>
      <c r="FA346" s="379" t="s">
        <v>2779</v>
      </c>
      <c r="FB346" s="301"/>
      <c r="FC346" s="300"/>
      <c r="FD346" s="301"/>
      <c r="FE346" s="301"/>
      <c r="FF346" s="301"/>
      <c r="FG346" s="301"/>
      <c r="FH346" s="301"/>
      <c r="FI346" s="301"/>
      <c r="FJ346" s="301"/>
      <c r="FK346" s="301"/>
      <c r="FL346" s="322" t="s">
        <v>2780</v>
      </c>
      <c r="FM346" s="322"/>
      <c r="FN346" s="308" t="str">
        <f>IF(Table1[[#This Row],[Tanggal Pengajuan Dokumen]]="","",Table1[[#This Row],[PLAN PERMIT
start]]-Table1[[#This Row],[Tanggal Pengajuan Dokumen]])</f>
        <v/>
      </c>
      <c r="FO346" s="322"/>
      <c r="FP346" s="286"/>
      <c r="FQ346" s="308"/>
      <c r="FR346" s="301" t="s">
        <v>2781</v>
      </c>
      <c r="FS346" s="308"/>
      <c r="FT3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6" s="314">
        <f ca="1">IF(Table1[[#This Row],[Status Izin]]="Selesai",Table1[[#This Row],[PLAN PERMIT
finish]]-Table1[[#This Row],[Tanggal Terbit/ Target Izin Terbit]],ROUNDUP(Table1[[#This Row],[PLAN PERMIT
finish]]-NOW(),0))</f>
        <v>-66</v>
      </c>
      <c r="FV3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6" s="314"/>
      <c r="FX346" s="42"/>
      <c r="FY346" s="483">
        <v>46097</v>
      </c>
      <c r="FZ346" s="483">
        <v>46097</v>
      </c>
      <c r="GA34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46" s="301">
        <v>46111</v>
      </c>
      <c r="GC346" s="322">
        <v>46162</v>
      </c>
      <c r="GD3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46" s="301">
        <v>46118</v>
      </c>
      <c r="GF346" s="322">
        <v>46162</v>
      </c>
      <c r="GG3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46" s="301">
        <v>46125</v>
      </c>
      <c r="GI346" s="301">
        <v>46131</v>
      </c>
      <c r="GJ346" s="322"/>
      <c r="GK3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6" s="301">
        <v>46139</v>
      </c>
      <c r="GM346" s="301">
        <v>46190</v>
      </c>
      <c r="GN346" s="301">
        <v>46222</v>
      </c>
      <c r="GO346" s="300">
        <v>46275</v>
      </c>
      <c r="GP346" s="286"/>
      <c r="GQ3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6" s="301"/>
      <c r="GS346" s="301"/>
      <c r="GT346" s="324"/>
      <c r="GU346" s="314" t="str">
        <f>IF(Table1[[#This Row],[Hydro Tes Actual
(tanggal)]]&lt;&gt;"","Sudah","Belum")</f>
        <v>Belum</v>
      </c>
      <c r="GV346" s="300"/>
      <c r="GW346" s="300"/>
      <c r="GX346" s="301"/>
      <c r="GY346" s="314" t="str">
        <f>IF(Table1[[#This Row],[Interkoneksi Actual
(tanggal)]]&lt;&gt;"","Sudah","Belum")</f>
        <v>Belum</v>
      </c>
      <c r="GZ346" s="300"/>
      <c r="HA346" s="300"/>
      <c r="HB346" s="301"/>
      <c r="HC346" s="314" t="str">
        <f>IF(Table1[[#This Row],[Flushing Actual
(tanggal)]]&lt;&gt;"","Sudah","Belum")</f>
        <v>Belum</v>
      </c>
      <c r="HD346" s="301">
        <v>46225</v>
      </c>
      <c r="HE346" s="301">
        <v>46293</v>
      </c>
      <c r="HF346" s="301">
        <v>46230</v>
      </c>
      <c r="HG346" s="322"/>
      <c r="HH3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6" s="300"/>
      <c r="HJ346" s="300"/>
      <c r="HK346" s="301"/>
      <c r="HL346" s="301"/>
      <c r="HM346" s="301">
        <v>46247</v>
      </c>
      <c r="HN346" s="301">
        <v>46247</v>
      </c>
      <c r="HO346" s="300">
        <v>46293</v>
      </c>
      <c r="HP346" s="300"/>
      <c r="HQ346" s="301"/>
      <c r="HR3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6" s="301">
        <v>46255</v>
      </c>
      <c r="HT346" s="301"/>
      <c r="HU346" s="301">
        <v>46255</v>
      </c>
      <c r="HV346" s="390">
        <v>46298</v>
      </c>
      <c r="HW346" s="365"/>
      <c r="HX34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6" s="42"/>
      <c r="HZ346" s="322"/>
      <c r="IA346" s="306"/>
      <c r="IB346" s="67"/>
      <c r="IC346" s="585">
        <f>IFERROR(ROUND((Table1[[#This Row],[PLAN TC
finish]]-Table1[[#This Row],[PLAN MC-0
start]])/30,2),"")</f>
        <v>3.5</v>
      </c>
      <c r="ID346">
        <f>DATEDIF(Table1[[#This Row],[PLAN MC-0
start]],Table1[[#This Row],[PLAN TC
finish]],"m")</f>
        <v>3</v>
      </c>
      <c r="IE346" s="6"/>
      <c r="IF346" s="6"/>
      <c r="IG346" s="67"/>
      <c r="II346" s="6"/>
      <c r="IJ346" s="4"/>
      <c r="IK346" s="4"/>
      <c r="IL346" s="6"/>
      <c r="IM346" s="6"/>
      <c r="IN346" s="6"/>
      <c r="IO346" s="6"/>
      <c r="IP346" s="6"/>
      <c r="IR346" s="6"/>
      <c r="IS346" s="6"/>
      <c r="IT346" s="6"/>
      <c r="IU346" s="6"/>
      <c r="IX346" s="6"/>
      <c r="IY346" s="6"/>
      <c r="JA346" s="6"/>
      <c r="JB346" s="6"/>
    </row>
    <row r="347" spans="2:262" ht="15" customHeight="1" x14ac:dyDescent="0.25">
      <c r="B347" s="281">
        <f>SUBTOTAL(3,$D$5:D347)</f>
        <v>343</v>
      </c>
      <c r="C347" s="286">
        <v>343</v>
      </c>
      <c r="D347" s="285" t="s">
        <v>244</v>
      </c>
      <c r="E347" s="430" t="s">
        <v>2782</v>
      </c>
      <c r="F347" s="308" t="s">
        <v>2783</v>
      </c>
      <c r="G347" s="319">
        <v>46300</v>
      </c>
      <c r="H347" s="308" t="s">
        <v>247</v>
      </c>
      <c r="I347" s="308" t="s">
        <v>1212</v>
      </c>
      <c r="J347" s="450"/>
      <c r="K347" s="308"/>
      <c r="L347" s="286"/>
      <c r="M347" s="325" t="s">
        <v>269</v>
      </c>
      <c r="N347" s="477">
        <v>1</v>
      </c>
      <c r="O347" s="31" t="s">
        <v>1214</v>
      </c>
      <c r="P3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7" s="35">
        <v>0.51491263175042556</v>
      </c>
      <c r="S347" s="297">
        <f>_xlfn.XLOOKUP(Table1[[#This Row],[Nama Program]],'[2]Summary Plan'!$E:$E,'[2]Summary Plan'!$M:$M)</f>
        <v>0.65938280301251961</v>
      </c>
      <c r="T347" s="128">
        <f>Table1[[#This Row],[Progres Total Aktual
(%)]]</f>
        <v>7.0282360733240914E-2</v>
      </c>
      <c r="U347" s="103">
        <f>Table1[[#This Row],[Progres Aktual
(%)]]-Table1[[#This Row],[Target Progres
(%)]]</f>
        <v>-0.58910044227927871</v>
      </c>
      <c r="V347" s="75">
        <f>Table1[[#This Row],["Volume
BA MC-0"]]</f>
        <v>0</v>
      </c>
      <c r="W347" s="75">
        <f>Table1[[#This Row],[Total Panjang Pipa Aktual
(Sum-&gt;)3]]</f>
        <v>0</v>
      </c>
      <c r="X347" s="99"/>
      <c r="Y347" s="478" t="s">
        <v>2784</v>
      </c>
      <c r="Z347" s="62">
        <v>4190030534</v>
      </c>
      <c r="AA347" s="479">
        <f>ROUND((Table1[[#This Row],[Nilai RAB Jaringan
(Exclude Ppn)]]-Table1[[#This Row],[RAB Perizinan]])*1.11+Table1[[#This Row],[RAB Perizinan]],0)</f>
        <v>4190030534</v>
      </c>
      <c r="AB347" s="406">
        <f>SUM(Table1[[#This Row],[RAB Kegiatan Umum]:[RAB Perizinan]])</f>
        <v>3776654758</v>
      </c>
      <c r="AC347" s="406">
        <v>235176103</v>
      </c>
      <c r="AD347" s="406">
        <v>2351761030</v>
      </c>
      <c r="AE347" s="406">
        <v>1171024465</v>
      </c>
      <c r="AF347" s="406">
        <v>18693160</v>
      </c>
      <c r="AG347" s="406"/>
      <c r="AH347" s="480">
        <f>SUM(Table1[[#This Row],[Bobot Keg Umum]:[Bobot Perizinan]])</f>
        <v>1</v>
      </c>
      <c r="AI347" s="480">
        <f>Table1[[#This Row],[RAB Kegiatan Umum]]/Table1[[#This Row],[Nilai RAB Jaringan
(Exclude Ppn)]]</f>
        <v>6.2271009152168842E-2</v>
      </c>
      <c r="AJ347" s="480">
        <f>Table1[[#This Row],[RAB Pemasangan]]/Table1[[#This Row],[Nilai RAB Jaringan
(Exclude Ppn)]]</f>
        <v>0.62271009152168844</v>
      </c>
      <c r="AK347" s="111">
        <f>Table1[[#This Row],[RAB Pengadaan]]/Table1[[#This Row],[Nilai RAB Jaringan
(Exclude Ppn)]]</f>
        <v>0.31006923852900403</v>
      </c>
      <c r="AL347" s="112">
        <f>Table1[[#This Row],[RAB Perizinan]]/Table1[[#This Row],[Nilai RAB Jaringan
(Exclude Ppn)]]</f>
        <v>4.9496607971387151E-3</v>
      </c>
      <c r="AM347" s="42"/>
      <c r="AN347" s="256"/>
      <c r="AO347" s="256">
        <f>SUM(Table1[[#This Row],[Pipa 63 mm]:[Pipa 1,800 mm]])</f>
        <v>0</v>
      </c>
      <c r="AP347" s="256"/>
      <c r="AQ347" s="256"/>
      <c r="AR347" s="256"/>
      <c r="AS347" s="256"/>
      <c r="AT347" s="256"/>
      <c r="AU347" s="256"/>
      <c r="AV347" s="256"/>
      <c r="AW347" s="256"/>
      <c r="AX347" s="256"/>
      <c r="AY347" s="256"/>
      <c r="AZ347" s="256"/>
      <c r="BA347" s="256"/>
      <c r="BB347" s="256"/>
      <c r="BC347" s="256"/>
      <c r="BD347" s="256"/>
      <c r="BE347" s="256"/>
      <c r="BF347" s="256"/>
      <c r="BG347" s="256"/>
      <c r="BH347" s="256"/>
      <c r="BI347" s="256"/>
      <c r="BJ347" s="36">
        <f>SUM(Table1[[#This Row],[Pipa 63 mm2]:[Pipa 1,800 mm21]])</f>
        <v>0</v>
      </c>
      <c r="BK347" s="32"/>
      <c r="BL347" s="32"/>
      <c r="BM347" s="32"/>
      <c r="BN347" s="32"/>
      <c r="BO347" s="32"/>
      <c r="BP347" s="32"/>
      <c r="BQ347" s="32"/>
      <c r="BR347" s="32"/>
      <c r="BS347" s="32"/>
      <c r="BT347" s="32"/>
      <c r="BU347" s="32"/>
      <c r="BV347" s="32"/>
      <c r="BW347" s="32"/>
      <c r="BX347" s="32"/>
      <c r="BY347" s="32"/>
      <c r="BZ347" s="32"/>
      <c r="CA347" s="32"/>
      <c r="CB347" s="32"/>
      <c r="CC347" s="32"/>
      <c r="CD347" s="32"/>
      <c r="CE347" s="32"/>
      <c r="CF347" s="32"/>
      <c r="CG347" s="32"/>
      <c r="CH347" s="32"/>
      <c r="CI347" s="32"/>
      <c r="CJ347" s="32">
        <f>IF((Table1[[#This Row],["Volume
BA MC-0"]]-Table1[[#This Row],[Total Panjang Pipa Aktual
(Sum-&gt;)3]]-Table1[[#This Row],[Total Volume
tidak dapat dipasang]])&gt;=0,Table1[[#This Row],["Volume
BA MC-0"]]-Table1[[#This Row],[Total Panjang Pipa Aktual
(Sum-&gt;)3]]-Table1[[#This Row],[Total Volume
tidak dapat dipasang]],0)</f>
        <v>0</v>
      </c>
      <c r="CK347" s="42"/>
      <c r="CL347" s="113"/>
      <c r="CM347" s="307"/>
      <c r="CN347" s="113"/>
      <c r="CO347" s="113"/>
      <c r="CP34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7.0282360733240914E-2</v>
      </c>
      <c r="CQ347" s="406">
        <f>IFERROR(Table1[[#This Row],[Progres Keg. Umum
(%)]]*Table1[[#This Row],[Nilai RAB Jaringan
(file pa aji)]],0)</f>
        <v>0</v>
      </c>
      <c r="CR347" s="406">
        <f>IFERROR(Table1[[#This Row],[Progres MOS
(%)]]*Table1[[#This Row],[Nilai RAB Jaringan
(file pa aji)]],0)</f>
        <v>0</v>
      </c>
      <c r="CS347" s="406">
        <f>IFERROR(Table1[[#This Row],[Progres Pemasangan
(%)]]*Table1[[#This Row],[Nilai RAB Jaringan
(file pa aji)]],0)</f>
        <v>0</v>
      </c>
      <c r="CT347" s="406">
        <f>IFERROR(Table1[[#This Row],[Progres Perizinan
(%)]]*Table1[[#This Row],[Nilai RAB Jaringan
(file pa aji)]],0)</f>
        <v>0</v>
      </c>
      <c r="CU347" s="789">
        <v>0</v>
      </c>
      <c r="CV347" s="299">
        <v>0</v>
      </c>
      <c r="CW347" s="481">
        <v>0</v>
      </c>
      <c r="CX347" s="789">
        <f>_xlfn.XLOOKUP(Table1[[#This Row],[Kode Program]],'[1]Breakdown VOWD Greenfield'!$E:$E,'[1]Breakdown VOWD Greenfield'!$AT:$AT)</f>
        <v>0</v>
      </c>
      <c r="CY347" s="42"/>
      <c r="CZ347" s="301">
        <v>45929</v>
      </c>
      <c r="DA347" s="301">
        <v>45963</v>
      </c>
      <c r="DB347" s="301">
        <v>46076</v>
      </c>
      <c r="DC347" s="286" t="s">
        <v>2785</v>
      </c>
      <c r="DD347" s="478"/>
      <c r="DE3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7" s="301">
        <v>46086</v>
      </c>
      <c r="DG347" s="286" t="s">
        <v>2786</v>
      </c>
      <c r="DH347" s="484"/>
      <c r="DI3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7" s="301">
        <v>45964</v>
      </c>
      <c r="DK347" s="301">
        <v>46110</v>
      </c>
      <c r="DL347" s="301">
        <v>46124</v>
      </c>
      <c r="DM347" s="286" t="s">
        <v>2787</v>
      </c>
      <c r="DN34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7" s="301">
        <v>46164</v>
      </c>
      <c r="DP347" s="286" t="s">
        <v>2788</v>
      </c>
      <c r="DQ347" s="308" t="s">
        <v>365</v>
      </c>
      <c r="DR34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7" s="301">
        <v>45964</v>
      </c>
      <c r="DT347" s="301">
        <v>46158</v>
      </c>
      <c r="DU347" s="301">
        <v>46012</v>
      </c>
      <c r="DV347" s="301">
        <v>46172</v>
      </c>
      <c r="DW347" s="301">
        <v>46093</v>
      </c>
      <c r="DX347" s="286" t="s">
        <v>2789</v>
      </c>
      <c r="DY347" s="304">
        <v>45</v>
      </c>
      <c r="DZ347" s="304">
        <v>45</v>
      </c>
      <c r="EA34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7" s="301"/>
      <c r="EC347" s="302">
        <v>40</v>
      </c>
      <c r="ED347" s="302">
        <v>40</v>
      </c>
      <c r="EE347" s="100"/>
      <c r="EF347" s="307">
        <v>0.88888888888888884</v>
      </c>
      <c r="EG347" s="307">
        <f>Table1[[#This Row],[Line PO]]/Table1[[#This Row],[Line PR]]</f>
        <v>0.88888888888888884</v>
      </c>
      <c r="EH347" s="286" t="str">
        <f>IF(Table1[[#This Row],[PO Material Aktual 
(%)]]&gt;=100%,"Selesai PO = 100%",IF(Table1[[#This Row],[PO Material Aktual 
(%)]]&gt;=50%,"Proses PO &gt; 100%",IF(Table1[[#This Row],[PO Material Aktual 
(%)]]&gt;0%,"Proses PO &gt; 50%",IF(Table1[[#This Row],[PO Material Aktual 
(%)]]=0,"Belum PO = 0%"))))</f>
        <v>Proses PO &gt; 100%</v>
      </c>
      <c r="EI34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7" s="301">
        <v>46013</v>
      </c>
      <c r="EK347" s="301">
        <v>46172</v>
      </c>
      <c r="EL347" s="301">
        <v>46201</v>
      </c>
      <c r="EM347" s="301">
        <v>46187</v>
      </c>
      <c r="EN347" s="301"/>
      <c r="EO347" s="302">
        <v>17</v>
      </c>
      <c r="EP347" s="302">
        <v>17</v>
      </c>
      <c r="EQ347" s="307">
        <v>0.37777777777777777</v>
      </c>
      <c r="ER347" s="307">
        <f>Table1[[#This Row],[Line MOS (kolom bantu)]]/Table1[[#This Row],[Line PR]]</f>
        <v>0.37777777777777777</v>
      </c>
      <c r="ES347" s="286" t="str">
        <f>IF(Table1[[#This Row],[Progres MOS]]&gt;=100%,"Selesai MOS = 100%",IF(Table1[[#This Row],[Progres MOS]]&gt;=50%,"Proses MOS &gt; 100%",IF(Table1[[#This Row],[Progres MOS]]&gt;0%,"Proses MOS &gt; 50%",IF(Table1[[#This Row],[Progres MOS]]=0,"Belum MOS = 0%"))))</f>
        <v>Proses MOS &gt; 50%</v>
      </c>
      <c r="ET3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7" s="42"/>
      <c r="EV347" s="301">
        <v>45964</v>
      </c>
      <c r="EW347" s="301">
        <v>46153</v>
      </c>
      <c r="EX347" s="301">
        <v>46138</v>
      </c>
      <c r="EY347" s="301">
        <v>46183</v>
      </c>
      <c r="EZ347" s="322" t="s">
        <v>2779</v>
      </c>
      <c r="FA347" s="379" t="s">
        <v>2779</v>
      </c>
      <c r="FB347" s="301"/>
      <c r="FC347" s="300"/>
      <c r="FD347" s="301"/>
      <c r="FE347" s="301"/>
      <c r="FF347" s="301"/>
      <c r="FG347" s="301"/>
      <c r="FH347" s="301"/>
      <c r="FI347" s="301"/>
      <c r="FJ347" s="301"/>
      <c r="FK347" s="301"/>
      <c r="FL347" s="322" t="s">
        <v>2780</v>
      </c>
      <c r="FM347" s="322"/>
      <c r="FN347" s="308" t="str">
        <f>IF(Table1[[#This Row],[Tanggal Pengajuan Dokumen]]="","",Table1[[#This Row],[PLAN PERMIT
start]]-Table1[[#This Row],[Tanggal Pengajuan Dokumen]])</f>
        <v/>
      </c>
      <c r="FO347" s="322"/>
      <c r="FP347" s="286" t="s">
        <v>923</v>
      </c>
      <c r="FQ347" s="308"/>
      <c r="FR347" s="301"/>
      <c r="FS347" s="308"/>
      <c r="FT3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7" s="314">
        <f ca="1">IF(Table1[[#This Row],[Status Izin]]="Selesai",Table1[[#This Row],[PLAN PERMIT
finish]]-Table1[[#This Row],[Tanggal Terbit/ Target Izin Terbit]],ROUNDUP(Table1[[#This Row],[PLAN PERMIT
finish]]-NOW(),0))</f>
        <v>-66</v>
      </c>
      <c r="FV3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7" s="314"/>
      <c r="FX347" s="42"/>
      <c r="FY347" s="483">
        <v>46097</v>
      </c>
      <c r="FZ347" s="483" t="s">
        <v>2767</v>
      </c>
      <c r="GA34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7" s="301">
        <v>46111</v>
      </c>
      <c r="GC347" s="322"/>
      <c r="GD3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7" s="301">
        <v>46118</v>
      </c>
      <c r="GF347" s="322"/>
      <c r="GG3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7" s="301">
        <v>46125</v>
      </c>
      <c r="GI347" s="301">
        <v>46131</v>
      </c>
      <c r="GJ347" s="322"/>
      <c r="GK3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7" s="301">
        <v>46139</v>
      </c>
      <c r="GM347" s="301">
        <v>46190</v>
      </c>
      <c r="GN347" s="301">
        <v>46222</v>
      </c>
      <c r="GO347" s="300">
        <v>46275</v>
      </c>
      <c r="GP347" s="286"/>
      <c r="GQ3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7" s="301"/>
      <c r="GS347" s="301"/>
      <c r="GT347" s="324"/>
      <c r="GU347" s="314" t="str">
        <f>IF(Table1[[#This Row],[Hydro Tes Actual
(tanggal)]]&lt;&gt;"","Sudah","Belum")</f>
        <v>Belum</v>
      </c>
      <c r="GV347" s="300"/>
      <c r="GW347" s="300"/>
      <c r="GX347" s="301"/>
      <c r="GY347" s="314" t="str">
        <f>IF(Table1[[#This Row],[Interkoneksi Actual
(tanggal)]]&lt;&gt;"","Sudah","Belum")</f>
        <v>Belum</v>
      </c>
      <c r="GZ347" s="300"/>
      <c r="HA347" s="300"/>
      <c r="HB347" s="301"/>
      <c r="HC347" s="314" t="str">
        <f>IF(Table1[[#This Row],[Flushing Actual
(tanggal)]]&lt;&gt;"","Sudah","Belum")</f>
        <v>Belum</v>
      </c>
      <c r="HD347" s="301">
        <v>46225</v>
      </c>
      <c r="HE347" s="301">
        <v>46293</v>
      </c>
      <c r="HF347" s="301">
        <v>46230</v>
      </c>
      <c r="HG347" s="322"/>
      <c r="HH3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7" s="300"/>
      <c r="HJ347" s="300"/>
      <c r="HK347" s="301"/>
      <c r="HL347" s="301"/>
      <c r="HM347" s="301">
        <v>46247</v>
      </c>
      <c r="HN347" s="301">
        <v>46247</v>
      </c>
      <c r="HO347" s="300">
        <v>46293</v>
      </c>
      <c r="HP347" s="300"/>
      <c r="HQ347" s="301"/>
      <c r="HR3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7" s="301">
        <v>46255</v>
      </c>
      <c r="HT347" s="301"/>
      <c r="HU347" s="301">
        <v>46255</v>
      </c>
      <c r="HV347" s="390">
        <v>46298</v>
      </c>
      <c r="HW347" s="365"/>
      <c r="HX34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7" s="42"/>
      <c r="HZ347" s="322"/>
      <c r="IA347" s="306"/>
      <c r="IB347" s="67"/>
      <c r="IC347" s="585">
        <f>IFERROR(ROUND((Table1[[#This Row],[PLAN TC
finish]]-Table1[[#This Row],[PLAN MC-0
start]])/30,2),"")</f>
        <v>3.5</v>
      </c>
      <c r="ID347">
        <f>DATEDIF(Table1[[#This Row],[PLAN MC-0
start]],Table1[[#This Row],[PLAN TC
finish]],"m")</f>
        <v>3</v>
      </c>
      <c r="IE347" s="6"/>
      <c r="IF347" s="6"/>
      <c r="IG347" s="67"/>
      <c r="II347" s="6"/>
      <c r="IJ347" s="4"/>
      <c r="IK347" s="4"/>
      <c r="IL347" s="6"/>
      <c r="IM347" s="6"/>
      <c r="IN347" s="6"/>
      <c r="IO347" s="6"/>
      <c r="IP347" s="6"/>
      <c r="IR347" s="6"/>
      <c r="IS347" s="6"/>
      <c r="IT347" s="6"/>
      <c r="IU347" s="6"/>
      <c r="IX347" s="6"/>
      <c r="IY347" s="6"/>
      <c r="JA347" s="6"/>
      <c r="JB347" s="6"/>
    </row>
    <row r="348" spans="2:262" ht="15" customHeight="1" x14ac:dyDescent="0.25">
      <c r="B348" s="281">
        <f>SUBTOTAL(3,$D$5:D348)</f>
        <v>344</v>
      </c>
      <c r="C348" s="286">
        <v>344</v>
      </c>
      <c r="D348" s="285" t="s">
        <v>244</v>
      </c>
      <c r="E348" s="430" t="s">
        <v>2790</v>
      </c>
      <c r="F348" s="308" t="s">
        <v>2791</v>
      </c>
      <c r="G348" s="319">
        <v>46300</v>
      </c>
      <c r="H348" s="308" t="s">
        <v>247</v>
      </c>
      <c r="I348" s="308" t="s">
        <v>1212</v>
      </c>
      <c r="J348" s="450"/>
      <c r="K348" s="308"/>
      <c r="L348" s="286"/>
      <c r="M348" s="325" t="s">
        <v>269</v>
      </c>
      <c r="N348" s="477">
        <v>1</v>
      </c>
      <c r="O348" s="31" t="s">
        <v>1214</v>
      </c>
      <c r="P3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8" s="35">
        <v>0.47407609351764046</v>
      </c>
      <c r="S348" s="297">
        <f>_xlfn.XLOOKUP(Table1[[#This Row],[Nama Program]],'[2]Summary Plan'!$E:$E,'[2]Summary Plan'!$M:$M)</f>
        <v>0.63098598174765042</v>
      </c>
      <c r="T348" s="128">
        <f>Table1[[#This Row],[Progres Total Aktual
(%)]]</f>
        <v>4.6577953502206303E-2</v>
      </c>
      <c r="U348" s="103">
        <f>Table1[[#This Row],[Progres Aktual
(%)]]-Table1[[#This Row],[Target Progres
(%)]]</f>
        <v>-0.58440802824544413</v>
      </c>
      <c r="V348" s="75">
        <f>Table1[[#This Row],["Volume
BA MC-0"]]</f>
        <v>0</v>
      </c>
      <c r="W348" s="75">
        <f>Table1[[#This Row],[Total Panjang Pipa Aktual
(Sum-&gt;)3]]</f>
        <v>0</v>
      </c>
      <c r="X348" s="99"/>
      <c r="Y348" s="478" t="s">
        <v>2792</v>
      </c>
      <c r="Z348" s="62">
        <v>3505797266</v>
      </c>
      <c r="AA348" s="479">
        <f>ROUND((Table1[[#This Row],[Nilai RAB Jaringan
(Exclude Ppn)]]-Table1[[#This Row],[RAB Perizinan]])*1.11+Table1[[#This Row],[RAB Perizinan]],0)</f>
        <v>3505797266</v>
      </c>
      <c r="AB348" s="406">
        <f>SUM(Table1[[#This Row],[RAB Kegiatan Umum]:[RAB Perizinan]])</f>
        <v>3160569773</v>
      </c>
      <c r="AC348" s="406">
        <v>223973281</v>
      </c>
      <c r="AD348" s="406">
        <v>2239732810</v>
      </c>
      <c r="AE348" s="406">
        <v>674725663</v>
      </c>
      <c r="AF348" s="406">
        <v>22138019</v>
      </c>
      <c r="AG348" s="406"/>
      <c r="AH348" s="480">
        <f>SUM(Table1[[#This Row],[Bobot Keg Umum]:[Bobot Perizinan]])</f>
        <v>1</v>
      </c>
      <c r="AI348" s="480">
        <f>Table1[[#This Row],[RAB Kegiatan Umum]]/Table1[[#This Row],[Nilai RAB Jaringan
(Exclude Ppn)]]</f>
        <v>7.0864843077773743E-2</v>
      </c>
      <c r="AJ348" s="480">
        <f>Table1[[#This Row],[RAB Pemasangan]]/Table1[[#This Row],[Nilai RAB Jaringan
(Exclude Ppn)]]</f>
        <v>0.70864843077773754</v>
      </c>
      <c r="AK348" s="111">
        <f>Table1[[#This Row],[RAB Pengadaan]]/Table1[[#This Row],[Nilai RAB Jaringan
(Exclude Ppn)]]</f>
        <v>0.21348228688511223</v>
      </c>
      <c r="AL348" s="112">
        <f>Table1[[#This Row],[RAB Perizinan]]/Table1[[#This Row],[Nilai RAB Jaringan
(Exclude Ppn)]]</f>
        <v>7.0044392593765405E-3</v>
      </c>
      <c r="AM348" s="42"/>
      <c r="AN348" s="256"/>
      <c r="AO348" s="256">
        <f>SUM(Table1[[#This Row],[Pipa 63 mm]:[Pipa 1,800 mm]])</f>
        <v>0</v>
      </c>
      <c r="AP348" s="256"/>
      <c r="AQ348" s="256"/>
      <c r="AR348" s="256"/>
      <c r="AS348" s="256"/>
      <c r="AT348" s="256"/>
      <c r="AU348" s="256"/>
      <c r="AV348" s="256"/>
      <c r="AW348" s="256"/>
      <c r="AX348" s="256"/>
      <c r="AY348" s="256"/>
      <c r="AZ348" s="256"/>
      <c r="BA348" s="256"/>
      <c r="BB348" s="256"/>
      <c r="BC348" s="256"/>
      <c r="BD348" s="256"/>
      <c r="BE348" s="256"/>
      <c r="BF348" s="256"/>
      <c r="BG348" s="256"/>
      <c r="BH348" s="256"/>
      <c r="BI348" s="256"/>
      <c r="BJ348" s="36">
        <f>SUM(Table1[[#This Row],[Pipa 63 mm2]:[Pipa 1,800 mm21]])</f>
        <v>0</v>
      </c>
      <c r="BK348" s="32"/>
      <c r="BL348" s="32"/>
      <c r="BM348" s="32"/>
      <c r="BN348" s="32"/>
      <c r="BO348" s="32"/>
      <c r="BP348" s="32"/>
      <c r="BQ348" s="32"/>
      <c r="BR348" s="32"/>
      <c r="BS348" s="32"/>
      <c r="BT348" s="32"/>
      <c r="BU348" s="32"/>
      <c r="BV348" s="32"/>
      <c r="BW348" s="32"/>
      <c r="BX348" s="32"/>
      <c r="BY348" s="32"/>
      <c r="BZ348" s="32"/>
      <c r="CA348" s="32"/>
      <c r="CB348" s="32"/>
      <c r="CC348" s="32"/>
      <c r="CD348" s="32"/>
      <c r="CE348" s="32"/>
      <c r="CF348" s="32"/>
      <c r="CG348" s="32"/>
      <c r="CH348" s="32"/>
      <c r="CI348" s="32"/>
      <c r="CJ348" s="32">
        <f>IF((Table1[[#This Row],["Volume
BA MC-0"]]-Table1[[#This Row],[Total Panjang Pipa Aktual
(Sum-&gt;)3]]-Table1[[#This Row],[Total Volume
tidak dapat dipasang]])&gt;=0,Table1[[#This Row],["Volume
BA MC-0"]]-Table1[[#This Row],[Total Panjang Pipa Aktual
(Sum-&gt;)3]]-Table1[[#This Row],[Total Volume
tidak dapat dipasang]],0)</f>
        <v>0</v>
      </c>
      <c r="CK348" s="42"/>
      <c r="CL348" s="113"/>
      <c r="CM348" s="307"/>
      <c r="CN348" s="113"/>
      <c r="CO348" s="113"/>
      <c r="CP34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4.6577953502206303E-2</v>
      </c>
      <c r="CQ348" s="406">
        <f>IFERROR(Table1[[#This Row],[Progres Keg. Umum
(%)]]*Table1[[#This Row],[Nilai RAB Jaringan
(file pa aji)]],0)</f>
        <v>0</v>
      </c>
      <c r="CR348" s="406">
        <f>IFERROR(Table1[[#This Row],[Progres MOS
(%)]]*Table1[[#This Row],[Nilai RAB Jaringan
(file pa aji)]],0)</f>
        <v>0</v>
      </c>
      <c r="CS348" s="406">
        <f>IFERROR(Table1[[#This Row],[Progres Pemasangan
(%)]]*Table1[[#This Row],[Nilai RAB Jaringan
(file pa aji)]],0)</f>
        <v>0</v>
      </c>
      <c r="CT348" s="406">
        <f>IFERROR(Table1[[#This Row],[Progres Perizinan
(%)]]*Table1[[#This Row],[Nilai RAB Jaringan
(file pa aji)]],0)</f>
        <v>0</v>
      </c>
      <c r="CU348" s="789">
        <v>0</v>
      </c>
      <c r="CV348" s="299">
        <v>0</v>
      </c>
      <c r="CW348" s="481">
        <v>0</v>
      </c>
      <c r="CX348" s="789">
        <f>_xlfn.XLOOKUP(Table1[[#This Row],[Kode Program]],'[1]Breakdown VOWD Greenfield'!$E:$E,'[1]Breakdown VOWD Greenfield'!$AT:$AT)</f>
        <v>0</v>
      </c>
      <c r="CY348" s="42"/>
      <c r="CZ348" s="301">
        <v>45929</v>
      </c>
      <c r="DA348" s="301">
        <v>45963</v>
      </c>
      <c r="DB348" s="301">
        <v>46076</v>
      </c>
      <c r="DC348" s="286" t="s">
        <v>2793</v>
      </c>
      <c r="DD348" s="478"/>
      <c r="DE3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8" s="301">
        <v>46091</v>
      </c>
      <c r="DG348" s="286" t="s">
        <v>2794</v>
      </c>
      <c r="DH348" s="484"/>
      <c r="DI3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8" s="301">
        <v>45964</v>
      </c>
      <c r="DK348" s="301">
        <v>46110</v>
      </c>
      <c r="DL348" s="301">
        <v>46121</v>
      </c>
      <c r="DM348" s="286" t="s">
        <v>2789</v>
      </c>
      <c r="DN34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8" s="301">
        <v>46164</v>
      </c>
      <c r="DP348" s="286" t="s">
        <v>2795</v>
      </c>
      <c r="DQ348" s="308" t="s">
        <v>365</v>
      </c>
      <c r="DR34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8" s="301">
        <v>45964</v>
      </c>
      <c r="DT348" s="301">
        <v>46158</v>
      </c>
      <c r="DU348" s="301">
        <v>46012</v>
      </c>
      <c r="DV348" s="301">
        <v>46172</v>
      </c>
      <c r="DW348" s="301">
        <v>46121</v>
      </c>
      <c r="DX348" s="286" t="s">
        <v>2796</v>
      </c>
      <c r="DY348" s="304">
        <v>44</v>
      </c>
      <c r="DZ348" s="304">
        <v>44</v>
      </c>
      <c r="EA34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8" s="301"/>
      <c r="EC348" s="302">
        <v>40</v>
      </c>
      <c r="ED348" s="302">
        <v>40</v>
      </c>
      <c r="EE348" s="100"/>
      <c r="EF348" s="307">
        <v>0.90909090909090906</v>
      </c>
      <c r="EG348" s="307">
        <f>Table1[[#This Row],[Line PO]]/Table1[[#This Row],[Line PR]]</f>
        <v>0.90909090909090906</v>
      </c>
      <c r="EH348" s="286" t="str">
        <f>IF(Table1[[#This Row],[PO Material Aktual 
(%)]]&gt;=100%,"Selesai PO = 100%",IF(Table1[[#This Row],[PO Material Aktual 
(%)]]&gt;=50%,"Proses PO &gt; 100%",IF(Table1[[#This Row],[PO Material Aktual 
(%)]]&gt;0%,"Proses PO &gt; 50%",IF(Table1[[#This Row],[PO Material Aktual 
(%)]]=0,"Belum PO = 0%"))))</f>
        <v>Proses PO &gt; 100%</v>
      </c>
      <c r="EI34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8" s="301">
        <v>46013</v>
      </c>
      <c r="EK348" s="301">
        <v>46172</v>
      </c>
      <c r="EL348" s="301">
        <v>46201</v>
      </c>
      <c r="EM348" s="301">
        <v>46187</v>
      </c>
      <c r="EN348" s="301"/>
      <c r="EO348" s="302">
        <v>16</v>
      </c>
      <c r="EP348" s="302">
        <v>16</v>
      </c>
      <c r="EQ348" s="307">
        <v>0.36363636363636365</v>
      </c>
      <c r="ER348" s="307">
        <f>Table1[[#This Row],[Line MOS (kolom bantu)]]/Table1[[#This Row],[Line PR]]</f>
        <v>0.36363636363636365</v>
      </c>
      <c r="ES348" s="286" t="str">
        <f>IF(Table1[[#This Row],[Progres MOS]]&gt;=100%,"Selesai MOS = 100%",IF(Table1[[#This Row],[Progres MOS]]&gt;=50%,"Proses MOS &gt; 100%",IF(Table1[[#This Row],[Progres MOS]]&gt;0%,"Proses MOS &gt; 50%",IF(Table1[[#This Row],[Progres MOS]]=0,"Belum MOS = 0%"))))</f>
        <v>Proses MOS &gt; 50%</v>
      </c>
      <c r="ET3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8" s="42"/>
      <c r="EV348" s="301">
        <v>45964</v>
      </c>
      <c r="EW348" s="301">
        <v>46153</v>
      </c>
      <c r="EX348" s="301">
        <v>46138</v>
      </c>
      <c r="EY348" s="301">
        <v>46183</v>
      </c>
      <c r="EZ348" s="322" t="s">
        <v>2779</v>
      </c>
      <c r="FA348" s="379" t="s">
        <v>2779</v>
      </c>
      <c r="FB348" s="301"/>
      <c r="FC348" s="300"/>
      <c r="FD348" s="301"/>
      <c r="FE348" s="301"/>
      <c r="FF348" s="301"/>
      <c r="FG348" s="301"/>
      <c r="FH348" s="301"/>
      <c r="FI348" s="301"/>
      <c r="FJ348" s="301"/>
      <c r="FK348" s="301"/>
      <c r="FL348" s="322" t="s">
        <v>2780</v>
      </c>
      <c r="FM348" s="322"/>
      <c r="FN348" s="308" t="str">
        <f>IF(Table1[[#This Row],[Tanggal Pengajuan Dokumen]]="","",Table1[[#This Row],[PLAN PERMIT
start]]-Table1[[#This Row],[Tanggal Pengajuan Dokumen]])</f>
        <v/>
      </c>
      <c r="FO348" s="322"/>
      <c r="FP348" s="286" t="s">
        <v>923</v>
      </c>
      <c r="FQ348" s="308"/>
      <c r="FR348" s="301"/>
      <c r="FS348" s="308"/>
      <c r="FT3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8" s="314">
        <f ca="1">IF(Table1[[#This Row],[Status Izin]]="Selesai",Table1[[#This Row],[PLAN PERMIT
finish]]-Table1[[#This Row],[Tanggal Terbit/ Target Izin Terbit]],ROUNDUP(Table1[[#This Row],[PLAN PERMIT
finish]]-NOW(),0))</f>
        <v>-66</v>
      </c>
      <c r="FV3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8" s="314"/>
      <c r="FX348" s="42"/>
      <c r="FY348" s="483">
        <v>46097</v>
      </c>
      <c r="FZ348" s="483" t="s">
        <v>2767</v>
      </c>
      <c r="GA34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8" s="301">
        <v>46111</v>
      </c>
      <c r="GC348" s="322"/>
      <c r="GD3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8" s="301">
        <v>46118</v>
      </c>
      <c r="GF348" s="322"/>
      <c r="GG3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8" s="301">
        <v>46125</v>
      </c>
      <c r="GI348" s="301">
        <v>46131</v>
      </c>
      <c r="GJ348" s="322"/>
      <c r="GK3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8" s="301">
        <v>46139</v>
      </c>
      <c r="GM348" s="301">
        <v>46190</v>
      </c>
      <c r="GN348" s="301">
        <v>46222</v>
      </c>
      <c r="GO348" s="300">
        <v>46275</v>
      </c>
      <c r="GP348" s="286"/>
      <c r="GQ3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8" s="301"/>
      <c r="GS348" s="301"/>
      <c r="GT348" s="324"/>
      <c r="GU348" s="314" t="str">
        <f>IF(Table1[[#This Row],[Hydro Tes Actual
(tanggal)]]&lt;&gt;"","Sudah","Belum")</f>
        <v>Belum</v>
      </c>
      <c r="GV348" s="300"/>
      <c r="GW348" s="300"/>
      <c r="GX348" s="301"/>
      <c r="GY348" s="314" t="str">
        <f>IF(Table1[[#This Row],[Interkoneksi Actual
(tanggal)]]&lt;&gt;"","Sudah","Belum")</f>
        <v>Belum</v>
      </c>
      <c r="GZ348" s="300"/>
      <c r="HA348" s="300"/>
      <c r="HB348" s="301"/>
      <c r="HC348" s="314" t="str">
        <f>IF(Table1[[#This Row],[Flushing Actual
(tanggal)]]&lt;&gt;"","Sudah","Belum")</f>
        <v>Belum</v>
      </c>
      <c r="HD348" s="301">
        <v>46225</v>
      </c>
      <c r="HE348" s="301">
        <v>46293</v>
      </c>
      <c r="HF348" s="301">
        <v>46230</v>
      </c>
      <c r="HG348" s="322"/>
      <c r="HH3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8" s="300"/>
      <c r="HJ348" s="300"/>
      <c r="HK348" s="301"/>
      <c r="HL348" s="301"/>
      <c r="HM348" s="301">
        <v>46247</v>
      </c>
      <c r="HN348" s="301">
        <v>46247</v>
      </c>
      <c r="HO348" s="300">
        <v>46293</v>
      </c>
      <c r="HP348" s="300"/>
      <c r="HQ348" s="301"/>
      <c r="HR3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8" s="301">
        <v>46255</v>
      </c>
      <c r="HT348" s="301"/>
      <c r="HU348" s="301">
        <v>46255</v>
      </c>
      <c r="HV348" s="390">
        <v>46298</v>
      </c>
      <c r="HW348" s="365"/>
      <c r="HX34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8" s="42"/>
      <c r="HZ348" s="322"/>
      <c r="IA348" s="306"/>
      <c r="IB348" s="67"/>
      <c r="IC348" s="585">
        <f>IFERROR(ROUND((Table1[[#This Row],[PLAN TC
finish]]-Table1[[#This Row],[PLAN MC-0
start]])/30,2),"")</f>
        <v>3.5</v>
      </c>
      <c r="ID348">
        <f>DATEDIF(Table1[[#This Row],[PLAN MC-0
start]],Table1[[#This Row],[PLAN TC
finish]],"m")</f>
        <v>3</v>
      </c>
      <c r="IE348" s="6"/>
      <c r="IF348" s="6"/>
      <c r="IG348" s="67"/>
      <c r="II348" s="6"/>
      <c r="IJ348" s="4"/>
      <c r="IK348" s="4"/>
      <c r="IL348" s="6"/>
      <c r="IM348" s="6"/>
      <c r="IN348" s="6"/>
      <c r="IO348" s="6"/>
      <c r="IP348" s="6"/>
      <c r="IR348" s="6"/>
      <c r="IS348" s="6"/>
      <c r="IT348" s="6"/>
      <c r="IU348" s="6"/>
      <c r="IX348" s="6"/>
      <c r="IY348" s="6"/>
      <c r="JA348" s="6"/>
      <c r="JB348" s="6"/>
    </row>
    <row r="349" spans="2:262" ht="15" customHeight="1" x14ac:dyDescent="0.25">
      <c r="B349" s="281">
        <f>SUBTOTAL(3,$D$5:D349)</f>
        <v>345</v>
      </c>
      <c r="C349" s="286">
        <v>345</v>
      </c>
      <c r="D349" s="285" t="s">
        <v>244</v>
      </c>
      <c r="E349" s="430" t="s">
        <v>2797</v>
      </c>
      <c r="F349" s="308" t="s">
        <v>2798</v>
      </c>
      <c r="G349" s="319">
        <v>46300</v>
      </c>
      <c r="H349" s="308" t="s">
        <v>247</v>
      </c>
      <c r="I349" s="308" t="s">
        <v>1212</v>
      </c>
      <c r="J349" s="450"/>
      <c r="K349" s="308"/>
      <c r="L349" s="286"/>
      <c r="M349" s="325" t="s">
        <v>269</v>
      </c>
      <c r="N349" s="477">
        <v>1</v>
      </c>
      <c r="O349" s="31" t="s">
        <v>1214</v>
      </c>
      <c r="P3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49" s="35">
        <v>0.56146536012167425</v>
      </c>
      <c r="S349" s="297">
        <f>_xlfn.XLOOKUP(Table1[[#This Row],[Nama Program]],'[2]Summary Plan'!$E:$E,'[2]Summary Plan'!$M:$M)</f>
        <v>0.69177470740482172</v>
      </c>
      <c r="T349" s="128">
        <f>Table1[[#This Row],[Progres Total Aktual
(%)]]</f>
        <v>6.9696502888516892E-2</v>
      </c>
      <c r="U349" s="103">
        <f>Table1[[#This Row],[Progres Aktual
(%)]]-Table1[[#This Row],[Target Progres
(%)]]</f>
        <v>-0.6220782045163048</v>
      </c>
      <c r="V349" s="75">
        <f>Table1[[#This Row],["Volume
BA MC-0"]]</f>
        <v>0</v>
      </c>
      <c r="W349" s="75">
        <f>Table1[[#This Row],[Total Panjang Pipa Aktual
(Sum-&gt;)3]]</f>
        <v>0</v>
      </c>
      <c r="X349" s="99"/>
      <c r="Y349" s="478" t="s">
        <v>2799</v>
      </c>
      <c r="Z349" s="62">
        <v>2701873397</v>
      </c>
      <c r="AA349" s="479">
        <f>ROUND((Table1[[#This Row],[Nilai RAB Jaringan
(Exclude Ppn)]]-Table1[[#This Row],[RAB Perizinan]])*1.11+Table1[[#This Row],[RAB Perizinan]],0)</f>
        <v>2701873396</v>
      </c>
      <c r="AB349" s="406">
        <f>SUM(Table1[[#This Row],[RAB Kegiatan Umum]:[RAB Perizinan]])</f>
        <v>2436415312</v>
      </c>
      <c r="AC349" s="406">
        <v>128346721</v>
      </c>
      <c r="AD349" s="406">
        <v>1283467202</v>
      </c>
      <c r="AE349" s="406">
        <v>1001441389</v>
      </c>
      <c r="AF349" s="406">
        <v>23160000</v>
      </c>
      <c r="AG349" s="406"/>
      <c r="AH349" s="480">
        <f>SUM(Table1[[#This Row],[Bobot Keg Umum]:[Bobot Perizinan]])</f>
        <v>1</v>
      </c>
      <c r="AI349" s="480">
        <f>Table1[[#This Row],[RAB Kegiatan Umum]]/Table1[[#This Row],[Nilai RAB Jaringan
(Exclude Ppn)]]</f>
        <v>5.2678506972049434E-2</v>
      </c>
      <c r="AJ349" s="480">
        <f>Table1[[#This Row],[RAB Pemasangan]]/Table1[[#This Row],[Nilai RAB Jaringan
(Exclude Ppn)]]</f>
        <v>0.52678506643698186</v>
      </c>
      <c r="AK349" s="111">
        <f>Table1[[#This Row],[RAB Pengadaan]]/Table1[[#This Row],[Nilai RAB Jaringan
(Exclude Ppn)]]</f>
        <v>0.41103065806048422</v>
      </c>
      <c r="AL349" s="112">
        <f>Table1[[#This Row],[RAB Perizinan]]/Table1[[#This Row],[Nilai RAB Jaringan
(Exclude Ppn)]]</f>
        <v>9.5057685304844285E-3</v>
      </c>
      <c r="AM349" s="42"/>
      <c r="AN349" s="256"/>
      <c r="AO349" s="256">
        <f>SUM(Table1[[#This Row],[Pipa 63 mm]:[Pipa 1,800 mm]])</f>
        <v>0</v>
      </c>
      <c r="AP349" s="256"/>
      <c r="AQ349" s="256"/>
      <c r="AR349" s="256"/>
      <c r="AS349" s="256"/>
      <c r="AT349" s="256"/>
      <c r="AU349" s="256"/>
      <c r="AV349" s="256"/>
      <c r="AW349" s="256"/>
      <c r="AX349" s="256"/>
      <c r="AY349" s="256"/>
      <c r="AZ349" s="256"/>
      <c r="BA349" s="256"/>
      <c r="BB349" s="256"/>
      <c r="BC349" s="256"/>
      <c r="BD349" s="256"/>
      <c r="BE349" s="256"/>
      <c r="BF349" s="256"/>
      <c r="BG349" s="256"/>
      <c r="BH349" s="256"/>
      <c r="BI349" s="256"/>
      <c r="BJ349" s="36">
        <f>SUM(Table1[[#This Row],[Pipa 63 mm2]:[Pipa 1,800 mm21]])</f>
        <v>0</v>
      </c>
      <c r="BK349" s="32"/>
      <c r="BL349" s="32"/>
      <c r="BM349" s="32"/>
      <c r="BN349" s="32"/>
      <c r="BO349" s="32"/>
      <c r="BP349" s="32"/>
      <c r="BQ349" s="32"/>
      <c r="BR349" s="32"/>
      <c r="BS349" s="32"/>
      <c r="BT349" s="32"/>
      <c r="BU349" s="32"/>
      <c r="BV349" s="32"/>
      <c r="BW349" s="32"/>
      <c r="BX349" s="32"/>
      <c r="BY349" s="32"/>
      <c r="BZ349" s="32"/>
      <c r="CA349" s="32"/>
      <c r="CB349" s="32"/>
      <c r="CC349" s="32"/>
      <c r="CD349" s="32"/>
      <c r="CE349" s="32"/>
      <c r="CF349" s="32"/>
      <c r="CG349" s="32"/>
      <c r="CH349" s="32"/>
      <c r="CI349" s="32"/>
      <c r="CJ349" s="32">
        <f>IF((Table1[[#This Row],["Volume
BA MC-0"]]-Table1[[#This Row],[Total Panjang Pipa Aktual
(Sum-&gt;)3]]-Table1[[#This Row],[Total Volume
tidak dapat dipasang]])&gt;=0,Table1[[#This Row],["Volume
BA MC-0"]]-Table1[[#This Row],[Total Panjang Pipa Aktual
(Sum-&gt;)3]]-Table1[[#This Row],[Total Volume
tidak dapat dipasang]],0)</f>
        <v>0</v>
      </c>
      <c r="CK349" s="42"/>
      <c r="CL349" s="113"/>
      <c r="CM349" s="307"/>
      <c r="CN349" s="113"/>
      <c r="CO349" s="113"/>
      <c r="CP34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6.9696502888516892E-2</v>
      </c>
      <c r="CQ349" s="406">
        <f>IFERROR(Table1[[#This Row],[Progres Keg. Umum
(%)]]*Table1[[#This Row],[Nilai RAB Jaringan
(file pa aji)]],0)</f>
        <v>0</v>
      </c>
      <c r="CR349" s="406">
        <f>IFERROR(Table1[[#This Row],[Progres MOS
(%)]]*Table1[[#This Row],[Nilai RAB Jaringan
(file pa aji)]],0)</f>
        <v>0</v>
      </c>
      <c r="CS349" s="406">
        <f>IFERROR(Table1[[#This Row],[Progres Pemasangan
(%)]]*Table1[[#This Row],[Nilai RAB Jaringan
(file pa aji)]],0)</f>
        <v>0</v>
      </c>
      <c r="CT349" s="406">
        <f>IFERROR(Table1[[#This Row],[Progres Perizinan
(%)]]*Table1[[#This Row],[Nilai RAB Jaringan
(file pa aji)]],0)</f>
        <v>0</v>
      </c>
      <c r="CU349" s="789">
        <v>0</v>
      </c>
      <c r="CV349" s="299">
        <v>0</v>
      </c>
      <c r="CW349" s="481">
        <v>0</v>
      </c>
      <c r="CX349" s="789">
        <f>_xlfn.XLOOKUP(Table1[[#This Row],[Kode Program]],'[1]Breakdown VOWD Greenfield'!$E:$E,'[1]Breakdown VOWD Greenfield'!$AT:$AT)</f>
        <v>0</v>
      </c>
      <c r="CY349" s="42"/>
      <c r="CZ349" s="301">
        <v>45929</v>
      </c>
      <c r="DA349" s="301">
        <v>45963</v>
      </c>
      <c r="DB349" s="301">
        <v>46076</v>
      </c>
      <c r="DC349" s="286" t="s">
        <v>2800</v>
      </c>
      <c r="DD349" s="478"/>
      <c r="DE3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49" s="301">
        <v>46091</v>
      </c>
      <c r="DG349" s="301" t="s">
        <v>2801</v>
      </c>
      <c r="DH349" s="484"/>
      <c r="DI3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49" s="301">
        <v>45964</v>
      </c>
      <c r="DK349" s="301">
        <v>46110</v>
      </c>
      <c r="DL349" s="301">
        <v>46125</v>
      </c>
      <c r="DM349" s="286" t="s">
        <v>2802</v>
      </c>
      <c r="DN34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49" s="301">
        <v>46164</v>
      </c>
      <c r="DP349" s="286" t="s">
        <v>2803</v>
      </c>
      <c r="DQ349" s="308" t="s">
        <v>365</v>
      </c>
      <c r="DR34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49" s="301">
        <v>45964</v>
      </c>
      <c r="DT349" s="301">
        <v>46158</v>
      </c>
      <c r="DU349" s="301">
        <v>46012</v>
      </c>
      <c r="DV349" s="301">
        <v>46172</v>
      </c>
      <c r="DW349" s="301">
        <v>46125</v>
      </c>
      <c r="DX349" s="286" t="s">
        <v>2804</v>
      </c>
      <c r="DY349" s="304">
        <v>46</v>
      </c>
      <c r="DZ349" s="304">
        <v>46</v>
      </c>
      <c r="EA34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49" s="301"/>
      <c r="EC349" s="302">
        <v>42</v>
      </c>
      <c r="ED349" s="302">
        <v>42</v>
      </c>
      <c r="EE349" s="100"/>
      <c r="EF349" s="307">
        <v>0.91304347826086951</v>
      </c>
      <c r="EG349" s="307">
        <f>Table1[[#This Row],[Line PO]]/Table1[[#This Row],[Line PR]]</f>
        <v>0.91304347826086951</v>
      </c>
      <c r="EH349" s="286" t="str">
        <f>IF(Table1[[#This Row],[PO Material Aktual 
(%)]]&gt;=100%,"Selesai PO = 100%",IF(Table1[[#This Row],[PO Material Aktual 
(%)]]&gt;=50%,"Proses PO &gt; 100%",IF(Table1[[#This Row],[PO Material Aktual 
(%)]]&gt;0%,"Proses PO &gt; 50%",IF(Table1[[#This Row],[PO Material Aktual 
(%)]]=0,"Belum PO = 0%"))))</f>
        <v>Proses PO &gt; 100%</v>
      </c>
      <c r="EI34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49" s="301">
        <v>46013</v>
      </c>
      <c r="EK349" s="301">
        <v>46172</v>
      </c>
      <c r="EL349" s="301">
        <v>46201</v>
      </c>
      <c r="EM349" s="301">
        <v>46187</v>
      </c>
      <c r="EN349" s="301"/>
      <c r="EO349" s="302">
        <v>13</v>
      </c>
      <c r="EP349" s="302">
        <v>13</v>
      </c>
      <c r="EQ349" s="307">
        <v>0.28260869565217389</v>
      </c>
      <c r="ER349" s="307">
        <f>Table1[[#This Row],[Line MOS (kolom bantu)]]/Table1[[#This Row],[Line PR]]</f>
        <v>0.28260869565217389</v>
      </c>
      <c r="ES349" s="286" t="str">
        <f>IF(Table1[[#This Row],[Progres MOS]]&gt;=100%,"Selesai MOS = 100%",IF(Table1[[#This Row],[Progres MOS]]&gt;=50%,"Proses MOS &gt; 100%",IF(Table1[[#This Row],[Progres MOS]]&gt;0%,"Proses MOS &gt; 50%",IF(Table1[[#This Row],[Progres MOS]]=0,"Belum MOS = 0%"))))</f>
        <v>Proses MOS &gt; 50%</v>
      </c>
      <c r="ET3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49" s="42"/>
      <c r="EV349" s="301">
        <v>45964</v>
      </c>
      <c r="EW349" s="301">
        <v>46153</v>
      </c>
      <c r="EX349" s="301">
        <v>46138</v>
      </c>
      <c r="EY349" s="301">
        <v>46183</v>
      </c>
      <c r="EZ349" s="322" t="s">
        <v>2779</v>
      </c>
      <c r="FA349" s="379" t="s">
        <v>2779</v>
      </c>
      <c r="FB349" s="301"/>
      <c r="FC349" s="300"/>
      <c r="FD349" s="301"/>
      <c r="FE349" s="301"/>
      <c r="FF349" s="301"/>
      <c r="FG349" s="301"/>
      <c r="FH349" s="301"/>
      <c r="FI349" s="301"/>
      <c r="FJ349" s="301"/>
      <c r="FK349" s="301"/>
      <c r="FL349" s="322" t="s">
        <v>2780</v>
      </c>
      <c r="FM349" s="322"/>
      <c r="FN349" s="308" t="str">
        <f>IF(Table1[[#This Row],[Tanggal Pengajuan Dokumen]]="","",Table1[[#This Row],[PLAN PERMIT
start]]-Table1[[#This Row],[Tanggal Pengajuan Dokumen]])</f>
        <v/>
      </c>
      <c r="FO349" s="322"/>
      <c r="FP349" s="286" t="s">
        <v>923</v>
      </c>
      <c r="FQ349" s="308"/>
      <c r="FR349" s="301"/>
      <c r="FS349" s="308"/>
      <c r="FT3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49" s="314">
        <f ca="1">IF(Table1[[#This Row],[Status Izin]]="Selesai",Table1[[#This Row],[PLAN PERMIT
finish]]-Table1[[#This Row],[Tanggal Terbit/ Target Izin Terbit]],ROUNDUP(Table1[[#This Row],[PLAN PERMIT
finish]]-NOW(),0))</f>
        <v>-66</v>
      </c>
      <c r="FV3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49" s="314"/>
      <c r="FX349" s="42"/>
      <c r="FY349" s="483">
        <v>46097</v>
      </c>
      <c r="FZ349" s="483" t="s">
        <v>2767</v>
      </c>
      <c r="GA34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49" s="301">
        <v>46111</v>
      </c>
      <c r="GC349" s="322"/>
      <c r="GD3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49" s="301">
        <v>46118</v>
      </c>
      <c r="GF349" s="322"/>
      <c r="GG3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49" s="301">
        <v>46125</v>
      </c>
      <c r="GI349" s="301">
        <v>46131</v>
      </c>
      <c r="GJ349" s="322"/>
      <c r="GK3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49" s="301">
        <v>46139</v>
      </c>
      <c r="GM349" s="301">
        <v>46190</v>
      </c>
      <c r="GN349" s="301">
        <v>46222</v>
      </c>
      <c r="GO349" s="300">
        <v>46275</v>
      </c>
      <c r="GP349" s="286"/>
      <c r="GQ3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49" s="301"/>
      <c r="GS349" s="301"/>
      <c r="GT349" s="324"/>
      <c r="GU349" s="314" t="str">
        <f>IF(Table1[[#This Row],[Hydro Tes Actual
(tanggal)]]&lt;&gt;"","Sudah","Belum")</f>
        <v>Belum</v>
      </c>
      <c r="GV349" s="300"/>
      <c r="GW349" s="300"/>
      <c r="GX349" s="301"/>
      <c r="GY349" s="314" t="str">
        <f>IF(Table1[[#This Row],[Interkoneksi Actual
(tanggal)]]&lt;&gt;"","Sudah","Belum")</f>
        <v>Belum</v>
      </c>
      <c r="GZ349" s="300"/>
      <c r="HA349" s="300"/>
      <c r="HB349" s="301"/>
      <c r="HC349" s="314" t="str">
        <f>IF(Table1[[#This Row],[Flushing Actual
(tanggal)]]&lt;&gt;"","Sudah","Belum")</f>
        <v>Belum</v>
      </c>
      <c r="HD349" s="301">
        <v>46225</v>
      </c>
      <c r="HE349" s="301">
        <v>46293</v>
      </c>
      <c r="HF349" s="301">
        <v>46230</v>
      </c>
      <c r="HG349" s="322"/>
      <c r="HH3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49" s="300"/>
      <c r="HJ349" s="300"/>
      <c r="HK349" s="301"/>
      <c r="HL349" s="301"/>
      <c r="HM349" s="301">
        <v>46247</v>
      </c>
      <c r="HN349" s="301">
        <v>46247</v>
      </c>
      <c r="HO349" s="300">
        <v>46293</v>
      </c>
      <c r="HP349" s="300"/>
      <c r="HQ349" s="301"/>
      <c r="HR3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49" s="301">
        <v>46255</v>
      </c>
      <c r="HT349" s="301"/>
      <c r="HU349" s="301">
        <v>46255</v>
      </c>
      <c r="HV349" s="390">
        <v>46298</v>
      </c>
      <c r="HW349" s="365"/>
      <c r="HX34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49" s="42"/>
      <c r="HZ349" s="322"/>
      <c r="IA349" s="306"/>
      <c r="IB349" s="67"/>
      <c r="IC349" s="585">
        <f>IFERROR(ROUND((Table1[[#This Row],[PLAN TC
finish]]-Table1[[#This Row],[PLAN MC-0
start]])/30,2),"")</f>
        <v>3.5</v>
      </c>
      <c r="ID349">
        <f>DATEDIF(Table1[[#This Row],[PLAN MC-0
start]],Table1[[#This Row],[PLAN TC
finish]],"m")</f>
        <v>3</v>
      </c>
      <c r="IE349" s="6"/>
      <c r="IF349" s="6"/>
      <c r="IG349" s="67"/>
      <c r="II349" s="6"/>
      <c r="IJ349" s="4"/>
      <c r="IK349" s="4"/>
      <c r="IL349" s="6"/>
      <c r="IM349" s="6"/>
      <c r="IN349" s="6"/>
      <c r="IO349" s="6"/>
      <c r="IP349" s="6"/>
      <c r="IR349" s="6"/>
      <c r="IS349" s="6"/>
      <c r="IT349" s="6"/>
      <c r="IU349" s="6"/>
      <c r="IX349" s="6"/>
      <c r="IY349" s="6"/>
      <c r="JA349" s="6"/>
      <c r="JB349" s="6"/>
    </row>
    <row r="350" spans="2:262" ht="15" customHeight="1" x14ac:dyDescent="0.25">
      <c r="B350" s="281">
        <f>SUBTOTAL(3,$D$5:D350)</f>
        <v>346</v>
      </c>
      <c r="C350" s="286">
        <v>346</v>
      </c>
      <c r="D350" s="285" t="s">
        <v>244</v>
      </c>
      <c r="E350" s="430" t="s">
        <v>2805</v>
      </c>
      <c r="F350" s="308" t="s">
        <v>2806</v>
      </c>
      <c r="G350" s="319">
        <v>46300</v>
      </c>
      <c r="H350" s="308" t="s">
        <v>247</v>
      </c>
      <c r="I350" s="308" t="s">
        <v>1212</v>
      </c>
      <c r="J350" s="450"/>
      <c r="K350" s="308"/>
      <c r="L350" s="286"/>
      <c r="M350" s="325" t="s">
        <v>269</v>
      </c>
      <c r="N350" s="477">
        <v>1</v>
      </c>
      <c r="O350" s="31" t="s">
        <v>1214</v>
      </c>
      <c r="P3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0" s="35">
        <v>0.52157599774247965</v>
      </c>
      <c r="S350" s="297">
        <f>_xlfn.XLOOKUP(Table1[[#This Row],[Nama Program]],'[2]Summary Plan'!$E:$E,'[2]Summary Plan'!$M:$M)</f>
        <v>0.66401934107112603</v>
      </c>
      <c r="T350" s="128">
        <f>Table1[[#This Row],[Progres Total Aktual
(%)]]</f>
        <v>4.5809422753730851E-2</v>
      </c>
      <c r="U350" s="103">
        <f>Table1[[#This Row],[Progres Aktual
(%)]]-Table1[[#This Row],[Target Progres
(%)]]</f>
        <v>-0.61820991831739514</v>
      </c>
      <c r="V350" s="75">
        <f>Table1[[#This Row],["Volume
BA MC-0"]]</f>
        <v>0</v>
      </c>
      <c r="W350" s="75">
        <f>Table1[[#This Row],[Total Panjang Pipa Aktual
(Sum-&gt;)3]]</f>
        <v>0</v>
      </c>
      <c r="X350" s="99"/>
      <c r="Y350" s="478" t="s">
        <v>2807</v>
      </c>
      <c r="Z350" s="62">
        <v>3727915906</v>
      </c>
      <c r="AA350" s="479">
        <f>ROUND((Table1[[#This Row],[Nilai RAB Jaringan
(Exclude Ppn)]]-Table1[[#This Row],[RAB Perizinan]])*1.11+Table1[[#This Row],[RAB Perizinan]],0)</f>
        <v>3727915904</v>
      </c>
      <c r="AB350" s="406">
        <f>SUM(Table1[[#This Row],[RAB Kegiatan Umum]:[RAB Perizinan]])</f>
        <v>3360359055.2157497</v>
      </c>
      <c r="AC350" s="406">
        <v>204640467</v>
      </c>
      <c r="AD350" s="456">
        <v>2046404666.0557499</v>
      </c>
      <c r="AE350" s="406">
        <v>1090380769</v>
      </c>
      <c r="AF350" s="406">
        <v>18933153.16</v>
      </c>
      <c r="AG350" s="406"/>
      <c r="AH350" s="480">
        <f>SUM(Table1[[#This Row],[Bobot Keg Umum]:[Bobot Perizinan]])</f>
        <v>1</v>
      </c>
      <c r="AI350" s="480">
        <f>Table1[[#This Row],[RAB Kegiatan Umum]]/Table1[[#This Row],[Nilai RAB Jaringan
(Exclude Ppn)]]</f>
        <v>6.089839318877821E-2</v>
      </c>
      <c r="AJ350" s="480">
        <f>Table1[[#This Row],[RAB Pemasangan]]/Table1[[#This Row],[Nilai RAB Jaringan
(Exclude Ppn)]]</f>
        <v>0.60898393071402357</v>
      </c>
      <c r="AK350" s="111">
        <f>Table1[[#This Row],[RAB Pengadaan]]/Table1[[#This Row],[Nilai RAB Jaringan
(Exclude Ppn)]]</f>
        <v>0.32448341117226021</v>
      </c>
      <c r="AL350" s="112">
        <f>Table1[[#This Row],[RAB Perizinan]]/Table1[[#This Row],[Nilai RAB Jaringan
(Exclude Ppn)]]</f>
        <v>5.6342649249380315E-3</v>
      </c>
      <c r="AM350" s="42"/>
      <c r="AN350" s="256"/>
      <c r="AO350" s="256">
        <f>SUM(Table1[[#This Row],[Pipa 63 mm]:[Pipa 1,800 mm]])</f>
        <v>0</v>
      </c>
      <c r="AP350" s="256"/>
      <c r="AQ350" s="256"/>
      <c r="AR350" s="256"/>
      <c r="AS350" s="256"/>
      <c r="AT350" s="256"/>
      <c r="AU350" s="256"/>
      <c r="AV350" s="256"/>
      <c r="AW350" s="256"/>
      <c r="AX350" s="256"/>
      <c r="AY350" s="256"/>
      <c r="AZ350" s="256"/>
      <c r="BA350" s="256"/>
      <c r="BB350" s="256"/>
      <c r="BC350" s="256"/>
      <c r="BD350" s="256"/>
      <c r="BE350" s="256"/>
      <c r="BF350" s="256"/>
      <c r="BG350" s="256"/>
      <c r="BH350" s="256"/>
      <c r="BI350" s="256"/>
      <c r="BJ350" s="36">
        <f>SUM(Table1[[#This Row],[Pipa 63 mm2]:[Pipa 1,800 mm21]])</f>
        <v>0</v>
      </c>
      <c r="BK350" s="32"/>
      <c r="BL350" s="32"/>
      <c r="BM350" s="32"/>
      <c r="BN350" s="32"/>
      <c r="BO350" s="32"/>
      <c r="BP350" s="32"/>
      <c r="BQ350" s="32"/>
      <c r="BR350" s="32"/>
      <c r="BS350" s="32"/>
      <c r="BT350" s="32"/>
      <c r="BU350" s="32"/>
      <c r="BV350" s="32"/>
      <c r="BW350" s="32"/>
      <c r="BX350" s="32"/>
      <c r="BY350" s="32"/>
      <c r="BZ350" s="32"/>
      <c r="CA350" s="32"/>
      <c r="CB350" s="32"/>
      <c r="CC350" s="32"/>
      <c r="CD350" s="32"/>
      <c r="CE350" s="32"/>
      <c r="CF350" s="32"/>
      <c r="CG350" s="32"/>
      <c r="CH350" s="32"/>
      <c r="CI350" s="32"/>
      <c r="CJ350" s="32">
        <f>IF((Table1[[#This Row],["Volume
BA MC-0"]]-Table1[[#This Row],[Total Panjang Pipa Aktual
(Sum-&gt;)3]]-Table1[[#This Row],[Total Volume
tidak dapat dipasang]])&gt;=0,Table1[[#This Row],["Volume
BA MC-0"]]-Table1[[#This Row],[Total Panjang Pipa Aktual
(Sum-&gt;)3]]-Table1[[#This Row],[Total Volume
tidak dapat dipasang]],0)</f>
        <v>0</v>
      </c>
      <c r="CK350" s="42"/>
      <c r="CL350" s="113"/>
      <c r="CM350" s="307"/>
      <c r="CN350" s="113"/>
      <c r="CO350" s="113"/>
      <c r="CP35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4.5809422753730851E-2</v>
      </c>
      <c r="CQ350" s="406">
        <f>IFERROR(Table1[[#This Row],[Progres Keg. Umum
(%)]]*Table1[[#This Row],[Nilai RAB Jaringan
(file pa aji)]],0)</f>
        <v>0</v>
      </c>
      <c r="CR350" s="406">
        <f>IFERROR(Table1[[#This Row],[Progres MOS
(%)]]*Table1[[#This Row],[Nilai RAB Jaringan
(file pa aji)]],0)</f>
        <v>0</v>
      </c>
      <c r="CS350" s="406">
        <f>IFERROR(Table1[[#This Row],[Progres Pemasangan
(%)]]*Table1[[#This Row],[Nilai RAB Jaringan
(file pa aji)]],0)</f>
        <v>0</v>
      </c>
      <c r="CT350" s="406">
        <f>IFERROR(Table1[[#This Row],[Progres Perizinan
(%)]]*Table1[[#This Row],[Nilai RAB Jaringan
(file pa aji)]],0)</f>
        <v>0</v>
      </c>
      <c r="CU350" s="789">
        <v>0</v>
      </c>
      <c r="CV350" s="299">
        <v>0</v>
      </c>
      <c r="CW350" s="481">
        <v>0</v>
      </c>
      <c r="CX350" s="789">
        <f>_xlfn.XLOOKUP(Table1[[#This Row],[Kode Program]],'[1]Breakdown VOWD Greenfield'!$E:$E,'[1]Breakdown VOWD Greenfield'!$AT:$AT)</f>
        <v>0</v>
      </c>
      <c r="CY350" s="42"/>
      <c r="CZ350" s="301">
        <v>45929</v>
      </c>
      <c r="DA350" s="301">
        <v>45963</v>
      </c>
      <c r="DB350" s="301">
        <v>46076</v>
      </c>
      <c r="DC350" s="286" t="s">
        <v>2808</v>
      </c>
      <c r="DD350" s="478"/>
      <c r="DE3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0" s="301">
        <v>46091</v>
      </c>
      <c r="DG350" s="286" t="s">
        <v>2809</v>
      </c>
      <c r="DH350" s="484"/>
      <c r="DI3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0" s="301">
        <v>45964</v>
      </c>
      <c r="DK350" s="301">
        <v>46110</v>
      </c>
      <c r="DL350" s="301">
        <v>46125</v>
      </c>
      <c r="DM350" s="286" t="s">
        <v>2810</v>
      </c>
      <c r="DN35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0" s="301">
        <v>46164</v>
      </c>
      <c r="DP350" s="286" t="s">
        <v>2811</v>
      </c>
      <c r="DQ350" s="308" t="s">
        <v>365</v>
      </c>
      <c r="DR35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0" s="301">
        <v>45964</v>
      </c>
      <c r="DT350" s="301">
        <v>46158</v>
      </c>
      <c r="DU350" s="301">
        <v>46012</v>
      </c>
      <c r="DV350" s="301">
        <v>46172</v>
      </c>
      <c r="DW350" s="301">
        <v>46125</v>
      </c>
      <c r="DX350" s="286" t="s">
        <v>2812</v>
      </c>
      <c r="DY350" s="304">
        <v>51</v>
      </c>
      <c r="DZ350" s="304">
        <v>51</v>
      </c>
      <c r="EA35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0" s="301"/>
      <c r="EC350" s="302">
        <v>48</v>
      </c>
      <c r="ED350" s="302">
        <v>48</v>
      </c>
      <c r="EE350" s="100"/>
      <c r="EF350" s="307">
        <v>0.94117647058823528</v>
      </c>
      <c r="EG350" s="307">
        <f>Table1[[#This Row],[Line PO]]/Table1[[#This Row],[Line PR]]</f>
        <v>0.94117647058823528</v>
      </c>
      <c r="EH350" s="286" t="str">
        <f>IF(Table1[[#This Row],[PO Material Aktual 
(%)]]&gt;=100%,"Selesai PO = 100%",IF(Table1[[#This Row],[PO Material Aktual 
(%)]]&gt;=50%,"Proses PO &gt; 100%",IF(Table1[[#This Row],[PO Material Aktual 
(%)]]&gt;0%,"Proses PO &gt; 50%",IF(Table1[[#This Row],[PO Material Aktual 
(%)]]=0,"Belum PO = 0%"))))</f>
        <v>Proses PO &gt; 100%</v>
      </c>
      <c r="EI35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0" s="301">
        <v>46013</v>
      </c>
      <c r="EK350" s="301">
        <v>46172</v>
      </c>
      <c r="EL350" s="301">
        <v>46201</v>
      </c>
      <c r="EM350" s="301">
        <v>46187</v>
      </c>
      <c r="EN350" s="301"/>
      <c r="EO350" s="302">
        <v>12</v>
      </c>
      <c r="EP350" s="302">
        <v>12</v>
      </c>
      <c r="EQ350" s="307">
        <v>0.23529411764705882</v>
      </c>
      <c r="ER350" s="307">
        <f>Table1[[#This Row],[Line MOS (kolom bantu)]]/Table1[[#This Row],[Line PR]]</f>
        <v>0.23529411764705882</v>
      </c>
      <c r="ES350" s="286" t="str">
        <f>IF(Table1[[#This Row],[Progres MOS]]&gt;=100%,"Selesai MOS = 100%",IF(Table1[[#This Row],[Progres MOS]]&gt;=50%,"Proses MOS &gt; 100%",IF(Table1[[#This Row],[Progres MOS]]&gt;0%,"Proses MOS &gt; 50%",IF(Table1[[#This Row],[Progres MOS]]=0,"Belum MOS = 0%"))))</f>
        <v>Proses MOS &gt; 50%</v>
      </c>
      <c r="ET3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0" s="42"/>
      <c r="EV350" s="301">
        <v>45964</v>
      </c>
      <c r="EW350" s="301">
        <v>46153</v>
      </c>
      <c r="EX350" s="301">
        <v>46138</v>
      </c>
      <c r="EY350" s="301">
        <v>46183</v>
      </c>
      <c r="EZ350" s="322" t="s">
        <v>2779</v>
      </c>
      <c r="FA350" s="379" t="s">
        <v>2779</v>
      </c>
      <c r="FB350" s="301"/>
      <c r="FC350" s="300"/>
      <c r="FD350" s="301"/>
      <c r="FE350" s="301"/>
      <c r="FF350" s="301"/>
      <c r="FG350" s="301"/>
      <c r="FH350" s="301"/>
      <c r="FI350" s="301"/>
      <c r="FJ350" s="301"/>
      <c r="FK350" s="301"/>
      <c r="FL350" s="322" t="s">
        <v>2780</v>
      </c>
      <c r="FM350" s="322"/>
      <c r="FN350" s="308" t="str">
        <f>IF(Table1[[#This Row],[Tanggal Pengajuan Dokumen]]="","",Table1[[#This Row],[PLAN PERMIT
start]]-Table1[[#This Row],[Tanggal Pengajuan Dokumen]])</f>
        <v/>
      </c>
      <c r="FO350" s="322"/>
      <c r="FP350" s="286" t="s">
        <v>923</v>
      </c>
      <c r="FQ350" s="308"/>
      <c r="FR350" s="301"/>
      <c r="FS350" s="308"/>
      <c r="FT3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0" s="314">
        <f ca="1">IF(Table1[[#This Row],[Status Izin]]="Selesai",Table1[[#This Row],[PLAN PERMIT
finish]]-Table1[[#This Row],[Tanggal Terbit/ Target Izin Terbit]],ROUNDUP(Table1[[#This Row],[PLAN PERMIT
finish]]-NOW(),0))</f>
        <v>-66</v>
      </c>
      <c r="FV3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0" s="314"/>
      <c r="FX350" s="42"/>
      <c r="FY350" s="483">
        <v>46097</v>
      </c>
      <c r="FZ350" s="483" t="s">
        <v>2767</v>
      </c>
      <c r="GA35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0" s="301">
        <v>46111</v>
      </c>
      <c r="GC350" s="322"/>
      <c r="GD3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0" s="301">
        <v>46118</v>
      </c>
      <c r="GF350" s="322"/>
      <c r="GG3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0" s="301">
        <v>46125</v>
      </c>
      <c r="GI350" s="301">
        <v>46131</v>
      </c>
      <c r="GJ350" s="322"/>
      <c r="GK3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0" s="301">
        <v>46139</v>
      </c>
      <c r="GM350" s="301">
        <v>46190</v>
      </c>
      <c r="GN350" s="301">
        <v>46222</v>
      </c>
      <c r="GO350" s="300">
        <v>46275</v>
      </c>
      <c r="GP350" s="286"/>
      <c r="GQ3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0" s="301"/>
      <c r="GS350" s="301"/>
      <c r="GT350" s="324"/>
      <c r="GU350" s="314" t="str">
        <f>IF(Table1[[#This Row],[Hydro Tes Actual
(tanggal)]]&lt;&gt;"","Sudah","Belum")</f>
        <v>Belum</v>
      </c>
      <c r="GV350" s="300"/>
      <c r="GW350" s="300"/>
      <c r="GX350" s="301"/>
      <c r="GY350" s="314" t="str">
        <f>IF(Table1[[#This Row],[Interkoneksi Actual
(tanggal)]]&lt;&gt;"","Sudah","Belum")</f>
        <v>Belum</v>
      </c>
      <c r="GZ350" s="300"/>
      <c r="HA350" s="300"/>
      <c r="HB350" s="301"/>
      <c r="HC350" s="314" t="str">
        <f>IF(Table1[[#This Row],[Flushing Actual
(tanggal)]]&lt;&gt;"","Sudah","Belum")</f>
        <v>Belum</v>
      </c>
      <c r="HD350" s="301">
        <v>46225</v>
      </c>
      <c r="HE350" s="301">
        <v>46293</v>
      </c>
      <c r="HF350" s="301">
        <v>46230</v>
      </c>
      <c r="HG350" s="322"/>
      <c r="HH3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0" s="300"/>
      <c r="HJ350" s="300"/>
      <c r="HK350" s="301"/>
      <c r="HL350" s="301"/>
      <c r="HM350" s="301">
        <v>46247</v>
      </c>
      <c r="HN350" s="301">
        <v>46247</v>
      </c>
      <c r="HO350" s="300">
        <v>46293</v>
      </c>
      <c r="HP350" s="300"/>
      <c r="HQ350" s="301"/>
      <c r="HR3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50" s="301">
        <v>46255</v>
      </c>
      <c r="HT350" s="301"/>
      <c r="HU350" s="301">
        <v>46255</v>
      </c>
      <c r="HV350" s="390">
        <v>46298</v>
      </c>
      <c r="HW350" s="365"/>
      <c r="HX35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0" s="42"/>
      <c r="HZ350" s="322"/>
      <c r="IA350" s="306"/>
      <c r="IB350" s="67"/>
      <c r="IC350" s="585">
        <f>IFERROR(ROUND((Table1[[#This Row],[PLAN TC
finish]]-Table1[[#This Row],[PLAN MC-0
start]])/30,2),"")</f>
        <v>3.5</v>
      </c>
      <c r="ID350">
        <f>DATEDIF(Table1[[#This Row],[PLAN MC-0
start]],Table1[[#This Row],[PLAN TC
finish]],"m")</f>
        <v>3</v>
      </c>
      <c r="IE350" s="6"/>
      <c r="IF350" s="6"/>
      <c r="IG350" s="67"/>
      <c r="II350" s="6"/>
      <c r="IJ350" s="4"/>
      <c r="IK350" s="4"/>
      <c r="IL350" s="6"/>
      <c r="IM350" s="6"/>
      <c r="IN350" s="6"/>
      <c r="IO350" s="6"/>
      <c r="IP350" s="6"/>
      <c r="IR350" s="6"/>
      <c r="IS350" s="6"/>
      <c r="IT350" s="6"/>
      <c r="IU350" s="6"/>
      <c r="IX350" s="6"/>
      <c r="IY350" s="6"/>
      <c r="JA350" s="6"/>
      <c r="JB350" s="6"/>
    </row>
    <row r="351" spans="2:262" ht="15" customHeight="1" x14ac:dyDescent="0.25">
      <c r="B351" s="281">
        <f>SUBTOTAL(3,$D$5:D351)</f>
        <v>347</v>
      </c>
      <c r="C351" s="286">
        <v>347</v>
      </c>
      <c r="D351" s="285" t="s">
        <v>244</v>
      </c>
      <c r="E351" s="430" t="s">
        <v>2813</v>
      </c>
      <c r="F351" s="308" t="s">
        <v>2814</v>
      </c>
      <c r="G351" s="319">
        <v>46300</v>
      </c>
      <c r="H351" s="308" t="s">
        <v>247</v>
      </c>
      <c r="I351" s="308" t="s">
        <v>1212</v>
      </c>
      <c r="J351" s="450"/>
      <c r="K351" s="308"/>
      <c r="L351" s="286"/>
      <c r="M351" s="325" t="s">
        <v>269</v>
      </c>
      <c r="N351" s="477">
        <v>1</v>
      </c>
      <c r="O351" s="31" t="s">
        <v>1214</v>
      </c>
      <c r="P3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MOS</v>
      </c>
      <c r="R351" s="35">
        <v>0.57999977977430017</v>
      </c>
      <c r="S351" s="297">
        <f>_xlfn.XLOOKUP(Table1[[#This Row],[Nama Program]],'[2]Summary Plan'!$E:$E,'[2]Summary Plan'!$M:$M)</f>
        <v>0.70464682947756607</v>
      </c>
      <c r="T351" s="128">
        <f>Table1[[#This Row],[Progres Total Aktual
(%)]]</f>
        <v>5.260935318980009E-2</v>
      </c>
      <c r="U351" s="103">
        <f>Table1[[#This Row],[Progres Aktual
(%)]]-Table1[[#This Row],[Target Progres
(%)]]</f>
        <v>-0.65203747628776598</v>
      </c>
      <c r="V351" s="75">
        <f>Table1[[#This Row],["Volume
BA MC-0"]]</f>
        <v>0</v>
      </c>
      <c r="W351" s="75">
        <f>Table1[[#This Row],[Total Panjang Pipa Aktual
(Sum-&gt;)3]]</f>
        <v>0</v>
      </c>
      <c r="X351" s="99"/>
      <c r="Y351" s="478" t="s">
        <v>2815</v>
      </c>
      <c r="Z351" s="62">
        <v>7763044097</v>
      </c>
      <c r="AA351" s="479">
        <f>ROUND((Table1[[#This Row],[Nilai RAB Jaringan
(Exclude Ppn)]]-Table1[[#This Row],[RAB Perizinan]])*1.11+Table1[[#This Row],[RAB Perizinan]],0)</f>
        <v>7763044097</v>
      </c>
      <c r="AB351" s="406">
        <f>SUM(Table1[[#This Row],[RAB Kegiatan Umum]:[RAB Perizinan]])</f>
        <v>6995811604</v>
      </c>
      <c r="AC351" s="406">
        <v>340045901</v>
      </c>
      <c r="AD351" s="406">
        <v>3400459009</v>
      </c>
      <c r="AE351" s="406">
        <v>3234335934</v>
      </c>
      <c r="AF351" s="406">
        <v>20970760</v>
      </c>
      <c r="AG351" s="406"/>
      <c r="AH351" s="480">
        <f>SUM(Table1[[#This Row],[Bobot Keg Umum]:[Bobot Perizinan]])</f>
        <v>1.0000000000000002</v>
      </c>
      <c r="AI351" s="480">
        <f>Table1[[#This Row],[RAB Kegiatan Umum]]/Table1[[#This Row],[Nilai RAB Jaringan
(Exclude Ppn)]]</f>
        <v>4.8607069522222657E-2</v>
      </c>
      <c r="AJ351" s="480">
        <f>Table1[[#This Row],[RAB Pemasangan]]/Table1[[#This Row],[Nilai RAB Jaringan
(Exclude Ppn)]]</f>
        <v>0.48607069507928391</v>
      </c>
      <c r="AK351" s="111">
        <f>Table1[[#This Row],[RAB Pengadaan]]/Table1[[#This Row],[Nilai RAB Jaringan
(Exclude Ppn)]]</f>
        <v>0.46232461894066751</v>
      </c>
      <c r="AL351" s="112">
        <f>Table1[[#This Row],[RAB Perizinan]]/Table1[[#This Row],[Nilai RAB Jaringan
(Exclude Ppn)]]</f>
        <v>2.9976164578259276E-3</v>
      </c>
      <c r="AM351" s="42"/>
      <c r="AN351" s="256"/>
      <c r="AO351" s="256">
        <f>SUM(Table1[[#This Row],[Pipa 63 mm]:[Pipa 1,800 mm]])</f>
        <v>0</v>
      </c>
      <c r="AP351" s="256"/>
      <c r="AQ351" s="256"/>
      <c r="AR351" s="256"/>
      <c r="AS351" s="256"/>
      <c r="AT351" s="256"/>
      <c r="AU351" s="256"/>
      <c r="AV351" s="256"/>
      <c r="AW351" s="256"/>
      <c r="AX351" s="256"/>
      <c r="AY351" s="256"/>
      <c r="AZ351" s="256"/>
      <c r="BA351" s="256"/>
      <c r="BB351" s="256"/>
      <c r="BC351" s="256"/>
      <c r="BD351" s="256"/>
      <c r="BE351" s="256"/>
      <c r="BF351" s="256"/>
      <c r="BG351" s="256"/>
      <c r="BH351" s="256"/>
      <c r="BI351" s="256"/>
      <c r="BJ351" s="36">
        <f>SUM(Table1[[#This Row],[Pipa 63 mm2]:[Pipa 1,800 mm21]])</f>
        <v>0</v>
      </c>
      <c r="BK351" s="32"/>
      <c r="BL351" s="32"/>
      <c r="BM351" s="32"/>
      <c r="BN351" s="32"/>
      <c r="BO351" s="32"/>
      <c r="BP351" s="32"/>
      <c r="BQ351" s="32"/>
      <c r="BR351" s="32"/>
      <c r="BS351" s="32"/>
      <c r="BT351" s="32"/>
      <c r="BU351" s="32"/>
      <c r="BV351" s="32"/>
      <c r="BW351" s="32"/>
      <c r="BX351" s="32"/>
      <c r="BY351" s="32"/>
      <c r="BZ351" s="32"/>
      <c r="CA351" s="32"/>
      <c r="CB351" s="32"/>
      <c r="CC351" s="32"/>
      <c r="CD351" s="32"/>
      <c r="CE351" s="32"/>
      <c r="CF351" s="32"/>
      <c r="CG351" s="32"/>
      <c r="CH351" s="32"/>
      <c r="CI351" s="32"/>
      <c r="CJ351" s="32">
        <f>IF((Table1[[#This Row],["Volume
BA MC-0"]]-Table1[[#This Row],[Total Panjang Pipa Aktual
(Sum-&gt;)3]]-Table1[[#This Row],[Total Volume
tidak dapat dipasang]])&gt;=0,Table1[[#This Row],["Volume
BA MC-0"]]-Table1[[#This Row],[Total Panjang Pipa Aktual
(Sum-&gt;)3]]-Table1[[#This Row],[Total Volume
tidak dapat dipasang]],0)</f>
        <v>0</v>
      </c>
      <c r="CK351" s="42"/>
      <c r="CL351" s="113"/>
      <c r="CM351" s="307"/>
      <c r="CN351" s="113"/>
      <c r="CO351" s="113"/>
      <c r="CP35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5.260935318980009E-2</v>
      </c>
      <c r="CQ351" s="406">
        <f>IFERROR(Table1[[#This Row],[Progres Keg. Umum
(%)]]*Table1[[#This Row],[Nilai RAB Jaringan
(file pa aji)]],0)</f>
        <v>0</v>
      </c>
      <c r="CR351" s="406">
        <f>IFERROR(Table1[[#This Row],[Progres MOS
(%)]]*Table1[[#This Row],[Nilai RAB Jaringan
(file pa aji)]],0)</f>
        <v>0</v>
      </c>
      <c r="CS351" s="406">
        <f>IFERROR(Table1[[#This Row],[Progres Pemasangan
(%)]]*Table1[[#This Row],[Nilai RAB Jaringan
(file pa aji)]],0)</f>
        <v>0</v>
      </c>
      <c r="CT351" s="406">
        <f>IFERROR(Table1[[#This Row],[Progres Perizinan
(%)]]*Table1[[#This Row],[Nilai RAB Jaringan
(file pa aji)]],0)</f>
        <v>0</v>
      </c>
      <c r="CU351" s="789">
        <v>0</v>
      </c>
      <c r="CV351" s="299">
        <v>0</v>
      </c>
      <c r="CW351" s="481">
        <v>0</v>
      </c>
      <c r="CX351" s="789">
        <f>_xlfn.XLOOKUP(Table1[[#This Row],[Kode Program]],'[1]Breakdown VOWD Greenfield'!$E:$E,'[1]Breakdown VOWD Greenfield'!$AT:$AT)</f>
        <v>0</v>
      </c>
      <c r="CY351" s="42"/>
      <c r="CZ351" s="301">
        <v>45929</v>
      </c>
      <c r="DA351" s="301">
        <v>45963</v>
      </c>
      <c r="DB351" s="301">
        <v>46076</v>
      </c>
      <c r="DC351" s="286" t="s">
        <v>2816</v>
      </c>
      <c r="DD351" s="478"/>
      <c r="DE3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1" s="301">
        <v>46091</v>
      </c>
      <c r="DG351" s="286" t="s">
        <v>2817</v>
      </c>
      <c r="DH351" s="484"/>
      <c r="DI3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1" s="301">
        <v>45964</v>
      </c>
      <c r="DK351" s="301">
        <v>46110</v>
      </c>
      <c r="DL351" s="301">
        <v>46140.766273148147</v>
      </c>
      <c r="DM351" s="286" t="s">
        <v>2818</v>
      </c>
      <c r="DN35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1" s="301">
        <v>46164</v>
      </c>
      <c r="DP351" s="286" t="s">
        <v>2819</v>
      </c>
      <c r="DQ351" s="308" t="s">
        <v>1910</v>
      </c>
      <c r="DR35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1" s="301">
        <v>45964</v>
      </c>
      <c r="DT351" s="301">
        <v>46158</v>
      </c>
      <c r="DU351" s="301">
        <v>46012</v>
      </c>
      <c r="DV351" s="301">
        <v>46172</v>
      </c>
      <c r="DW351" s="301">
        <v>46140</v>
      </c>
      <c r="DX351" t="s">
        <v>2818</v>
      </c>
      <c r="DY351" s="304">
        <v>58</v>
      </c>
      <c r="DZ351" s="304">
        <v>58</v>
      </c>
      <c r="EA35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1" s="301"/>
      <c r="EC351" s="302">
        <v>56</v>
      </c>
      <c r="ED351" s="302">
        <v>56</v>
      </c>
      <c r="EE351" s="100"/>
      <c r="EF351" s="307">
        <v>0.96551724137931039</v>
      </c>
      <c r="EG351" s="307">
        <f>Table1[[#This Row],[Line PO]]/Table1[[#This Row],[Line PR]]</f>
        <v>0.96551724137931039</v>
      </c>
      <c r="EH351" s="286" t="str">
        <f>IF(Table1[[#This Row],[PO Material Aktual 
(%)]]&gt;=100%,"Selesai PO = 100%",IF(Table1[[#This Row],[PO Material Aktual 
(%)]]&gt;=50%,"Proses PO &gt; 100%",IF(Table1[[#This Row],[PO Material Aktual 
(%)]]&gt;0%,"Proses PO &gt; 50%",IF(Table1[[#This Row],[PO Material Aktual 
(%)]]=0,"Belum PO = 0%"))))</f>
        <v>Proses PO &gt; 100%</v>
      </c>
      <c r="EI35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1" s="301">
        <v>46013</v>
      </c>
      <c r="EK351" s="301">
        <v>46172</v>
      </c>
      <c r="EL351" s="301">
        <v>46201</v>
      </c>
      <c r="EM351" s="301">
        <v>46187</v>
      </c>
      <c r="EN351" s="301"/>
      <c r="EO351" s="302">
        <v>11</v>
      </c>
      <c r="EP351" s="302">
        <v>11</v>
      </c>
      <c r="EQ351" s="307">
        <v>0.18965517241379309</v>
      </c>
      <c r="ER351" s="307">
        <f>Table1[[#This Row],[Line MOS (kolom bantu)]]/Table1[[#This Row],[Line PR]]</f>
        <v>0.18965517241379309</v>
      </c>
      <c r="ES351" s="286" t="str">
        <f>IF(Table1[[#This Row],[Progres MOS]]&gt;=100%,"Selesai MOS = 100%",IF(Table1[[#This Row],[Progres MOS]]&gt;=50%,"Proses MOS &gt; 100%",IF(Table1[[#This Row],[Progres MOS]]&gt;0%,"Proses MOS &gt; 50%",IF(Table1[[#This Row],[Progres MOS]]=0,"Belum MOS = 0%"))))</f>
        <v>Proses MOS &gt; 50%</v>
      </c>
      <c r="ET3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1" s="42"/>
      <c r="EV351" s="301">
        <v>45964</v>
      </c>
      <c r="EW351" s="301">
        <v>46153</v>
      </c>
      <c r="EX351" s="301">
        <v>46138</v>
      </c>
      <c r="EY351" s="301">
        <v>46183</v>
      </c>
      <c r="EZ351" s="322" t="s">
        <v>2779</v>
      </c>
      <c r="FA351" s="379" t="s">
        <v>2779</v>
      </c>
      <c r="FB351" s="301"/>
      <c r="FC351" s="300"/>
      <c r="FD351" s="301"/>
      <c r="FE351" s="301"/>
      <c r="FF351" s="301"/>
      <c r="FG351" s="301"/>
      <c r="FH351" s="301"/>
      <c r="FI351" s="301"/>
      <c r="FJ351" s="301"/>
      <c r="FK351" s="301"/>
      <c r="FL351" s="322" t="s">
        <v>2780</v>
      </c>
      <c r="FM351" s="322"/>
      <c r="FN351" s="308" t="str">
        <f>IF(Table1[[#This Row],[Tanggal Pengajuan Dokumen]]="","",Table1[[#This Row],[PLAN PERMIT
start]]-Table1[[#This Row],[Tanggal Pengajuan Dokumen]])</f>
        <v/>
      </c>
      <c r="FO351" s="322"/>
      <c r="FP351" s="286" t="s">
        <v>923</v>
      </c>
      <c r="FQ351" s="308"/>
      <c r="FR351" s="301"/>
      <c r="FS351" s="308"/>
      <c r="FT3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1" s="314">
        <f ca="1">IF(Table1[[#This Row],[Status Izin]]="Selesai",Table1[[#This Row],[PLAN PERMIT
finish]]-Table1[[#This Row],[Tanggal Terbit/ Target Izin Terbit]],ROUNDUP(Table1[[#This Row],[PLAN PERMIT
finish]]-NOW(),0))</f>
        <v>-66</v>
      </c>
      <c r="FV3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1" s="314"/>
      <c r="FX351" s="42"/>
      <c r="FY351" s="483">
        <v>46097</v>
      </c>
      <c r="FZ351" s="483" t="s">
        <v>2767</v>
      </c>
      <c r="GA35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1" s="301">
        <v>46111</v>
      </c>
      <c r="GC351" s="322"/>
      <c r="GD3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351" s="301">
        <v>46118</v>
      </c>
      <c r="GF351" s="322"/>
      <c r="GG3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351" s="301">
        <v>46125</v>
      </c>
      <c r="GI351" s="301">
        <v>46131</v>
      </c>
      <c r="GJ351" s="322"/>
      <c r="GK3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351" s="301">
        <v>46139</v>
      </c>
      <c r="GM351" s="301">
        <v>46190</v>
      </c>
      <c r="GN351" s="301">
        <v>46222</v>
      </c>
      <c r="GO351" s="300">
        <v>46275</v>
      </c>
      <c r="GP351" s="286"/>
      <c r="GQ3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51" s="301"/>
      <c r="GS351" s="301"/>
      <c r="GT351" s="324"/>
      <c r="GU351" s="314" t="str">
        <f>IF(Table1[[#This Row],[Hydro Tes Actual
(tanggal)]]&lt;&gt;"","Sudah","Belum")</f>
        <v>Belum</v>
      </c>
      <c r="GV351" s="300"/>
      <c r="GW351" s="300"/>
      <c r="GX351" s="301"/>
      <c r="GY351" s="314" t="str">
        <f>IF(Table1[[#This Row],[Interkoneksi Actual
(tanggal)]]&lt;&gt;"","Sudah","Belum")</f>
        <v>Belum</v>
      </c>
      <c r="GZ351" s="300"/>
      <c r="HA351" s="300"/>
      <c r="HB351" s="301"/>
      <c r="HC351" s="314" t="str">
        <f>IF(Table1[[#This Row],[Flushing Actual
(tanggal)]]&lt;&gt;"","Sudah","Belum")</f>
        <v>Belum</v>
      </c>
      <c r="HD351" s="301">
        <v>46225</v>
      </c>
      <c r="HE351" s="301">
        <v>46293</v>
      </c>
      <c r="HF351" s="301">
        <v>46230</v>
      </c>
      <c r="HG351" s="322"/>
      <c r="HH3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51" s="300"/>
      <c r="HJ351" s="300"/>
      <c r="HK351" s="301"/>
      <c r="HL351" s="301"/>
      <c r="HM351" s="301">
        <v>46247</v>
      </c>
      <c r="HN351" s="301">
        <v>46247</v>
      </c>
      <c r="HO351" s="300">
        <v>46293</v>
      </c>
      <c r="HP351" s="300"/>
      <c r="HQ351" s="301"/>
      <c r="HR3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51" s="301">
        <v>46255</v>
      </c>
      <c r="HT351" s="301"/>
      <c r="HU351" s="301">
        <v>46255</v>
      </c>
      <c r="HV351" s="390">
        <v>46298</v>
      </c>
      <c r="HW351" s="365"/>
      <c r="HX35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1" s="42"/>
      <c r="HZ351" s="322"/>
      <c r="IA351" s="306"/>
      <c r="IB351" s="67"/>
      <c r="IC351" s="585">
        <f>IFERROR(ROUND((Table1[[#This Row],[PLAN TC
finish]]-Table1[[#This Row],[PLAN MC-0
start]])/30,2),"")</f>
        <v>3.5</v>
      </c>
      <c r="ID351">
        <f>DATEDIF(Table1[[#This Row],[PLAN MC-0
start]],Table1[[#This Row],[PLAN TC
finish]],"m")</f>
        <v>3</v>
      </c>
      <c r="IE351" s="6"/>
      <c r="IF351" s="6"/>
      <c r="IG351" s="67"/>
      <c r="II351" s="6"/>
      <c r="IJ351" s="4"/>
      <c r="IK351" s="4"/>
      <c r="IL351" s="6"/>
      <c r="IM351" s="6"/>
      <c r="IN351" s="6"/>
      <c r="IO351" s="6"/>
      <c r="IP351" s="6"/>
      <c r="IR351" s="6"/>
      <c r="IS351" s="6"/>
      <c r="IT351" s="6"/>
      <c r="IU351" s="6"/>
      <c r="IX351" s="6"/>
      <c r="IY351" s="6"/>
      <c r="JA351" s="6"/>
      <c r="JB351" s="6"/>
    </row>
    <row r="352" spans="2:262" ht="15" customHeight="1" x14ac:dyDescent="0.25">
      <c r="B352" s="281">
        <f>SUBTOTAL(3,$D$5:D352)</f>
        <v>348</v>
      </c>
      <c r="C352" s="286">
        <v>348</v>
      </c>
      <c r="D352" s="285" t="s">
        <v>244</v>
      </c>
      <c r="E352" s="285" t="s">
        <v>2820</v>
      </c>
      <c r="F352" s="308" t="s">
        <v>2821</v>
      </c>
      <c r="G352" s="319">
        <v>46300</v>
      </c>
      <c r="H352" s="308" t="s">
        <v>247</v>
      </c>
      <c r="I352" s="308" t="s">
        <v>278</v>
      </c>
      <c r="J352" s="450"/>
      <c r="K352" s="308"/>
      <c r="L352" s="286"/>
      <c r="M352" s="325" t="s">
        <v>269</v>
      </c>
      <c r="N352" s="477">
        <v>1020</v>
      </c>
      <c r="O352" s="31" t="s">
        <v>252</v>
      </c>
      <c r="P3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2" s="35">
        <v>0.97811372322307699</v>
      </c>
      <c r="S352" s="297">
        <f>_xlfn.XLOOKUP(Table1[[#This Row],[Nama Program]],'[2]Summary Plan'!$E:$E,'[2]Summary Plan'!$M:$M)</f>
        <v>0.99329055046677861</v>
      </c>
      <c r="T352" s="128">
        <f>Table1[[#This Row],[Progres Total Aktual
(%)]]</f>
        <v>6.5688385579552311E-2</v>
      </c>
      <c r="U352" s="103">
        <f>Table1[[#This Row],[Progres Aktual
(%)]]-Table1[[#This Row],[Target Progres
(%)]]</f>
        <v>-0.92760216488722635</v>
      </c>
      <c r="V352" s="75">
        <f>Table1[[#This Row],["Volume
BA MC-0"]]</f>
        <v>1074</v>
      </c>
      <c r="W352" s="75">
        <f>Table1[[#This Row],[Total Panjang Pipa Aktual
(Sum-&gt;)3]]</f>
        <v>0</v>
      </c>
      <c r="X352" s="99"/>
      <c r="Y352" s="478" t="s">
        <v>2822</v>
      </c>
      <c r="Z352" s="62">
        <v>1611907405</v>
      </c>
      <c r="AA352" s="479">
        <f>ROUND((Table1[[#This Row],[Nilai RAB Jaringan
(Exclude Ppn)]]-Table1[[#This Row],[RAB Perizinan]])*1.11+Table1[[#This Row],[RAB Perizinan]],0)</f>
        <v>1611907405</v>
      </c>
      <c r="AB352" s="406">
        <f>SUM(Table1[[#This Row],[RAB Kegiatan Umum]:[RAB Perizinan]])</f>
        <v>1453179644</v>
      </c>
      <c r="AC352" s="406">
        <v>97432535</v>
      </c>
      <c r="AD352" s="406">
        <v>974325346</v>
      </c>
      <c r="AE352" s="406">
        <v>371221763</v>
      </c>
      <c r="AF352" s="406">
        <v>10200000</v>
      </c>
      <c r="AG352" s="406"/>
      <c r="AH352" s="480">
        <f>SUM(Table1[[#This Row],[Bobot Keg Umum]:[Bobot Perizinan]])</f>
        <v>1</v>
      </c>
      <c r="AI352" s="480">
        <f>Table1[[#This Row],[RAB Kegiatan Umum]]/Table1[[#This Row],[Nilai RAB Jaringan
(Exclude Ppn)]]</f>
        <v>6.7047825368519956E-2</v>
      </c>
      <c r="AJ352" s="480">
        <f>Table1[[#This Row],[RAB Pemasangan]]/Table1[[#This Row],[Nilai RAB Jaringan
(Exclude Ppn)]]</f>
        <v>0.67047825093261493</v>
      </c>
      <c r="AK352" s="111">
        <f>Table1[[#This Row],[RAB Pengadaan]]/Table1[[#This Row],[Nilai RAB Jaringan
(Exclude Ppn)]]</f>
        <v>0.25545483280937015</v>
      </c>
      <c r="AL352" s="112">
        <f>Table1[[#This Row],[RAB Perizinan]]/Table1[[#This Row],[Nilai RAB Jaringan
(Exclude Ppn)]]</f>
        <v>7.0190908894950084E-3</v>
      </c>
      <c r="AM352" s="42"/>
      <c r="AN352" s="256">
        <v>1074</v>
      </c>
      <c r="AO352" s="256">
        <f>SUM(Table1[[#This Row],[Pipa 63 mm]:[Pipa 1,800 mm]])</f>
        <v>1074</v>
      </c>
      <c r="AP352" s="256">
        <v>971</v>
      </c>
      <c r="AQ352" s="256">
        <v>17</v>
      </c>
      <c r="AR352" s="256">
        <v>43</v>
      </c>
      <c r="AS352" s="256">
        <v>41</v>
      </c>
      <c r="AT352" s="256">
        <v>2</v>
      </c>
      <c r="AU352" s="256"/>
      <c r="AV352" s="256"/>
      <c r="AW352" s="256"/>
      <c r="AX352" s="256"/>
      <c r="AY352" s="256"/>
      <c r="AZ352" s="256"/>
      <c r="BA352" s="256"/>
      <c r="BB352" s="256"/>
      <c r="BC352" s="256"/>
      <c r="BD352" s="256"/>
      <c r="BE352" s="256"/>
      <c r="BF352" s="256"/>
      <c r="BG352" s="256"/>
      <c r="BH352" s="256"/>
      <c r="BI352" s="256"/>
      <c r="BJ352" s="36">
        <f>SUM(Table1[[#This Row],[Pipa 63 mm2]:[Pipa 1,800 mm21]])</f>
        <v>0</v>
      </c>
      <c r="BK352" s="32"/>
      <c r="BL352" s="32"/>
      <c r="BM352" s="32"/>
      <c r="BN352" s="32"/>
      <c r="BO352" s="32"/>
      <c r="BP352" s="32"/>
      <c r="BQ352" s="32"/>
      <c r="BR352" s="32"/>
      <c r="BS352" s="32"/>
      <c r="BT352" s="32"/>
      <c r="BU352" s="32"/>
      <c r="BV352" s="32"/>
      <c r="BW352" s="32"/>
      <c r="BX352" s="32"/>
      <c r="BY352" s="32"/>
      <c r="BZ352" s="32"/>
      <c r="CA352" s="32"/>
      <c r="CB352" s="32"/>
      <c r="CC352" s="32"/>
      <c r="CD352" s="32"/>
      <c r="CE352" s="32"/>
      <c r="CF352" s="32"/>
      <c r="CG352" s="32"/>
      <c r="CH352" s="32"/>
      <c r="CI352" s="32"/>
      <c r="CJ352" s="32">
        <f>IF((Table1[[#This Row],["Volume
BA MC-0"]]-Table1[[#This Row],[Total Panjang Pipa Aktual
(Sum-&gt;)3]]-Table1[[#This Row],[Total Volume
tidak dapat dipasang]])&gt;=0,Table1[[#This Row],["Volume
BA MC-0"]]-Table1[[#This Row],[Total Panjang Pipa Aktual
(Sum-&gt;)3]]-Table1[[#This Row],[Total Volume
tidak dapat dipasang]],0)</f>
        <v>1074</v>
      </c>
      <c r="CK352" s="42"/>
      <c r="CL352" s="113"/>
      <c r="CM352" s="307"/>
      <c r="CN352" s="113"/>
      <c r="CO352" s="113"/>
      <c r="CP35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6.5688385579552311E-2</v>
      </c>
      <c r="CQ352" s="406">
        <f>IFERROR(Table1[[#This Row],[Progres Keg. Umum
(%)]]*Table1[[#This Row],[Nilai RAB Jaringan
(file pa aji)]],0)</f>
        <v>0</v>
      </c>
      <c r="CR352" s="406">
        <f>IFERROR(Table1[[#This Row],[Progres MOS
(%)]]*Table1[[#This Row],[Nilai RAB Jaringan
(file pa aji)]],0)</f>
        <v>0</v>
      </c>
      <c r="CS352" s="406">
        <f>IFERROR(Table1[[#This Row],[Progres Pemasangan
(%)]]*Table1[[#This Row],[Nilai RAB Jaringan
(file pa aji)]],0)</f>
        <v>0</v>
      </c>
      <c r="CT352" s="406">
        <f>IFERROR(Table1[[#This Row],[Progres Perizinan
(%)]]*Table1[[#This Row],[Nilai RAB Jaringan
(file pa aji)]],0)</f>
        <v>0</v>
      </c>
      <c r="CU352" s="789">
        <v>0</v>
      </c>
      <c r="CV352" s="299">
        <v>0</v>
      </c>
      <c r="CW352" s="481">
        <v>0</v>
      </c>
      <c r="CX352" s="789">
        <f>_xlfn.XLOOKUP(Table1[[#This Row],[Kode Program]],'[1]Breakdown VOWD Greenfield'!$E:$E,'[1]Breakdown VOWD Greenfield'!$AT:$AT)</f>
        <v>0</v>
      </c>
      <c r="CY352" s="42"/>
      <c r="CZ352" s="301">
        <v>46020</v>
      </c>
      <c r="DA352" s="301">
        <v>46047</v>
      </c>
      <c r="DB352" s="301">
        <v>45946</v>
      </c>
      <c r="DC352" s="286" t="s">
        <v>2823</v>
      </c>
      <c r="DD352" s="478">
        <v>1611907405</v>
      </c>
      <c r="DE3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2" s="301">
        <v>45957</v>
      </c>
      <c r="DG352" s="286" t="s">
        <v>2824</v>
      </c>
      <c r="DH352" s="478">
        <v>1611907405</v>
      </c>
      <c r="DI3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52" s="301">
        <v>46048</v>
      </c>
      <c r="DK352" s="301">
        <v>46110</v>
      </c>
      <c r="DL352" s="301">
        <v>46050</v>
      </c>
      <c r="DM352" s="286" t="s">
        <v>2825</v>
      </c>
      <c r="DN35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52" s="301">
        <v>46087</v>
      </c>
      <c r="DP352" s="286"/>
      <c r="DQ352" s="308" t="s">
        <v>560</v>
      </c>
      <c r="DR35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52" s="301">
        <v>46048</v>
      </c>
      <c r="DT352" s="301">
        <v>46162</v>
      </c>
      <c r="DU352" s="301">
        <v>46089</v>
      </c>
      <c r="DV352" s="301">
        <v>46176</v>
      </c>
      <c r="DW352" s="301">
        <v>46050</v>
      </c>
      <c r="DX352" s="396" t="s">
        <v>2826</v>
      </c>
      <c r="DY352" s="304">
        <v>63</v>
      </c>
      <c r="DZ352" s="304">
        <v>63</v>
      </c>
      <c r="EA35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52" s="301"/>
      <c r="EC352" s="302">
        <v>59</v>
      </c>
      <c r="ED352" s="302">
        <v>59</v>
      </c>
      <c r="EE352" s="100"/>
      <c r="EF352" s="307">
        <v>0.93650793650793651</v>
      </c>
      <c r="EG352" s="307">
        <f>Table1[[#This Row],[Line PO]]/Table1[[#This Row],[Line PR]]</f>
        <v>0.93650793650793651</v>
      </c>
      <c r="EH352" s="286" t="str">
        <f>IF(Table1[[#This Row],[PO Material Aktual 
(%)]]&gt;=100%,"Selesai PO = 100%",IF(Table1[[#This Row],[PO Material Aktual 
(%)]]&gt;=50%,"Proses PO &gt; 100%",IF(Table1[[#This Row],[PO Material Aktual 
(%)]]&gt;0%,"Proses PO &gt; 50%",IF(Table1[[#This Row],[PO Material Aktual 
(%)]]=0,"Belum PO = 0%"))))</f>
        <v>Proses PO &gt; 100%</v>
      </c>
      <c r="EI35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2" s="301">
        <v>46090</v>
      </c>
      <c r="EK352" s="301">
        <v>46176</v>
      </c>
      <c r="EL352" s="301">
        <v>46152</v>
      </c>
      <c r="EM352" s="301">
        <v>46218</v>
      </c>
      <c r="EN352" s="301"/>
      <c r="EO352" s="302">
        <v>27</v>
      </c>
      <c r="EP352" s="302">
        <v>27</v>
      </c>
      <c r="EQ352" s="307">
        <v>0.42857142857142855</v>
      </c>
      <c r="ER352" s="307">
        <f>Table1[[#This Row],[Line MOS (kolom bantu)]]/Table1[[#This Row],[Line PR]]</f>
        <v>0.42857142857142855</v>
      </c>
      <c r="ES352" s="286" t="str">
        <f>IF(Table1[[#This Row],[Progres MOS]]&gt;=100%,"Selesai MOS = 100%",IF(Table1[[#This Row],[Progres MOS]]&gt;=50%,"Proses MOS &gt; 100%",IF(Table1[[#This Row],[Progres MOS]]&gt;0%,"Proses MOS &gt; 50%",IF(Table1[[#This Row],[Progres MOS]]=0,"Belum MOS = 0%"))))</f>
        <v>Proses MOS &gt; 50%</v>
      </c>
      <c r="ET3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2" s="42"/>
      <c r="EV352" s="301">
        <v>46048</v>
      </c>
      <c r="EW352" s="301">
        <v>46184</v>
      </c>
      <c r="EX352" s="301">
        <v>46138</v>
      </c>
      <c r="EY352" s="301">
        <v>46214</v>
      </c>
      <c r="EZ352" s="322" t="s">
        <v>2769</v>
      </c>
      <c r="FA352" s="379" t="s">
        <v>2769</v>
      </c>
      <c r="FB352" s="300"/>
      <c r="FC352" s="300">
        <v>45670</v>
      </c>
      <c r="FD352" s="300" t="s">
        <v>260</v>
      </c>
      <c r="FE352" s="300">
        <v>46086</v>
      </c>
      <c r="FF352" s="300"/>
      <c r="FG352" s="300"/>
      <c r="FH352" s="300"/>
      <c r="FI352" s="300"/>
      <c r="FJ352" s="300"/>
      <c r="FK352" s="300"/>
      <c r="FL352" s="306" t="s">
        <v>2827</v>
      </c>
      <c r="FM352" s="322"/>
      <c r="FN352" s="308" t="str">
        <f>IF(Table1[[#This Row],[Tanggal Pengajuan Dokumen]]="","",Table1[[#This Row],[PLAN PERMIT
start]]-Table1[[#This Row],[Tanggal Pengajuan Dokumen]])</f>
        <v/>
      </c>
      <c r="FO352" s="322"/>
      <c r="FP352" s="286"/>
      <c r="FQ352" s="308"/>
      <c r="FR352" s="301"/>
      <c r="FS352" s="308"/>
      <c r="FT3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2" s="314">
        <f ca="1">IF(Table1[[#This Row],[Status Izin]]="Selesai",Table1[[#This Row],[PLAN PERMIT
finish]]-Table1[[#This Row],[Tanggal Terbit/ Target Izin Terbit]],ROUNDUP(Table1[[#This Row],[PLAN PERMIT
finish]]-NOW(),0))</f>
        <v>-66</v>
      </c>
      <c r="FV3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2" s="314"/>
      <c r="FX352" s="42"/>
      <c r="FY352" s="483">
        <v>46097</v>
      </c>
      <c r="FZ352" s="483">
        <v>46097</v>
      </c>
      <c r="GA35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2" s="301">
        <v>46111</v>
      </c>
      <c r="GC352" s="322">
        <v>46118</v>
      </c>
      <c r="GD3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2" s="301">
        <v>46118</v>
      </c>
      <c r="GF352" s="322">
        <v>46118</v>
      </c>
      <c r="GG3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52" s="301">
        <v>46125</v>
      </c>
      <c r="GI352" s="301">
        <v>46131</v>
      </c>
      <c r="GJ352" s="322">
        <v>46125</v>
      </c>
      <c r="GK3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52" s="301">
        <v>46139</v>
      </c>
      <c r="GM352" s="301">
        <v>46221</v>
      </c>
      <c r="GN352" s="301">
        <v>46173</v>
      </c>
      <c r="GO352" s="300">
        <v>46269</v>
      </c>
      <c r="GP352" s="286"/>
      <c r="GQ3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2" s="301"/>
      <c r="GS352" s="301"/>
      <c r="GT352" s="324"/>
      <c r="GU352" s="314" t="str">
        <f>IF(Table1[[#This Row],[Hydro Tes Actual
(tanggal)]]&lt;&gt;"","Sudah","Belum")</f>
        <v>Belum</v>
      </c>
      <c r="GV352" s="300"/>
      <c r="GW352" s="300"/>
      <c r="GX352" s="301"/>
      <c r="GY352" s="314" t="str">
        <f>IF(Table1[[#This Row],[Interkoneksi Actual
(tanggal)]]&lt;&gt;"","Sudah","Belum")</f>
        <v>Belum</v>
      </c>
      <c r="GZ352" s="300"/>
      <c r="HA352" s="300"/>
      <c r="HB352" s="301"/>
      <c r="HC352" s="314" t="str">
        <f>IF(Table1[[#This Row],[Flushing Actual
(tanggal)]]&lt;&gt;"","Sudah","Belum")</f>
        <v>Belum</v>
      </c>
      <c r="HD352" s="301">
        <v>46176</v>
      </c>
      <c r="HE352" s="301">
        <v>46270</v>
      </c>
      <c r="HF352" s="301">
        <v>46181</v>
      </c>
      <c r="HG352" s="322"/>
      <c r="HH3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2" s="300"/>
      <c r="HJ352" s="300"/>
      <c r="HK352" s="301"/>
      <c r="HL352" s="301"/>
      <c r="HM352" s="301">
        <v>46198</v>
      </c>
      <c r="HN352" s="301">
        <v>46198</v>
      </c>
      <c r="HO352" s="300">
        <v>46287</v>
      </c>
      <c r="HP352" s="300"/>
      <c r="HQ352" s="301"/>
      <c r="HR3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2" s="301">
        <v>46206</v>
      </c>
      <c r="HT352" s="301"/>
      <c r="HU352" s="301">
        <v>46206</v>
      </c>
      <c r="HV352" s="390"/>
      <c r="HW352" s="365"/>
      <c r="HX35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52" s="42"/>
      <c r="HZ352" s="322"/>
      <c r="IA352" s="306"/>
      <c r="IB352" s="67"/>
      <c r="IC352" s="585">
        <f>IFERROR(ROUND((Table1[[#This Row],[PLAN TC
finish]]-Table1[[#This Row],[PLAN MC-0
start]])/30,2),"")</f>
        <v>1.87</v>
      </c>
      <c r="ID352">
        <f>DATEDIF(Table1[[#This Row],[PLAN MC-0
start]],Table1[[#This Row],[PLAN TC
finish]],"m")</f>
        <v>1</v>
      </c>
      <c r="IE352" s="6"/>
      <c r="IF352" s="6"/>
      <c r="IG352" s="67"/>
      <c r="II352" s="6"/>
      <c r="IJ352" s="4"/>
      <c r="IK352" s="4"/>
      <c r="IL352" s="6"/>
      <c r="IM352" s="6"/>
      <c r="IN352" s="6"/>
      <c r="IO352" s="6"/>
      <c r="IP352" s="6"/>
      <c r="IR352" s="6"/>
      <c r="IS352" s="6"/>
      <c r="IT352" s="6"/>
      <c r="IU352" s="6"/>
      <c r="IX352" s="6"/>
      <c r="IY352" s="6"/>
      <c r="JA352" s="6"/>
      <c r="JB352" s="6"/>
    </row>
    <row r="353" spans="2:262" ht="15" customHeight="1" x14ac:dyDescent="0.25">
      <c r="B353" s="281">
        <f>SUBTOTAL(3,$D$5:D353)</f>
        <v>349</v>
      </c>
      <c r="C353" s="286">
        <v>349</v>
      </c>
      <c r="D353" s="285" t="s">
        <v>244</v>
      </c>
      <c r="E353" s="285" t="s">
        <v>2828</v>
      </c>
      <c r="F353" s="308" t="s">
        <v>2829</v>
      </c>
      <c r="G353" s="319">
        <v>46300</v>
      </c>
      <c r="H353" s="308" t="s">
        <v>247</v>
      </c>
      <c r="I353" s="308" t="s">
        <v>278</v>
      </c>
      <c r="J353" s="450"/>
      <c r="K353" s="308"/>
      <c r="L353" s="286"/>
      <c r="M353" s="325" t="s">
        <v>269</v>
      </c>
      <c r="N353" s="477">
        <v>59661</v>
      </c>
      <c r="O353" s="31" t="s">
        <v>252</v>
      </c>
      <c r="P3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3" s="35">
        <v>0.99837118118129242</v>
      </c>
      <c r="S353" s="297">
        <f>_xlfn.XLOOKUP(Table1[[#This Row],[Nama Program]],'[2]Summary Plan'!$E:$E,'[2]Summary Plan'!$M:$M)</f>
        <v>1.0000000000000002</v>
      </c>
      <c r="T353" s="128">
        <f>Table1[[#This Row],[Progres Total Aktual
(%)]]</f>
        <v>3.7693695404389174E-2</v>
      </c>
      <c r="U353" s="103">
        <f>Table1[[#This Row],[Progres Aktual
(%)]]-Table1[[#This Row],[Target Progres
(%)]]</f>
        <v>-0.96230630459561106</v>
      </c>
      <c r="V353" s="75">
        <f>Table1[[#This Row],["Volume
BA MC-0"]]</f>
        <v>0</v>
      </c>
      <c r="W353" s="75">
        <f>Table1[[#This Row],[Total Panjang Pipa Aktual
(Sum-&gt;)3]]</f>
        <v>0</v>
      </c>
      <c r="X353" s="99"/>
      <c r="Y353" s="478" t="s">
        <v>2830</v>
      </c>
      <c r="Z353" s="62">
        <v>108263184306</v>
      </c>
      <c r="AA353" s="479">
        <f>ROUND((Table1[[#This Row],[Nilai RAB Jaringan
(Exclude Ppn)]]-Table1[[#This Row],[RAB Perizinan]])*1.11+Table1[[#This Row],[RAB Perizinan]],0)</f>
        <v>108263184306</v>
      </c>
      <c r="AB353" s="406">
        <f>SUM(Table1[[#This Row],[RAB Kegiatan Umum]:[RAB Perizinan]])</f>
        <v>97596672167.316711</v>
      </c>
      <c r="AC353" s="406">
        <v>3971646666</v>
      </c>
      <c r="AD353" s="406">
        <v>66194111088.316704</v>
      </c>
      <c r="AE353" s="406">
        <v>26802534413</v>
      </c>
      <c r="AF353" s="406">
        <v>628380000</v>
      </c>
      <c r="AG353" s="406"/>
      <c r="AH353" s="480">
        <f>SUM(Table1[[#This Row],[Bobot Keg Umum]:[Bobot Perizinan]])</f>
        <v>0.99999999999999989</v>
      </c>
      <c r="AI353" s="480">
        <f>Table1[[#This Row],[RAB Kegiatan Umum]]/Table1[[#This Row],[Nilai RAB Jaringan
(Exclude Ppn)]]</f>
        <v>4.0694488631652648E-2</v>
      </c>
      <c r="AJ353" s="480">
        <f>Table1[[#This Row],[RAB Pemasangan]]/Table1[[#This Row],[Nilai RAB Jaringan
(Exclude Ppn)]]</f>
        <v>0.67824147707450078</v>
      </c>
      <c r="AK353" s="111">
        <f>Table1[[#This Row],[RAB Pengadaan]]/Table1[[#This Row],[Nilai RAB Jaringan
(Exclude Ppn)]]</f>
        <v>0.27462549508912115</v>
      </c>
      <c r="AL353" s="112">
        <f>Table1[[#This Row],[RAB Perizinan]]/Table1[[#This Row],[Nilai RAB Jaringan
(Exclude Ppn)]]</f>
        <v>6.4385392047253904E-3</v>
      </c>
      <c r="AM353" s="42"/>
      <c r="AN353" s="256"/>
      <c r="AO353" s="256">
        <f>SUM(Table1[[#This Row],[Pipa 63 mm]:[Pipa 1,800 mm]])</f>
        <v>38736</v>
      </c>
      <c r="AP353" s="256">
        <v>10213</v>
      </c>
      <c r="AQ353" s="256">
        <v>12328</v>
      </c>
      <c r="AR353" s="256">
        <v>9298</v>
      </c>
      <c r="AS353" s="256">
        <v>1354</v>
      </c>
      <c r="AT353" s="256">
        <v>3400</v>
      </c>
      <c r="AU353" s="256">
        <v>1691</v>
      </c>
      <c r="AV353" s="256">
        <v>150</v>
      </c>
      <c r="AW353" s="256"/>
      <c r="AX353" s="256">
        <v>302</v>
      </c>
      <c r="AY353" s="256"/>
      <c r="AZ353" s="256"/>
      <c r="BA353" s="256"/>
      <c r="BB353" s="256"/>
      <c r="BC353" s="256"/>
      <c r="BD353" s="256"/>
      <c r="BE353" s="256"/>
      <c r="BF353" s="256"/>
      <c r="BG353" s="256"/>
      <c r="BH353" s="256"/>
      <c r="BI353" s="256"/>
      <c r="BJ353" s="36">
        <f>SUM(Table1[[#This Row],[Pipa 63 mm2]:[Pipa 1,800 mm21]])</f>
        <v>0</v>
      </c>
      <c r="BK353" s="32"/>
      <c r="BL353" s="32"/>
      <c r="BM353" s="32"/>
      <c r="BN353" s="32"/>
      <c r="BO353" s="32"/>
      <c r="BP353" s="32"/>
      <c r="BQ353" s="32"/>
      <c r="BR353" s="32"/>
      <c r="BS353" s="32"/>
      <c r="BT353" s="32"/>
      <c r="BU353" s="32"/>
      <c r="BV353" s="32"/>
      <c r="BW353" s="32"/>
      <c r="BX353" s="32"/>
      <c r="BY353" s="32"/>
      <c r="BZ353" s="32"/>
      <c r="CA353" s="32"/>
      <c r="CB353" s="32"/>
      <c r="CC353" s="32"/>
      <c r="CD353" s="32"/>
      <c r="CE353" s="32"/>
      <c r="CF353" s="32"/>
      <c r="CG353" s="32"/>
      <c r="CH353" s="32"/>
      <c r="CI353" s="32"/>
      <c r="CJ353" s="32">
        <f>IF((Table1[[#This Row],["Volume
BA MC-0"]]-Table1[[#This Row],[Total Panjang Pipa Aktual
(Sum-&gt;)3]]-Table1[[#This Row],[Total Volume
tidak dapat dipasang]])&gt;=0,Table1[[#This Row],["Volume
BA MC-0"]]-Table1[[#This Row],[Total Panjang Pipa Aktual
(Sum-&gt;)3]]-Table1[[#This Row],[Total Volume
tidak dapat dipasang]],0)</f>
        <v>0</v>
      </c>
      <c r="CK353" s="42"/>
      <c r="CL353" s="113"/>
      <c r="CM353" s="307"/>
      <c r="CN353" s="113"/>
      <c r="CO353" s="113"/>
      <c r="CP35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3.7693695404389174E-2</v>
      </c>
      <c r="CQ353" s="406">
        <f>IFERROR(Table1[[#This Row],[Progres Keg. Umum
(%)]]*Table1[[#This Row],[Nilai RAB Jaringan
(file pa aji)]],0)</f>
        <v>0</v>
      </c>
      <c r="CR353" s="406">
        <f>IFERROR(Table1[[#This Row],[Progres MOS
(%)]]*Table1[[#This Row],[Nilai RAB Jaringan
(file pa aji)]],0)</f>
        <v>0</v>
      </c>
      <c r="CS353" s="406">
        <f>IFERROR(Table1[[#This Row],[Progres Pemasangan
(%)]]*Table1[[#This Row],[Nilai RAB Jaringan
(file pa aji)]],0)</f>
        <v>0</v>
      </c>
      <c r="CT353" s="406">
        <f>IFERROR(Table1[[#This Row],[Progres Perizinan
(%)]]*Table1[[#This Row],[Nilai RAB Jaringan
(file pa aji)]],0)</f>
        <v>0</v>
      </c>
      <c r="CU353" s="789">
        <v>0</v>
      </c>
      <c r="CV353" s="299">
        <v>0</v>
      </c>
      <c r="CW353" s="481">
        <v>0</v>
      </c>
      <c r="CX353" s="789">
        <f>_xlfn.XLOOKUP(Table1[[#This Row],[Kode Program]],'[1]Breakdown VOWD Greenfield'!$E:$E,'[1]Breakdown VOWD Greenfield'!$AT:$AT)</f>
        <v>0</v>
      </c>
      <c r="CY353" s="42"/>
      <c r="CZ353" s="301">
        <v>45929</v>
      </c>
      <c r="DA353" s="301">
        <v>45956</v>
      </c>
      <c r="DB353" s="301">
        <v>45950</v>
      </c>
      <c r="DC353" s="485" t="s">
        <v>2831</v>
      </c>
      <c r="DD353" s="478">
        <v>108263184306</v>
      </c>
      <c r="DE3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3" s="301">
        <v>45972</v>
      </c>
      <c r="DG353" s="486" t="s">
        <v>2832</v>
      </c>
      <c r="DH353" s="478">
        <v>108263184306</v>
      </c>
      <c r="DI3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3" s="301">
        <v>45957</v>
      </c>
      <c r="DK353" s="301">
        <v>45991</v>
      </c>
      <c r="DL353" s="301">
        <v>46002</v>
      </c>
      <c r="DM353" s="286" t="s">
        <v>2833</v>
      </c>
      <c r="DN35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3" s="301">
        <v>46085</v>
      </c>
      <c r="DP353" s="286"/>
      <c r="DQ353" s="308" t="s">
        <v>275</v>
      </c>
      <c r="DR35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3" s="301">
        <v>45957</v>
      </c>
      <c r="DT353" s="301">
        <v>46164</v>
      </c>
      <c r="DU353" s="301">
        <v>45998</v>
      </c>
      <c r="DV353" s="301">
        <v>46178</v>
      </c>
      <c r="DW353" s="301">
        <v>46002</v>
      </c>
      <c r="DX353" s="286" t="s">
        <v>2834</v>
      </c>
      <c r="DY353" s="304">
        <v>153</v>
      </c>
      <c r="DZ353" s="304">
        <v>153</v>
      </c>
      <c r="EA35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3" s="301"/>
      <c r="EC353" s="302">
        <v>150</v>
      </c>
      <c r="ED353" s="302">
        <v>150</v>
      </c>
      <c r="EE353" s="100"/>
      <c r="EF353" s="307">
        <v>0.98039215686274506</v>
      </c>
      <c r="EG353" s="307">
        <f>Table1[[#This Row],[Line PO]]/Table1[[#This Row],[Line PR]]</f>
        <v>0.98039215686274506</v>
      </c>
      <c r="EH353" s="286" t="str">
        <f>IF(Table1[[#This Row],[PO Material Aktual 
(%)]]&gt;=100%,"Selesai PO = 100%",IF(Table1[[#This Row],[PO Material Aktual 
(%)]]&gt;=50%,"Proses PO &gt; 100%",IF(Table1[[#This Row],[PO Material Aktual 
(%)]]&gt;0%,"Proses PO &gt; 50%",IF(Table1[[#This Row],[PO Material Aktual 
(%)]]=0,"Belum PO = 0%"))))</f>
        <v>Proses PO &gt; 100%</v>
      </c>
      <c r="EI35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3" s="301">
        <v>45999</v>
      </c>
      <c r="EK353" s="301">
        <v>46178</v>
      </c>
      <c r="EL353" s="301">
        <v>46110</v>
      </c>
      <c r="EM353" s="301">
        <v>46203</v>
      </c>
      <c r="EN353" s="301"/>
      <c r="EO353" s="302">
        <v>35</v>
      </c>
      <c r="EP353" s="302">
        <v>35</v>
      </c>
      <c r="EQ353" s="307">
        <v>0.22875816993464052</v>
      </c>
      <c r="ER353" s="307">
        <f>Table1[[#This Row],[Line MOS (kolom bantu)]]/Table1[[#This Row],[Line PR]]</f>
        <v>0.22875816993464052</v>
      </c>
      <c r="ES353" s="286" t="str">
        <f>IF(Table1[[#This Row],[Progres MOS]]&gt;=100%,"Selesai MOS = 100%",IF(Table1[[#This Row],[Progres MOS]]&gt;=50%,"Proses MOS &gt; 100%",IF(Table1[[#This Row],[Progres MOS]]&gt;0%,"Proses MOS &gt; 50%",IF(Table1[[#This Row],[Progres MOS]]=0,"Belum MOS = 0%"))))</f>
        <v>Proses MOS &gt; 50%</v>
      </c>
      <c r="ET3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3" s="42"/>
      <c r="EV353" s="301">
        <v>45957</v>
      </c>
      <c r="EW353" s="301">
        <v>46169</v>
      </c>
      <c r="EX353" s="301">
        <v>46019</v>
      </c>
      <c r="EY353" s="301">
        <v>46199</v>
      </c>
      <c r="EZ353" s="322" t="s">
        <v>1592</v>
      </c>
      <c r="FA353" s="379" t="s">
        <v>1592</v>
      </c>
      <c r="FB353" s="300"/>
      <c r="FC353" s="300">
        <v>45982</v>
      </c>
      <c r="FD353" s="300" t="s">
        <v>260</v>
      </c>
      <c r="FE353" s="300">
        <v>46050</v>
      </c>
      <c r="FF353" s="300">
        <v>46071</v>
      </c>
      <c r="FG353" s="300"/>
      <c r="FH353" s="300"/>
      <c r="FI353" s="300"/>
      <c r="FJ353" s="300"/>
      <c r="FK353" s="300"/>
      <c r="FL353" s="306" t="s">
        <v>2827</v>
      </c>
      <c r="FM353" s="322"/>
      <c r="FN353" s="308" t="str">
        <f>IF(Table1[[#This Row],[Tanggal Pengajuan Dokumen]]="","",Table1[[#This Row],[PLAN PERMIT
start]]-Table1[[#This Row],[Tanggal Pengajuan Dokumen]])</f>
        <v/>
      </c>
      <c r="FO353" s="322"/>
      <c r="FP353" s="286"/>
      <c r="FQ353" s="308"/>
      <c r="FR353" s="301"/>
      <c r="FS353" s="308"/>
      <c r="FT3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3" s="314">
        <f ca="1">IF(Table1[[#This Row],[Status Izin]]="Selesai",Table1[[#This Row],[PLAN PERMIT
finish]]-Table1[[#This Row],[Tanggal Terbit/ Target Izin Terbit]],ROUNDUP(Table1[[#This Row],[PLAN PERMIT
finish]]-NOW(),0))</f>
        <v>-185</v>
      </c>
      <c r="FV3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3" s="314"/>
      <c r="FX353" s="42"/>
      <c r="FY353" s="483">
        <v>45978</v>
      </c>
      <c r="FZ353" s="483">
        <v>45924</v>
      </c>
      <c r="GA35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3" s="301">
        <v>45992</v>
      </c>
      <c r="GC353" s="322">
        <v>46118</v>
      </c>
      <c r="GD3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3" s="301">
        <v>45999</v>
      </c>
      <c r="GF353" s="322">
        <v>46118</v>
      </c>
      <c r="GG3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3" s="301">
        <v>46006</v>
      </c>
      <c r="GI353" s="301">
        <v>46012</v>
      </c>
      <c r="GJ353" s="322">
        <v>46133</v>
      </c>
      <c r="GK3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3" s="301">
        <v>46020</v>
      </c>
      <c r="GM353" s="301">
        <v>46206</v>
      </c>
      <c r="GN353" s="301">
        <v>46166</v>
      </c>
      <c r="GO353" s="300">
        <v>46275</v>
      </c>
      <c r="GP353" s="286"/>
      <c r="GQ3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3" s="301"/>
      <c r="GS353" s="301"/>
      <c r="GT353" s="324"/>
      <c r="GU353" s="314" t="str">
        <f>IF(Table1[[#This Row],[Hydro Tes Actual
(tanggal)]]&lt;&gt;"","Sudah","Belum")</f>
        <v>Belum</v>
      </c>
      <c r="GV353" s="300"/>
      <c r="GW353" s="300"/>
      <c r="GX353" s="301"/>
      <c r="GY353" s="314" t="str">
        <f>IF(Table1[[#This Row],[Interkoneksi Actual
(tanggal)]]&lt;&gt;"","Sudah","Belum")</f>
        <v>Belum</v>
      </c>
      <c r="GZ353" s="300"/>
      <c r="HA353" s="300"/>
      <c r="HB353" s="301"/>
      <c r="HC353" s="314" t="str">
        <f>IF(Table1[[#This Row],[Flushing Actual
(tanggal)]]&lt;&gt;"","Sudah","Belum")</f>
        <v>Belum</v>
      </c>
      <c r="HD353" s="301">
        <v>46169</v>
      </c>
      <c r="HE353" s="301">
        <v>46276</v>
      </c>
      <c r="HF353" s="301">
        <v>46174</v>
      </c>
      <c r="HG353" s="322"/>
      <c r="HH3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3" s="300"/>
      <c r="HJ353" s="300"/>
      <c r="HK353" s="301"/>
      <c r="HL353" s="301"/>
      <c r="HM353" s="301">
        <v>46191</v>
      </c>
      <c r="HN353" s="301">
        <v>46191</v>
      </c>
      <c r="HO353" s="300">
        <v>46293</v>
      </c>
      <c r="HP353" s="300"/>
      <c r="HQ353" s="301"/>
      <c r="HR3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3" s="301">
        <v>46199</v>
      </c>
      <c r="HT353" s="301"/>
      <c r="HU353" s="301">
        <v>46199</v>
      </c>
      <c r="HV353" s="390">
        <v>46298</v>
      </c>
      <c r="HW353" s="365"/>
      <c r="HX35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3" s="42"/>
      <c r="HZ353" s="322"/>
      <c r="IA353" s="306"/>
      <c r="IB353" s="67"/>
      <c r="IC353" s="585">
        <f>IFERROR(ROUND((Table1[[#This Row],[PLAN TC
finish]]-Table1[[#This Row],[PLAN MC-0
start]])/30,2),"")</f>
        <v>5.6</v>
      </c>
      <c r="ID353">
        <f>DATEDIF(Table1[[#This Row],[PLAN MC-0
start]],Table1[[#This Row],[PLAN TC
finish]],"m")</f>
        <v>5</v>
      </c>
      <c r="IE353" s="6"/>
      <c r="IF353" s="6"/>
      <c r="IG353" s="67"/>
      <c r="II353" s="6"/>
      <c r="IJ353" s="4"/>
      <c r="IK353" s="4"/>
      <c r="IL353" s="6"/>
      <c r="IM353" s="6"/>
      <c r="IN353" s="6"/>
      <c r="IO353" s="6"/>
      <c r="IP353" s="6"/>
      <c r="IR353" s="6"/>
      <c r="IS353" s="6"/>
      <c r="IT353" s="6"/>
      <c r="IU353" s="6"/>
      <c r="IX353" s="6"/>
      <c r="IY353" s="6"/>
      <c r="JA353" s="6"/>
      <c r="JB353" s="6"/>
    </row>
    <row r="354" spans="2:262" ht="15" customHeight="1" x14ac:dyDescent="0.25">
      <c r="B354" s="281">
        <f>SUBTOTAL(3,$D$5:D354)</f>
        <v>350</v>
      </c>
      <c r="C354" s="286">
        <v>350</v>
      </c>
      <c r="D354" s="285" t="s">
        <v>244</v>
      </c>
      <c r="E354" s="285" t="s">
        <v>2835</v>
      </c>
      <c r="F354" s="308" t="s">
        <v>2836</v>
      </c>
      <c r="G354" s="319">
        <v>46300</v>
      </c>
      <c r="H354" s="308" t="s">
        <v>247</v>
      </c>
      <c r="I354" s="308" t="s">
        <v>278</v>
      </c>
      <c r="J354" s="450"/>
      <c r="K354" s="308"/>
      <c r="L354" s="286"/>
      <c r="M354" s="325" t="s">
        <v>269</v>
      </c>
      <c r="N354" s="477">
        <v>12891</v>
      </c>
      <c r="O354" s="31" t="s">
        <v>252</v>
      </c>
      <c r="P3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4" s="35">
        <v>0.99772282661392864</v>
      </c>
      <c r="S354" s="297">
        <f>_xlfn.XLOOKUP(Table1[[#This Row],[Nama Program]],'[2]Summary Plan'!$E:$E,'[2]Summary Plan'!$M:$M)</f>
        <v>1</v>
      </c>
      <c r="T354" s="128">
        <f>Table1[[#This Row],[Progres Total Aktual
(%)]]</f>
        <v>4.5675856901957926E-2</v>
      </c>
      <c r="U354" s="103">
        <f>Table1[[#This Row],[Progres Aktual
(%)]]-Table1[[#This Row],[Target Progres
(%)]]</f>
        <v>-0.95432414309804203</v>
      </c>
      <c r="V354" s="75">
        <f>Table1[[#This Row],["Volume
BA MC-0"]]</f>
        <v>0</v>
      </c>
      <c r="W354" s="75">
        <f>Table1[[#This Row],[Total Panjang Pipa Aktual
(Sum-&gt;)3]]</f>
        <v>0</v>
      </c>
      <c r="X354" s="99"/>
      <c r="Y354" s="478" t="s">
        <v>2837</v>
      </c>
      <c r="Z354" s="62">
        <v>41835326266</v>
      </c>
      <c r="AA354" s="479">
        <f>ROUND((Table1[[#This Row],[Nilai RAB Jaringan
(Exclude Ppn)]]-Table1[[#This Row],[RAB Perizinan]])*1.11+Table1[[#This Row],[RAB Perizinan]],0)</f>
        <v>41835326265</v>
      </c>
      <c r="AB354" s="406">
        <f>SUM(Table1[[#This Row],[RAB Kegiatan Umum]:[RAB Perizinan]])</f>
        <v>37707513212</v>
      </c>
      <c r="AC354" s="406">
        <v>1716509758</v>
      </c>
      <c r="AD354" s="406">
        <v>21456371974</v>
      </c>
      <c r="AE354" s="406">
        <v>14352691480</v>
      </c>
      <c r="AF354" s="406">
        <v>181940000</v>
      </c>
      <c r="AG354" s="406"/>
      <c r="AH354" s="480">
        <f>SUM(Table1[[#This Row],[Bobot Keg Umum]:[Bobot Perizinan]])</f>
        <v>1</v>
      </c>
      <c r="AI354" s="480">
        <f>Table1[[#This Row],[RAB Kegiatan Umum]]/Table1[[#This Row],[Nilai RAB Jaringan
(Exclude Ppn)]]</f>
        <v>4.5521690819264625E-2</v>
      </c>
      <c r="AJ354" s="480">
        <f>Table1[[#This Row],[RAB Pemasangan]]/Table1[[#This Row],[Nilai RAB Jaringan
(Exclude Ppn)]]</f>
        <v>0.56902113521428788</v>
      </c>
      <c r="AK354" s="111">
        <f>Table1[[#This Row],[RAB Pengadaan]]/Table1[[#This Row],[Nilai RAB Jaringan
(Exclude Ppn)]]</f>
        <v>0.38063214084964941</v>
      </c>
      <c r="AL354" s="112">
        <f>Table1[[#This Row],[RAB Perizinan]]/Table1[[#This Row],[Nilai RAB Jaringan
(Exclude Ppn)]]</f>
        <v>4.8250331167980498E-3</v>
      </c>
      <c r="AM354" s="42"/>
      <c r="AN354" s="256"/>
      <c r="AO354" s="256">
        <f>SUM(Table1[[#This Row],[Pipa 63 mm]:[Pipa 1,800 mm]])</f>
        <v>11935</v>
      </c>
      <c r="AP354" s="256">
        <v>3559</v>
      </c>
      <c r="AQ354" s="256">
        <v>2159</v>
      </c>
      <c r="AR354" s="256">
        <v>887</v>
      </c>
      <c r="AS354" s="256">
        <v>1481</v>
      </c>
      <c r="AT354" s="256">
        <v>51</v>
      </c>
      <c r="AU354" s="256">
        <v>38</v>
      </c>
      <c r="AV354" s="256">
        <v>4</v>
      </c>
      <c r="AW354" s="256"/>
      <c r="AX354" s="256">
        <v>3756</v>
      </c>
      <c r="AY354" s="256"/>
      <c r="AZ354" s="256"/>
      <c r="BA354" s="256"/>
      <c r="BB354" s="256"/>
      <c r="BC354" s="256"/>
      <c r="BD354" s="256"/>
      <c r="BE354" s="256"/>
      <c r="BF354" s="256"/>
      <c r="BG354" s="256"/>
      <c r="BH354" s="256"/>
      <c r="BI354" s="256"/>
      <c r="BJ354" s="36">
        <f>SUM(Table1[[#This Row],[Pipa 63 mm2]:[Pipa 1,800 mm21]])</f>
        <v>0</v>
      </c>
      <c r="BK354" s="32"/>
      <c r="BL354" s="32"/>
      <c r="BM354" s="32"/>
      <c r="BN354" s="32"/>
      <c r="BO354" s="32"/>
      <c r="BP354" s="32"/>
      <c r="BQ354" s="32"/>
      <c r="BR354" s="32"/>
      <c r="BS354" s="32"/>
      <c r="BT354" s="32"/>
      <c r="BU354" s="32"/>
      <c r="BV354" s="32"/>
      <c r="BW354" s="32"/>
      <c r="BX354" s="32"/>
      <c r="BY354" s="32"/>
      <c r="BZ354" s="32"/>
      <c r="CA354" s="32"/>
      <c r="CB354" s="32"/>
      <c r="CC354" s="32"/>
      <c r="CD354" s="32"/>
      <c r="CE354" s="32"/>
      <c r="CF354" s="32"/>
      <c r="CG354" s="32"/>
      <c r="CH354" s="32"/>
      <c r="CI354" s="32"/>
      <c r="CJ354" s="32">
        <f>IF((Table1[[#This Row],["Volume
BA MC-0"]]-Table1[[#This Row],[Total Panjang Pipa Aktual
(Sum-&gt;)3]]-Table1[[#This Row],[Total Volume
tidak dapat dipasang]])&gt;=0,Table1[[#This Row],["Volume
BA MC-0"]]-Table1[[#This Row],[Total Panjang Pipa Aktual
(Sum-&gt;)3]]-Table1[[#This Row],[Total Volume
tidak dapat dipasang]],0)</f>
        <v>0</v>
      </c>
      <c r="CK354" s="42"/>
      <c r="CL354" s="113"/>
      <c r="CM354" s="307"/>
      <c r="CN354" s="113"/>
      <c r="CO354" s="113"/>
      <c r="CP35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4.5675856901957926E-2</v>
      </c>
      <c r="CQ354" s="406">
        <f>IFERROR(Table1[[#This Row],[Progres Keg. Umum
(%)]]*Table1[[#This Row],[Nilai RAB Jaringan
(file pa aji)]],0)</f>
        <v>0</v>
      </c>
      <c r="CR354" s="406">
        <f>IFERROR(Table1[[#This Row],[Progres MOS
(%)]]*Table1[[#This Row],[Nilai RAB Jaringan
(file pa aji)]],0)</f>
        <v>0</v>
      </c>
      <c r="CS354" s="406">
        <f>IFERROR(Table1[[#This Row],[Progres Pemasangan
(%)]]*Table1[[#This Row],[Nilai RAB Jaringan
(file pa aji)]],0)</f>
        <v>0</v>
      </c>
      <c r="CT354" s="406">
        <f>IFERROR(Table1[[#This Row],[Progres Perizinan
(%)]]*Table1[[#This Row],[Nilai RAB Jaringan
(file pa aji)]],0)</f>
        <v>0</v>
      </c>
      <c r="CU354" s="789">
        <v>0</v>
      </c>
      <c r="CV354" s="299">
        <v>0</v>
      </c>
      <c r="CW354" s="481">
        <v>0</v>
      </c>
      <c r="CX354" s="789">
        <f>_xlfn.XLOOKUP(Table1[[#This Row],[Kode Program]],'[1]Breakdown VOWD Greenfield'!$E:$E,'[1]Breakdown VOWD Greenfield'!$AT:$AT)</f>
        <v>0</v>
      </c>
      <c r="CY354" s="42"/>
      <c r="CZ354" s="301">
        <v>45929</v>
      </c>
      <c r="DA354" s="301">
        <v>45956</v>
      </c>
      <c r="DB354" s="301">
        <v>45950</v>
      </c>
      <c r="DC354" s="286" t="s">
        <v>2838</v>
      </c>
      <c r="DD354" s="478">
        <v>41835326266</v>
      </c>
      <c r="DE3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4" s="301">
        <v>45957</v>
      </c>
      <c r="DG354" s="286" t="s">
        <v>2839</v>
      </c>
      <c r="DH354" s="478">
        <v>41835326266</v>
      </c>
      <c r="DI3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4" s="301">
        <v>45957</v>
      </c>
      <c r="DK354" s="301">
        <v>46019</v>
      </c>
      <c r="DL354" s="301">
        <v>46041</v>
      </c>
      <c r="DM354" s="286" t="s">
        <v>2840</v>
      </c>
      <c r="DN35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4" s="301">
        <v>46086.291666666664</v>
      </c>
      <c r="DP354" s="286" t="s">
        <v>2841</v>
      </c>
      <c r="DQ354" s="308" t="s">
        <v>312</v>
      </c>
      <c r="DR35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4" s="301">
        <v>45957</v>
      </c>
      <c r="DT354" s="301">
        <v>46164</v>
      </c>
      <c r="DU354" s="301">
        <v>45998</v>
      </c>
      <c r="DV354" s="301">
        <v>46178</v>
      </c>
      <c r="DW354" s="301">
        <v>46041</v>
      </c>
      <c r="DX354" s="286" t="s">
        <v>2842</v>
      </c>
      <c r="DY354" s="304">
        <v>120</v>
      </c>
      <c r="DZ354" s="304">
        <v>120</v>
      </c>
      <c r="EA35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4" s="301"/>
      <c r="EC354" s="302">
        <v>117</v>
      </c>
      <c r="ED354" s="302">
        <v>117</v>
      </c>
      <c r="EE354" s="100"/>
      <c r="EF354" s="307">
        <v>0.97499999999999998</v>
      </c>
      <c r="EG354" s="307">
        <f>Table1[[#This Row],[Line PO]]/Table1[[#This Row],[Line PR]]</f>
        <v>0.97499999999999998</v>
      </c>
      <c r="EH354" s="286" t="str">
        <f>IF(Table1[[#This Row],[PO Material Aktual 
(%)]]&gt;=100%,"Selesai PO = 100%",IF(Table1[[#This Row],[PO Material Aktual 
(%)]]&gt;=50%,"Proses PO &gt; 100%",IF(Table1[[#This Row],[PO Material Aktual 
(%)]]&gt;0%,"Proses PO &gt; 50%",IF(Table1[[#This Row],[PO Material Aktual 
(%)]]=0,"Belum PO = 0%"))))</f>
        <v>Proses PO &gt; 100%</v>
      </c>
      <c r="EI35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4" s="301">
        <v>45999</v>
      </c>
      <c r="EK354" s="301">
        <v>46178</v>
      </c>
      <c r="EL354" s="301">
        <v>46110</v>
      </c>
      <c r="EM354" s="301">
        <v>46203</v>
      </c>
      <c r="EN354" s="301"/>
      <c r="EO354" s="302">
        <v>24</v>
      </c>
      <c r="EP354" s="302">
        <v>24</v>
      </c>
      <c r="EQ354" s="307">
        <v>0.2</v>
      </c>
      <c r="ER354" s="307">
        <f>Table1[[#This Row],[Line MOS (kolom bantu)]]/Table1[[#This Row],[Line PR]]</f>
        <v>0.2</v>
      </c>
      <c r="ES354" s="286" t="str">
        <f>IF(Table1[[#This Row],[Progres MOS]]&gt;=100%,"Selesai MOS = 100%",IF(Table1[[#This Row],[Progres MOS]]&gt;=50%,"Proses MOS &gt; 100%",IF(Table1[[#This Row],[Progres MOS]]&gt;0%,"Proses MOS &gt; 50%",IF(Table1[[#This Row],[Progres MOS]]=0,"Belum MOS = 0%"))))</f>
        <v>Proses MOS &gt; 50%</v>
      </c>
      <c r="ET3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4" s="42"/>
      <c r="EV354" s="301">
        <v>45957</v>
      </c>
      <c r="EW354" s="301">
        <v>46148</v>
      </c>
      <c r="EX354" s="301">
        <v>46047</v>
      </c>
      <c r="EY354" s="301">
        <v>46178</v>
      </c>
      <c r="EZ354" s="322" t="s">
        <v>2769</v>
      </c>
      <c r="FA354" s="379" t="s">
        <v>2769</v>
      </c>
      <c r="FB354" s="300"/>
      <c r="FC354" s="300">
        <v>45995</v>
      </c>
      <c r="FD354" s="300" t="s">
        <v>260</v>
      </c>
      <c r="FE354" s="300">
        <v>46057</v>
      </c>
      <c r="FF354" s="300"/>
      <c r="FG354" s="300"/>
      <c r="FH354" s="300"/>
      <c r="FI354" s="300"/>
      <c r="FJ354" s="300"/>
      <c r="FK354" s="300"/>
      <c r="FL354" s="306" t="s">
        <v>2827</v>
      </c>
      <c r="FM354" s="322"/>
      <c r="FN354" s="308" t="str">
        <f>IF(Table1[[#This Row],[Tanggal Pengajuan Dokumen]]="","",Table1[[#This Row],[PLAN PERMIT
start]]-Table1[[#This Row],[Tanggal Pengajuan Dokumen]])</f>
        <v/>
      </c>
      <c r="FO354" s="322"/>
      <c r="FP354" s="286"/>
      <c r="FQ354" s="308"/>
      <c r="FR354" s="301"/>
      <c r="FS354" s="308"/>
      <c r="FT3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4" s="314">
        <f ca="1">IF(Table1[[#This Row],[Status Izin]]="Selesai",Table1[[#This Row],[PLAN PERMIT
finish]]-Table1[[#This Row],[Tanggal Terbit/ Target Izin Terbit]],ROUNDUP(Table1[[#This Row],[PLAN PERMIT
finish]]-NOW(),0))</f>
        <v>-157</v>
      </c>
      <c r="FV3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4" s="314"/>
      <c r="FX354" s="42"/>
      <c r="FY354" s="483">
        <v>46006</v>
      </c>
      <c r="FZ354" s="483">
        <v>45967</v>
      </c>
      <c r="GA35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4" s="301">
        <v>46020</v>
      </c>
      <c r="GC354" s="322">
        <v>46118</v>
      </c>
      <c r="GD3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4" s="301">
        <v>46027</v>
      </c>
      <c r="GF354" s="322">
        <v>46118</v>
      </c>
      <c r="GG3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4" s="301">
        <v>46034</v>
      </c>
      <c r="GI354" s="301">
        <v>46040</v>
      </c>
      <c r="GJ354" s="322">
        <v>46133</v>
      </c>
      <c r="GK3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4" s="301">
        <v>46048</v>
      </c>
      <c r="GM354" s="301">
        <v>46206</v>
      </c>
      <c r="GN354" s="301">
        <v>46166</v>
      </c>
      <c r="GO354" s="300">
        <v>46275</v>
      </c>
      <c r="GP354" s="286"/>
      <c r="GQ3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4" s="301"/>
      <c r="GS354" s="301"/>
      <c r="GT354" s="324"/>
      <c r="GU354" s="314" t="str">
        <f>IF(Table1[[#This Row],[Hydro Tes Actual
(tanggal)]]&lt;&gt;"","Sudah","Belum")</f>
        <v>Belum</v>
      </c>
      <c r="GV354" s="300"/>
      <c r="GW354" s="300"/>
      <c r="GX354" s="301"/>
      <c r="GY354" s="314" t="str">
        <f>IF(Table1[[#This Row],[Interkoneksi Actual
(tanggal)]]&lt;&gt;"","Sudah","Belum")</f>
        <v>Belum</v>
      </c>
      <c r="GZ354" s="300"/>
      <c r="HA354" s="300"/>
      <c r="HB354" s="301"/>
      <c r="HC354" s="314" t="str">
        <f>IF(Table1[[#This Row],[Flushing Actual
(tanggal)]]&lt;&gt;"","Sudah","Belum")</f>
        <v>Belum</v>
      </c>
      <c r="HD354" s="301">
        <v>46169</v>
      </c>
      <c r="HE354" s="301">
        <v>46276</v>
      </c>
      <c r="HF354" s="301">
        <v>46174</v>
      </c>
      <c r="HG354" s="322"/>
      <c r="HH3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4" s="300"/>
      <c r="HJ354" s="300"/>
      <c r="HK354" s="301"/>
      <c r="HL354" s="301"/>
      <c r="HM354" s="301">
        <v>46191</v>
      </c>
      <c r="HN354" s="301">
        <v>46191</v>
      </c>
      <c r="HO354" s="300">
        <v>46293</v>
      </c>
      <c r="HP354" s="300"/>
      <c r="HQ354" s="301"/>
      <c r="HR3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4" s="301">
        <v>46199</v>
      </c>
      <c r="HT354" s="301"/>
      <c r="HU354" s="301">
        <v>46199</v>
      </c>
      <c r="HV354" s="390">
        <v>46298</v>
      </c>
      <c r="HW354" s="365"/>
      <c r="HX35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4" s="42"/>
      <c r="HZ354" s="322"/>
      <c r="IA354" s="306"/>
      <c r="IB354" s="67"/>
      <c r="IC354" s="585">
        <f>IFERROR(ROUND((Table1[[#This Row],[PLAN TC
finish]]-Table1[[#This Row],[PLAN MC-0
start]])/30,2),"")</f>
        <v>4.67</v>
      </c>
      <c r="ID354">
        <f>DATEDIF(Table1[[#This Row],[PLAN MC-0
start]],Table1[[#This Row],[PLAN TC
finish]],"m")</f>
        <v>4</v>
      </c>
      <c r="IE354" s="6"/>
      <c r="IF354" s="6"/>
      <c r="IG354" s="67"/>
      <c r="II354" s="6"/>
      <c r="IJ354" s="4"/>
      <c r="IK354" s="4"/>
      <c r="IL354" s="6"/>
      <c r="IM354" s="6"/>
      <c r="IN354" s="6"/>
      <c r="IO354" s="6"/>
      <c r="IP354" s="6"/>
      <c r="IR354" s="6"/>
      <c r="IS354" s="6"/>
      <c r="IT354" s="6"/>
      <c r="IU354" s="6"/>
      <c r="IX354" s="6"/>
      <c r="IY354" s="6"/>
      <c r="JA354" s="6"/>
      <c r="JB354" s="6"/>
    </row>
    <row r="355" spans="2:262" ht="15" customHeight="1" x14ac:dyDescent="0.25">
      <c r="B355" s="281">
        <f>SUBTOTAL(3,$D$5:D355)</f>
        <v>351</v>
      </c>
      <c r="C355" s="286">
        <v>351</v>
      </c>
      <c r="D355" s="285" t="s">
        <v>244</v>
      </c>
      <c r="E355" s="430" t="s">
        <v>2843</v>
      </c>
      <c r="F355" s="308" t="s">
        <v>2844</v>
      </c>
      <c r="G355" s="319">
        <v>46300</v>
      </c>
      <c r="H355" s="308" t="s">
        <v>247</v>
      </c>
      <c r="I355" s="308" t="s">
        <v>278</v>
      </c>
      <c r="J355" s="450"/>
      <c r="K355" s="308"/>
      <c r="L355" s="286"/>
      <c r="M355" s="325" t="s">
        <v>269</v>
      </c>
      <c r="N355" s="477">
        <v>10122</v>
      </c>
      <c r="O355" s="31" t="s">
        <v>252</v>
      </c>
      <c r="P3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5" s="35">
        <v>0.9964041027854591</v>
      </c>
      <c r="S355" s="297">
        <f>_xlfn.XLOOKUP(Table1[[#This Row],[Nama Program]],'[2]Summary Plan'!$E:$E,'[2]Summary Plan'!$M:$M)</f>
        <v>0.99999999999999989</v>
      </c>
      <c r="T355" s="128">
        <f>Table1[[#This Row],[Progres Total Aktual
(%)]]</f>
        <v>5.7841537517054432E-2</v>
      </c>
      <c r="U355" s="103">
        <f>Table1[[#This Row],[Progres Aktual
(%)]]-Table1[[#This Row],[Target Progres
(%)]]</f>
        <v>-0.94215846248294544</v>
      </c>
      <c r="V355" s="75">
        <f>Table1[[#This Row],["Volume
BA MC-0"]]</f>
        <v>0</v>
      </c>
      <c r="W355" s="75">
        <f>Table1[[#This Row],[Total Panjang Pipa Aktual
(Sum-&gt;)3]]</f>
        <v>0</v>
      </c>
      <c r="X355" s="99"/>
      <c r="Y355" s="478" t="s">
        <v>1</v>
      </c>
      <c r="Z355" s="62">
        <v>16449980828</v>
      </c>
      <c r="AA355" s="479">
        <f>ROUND((Table1[[#This Row],[Nilai RAB Jaringan
(Exclude Ppn)]]-Table1[[#This Row],[RAB Perizinan]])*1.11+Table1[[#This Row],[RAB Perizinan]],0)</f>
        <v>16449980828</v>
      </c>
      <c r="AB355" s="406">
        <f>SUM(Table1[[#This Row],[RAB Kegiatan Umum]:[RAB Perizinan]])</f>
        <v>14834689214</v>
      </c>
      <c r="AC355" s="406">
        <v>1065809734</v>
      </c>
      <c r="AD355" s="406">
        <f>8558129224+2099968108</f>
        <v>10658097332</v>
      </c>
      <c r="AE355" s="406">
        <v>2960562148</v>
      </c>
      <c r="AF355" s="406">
        <v>150220000</v>
      </c>
      <c r="AG355" s="406"/>
      <c r="AH355" s="480">
        <f>SUM(Table1[[#This Row],[Bobot Keg Umum]:[Bobot Perizinan]])</f>
        <v>1</v>
      </c>
      <c r="AI355" s="480">
        <f>Table1[[#This Row],[RAB Kegiatan Umum]]/Table1[[#This Row],[Nilai RAB Jaringan
(Exclude Ppn)]]</f>
        <v>7.1845774362037804E-2</v>
      </c>
      <c r="AJ355" s="480">
        <f>Table1[[#This Row],[RAB Pemasangan]]/Table1[[#This Row],[Nilai RAB Jaringan
(Exclude Ppn)]]</f>
        <v>0.71845774308110155</v>
      </c>
      <c r="AK355" s="111">
        <f>Table1[[#This Row],[RAB Pengadaan]]/Table1[[#This Row],[Nilai RAB Jaringan
(Exclude Ppn)]]</f>
        <v>0.19957021716410595</v>
      </c>
      <c r="AL355" s="112">
        <f>Table1[[#This Row],[RAB Perizinan]]/Table1[[#This Row],[Nilai RAB Jaringan
(Exclude Ppn)]]</f>
        <v>1.0126265392754725E-2</v>
      </c>
      <c r="AM355" s="42"/>
      <c r="AN355" s="256"/>
      <c r="AO355" s="256">
        <f>SUM(Table1[[#This Row],[Pipa 63 mm]:[Pipa 1,800 mm]])</f>
        <v>3579.7</v>
      </c>
      <c r="AP355" s="256">
        <v>2499.5</v>
      </c>
      <c r="AQ355" s="256">
        <v>824</v>
      </c>
      <c r="AR355" s="256">
        <v>256.2</v>
      </c>
      <c r="AS355" s="256"/>
      <c r="AT355" s="256"/>
      <c r="AU355" s="256"/>
      <c r="AV355" s="256"/>
      <c r="AW355" s="256"/>
      <c r="AX355" s="256"/>
      <c r="AY355" s="256"/>
      <c r="AZ355" s="256"/>
      <c r="BA355" s="256"/>
      <c r="BB355" s="256"/>
      <c r="BC355" s="256"/>
      <c r="BD355" s="256"/>
      <c r="BE355" s="256"/>
      <c r="BF355" s="256"/>
      <c r="BG355" s="256"/>
      <c r="BH355" s="256"/>
      <c r="BI355" s="256"/>
      <c r="BJ355" s="36">
        <f>SUM(Table1[[#This Row],[Pipa 63 mm2]:[Pipa 1,800 mm21]])</f>
        <v>0</v>
      </c>
      <c r="BK355" s="32"/>
      <c r="BL355" s="32"/>
      <c r="BM355" s="32"/>
      <c r="BN355" s="32"/>
      <c r="BO355" s="32"/>
      <c r="BP355" s="32"/>
      <c r="BQ355" s="32"/>
      <c r="BR355" s="32"/>
      <c r="BS355" s="32"/>
      <c r="BT355" s="32"/>
      <c r="BU355" s="32"/>
      <c r="BV355" s="32"/>
      <c r="BW355" s="32"/>
      <c r="BX355" s="32"/>
      <c r="BY355" s="32"/>
      <c r="BZ355" s="32"/>
      <c r="CA355" s="32"/>
      <c r="CB355" s="32"/>
      <c r="CC355" s="32"/>
      <c r="CD355" s="32"/>
      <c r="CE355" s="32"/>
      <c r="CF355" s="32"/>
      <c r="CG355" s="32"/>
      <c r="CH355" s="32"/>
      <c r="CI355" s="32"/>
      <c r="CJ355" s="32">
        <f>IF((Table1[[#This Row],["Volume
BA MC-0"]]-Table1[[#This Row],[Total Panjang Pipa Aktual
(Sum-&gt;)3]]-Table1[[#This Row],[Total Volume
tidak dapat dipasang]])&gt;=0,Table1[[#This Row],["Volume
BA MC-0"]]-Table1[[#This Row],[Total Panjang Pipa Aktual
(Sum-&gt;)3]]-Table1[[#This Row],[Total Volume
tidak dapat dipasang]],0)</f>
        <v>0</v>
      </c>
      <c r="CK355" s="42"/>
      <c r="CL355" s="113"/>
      <c r="CM355" s="307"/>
      <c r="CN355" s="113"/>
      <c r="CO355" s="113"/>
      <c r="CP35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5.7841537517054432E-2</v>
      </c>
      <c r="CQ355" s="406">
        <f>IFERROR(Table1[[#This Row],[Progres Keg. Umum
(%)]]*Table1[[#This Row],[Nilai RAB Jaringan
(file pa aji)]],0)</f>
        <v>0</v>
      </c>
      <c r="CR355" s="406">
        <f>IFERROR(Table1[[#This Row],[Progres MOS
(%)]]*Table1[[#This Row],[Nilai RAB Jaringan
(file pa aji)]],0)</f>
        <v>0</v>
      </c>
      <c r="CS355" s="406">
        <f>IFERROR(Table1[[#This Row],[Progres Pemasangan
(%)]]*Table1[[#This Row],[Nilai RAB Jaringan
(file pa aji)]],0)</f>
        <v>0</v>
      </c>
      <c r="CT355" s="406">
        <f>IFERROR(Table1[[#This Row],[Progres Perizinan
(%)]]*Table1[[#This Row],[Nilai RAB Jaringan
(file pa aji)]],0)</f>
        <v>0</v>
      </c>
      <c r="CU355" s="789">
        <v>0</v>
      </c>
      <c r="CV355" s="299">
        <v>0</v>
      </c>
      <c r="CW355" s="481">
        <v>0</v>
      </c>
      <c r="CX355" s="789">
        <f>_xlfn.XLOOKUP(Table1[[#This Row],[Kode Program]],'[1]Breakdown VOWD Greenfield'!$E:$E,'[1]Breakdown VOWD Greenfield'!$AT:$AT)</f>
        <v>0</v>
      </c>
      <c r="CY355" s="42"/>
      <c r="CZ355" s="301">
        <v>45929</v>
      </c>
      <c r="DA355" s="301">
        <v>45956</v>
      </c>
      <c r="DB355" s="301">
        <v>45950</v>
      </c>
      <c r="DC355" s="286" t="s">
        <v>2845</v>
      </c>
      <c r="DD355" s="478">
        <v>16449980828</v>
      </c>
      <c r="DE3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55" s="301">
        <v>45957</v>
      </c>
      <c r="DG355" s="286" t="s">
        <v>2846</v>
      </c>
      <c r="DH355" s="478">
        <v>16449980828</v>
      </c>
      <c r="DI3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5" s="301">
        <v>45957</v>
      </c>
      <c r="DK355" s="301">
        <v>46019</v>
      </c>
      <c r="DL355" s="301">
        <v>46045</v>
      </c>
      <c r="DM355" s="286" t="s">
        <v>2847</v>
      </c>
      <c r="DN35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5" s="301">
        <v>46086.291666666664</v>
      </c>
      <c r="DP355" s="286"/>
      <c r="DQ355" s="308" t="s">
        <v>312</v>
      </c>
      <c r="DR35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5" s="301">
        <v>45957</v>
      </c>
      <c r="DT355" s="301">
        <v>46164</v>
      </c>
      <c r="DU355" s="301">
        <v>45998</v>
      </c>
      <c r="DV355" s="301">
        <v>46178</v>
      </c>
      <c r="DW355" s="301">
        <v>46045</v>
      </c>
      <c r="DX355" s="286" t="s">
        <v>2848</v>
      </c>
      <c r="DY355" s="304">
        <v>118</v>
      </c>
      <c r="DZ355" s="304">
        <v>118</v>
      </c>
      <c r="EA35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5" s="301"/>
      <c r="EC355" s="302">
        <v>115</v>
      </c>
      <c r="ED355" s="302">
        <v>115</v>
      </c>
      <c r="EE355" s="100"/>
      <c r="EF355" s="307">
        <v>0.97457627118644063</v>
      </c>
      <c r="EG355" s="307">
        <f>Table1[[#This Row],[Line PO]]/Table1[[#This Row],[Line PR]]</f>
        <v>0.97457627118644063</v>
      </c>
      <c r="EH355" s="286" t="str">
        <f>IF(Table1[[#This Row],[PO Material Aktual 
(%)]]&gt;=100%,"Selesai PO = 100%",IF(Table1[[#This Row],[PO Material Aktual 
(%)]]&gt;=50%,"Proses PO &gt; 100%",IF(Table1[[#This Row],[PO Material Aktual 
(%)]]&gt;0%,"Proses PO &gt; 50%",IF(Table1[[#This Row],[PO Material Aktual 
(%)]]=0,"Belum PO = 0%"))))</f>
        <v>Proses PO &gt; 100%</v>
      </c>
      <c r="EI35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5" s="301">
        <v>45999</v>
      </c>
      <c r="EK355" s="301">
        <v>46178</v>
      </c>
      <c r="EL355" s="301">
        <v>46110</v>
      </c>
      <c r="EM355" s="301">
        <v>46203</v>
      </c>
      <c r="EN355" s="301"/>
      <c r="EO355" s="302">
        <v>57</v>
      </c>
      <c r="EP355" s="302">
        <v>57</v>
      </c>
      <c r="EQ355" s="307">
        <v>0.48305084745762711</v>
      </c>
      <c r="ER355" s="307">
        <f>Table1[[#This Row],[Line MOS (kolom bantu)]]/Table1[[#This Row],[Line PR]]</f>
        <v>0.48305084745762711</v>
      </c>
      <c r="ES355" s="286" t="str">
        <f>IF(Table1[[#This Row],[Progres MOS]]&gt;=100%,"Selesai MOS = 100%",IF(Table1[[#This Row],[Progres MOS]]&gt;=50%,"Proses MOS &gt; 100%",IF(Table1[[#This Row],[Progres MOS]]&gt;0%,"Proses MOS &gt; 50%",IF(Table1[[#This Row],[Progres MOS]]=0,"Belum MOS = 0%"))))</f>
        <v>Proses MOS &gt; 50%</v>
      </c>
      <c r="ET3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5" s="42"/>
      <c r="EV355" s="301">
        <v>45957</v>
      </c>
      <c r="EW355" s="301">
        <v>46148</v>
      </c>
      <c r="EX355" s="301">
        <v>46047</v>
      </c>
      <c r="EY355" s="301">
        <v>46178</v>
      </c>
      <c r="EZ355" s="322" t="s">
        <v>2769</v>
      </c>
      <c r="FA355" s="379" t="s">
        <v>2769</v>
      </c>
      <c r="FB355" s="300"/>
      <c r="FC355" s="300">
        <v>45964</v>
      </c>
      <c r="FD355" s="300" t="s">
        <v>260</v>
      </c>
      <c r="FE355" s="300"/>
      <c r="FF355" s="300"/>
      <c r="FG355" s="300"/>
      <c r="FH355" s="300"/>
      <c r="FI355" s="300"/>
      <c r="FJ355" s="300"/>
      <c r="FK355" s="300"/>
      <c r="FL355" s="306" t="s">
        <v>2827</v>
      </c>
      <c r="FM355" s="322"/>
      <c r="FN355" s="308" t="str">
        <f>IF(Table1[[#This Row],[Tanggal Pengajuan Dokumen]]="","",Table1[[#This Row],[PLAN PERMIT
start]]-Table1[[#This Row],[Tanggal Pengajuan Dokumen]])</f>
        <v/>
      </c>
      <c r="FO355" s="322"/>
      <c r="FP355" s="286"/>
      <c r="FQ355" s="308"/>
      <c r="FR355" s="301"/>
      <c r="FS355" s="308"/>
      <c r="FT3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5" s="314">
        <f ca="1">IF(Table1[[#This Row],[Status Izin]]="Selesai",Table1[[#This Row],[PLAN PERMIT
finish]]-Table1[[#This Row],[Tanggal Terbit/ Target Izin Terbit]],ROUNDUP(Table1[[#This Row],[PLAN PERMIT
finish]]-NOW(),0))</f>
        <v>-157</v>
      </c>
      <c r="FV3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5" s="314"/>
      <c r="FX355" s="42"/>
      <c r="FY355" s="483">
        <v>46006</v>
      </c>
      <c r="FZ355" s="483">
        <v>45967</v>
      </c>
      <c r="GA35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55" s="301">
        <v>46020</v>
      </c>
      <c r="GC355" s="322">
        <f>Table1[[#This Row],[Tanggal Aktual Kick Off]]</f>
        <v>46112</v>
      </c>
      <c r="GD3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5" s="301">
        <v>46027</v>
      </c>
      <c r="GF355" s="322">
        <v>46112</v>
      </c>
      <c r="GG3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5" s="301">
        <v>46034</v>
      </c>
      <c r="GI355" s="301">
        <v>46040</v>
      </c>
      <c r="GJ355" s="322">
        <v>46118</v>
      </c>
      <c r="GK3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5" s="301">
        <v>46048</v>
      </c>
      <c r="GM355" s="301">
        <v>46206</v>
      </c>
      <c r="GN355" s="301">
        <v>46166</v>
      </c>
      <c r="GO355" s="300">
        <v>46275</v>
      </c>
      <c r="GP355" s="286"/>
      <c r="GQ3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5" s="301"/>
      <c r="GS355" s="301"/>
      <c r="GT355" s="324"/>
      <c r="GU355" s="314" t="str">
        <f>IF(Table1[[#This Row],[Hydro Tes Actual
(tanggal)]]&lt;&gt;"","Sudah","Belum")</f>
        <v>Belum</v>
      </c>
      <c r="GV355" s="300"/>
      <c r="GW355" s="300"/>
      <c r="GX355" s="301"/>
      <c r="GY355" s="314" t="str">
        <f>IF(Table1[[#This Row],[Interkoneksi Actual
(tanggal)]]&lt;&gt;"","Sudah","Belum")</f>
        <v>Belum</v>
      </c>
      <c r="GZ355" s="300"/>
      <c r="HA355" s="300"/>
      <c r="HB355" s="301"/>
      <c r="HC355" s="314" t="str">
        <f>IF(Table1[[#This Row],[Flushing Actual
(tanggal)]]&lt;&gt;"","Sudah","Belum")</f>
        <v>Belum</v>
      </c>
      <c r="HD355" s="301">
        <v>46169</v>
      </c>
      <c r="HE355" s="301">
        <v>46276</v>
      </c>
      <c r="HF355" s="301">
        <v>46174</v>
      </c>
      <c r="HG355" s="322"/>
      <c r="HH3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5" s="300"/>
      <c r="HJ355" s="300"/>
      <c r="HK355" s="301"/>
      <c r="HL355" s="301"/>
      <c r="HM355" s="301">
        <v>46191</v>
      </c>
      <c r="HN355" s="301">
        <v>46191</v>
      </c>
      <c r="HO355" s="300">
        <v>46293</v>
      </c>
      <c r="HP355" s="300"/>
      <c r="HQ355" s="301"/>
      <c r="HR3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5" s="301">
        <v>46199</v>
      </c>
      <c r="HT355" s="301"/>
      <c r="HU355" s="301">
        <v>46199</v>
      </c>
      <c r="HV355" s="390">
        <v>46298</v>
      </c>
      <c r="HW355" s="365"/>
      <c r="HX35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5" s="42"/>
      <c r="HZ355" s="322"/>
      <c r="IA355" s="306"/>
      <c r="IB355" s="67"/>
      <c r="IC355" s="585">
        <f>IFERROR(ROUND((Table1[[#This Row],[PLAN TC
finish]]-Table1[[#This Row],[PLAN MC-0
start]])/30,2),"")</f>
        <v>4.67</v>
      </c>
      <c r="ID355">
        <f>DATEDIF(Table1[[#This Row],[PLAN MC-0
start]],Table1[[#This Row],[PLAN TC
finish]],"m")</f>
        <v>4</v>
      </c>
      <c r="IE355" s="6"/>
      <c r="IF355" s="6"/>
      <c r="IG355" s="67"/>
      <c r="II355" s="6"/>
      <c r="IJ355" s="4"/>
      <c r="IK355" s="4"/>
      <c r="IL355" s="6"/>
      <c r="IM355" s="6"/>
      <c r="IN355" s="6"/>
      <c r="IO355" s="6"/>
      <c r="IP355" s="6"/>
      <c r="IR355" s="6"/>
      <c r="IS355" s="6"/>
      <c r="IT355" s="6"/>
      <c r="IU355" s="6"/>
      <c r="IX355" s="6"/>
      <c r="IY355" s="6"/>
      <c r="JA355" s="6"/>
      <c r="JB355" s="6"/>
    </row>
    <row r="356" spans="2:262" ht="15" customHeight="1" x14ac:dyDescent="0.25">
      <c r="B356" s="281">
        <f>SUBTOTAL(3,$D$5:D356)</f>
        <v>352</v>
      </c>
      <c r="C356" s="286">
        <v>352</v>
      </c>
      <c r="D356" s="285" t="s">
        <v>244</v>
      </c>
      <c r="E356" s="430" t="s">
        <v>2849</v>
      </c>
      <c r="F356" s="308" t="s">
        <v>2850</v>
      </c>
      <c r="G356" s="319">
        <v>46300</v>
      </c>
      <c r="H356" s="308" t="s">
        <v>247</v>
      </c>
      <c r="I356" s="308" t="s">
        <v>278</v>
      </c>
      <c r="J356" s="450"/>
      <c r="K356" s="308"/>
      <c r="L356" s="286"/>
      <c r="M356" s="325" t="s">
        <v>269</v>
      </c>
      <c r="N356" s="477">
        <v>18612</v>
      </c>
      <c r="O356" s="31" t="s">
        <v>252</v>
      </c>
      <c r="P3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6" s="35">
        <v>0.99708791896485249</v>
      </c>
      <c r="S356" s="297">
        <f>_xlfn.XLOOKUP(Table1[[#This Row],[Nama Program]],'[2]Summary Plan'!$E:$E,'[2]Summary Plan'!$M:$M)</f>
        <v>0.99999999999999989</v>
      </c>
      <c r="T356" s="128">
        <f>Table1[[#This Row],[Progres Total Aktual
(%)]]</f>
        <v>5.4254715574814323E-2</v>
      </c>
      <c r="U356" s="103">
        <f>Table1[[#This Row],[Progres Aktual
(%)]]-Table1[[#This Row],[Target Progres
(%)]]</f>
        <v>-0.94574528442518557</v>
      </c>
      <c r="V356" s="75">
        <f>Table1[[#This Row],["Volume
BA MC-0"]]</f>
        <v>0</v>
      </c>
      <c r="W356" s="75">
        <f>Table1[[#This Row],[Total Panjang Pipa Aktual
(Sum-&gt;)3]]</f>
        <v>0</v>
      </c>
      <c r="X356" s="99"/>
      <c r="Y356" s="487" t="s">
        <v>1</v>
      </c>
      <c r="Z356" s="62">
        <v>31758437828</v>
      </c>
      <c r="AA356" s="479">
        <f>ROUND((Table1[[#This Row],[Nilai RAB Jaringan
(Exclude Ppn)]]-Table1[[#This Row],[RAB Perizinan]])*1.11+Table1[[#This Row],[RAB Perizinan]],0)</f>
        <v>31758437827</v>
      </c>
      <c r="AB356" s="406">
        <f>SUM(Table1[[#This Row],[RAB Kegiatan Umum]:[RAB Perizinan]])</f>
        <v>28640748673</v>
      </c>
      <c r="AC356" s="406">
        <v>1666362964</v>
      </c>
      <c r="AD356" s="406">
        <v>20829537040</v>
      </c>
      <c r="AE356" s="406">
        <v>5846728669</v>
      </c>
      <c r="AF356" s="406">
        <v>298120000</v>
      </c>
      <c r="AG356" s="406"/>
      <c r="AH356" s="480">
        <f>SUM(Table1[[#This Row],[Bobot Keg Umum]:[Bobot Perizinan]])</f>
        <v>1</v>
      </c>
      <c r="AI356" s="480">
        <f>Table1[[#This Row],[RAB Kegiatan Umum]]/Table1[[#This Row],[Nilai RAB Jaringan
(Exclude Ppn)]]</f>
        <v>5.8181543472391899E-2</v>
      </c>
      <c r="AJ356" s="480">
        <f>Table1[[#This Row],[RAB Pemasangan]]/Table1[[#This Row],[Nilai RAB Jaringan
(Exclude Ppn)]]</f>
        <v>0.72726929305574584</v>
      </c>
      <c r="AK356" s="111">
        <f>Table1[[#This Row],[RAB Pengadaan]]/Table1[[#This Row],[Nilai RAB Jaringan
(Exclude Ppn)]]</f>
        <v>0.2041402176931145</v>
      </c>
      <c r="AL356" s="112">
        <f>Table1[[#This Row],[RAB Perizinan]]/Table1[[#This Row],[Nilai RAB Jaringan
(Exclude Ppn)]]</f>
        <v>1.04089457787478E-2</v>
      </c>
      <c r="AM356" s="42"/>
      <c r="AN356" s="256"/>
      <c r="AO356" s="256">
        <f>SUM(Table1[[#This Row],[Pipa 63 mm]:[Pipa 1,800 mm]])</f>
        <v>4620.1000000000004</v>
      </c>
      <c r="AP356" s="256">
        <v>4496.3</v>
      </c>
      <c r="AQ356" s="256">
        <v>89.8</v>
      </c>
      <c r="AR356" s="256">
        <v>34</v>
      </c>
      <c r="AS356" s="256"/>
      <c r="AT356" s="256"/>
      <c r="AU356" s="256"/>
      <c r="AV356" s="256"/>
      <c r="AW356" s="256"/>
      <c r="AX356" s="256"/>
      <c r="AY356" s="256"/>
      <c r="AZ356" s="256"/>
      <c r="BA356" s="256"/>
      <c r="BB356" s="256"/>
      <c r="BC356" s="256"/>
      <c r="BD356" s="256"/>
      <c r="BE356" s="256"/>
      <c r="BF356" s="256"/>
      <c r="BG356" s="256"/>
      <c r="BH356" s="256"/>
      <c r="BI356" s="256"/>
      <c r="BJ356" s="36">
        <f>SUM(Table1[[#This Row],[Pipa 63 mm2]:[Pipa 1,800 mm21]])</f>
        <v>0</v>
      </c>
      <c r="BK356" s="32"/>
      <c r="BL356" s="32"/>
      <c r="BM356" s="32"/>
      <c r="BN356" s="32"/>
      <c r="BO356" s="32"/>
      <c r="BP356" s="32"/>
      <c r="BQ356" s="32"/>
      <c r="BR356" s="32"/>
      <c r="BS356" s="32"/>
      <c r="BT356" s="32"/>
      <c r="BU356" s="32"/>
      <c r="BV356" s="32"/>
      <c r="BW356" s="32"/>
      <c r="BX356" s="32"/>
      <c r="BY356" s="32"/>
      <c r="BZ356" s="32"/>
      <c r="CA356" s="32"/>
      <c r="CB356" s="32"/>
      <c r="CC356" s="32"/>
      <c r="CD356" s="32"/>
      <c r="CE356" s="32"/>
      <c r="CF356" s="32"/>
      <c r="CG356" s="32"/>
      <c r="CH356" s="32"/>
      <c r="CI356" s="32"/>
      <c r="CJ356" s="32">
        <f>IF((Table1[[#This Row],["Volume
BA MC-0"]]-Table1[[#This Row],[Total Panjang Pipa Aktual
(Sum-&gt;)3]]-Table1[[#This Row],[Total Volume
tidak dapat dipasang]])&gt;=0,Table1[[#This Row],["Volume
BA MC-0"]]-Table1[[#This Row],[Total Panjang Pipa Aktual
(Sum-&gt;)3]]-Table1[[#This Row],[Total Volume
tidak dapat dipasang]],0)</f>
        <v>0</v>
      </c>
      <c r="CK356" s="42"/>
      <c r="CL356" s="113"/>
      <c r="CM356" s="307"/>
      <c r="CN356" s="113"/>
      <c r="CO356" s="113"/>
      <c r="CP35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5.4254715574814323E-2</v>
      </c>
      <c r="CQ356" s="406">
        <f>IFERROR(Table1[[#This Row],[Progres Keg. Umum
(%)]]*Table1[[#This Row],[Nilai RAB Jaringan
(file pa aji)]],0)</f>
        <v>0</v>
      </c>
      <c r="CR356" s="406">
        <f>IFERROR(Table1[[#This Row],[Progres MOS
(%)]]*Table1[[#This Row],[Nilai RAB Jaringan
(file pa aji)]],0)</f>
        <v>0</v>
      </c>
      <c r="CS356" s="406">
        <f>IFERROR(Table1[[#This Row],[Progres Pemasangan
(%)]]*Table1[[#This Row],[Nilai RAB Jaringan
(file pa aji)]],0)</f>
        <v>0</v>
      </c>
      <c r="CT356" s="406">
        <f>IFERROR(Table1[[#This Row],[Progres Perizinan
(%)]]*Table1[[#This Row],[Nilai RAB Jaringan
(file pa aji)]],0)</f>
        <v>0</v>
      </c>
      <c r="CU356" s="789">
        <v>0</v>
      </c>
      <c r="CV356" s="299">
        <v>0</v>
      </c>
      <c r="CW356" s="481">
        <v>0</v>
      </c>
      <c r="CX356" s="789">
        <f>_xlfn.XLOOKUP(Table1[[#This Row],[Kode Program]],'[1]Breakdown VOWD Greenfield'!$E:$E,'[1]Breakdown VOWD Greenfield'!$AT:$AT)</f>
        <v>0</v>
      </c>
      <c r="CY356" s="42"/>
      <c r="CZ356" s="301">
        <v>45929</v>
      </c>
      <c r="DA356" s="301">
        <v>45956</v>
      </c>
      <c r="DB356" s="301">
        <v>45999</v>
      </c>
      <c r="DC356" s="485" t="s">
        <v>2851</v>
      </c>
      <c r="DD356" s="478">
        <v>31758437828</v>
      </c>
      <c r="DE3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6" s="301">
        <v>46013</v>
      </c>
      <c r="DG356" s="486" t="s">
        <v>2852</v>
      </c>
      <c r="DH356" s="478">
        <v>31758437828</v>
      </c>
      <c r="DI3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6" s="301">
        <v>45957</v>
      </c>
      <c r="DK356" s="301">
        <v>46019</v>
      </c>
      <c r="DL356" s="301">
        <v>46049</v>
      </c>
      <c r="DM356" s="286" t="s">
        <v>2853</v>
      </c>
      <c r="DN35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6" s="301">
        <v>46086.291666666664</v>
      </c>
      <c r="DP356" s="286"/>
      <c r="DQ356" s="308" t="s">
        <v>312</v>
      </c>
      <c r="DR35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6" s="301">
        <v>45957</v>
      </c>
      <c r="DT356" s="301">
        <v>46164</v>
      </c>
      <c r="DU356" s="301">
        <v>45998</v>
      </c>
      <c r="DV356" s="301">
        <v>46178</v>
      </c>
      <c r="DW356" s="301">
        <v>46064</v>
      </c>
      <c r="DX356" s="396" t="s">
        <v>2854</v>
      </c>
      <c r="DY356" s="304">
        <v>149</v>
      </c>
      <c r="DZ356" s="304">
        <v>149</v>
      </c>
      <c r="EA35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6" s="301"/>
      <c r="EC356" s="304">
        <v>139</v>
      </c>
      <c r="ED356" s="304">
        <v>139</v>
      </c>
      <c r="EE356" s="100"/>
      <c r="EF356" s="307">
        <v>0.93288590604026844</v>
      </c>
      <c r="EG356" s="307">
        <f>Table1[[#This Row],[Line PO]]/Table1[[#This Row],[Line PR]]</f>
        <v>0.93288590604026844</v>
      </c>
      <c r="EH356" s="286" t="str">
        <f>IF(Table1[[#This Row],[PO Material Aktual 
(%)]]&gt;=100%,"Selesai PO = 100%",IF(Table1[[#This Row],[PO Material Aktual 
(%)]]&gt;=50%,"Proses PO &gt; 100%",IF(Table1[[#This Row],[PO Material Aktual 
(%)]]&gt;0%,"Proses PO &gt; 50%",IF(Table1[[#This Row],[PO Material Aktual 
(%)]]=0,"Belum PO = 0%"))))</f>
        <v>Proses PO &gt; 100%</v>
      </c>
      <c r="EI35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6" s="301">
        <v>45999</v>
      </c>
      <c r="EK356" s="301">
        <v>46178</v>
      </c>
      <c r="EL356" s="301">
        <v>46110</v>
      </c>
      <c r="EM356" s="301">
        <v>46203</v>
      </c>
      <c r="EN356" s="301"/>
      <c r="EO356" s="302">
        <v>66</v>
      </c>
      <c r="EP356" s="302">
        <v>66</v>
      </c>
      <c r="EQ356" s="307">
        <v>0.44295302013422821</v>
      </c>
      <c r="ER356" s="307">
        <f>Table1[[#This Row],[Line MOS (kolom bantu)]]/Table1[[#This Row],[Line PR]]</f>
        <v>0.44295302013422821</v>
      </c>
      <c r="ES356" s="286" t="str">
        <f>IF(Table1[[#This Row],[Progres MOS]]&gt;=100%,"Selesai MOS = 100%",IF(Table1[[#This Row],[Progres MOS]]&gt;=50%,"Proses MOS &gt; 100%",IF(Table1[[#This Row],[Progres MOS]]&gt;0%,"Proses MOS &gt; 50%",IF(Table1[[#This Row],[Progres MOS]]=0,"Belum MOS = 0%"))))</f>
        <v>Proses MOS &gt; 50%</v>
      </c>
      <c r="ET3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6" s="42"/>
      <c r="EV356" s="301">
        <v>45957</v>
      </c>
      <c r="EW356" s="301">
        <v>46148</v>
      </c>
      <c r="EX356" s="301">
        <v>46047</v>
      </c>
      <c r="EY356" s="301">
        <v>46178</v>
      </c>
      <c r="EZ356" s="322" t="s">
        <v>2769</v>
      </c>
      <c r="FA356" s="379" t="s">
        <v>2769</v>
      </c>
      <c r="FB356" s="300"/>
      <c r="FC356" s="300">
        <v>46010</v>
      </c>
      <c r="FD356" s="300" t="s">
        <v>260</v>
      </c>
      <c r="FE356" s="300">
        <v>46057</v>
      </c>
      <c r="FF356" s="300">
        <v>46071</v>
      </c>
      <c r="FG356" s="300"/>
      <c r="FH356" s="300"/>
      <c r="FI356" s="300"/>
      <c r="FJ356" s="300"/>
      <c r="FK356" s="300"/>
      <c r="FL356" s="306" t="s">
        <v>2827</v>
      </c>
      <c r="FM356" s="322"/>
      <c r="FN356" s="308" t="str">
        <f>IF(Table1[[#This Row],[Tanggal Pengajuan Dokumen]]="","",Table1[[#This Row],[PLAN PERMIT
start]]-Table1[[#This Row],[Tanggal Pengajuan Dokumen]])</f>
        <v/>
      </c>
      <c r="FO356" s="322"/>
      <c r="FP356" s="286"/>
      <c r="FQ356" s="308"/>
      <c r="FR356" s="301"/>
      <c r="FS356" s="308"/>
      <c r="FT3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6" s="314">
        <f ca="1">IF(Table1[[#This Row],[Status Izin]]="Selesai",Table1[[#This Row],[PLAN PERMIT
finish]]-Table1[[#This Row],[Tanggal Terbit/ Target Izin Terbit]],ROUNDUP(Table1[[#This Row],[PLAN PERMIT
finish]]-NOW(),0))</f>
        <v>-157</v>
      </c>
      <c r="FV3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6" s="314"/>
      <c r="FX356" s="42"/>
      <c r="FY356" s="483">
        <v>46006</v>
      </c>
      <c r="FZ356" s="483">
        <v>46050</v>
      </c>
      <c r="GA35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6" s="301">
        <v>46020</v>
      </c>
      <c r="GC356" s="322">
        <f>Table1[[#This Row],[Tanggal Aktual Kick Off]]</f>
        <v>46112</v>
      </c>
      <c r="GD3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6" s="301">
        <v>46027</v>
      </c>
      <c r="GF356" s="322">
        <v>46112</v>
      </c>
      <c r="GG3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6" s="301">
        <v>46034</v>
      </c>
      <c r="GI356" s="301">
        <v>46040</v>
      </c>
      <c r="GJ356" s="322">
        <v>46127</v>
      </c>
      <c r="GK3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6" s="301">
        <v>46048</v>
      </c>
      <c r="GM356" s="301">
        <v>46206</v>
      </c>
      <c r="GN356" s="301">
        <v>46166</v>
      </c>
      <c r="GO356" s="300">
        <v>46275</v>
      </c>
      <c r="GP356" s="286"/>
      <c r="GQ3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6" s="301"/>
      <c r="GS356" s="301"/>
      <c r="GT356" s="324"/>
      <c r="GU356" s="314" t="str">
        <f>IF(Table1[[#This Row],[Hydro Tes Actual
(tanggal)]]&lt;&gt;"","Sudah","Belum")</f>
        <v>Belum</v>
      </c>
      <c r="GV356" s="300"/>
      <c r="GW356" s="300"/>
      <c r="GX356" s="301"/>
      <c r="GY356" s="314" t="str">
        <f>IF(Table1[[#This Row],[Interkoneksi Actual
(tanggal)]]&lt;&gt;"","Sudah","Belum")</f>
        <v>Belum</v>
      </c>
      <c r="GZ356" s="300"/>
      <c r="HA356" s="300"/>
      <c r="HB356" s="301"/>
      <c r="HC356" s="314" t="str">
        <f>IF(Table1[[#This Row],[Flushing Actual
(tanggal)]]&lt;&gt;"","Sudah","Belum")</f>
        <v>Belum</v>
      </c>
      <c r="HD356" s="301">
        <v>46169</v>
      </c>
      <c r="HE356" s="301">
        <v>46276</v>
      </c>
      <c r="HF356" s="301">
        <v>46174</v>
      </c>
      <c r="HG356" s="322"/>
      <c r="HH3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6" s="300"/>
      <c r="HJ356" s="300"/>
      <c r="HK356" s="301"/>
      <c r="HL356" s="301"/>
      <c r="HM356" s="301">
        <v>46191</v>
      </c>
      <c r="HN356" s="301">
        <v>46191</v>
      </c>
      <c r="HO356" s="300">
        <v>46293</v>
      </c>
      <c r="HP356" s="300"/>
      <c r="HQ356" s="301"/>
      <c r="HR3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6" s="301">
        <v>46199</v>
      </c>
      <c r="HT356" s="301"/>
      <c r="HU356" s="301">
        <v>46199</v>
      </c>
      <c r="HV356" s="390">
        <v>46298</v>
      </c>
      <c r="HW356" s="365"/>
      <c r="HX35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6" s="42"/>
      <c r="HZ356" s="322"/>
      <c r="IA356" s="306"/>
      <c r="IB356" s="67"/>
      <c r="IC356" s="585">
        <f>IFERROR(ROUND((Table1[[#This Row],[PLAN TC
finish]]-Table1[[#This Row],[PLAN MC-0
start]])/30,2),"")</f>
        <v>4.67</v>
      </c>
      <c r="ID356">
        <f>DATEDIF(Table1[[#This Row],[PLAN MC-0
start]],Table1[[#This Row],[PLAN TC
finish]],"m")</f>
        <v>4</v>
      </c>
      <c r="IE356" s="6"/>
      <c r="IF356" s="6"/>
      <c r="IG356" s="67"/>
      <c r="II356" s="6"/>
      <c r="IJ356" s="4"/>
      <c r="IK356" s="4"/>
      <c r="IL356" s="6"/>
      <c r="IM356" s="6"/>
      <c r="IN356" s="6"/>
      <c r="IO356" s="6"/>
      <c r="IP356" s="6"/>
      <c r="IR356" s="6"/>
      <c r="IS356" s="6"/>
      <c r="IT356" s="6"/>
      <c r="IU356" s="6"/>
      <c r="IX356" s="6"/>
      <c r="IY356" s="6"/>
      <c r="JA356" s="6"/>
      <c r="JB356" s="6"/>
    </row>
    <row r="357" spans="2:262" ht="15" customHeight="1" x14ac:dyDescent="0.25">
      <c r="B357" s="281">
        <f>SUBTOTAL(3,$D$5:D357)</f>
        <v>353</v>
      </c>
      <c r="C357" s="286">
        <v>353</v>
      </c>
      <c r="D357" s="285" t="s">
        <v>244</v>
      </c>
      <c r="E357" s="430" t="s">
        <v>2855</v>
      </c>
      <c r="F357" s="308" t="s">
        <v>2856</v>
      </c>
      <c r="G357" s="319">
        <v>46300</v>
      </c>
      <c r="H357" s="308" t="s">
        <v>247</v>
      </c>
      <c r="I357" s="308" t="s">
        <v>278</v>
      </c>
      <c r="J357" s="450"/>
      <c r="K357" s="308"/>
      <c r="L357" s="286"/>
      <c r="M357" s="325" t="s">
        <v>269</v>
      </c>
      <c r="N357" s="477">
        <v>1818</v>
      </c>
      <c r="O357" s="31" t="s">
        <v>252</v>
      </c>
      <c r="P3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7" s="35">
        <v>0.99863928303872507</v>
      </c>
      <c r="S357" s="297">
        <f>_xlfn.XLOOKUP(Table1[[#This Row],[Nama Program]],'[2]Summary Plan'!$E:$E,'[2]Summary Plan'!$M:$M)</f>
        <v>1</v>
      </c>
      <c r="T357" s="128">
        <f>Table1[[#This Row],[Progres Total Aktual
(%)]]</f>
        <v>7.3630365127859906E-2</v>
      </c>
      <c r="U357" s="103">
        <f>Table1[[#This Row],[Progres Aktual
(%)]]-Table1[[#This Row],[Target Progres
(%)]]</f>
        <v>-0.92636963487214008</v>
      </c>
      <c r="V357" s="75">
        <f>Table1[[#This Row],["Volume
BA MC-0"]]</f>
        <v>1681.3</v>
      </c>
      <c r="W357" s="75">
        <f>Table1[[#This Row],[Total Panjang Pipa Aktual
(Sum-&gt;)3]]</f>
        <v>0</v>
      </c>
      <c r="X357" s="99"/>
      <c r="Y357" s="478" t="s">
        <v>2857</v>
      </c>
      <c r="Z357" s="62">
        <v>26670132107</v>
      </c>
      <c r="AA357" s="479">
        <f>ROUND((Table1[[#This Row],[Nilai RAB Jaringan
(Exclude Ppn)]]-Table1[[#This Row],[RAB Perizinan]])*1.11+Table1[[#This Row],[RAB Perizinan]],0)</f>
        <v>26670132106</v>
      </c>
      <c r="AB357" s="406">
        <f>SUM(Table1[[#This Row],[RAB Kegiatan Umum]:[RAB Perizinan]])</f>
        <v>24031968521</v>
      </c>
      <c r="AC357" s="406">
        <v>653882903</v>
      </c>
      <c r="AD357" s="406">
        <v>13077658050</v>
      </c>
      <c r="AE357" s="406">
        <v>10251764368</v>
      </c>
      <c r="AF357" s="406">
        <v>48663200</v>
      </c>
      <c r="AG357" s="406"/>
      <c r="AH357" s="480">
        <f>SUM(Table1[[#This Row],[Bobot Keg Umum]:[Bobot Perizinan]])</f>
        <v>0.99999999999999989</v>
      </c>
      <c r="AI357" s="480">
        <f>Table1[[#This Row],[RAB Kegiatan Umum]]/Table1[[#This Row],[Nilai RAB Jaringan
(Exclude Ppn)]]</f>
        <v>2.7208878141988808E-2</v>
      </c>
      <c r="AJ357" s="480">
        <f>Table1[[#This Row],[RAB Pemasangan]]/Table1[[#This Row],[Nilai RAB Jaringan
(Exclude Ppn)]]</f>
        <v>0.54417756242366377</v>
      </c>
      <c r="AK357" s="111">
        <f>Table1[[#This Row],[RAB Pengadaan]]/Table1[[#This Row],[Nilai RAB Jaringan
(Exclude Ppn)]]</f>
        <v>0.42658862335982334</v>
      </c>
      <c r="AL357" s="112">
        <f>Table1[[#This Row],[RAB Perizinan]]/Table1[[#This Row],[Nilai RAB Jaringan
(Exclude Ppn)]]</f>
        <v>2.0249360745240798E-3</v>
      </c>
      <c r="AM357" s="42"/>
      <c r="AN357" s="256">
        <v>1681.3</v>
      </c>
      <c r="AO357" s="256">
        <f>SUM(Table1[[#This Row],[Pipa 63 mm]:[Pipa 1,800 mm]])</f>
        <v>1681.3</v>
      </c>
      <c r="AP357" s="256"/>
      <c r="AQ357" s="256"/>
      <c r="AR357" s="256"/>
      <c r="AS357" s="256"/>
      <c r="AT357" s="256"/>
      <c r="AU357" s="256"/>
      <c r="AV357" s="256"/>
      <c r="AW357" s="256"/>
      <c r="AX357" s="256"/>
      <c r="AY357" s="256">
        <v>1681.3</v>
      </c>
      <c r="AZ357" s="256"/>
      <c r="BA357" s="256"/>
      <c r="BB357" s="256"/>
      <c r="BC357" s="256"/>
      <c r="BD357" s="256"/>
      <c r="BE357" s="256"/>
      <c r="BF357" s="256"/>
      <c r="BG357" s="256"/>
      <c r="BH357" s="256"/>
      <c r="BI357" s="256"/>
      <c r="BJ357" s="36">
        <f>SUM(Table1[[#This Row],[Pipa 63 mm2]:[Pipa 1,800 mm21]])</f>
        <v>0</v>
      </c>
      <c r="BK357" s="32"/>
      <c r="BL357" s="32"/>
      <c r="BM357" s="32"/>
      <c r="BN357" s="32"/>
      <c r="BO357" s="32"/>
      <c r="BP357" s="32"/>
      <c r="BQ357" s="32"/>
      <c r="BR357" s="32"/>
      <c r="BS357" s="32"/>
      <c r="BT357" s="32"/>
      <c r="BU357" s="32"/>
      <c r="BV357" s="32"/>
      <c r="BW357" s="32"/>
      <c r="BX357" s="32"/>
      <c r="BY357" s="32"/>
      <c r="BZ357" s="32"/>
      <c r="CA357" s="32"/>
      <c r="CB357" s="32"/>
      <c r="CC357" s="32"/>
      <c r="CD357" s="32"/>
      <c r="CE357" s="32"/>
      <c r="CF357" s="32"/>
      <c r="CG357" s="32"/>
      <c r="CH357" s="32"/>
      <c r="CI357" s="32"/>
      <c r="CJ357" s="32">
        <f>IF((Table1[[#This Row],["Volume
BA MC-0"]]-Table1[[#This Row],[Total Panjang Pipa Aktual
(Sum-&gt;)3]]-Table1[[#This Row],[Total Volume
tidak dapat dipasang]])&gt;=0,Table1[[#This Row],["Volume
BA MC-0"]]-Table1[[#This Row],[Total Panjang Pipa Aktual
(Sum-&gt;)3]]-Table1[[#This Row],[Total Volume
tidak dapat dipasang]],0)</f>
        <v>1681.3</v>
      </c>
      <c r="CK357" s="42"/>
      <c r="CL357" s="113"/>
      <c r="CM357" s="307"/>
      <c r="CN357" s="113"/>
      <c r="CO357" s="113"/>
      <c r="CP35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7.3630365127859906E-2</v>
      </c>
      <c r="CQ357" s="406">
        <f>IFERROR(Table1[[#This Row],[Progres Keg. Umum
(%)]]*Table1[[#This Row],[Nilai RAB Jaringan
(file pa aji)]],0)</f>
        <v>0</v>
      </c>
      <c r="CR357" s="406">
        <f>IFERROR(Table1[[#This Row],[Progres MOS
(%)]]*Table1[[#This Row],[Nilai RAB Jaringan
(file pa aji)]],0)</f>
        <v>0</v>
      </c>
      <c r="CS357" s="406">
        <f>IFERROR(Table1[[#This Row],[Progres Pemasangan
(%)]]*Table1[[#This Row],[Nilai RAB Jaringan
(file pa aji)]],0)</f>
        <v>0</v>
      </c>
      <c r="CT357" s="406">
        <f>IFERROR(Table1[[#This Row],[Progres Perizinan
(%)]]*Table1[[#This Row],[Nilai RAB Jaringan
(file pa aji)]],0)</f>
        <v>0</v>
      </c>
      <c r="CU357" s="789">
        <v>0</v>
      </c>
      <c r="CV357" s="299">
        <v>0</v>
      </c>
      <c r="CW357" s="481">
        <v>0</v>
      </c>
      <c r="CX357" s="789">
        <f>_xlfn.XLOOKUP(Table1[[#This Row],[Kode Program]],'[1]Breakdown VOWD Greenfield'!$E:$E,'[1]Breakdown VOWD Greenfield'!$AT:$AT)</f>
        <v>0</v>
      </c>
      <c r="CY357" s="42"/>
      <c r="CZ357" s="301">
        <v>45929</v>
      </c>
      <c r="DA357" s="301">
        <v>45956</v>
      </c>
      <c r="DB357" s="301">
        <v>45999</v>
      </c>
      <c r="DC357" s="286" t="s">
        <v>2858</v>
      </c>
      <c r="DD357" s="478">
        <v>26670132107</v>
      </c>
      <c r="DE3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7" s="301">
        <v>46013</v>
      </c>
      <c r="DG357" s="286" t="s">
        <v>2859</v>
      </c>
      <c r="DH357" s="478">
        <v>26670132107</v>
      </c>
      <c r="DI3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7" s="301">
        <v>45957</v>
      </c>
      <c r="DK357" s="301">
        <v>46019</v>
      </c>
      <c r="DL357" s="301">
        <v>46050</v>
      </c>
      <c r="DM357" s="286" t="s">
        <v>2860</v>
      </c>
      <c r="DN35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7" s="301">
        <v>46085</v>
      </c>
      <c r="DP357" s="286"/>
      <c r="DQ357" s="308" t="s">
        <v>275</v>
      </c>
      <c r="DR35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7" s="301">
        <v>45957</v>
      </c>
      <c r="DT357" s="301">
        <v>46164</v>
      </c>
      <c r="DU357" s="301">
        <v>45998</v>
      </c>
      <c r="DV357" s="301">
        <v>46178</v>
      </c>
      <c r="DW357" s="301">
        <v>46050</v>
      </c>
      <c r="DX357" s="286" t="s">
        <v>2861</v>
      </c>
      <c r="DY357" s="304">
        <v>73</v>
      </c>
      <c r="DZ357" s="304">
        <v>73</v>
      </c>
      <c r="EA35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7" s="301"/>
      <c r="EC357" s="302">
        <v>71</v>
      </c>
      <c r="ED357" s="302">
        <v>71</v>
      </c>
      <c r="EE357" s="100"/>
      <c r="EF357" s="307">
        <v>0.9726027397260274</v>
      </c>
      <c r="EG357" s="307">
        <f>Table1[[#This Row],[Line PO]]/Table1[[#This Row],[Line PR]]</f>
        <v>0.9726027397260274</v>
      </c>
      <c r="EH357" s="286" t="str">
        <f>IF(Table1[[#This Row],[PO Material Aktual 
(%)]]&gt;=100%,"Selesai PO = 100%",IF(Table1[[#This Row],[PO Material Aktual 
(%)]]&gt;=50%,"Proses PO &gt; 100%",IF(Table1[[#This Row],[PO Material Aktual 
(%)]]&gt;0%,"Proses PO &gt; 50%",IF(Table1[[#This Row],[PO Material Aktual 
(%)]]=0,"Belum PO = 0%"))))</f>
        <v>Proses PO &gt; 100%</v>
      </c>
      <c r="EI35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7" s="301">
        <v>45999</v>
      </c>
      <c r="EK357" s="301">
        <v>46178</v>
      </c>
      <c r="EL357" s="301">
        <v>46110</v>
      </c>
      <c r="EM357" s="301">
        <v>46203</v>
      </c>
      <c r="EN357" s="301"/>
      <c r="EO357" s="302">
        <v>21</v>
      </c>
      <c r="EP357" s="302">
        <v>21</v>
      </c>
      <c r="EQ357" s="307">
        <v>0.28767123287671231</v>
      </c>
      <c r="ER357" s="307">
        <f>Table1[[#This Row],[Line MOS (kolom bantu)]]/Table1[[#This Row],[Line PR]]</f>
        <v>0.28767123287671231</v>
      </c>
      <c r="ES357" s="286" t="str">
        <f>IF(Table1[[#This Row],[Progres MOS]]&gt;=100%,"Selesai MOS = 100%",IF(Table1[[#This Row],[Progres MOS]]&gt;=50%,"Proses MOS &gt; 100%",IF(Table1[[#This Row],[Progres MOS]]&gt;0%,"Proses MOS &gt; 50%",IF(Table1[[#This Row],[Progres MOS]]=0,"Belum MOS = 0%"))))</f>
        <v>Proses MOS &gt; 50%</v>
      </c>
      <c r="ET3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7" s="42"/>
      <c r="EV357" s="301">
        <v>45957</v>
      </c>
      <c r="EW357" s="301">
        <v>46150</v>
      </c>
      <c r="EX357" s="301">
        <v>46047</v>
      </c>
      <c r="EY357" s="301">
        <v>46180</v>
      </c>
      <c r="EZ357" s="322" t="s">
        <v>2769</v>
      </c>
      <c r="FA357" s="379" t="s">
        <v>2769</v>
      </c>
      <c r="FB357" s="300"/>
      <c r="FC357" s="300">
        <v>46036</v>
      </c>
      <c r="FD357" s="300" t="s">
        <v>260</v>
      </c>
      <c r="FE357" s="300"/>
      <c r="FF357" s="300"/>
      <c r="FG357" s="300"/>
      <c r="FH357" s="300"/>
      <c r="FI357" s="300"/>
      <c r="FJ357" s="300"/>
      <c r="FK357" s="300"/>
      <c r="FL357" s="306" t="s">
        <v>2827</v>
      </c>
      <c r="FM357" s="322"/>
      <c r="FN357" s="308" t="str">
        <f>IF(Table1[[#This Row],[Tanggal Pengajuan Dokumen]]="","",Table1[[#This Row],[PLAN PERMIT
start]]-Table1[[#This Row],[Tanggal Pengajuan Dokumen]])</f>
        <v/>
      </c>
      <c r="FO357" s="322"/>
      <c r="FP357" s="286"/>
      <c r="FQ357" s="308"/>
      <c r="FR357" s="301"/>
      <c r="FS357" s="308"/>
      <c r="FT3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7" s="314">
        <f ca="1">IF(Table1[[#This Row],[Status Izin]]="Selesai",Table1[[#This Row],[PLAN PERMIT
finish]]-Table1[[#This Row],[Tanggal Terbit/ Target Izin Terbit]],ROUNDUP(Table1[[#This Row],[PLAN PERMIT
finish]]-NOW(),0))</f>
        <v>-157</v>
      </c>
      <c r="FV3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7" s="314"/>
      <c r="FX357" s="42"/>
      <c r="FY357" s="483">
        <v>46006</v>
      </c>
      <c r="FZ357" s="483">
        <v>46050</v>
      </c>
      <c r="GA35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7" s="301">
        <v>46020</v>
      </c>
      <c r="GC357" s="322">
        <v>46113</v>
      </c>
      <c r="GD3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7" s="301">
        <v>46027</v>
      </c>
      <c r="GF357" s="322">
        <v>46113</v>
      </c>
      <c r="GG3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7" s="301">
        <v>46034</v>
      </c>
      <c r="GI357" s="301">
        <v>46040</v>
      </c>
      <c r="GJ357" s="322">
        <v>46119</v>
      </c>
      <c r="GK3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7" s="301">
        <v>46048</v>
      </c>
      <c r="GM357" s="301">
        <v>46206</v>
      </c>
      <c r="GN357" s="301">
        <v>46166</v>
      </c>
      <c r="GO357" s="300">
        <v>46262</v>
      </c>
      <c r="GP357" s="286"/>
      <c r="GQ3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7" s="301"/>
      <c r="GS357" s="301"/>
      <c r="GT357" s="324"/>
      <c r="GU357" s="314" t="str">
        <f>IF(Table1[[#This Row],[Hydro Tes Actual
(tanggal)]]&lt;&gt;"","Sudah","Belum")</f>
        <v>Belum</v>
      </c>
      <c r="GV357" s="300"/>
      <c r="GW357" s="300"/>
      <c r="GX357" s="301"/>
      <c r="GY357" s="314" t="str">
        <f>IF(Table1[[#This Row],[Interkoneksi Actual
(tanggal)]]&lt;&gt;"","Sudah","Belum")</f>
        <v>Belum</v>
      </c>
      <c r="GZ357" s="300"/>
      <c r="HA357" s="300"/>
      <c r="HB357" s="301"/>
      <c r="HC357" s="314" t="str">
        <f>IF(Table1[[#This Row],[Flushing Actual
(tanggal)]]&lt;&gt;"","Sudah","Belum")</f>
        <v>Belum</v>
      </c>
      <c r="HD357" s="301">
        <v>46169</v>
      </c>
      <c r="HE357" s="301">
        <v>46263</v>
      </c>
      <c r="HF357" s="301">
        <v>46174</v>
      </c>
      <c r="HG357" s="322"/>
      <c r="HH3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7" s="300"/>
      <c r="HJ357" s="300"/>
      <c r="HK357" s="301"/>
      <c r="HL357" s="301"/>
      <c r="HM357" s="301">
        <v>46191</v>
      </c>
      <c r="HN357" s="301">
        <v>46191</v>
      </c>
      <c r="HO357" s="300">
        <v>46280</v>
      </c>
      <c r="HP357" s="300"/>
      <c r="HQ357" s="301"/>
      <c r="HR3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7" s="301">
        <v>46199</v>
      </c>
      <c r="HT357" s="301"/>
      <c r="HU357" s="301">
        <v>46199</v>
      </c>
      <c r="HV357" s="390">
        <v>46285</v>
      </c>
      <c r="HW357" s="365"/>
      <c r="HX35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7" s="42"/>
      <c r="HZ357" s="322"/>
      <c r="IA357" s="306"/>
      <c r="IB357" s="67"/>
      <c r="IC357" s="585">
        <f>IFERROR(ROUND((Table1[[#This Row],[PLAN TC
finish]]-Table1[[#This Row],[PLAN MC-0
start]])/30,2),"")</f>
        <v>4.67</v>
      </c>
      <c r="ID357">
        <f>DATEDIF(Table1[[#This Row],[PLAN MC-0
start]],Table1[[#This Row],[PLAN TC
finish]],"m")</f>
        <v>4</v>
      </c>
      <c r="IE357" s="6"/>
      <c r="IF357" s="6"/>
      <c r="IG357" s="67"/>
      <c r="II357" s="6"/>
      <c r="IJ357" s="4"/>
      <c r="IK357" s="4"/>
      <c r="IL357" s="6"/>
      <c r="IM357" s="6"/>
      <c r="IN357" s="6"/>
      <c r="IO357" s="6"/>
      <c r="IP357" s="6"/>
      <c r="IR357" s="6"/>
      <c r="IS357" s="6"/>
      <c r="IT357" s="6"/>
      <c r="IU357" s="6"/>
      <c r="IX357" s="6"/>
      <c r="IY357" s="6"/>
      <c r="JA357" s="6"/>
      <c r="JB357" s="6"/>
    </row>
    <row r="358" spans="2:262" ht="15" customHeight="1" x14ac:dyDescent="0.25">
      <c r="B358" s="281">
        <f>SUBTOTAL(3,$D$5:D358)</f>
        <v>354</v>
      </c>
      <c r="C358" s="286">
        <v>354</v>
      </c>
      <c r="D358" s="285" t="s">
        <v>244</v>
      </c>
      <c r="E358" s="430" t="s">
        <v>2862</v>
      </c>
      <c r="F358" s="308" t="s">
        <v>2863</v>
      </c>
      <c r="G358" s="319">
        <v>46300</v>
      </c>
      <c r="H358" s="308" t="s">
        <v>247</v>
      </c>
      <c r="I358" s="308" t="s">
        <v>278</v>
      </c>
      <c r="J358" s="450"/>
      <c r="K358" s="308"/>
      <c r="L358" s="286"/>
      <c r="M358" s="325" t="s">
        <v>269</v>
      </c>
      <c r="N358" s="477">
        <v>660</v>
      </c>
      <c r="O358" s="31" t="s">
        <v>252</v>
      </c>
      <c r="P3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8" s="35">
        <v>0.99869434438057303</v>
      </c>
      <c r="S358" s="297">
        <f>_xlfn.XLOOKUP(Table1[[#This Row],[Nama Program]],'[2]Summary Plan'!$E:$E,'[2]Summary Plan'!$M:$M)</f>
        <v>1</v>
      </c>
      <c r="T358" s="128">
        <f>Table1[[#This Row],[Progres Total Aktual
(%)]]</f>
        <v>4.8743133978417792E-2</v>
      </c>
      <c r="U358" s="103">
        <f>Table1[[#This Row],[Progres Aktual
(%)]]-Table1[[#This Row],[Target Progres
(%)]]</f>
        <v>-0.95125686602158221</v>
      </c>
      <c r="V358" s="75">
        <f>Table1[[#This Row],["Volume
BA MC-0"]]</f>
        <v>659.5</v>
      </c>
      <c r="W358" s="75">
        <f>Table1[[#This Row],[Total Panjang Pipa Aktual
(Sum-&gt;)3]]</f>
        <v>0</v>
      </c>
      <c r="X358" s="99"/>
      <c r="Y358" s="478" t="s">
        <v>2864</v>
      </c>
      <c r="Z358" s="62">
        <v>3196946622</v>
      </c>
      <c r="AA358" s="479">
        <f>ROUND((Table1[[#This Row],[Nilai RAB Jaringan
(Exclude Ppn)]]-Table1[[#This Row],[RAB Perizinan]])*1.11+Table1[[#This Row],[RAB Perizinan]],0)</f>
        <v>3196946622</v>
      </c>
      <c r="AB358" s="406">
        <f>SUM(Table1[[#This Row],[RAB Kegiatan Umum]:[RAB Perizinan]])</f>
        <v>2881585360</v>
      </c>
      <c r="AC358" s="406">
        <v>75209213</v>
      </c>
      <c r="AD358" s="406">
        <v>1504184252</v>
      </c>
      <c r="AE358" s="406">
        <v>1287527095</v>
      </c>
      <c r="AF358" s="406">
        <v>14664800</v>
      </c>
      <c r="AG358" s="406"/>
      <c r="AH358" s="480">
        <f>SUM(Table1[[#This Row],[Bobot Keg Umum]:[Bobot Perizinan]])</f>
        <v>1</v>
      </c>
      <c r="AI358" s="480">
        <f>Table1[[#This Row],[RAB Kegiatan Umum]]/Table1[[#This Row],[Nilai RAB Jaringan
(Exclude Ppn)]]</f>
        <v>2.6099942775944698E-2</v>
      </c>
      <c r="AJ358" s="480">
        <f>Table1[[#This Row],[RAB Pemasangan]]/Table1[[#This Row],[Nilai RAB Jaringan
(Exclude Ppn)]]</f>
        <v>0.52199885274264446</v>
      </c>
      <c r="AK358" s="111">
        <f>Table1[[#This Row],[RAB Pengadaan]]/Table1[[#This Row],[Nilai RAB Jaringan
(Exclude Ppn)]]</f>
        <v>0.44681206146882979</v>
      </c>
      <c r="AL358" s="112">
        <f>Table1[[#This Row],[RAB Perizinan]]/Table1[[#This Row],[Nilai RAB Jaringan
(Exclude Ppn)]]</f>
        <v>5.0891430125811019E-3</v>
      </c>
      <c r="AM358" s="42"/>
      <c r="AN358" s="256">
        <v>659.5</v>
      </c>
      <c r="AO358" s="256">
        <f>SUM(Table1[[#This Row],[Pipa 63 mm]:[Pipa 1,800 mm]])</f>
        <v>659.5</v>
      </c>
      <c r="AP358" s="256"/>
      <c r="AQ358" s="256"/>
      <c r="AR358" s="256"/>
      <c r="AS358" s="256"/>
      <c r="AT358" s="256"/>
      <c r="AU358" s="256"/>
      <c r="AV358" s="256">
        <v>659.5</v>
      </c>
      <c r="AW358" s="256"/>
      <c r="AX358" s="256"/>
      <c r="AY358" s="256"/>
      <c r="AZ358" s="256"/>
      <c r="BA358" s="256"/>
      <c r="BB358" s="256"/>
      <c r="BC358" s="256"/>
      <c r="BD358" s="256"/>
      <c r="BE358" s="256"/>
      <c r="BF358" s="256"/>
      <c r="BG358" s="256"/>
      <c r="BH358" s="256"/>
      <c r="BI358" s="256"/>
      <c r="BJ358" s="36">
        <f>SUM(Table1[[#This Row],[Pipa 63 mm2]:[Pipa 1,800 mm21]])</f>
        <v>0</v>
      </c>
      <c r="BK358" s="32"/>
      <c r="BL358" s="32"/>
      <c r="BM358" s="32"/>
      <c r="BN358" s="32"/>
      <c r="BO358" s="32"/>
      <c r="BP358" s="32"/>
      <c r="BQ358" s="32"/>
      <c r="BR358" s="32"/>
      <c r="BS358" s="32"/>
      <c r="BT358" s="32"/>
      <c r="BU358" s="32"/>
      <c r="BV358" s="32"/>
      <c r="BW358" s="32"/>
      <c r="BX358" s="32"/>
      <c r="BY358" s="32"/>
      <c r="BZ358" s="32"/>
      <c r="CA358" s="32"/>
      <c r="CB358" s="32"/>
      <c r="CC358" s="32"/>
      <c r="CD358" s="32"/>
      <c r="CE358" s="32"/>
      <c r="CF358" s="32"/>
      <c r="CG358" s="32"/>
      <c r="CH358" s="32"/>
      <c r="CI358" s="32"/>
      <c r="CJ358" s="32">
        <f>IF((Table1[[#This Row],["Volume
BA MC-0"]]-Table1[[#This Row],[Total Panjang Pipa Aktual
(Sum-&gt;)3]]-Table1[[#This Row],[Total Volume
tidak dapat dipasang]])&gt;=0,Table1[[#This Row],["Volume
BA MC-0"]]-Table1[[#This Row],[Total Panjang Pipa Aktual
(Sum-&gt;)3]]-Table1[[#This Row],[Total Volume
tidak dapat dipasang]],0)</f>
        <v>659.5</v>
      </c>
      <c r="CK358" s="42"/>
      <c r="CL358" s="113"/>
      <c r="CM358" s="307"/>
      <c r="CN358" s="113"/>
      <c r="CO358" s="113"/>
      <c r="CP35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4.8743133978417792E-2</v>
      </c>
      <c r="CQ358" s="406">
        <f>IFERROR(Table1[[#This Row],[Progres Keg. Umum
(%)]]*Table1[[#This Row],[Nilai RAB Jaringan
(file pa aji)]],0)</f>
        <v>0</v>
      </c>
      <c r="CR358" s="406">
        <f>IFERROR(Table1[[#This Row],[Progres MOS
(%)]]*Table1[[#This Row],[Nilai RAB Jaringan
(file pa aji)]],0)</f>
        <v>0</v>
      </c>
      <c r="CS358" s="406">
        <f>IFERROR(Table1[[#This Row],[Progres Pemasangan
(%)]]*Table1[[#This Row],[Nilai RAB Jaringan
(file pa aji)]],0)</f>
        <v>0</v>
      </c>
      <c r="CT358" s="406">
        <f>IFERROR(Table1[[#This Row],[Progres Perizinan
(%)]]*Table1[[#This Row],[Nilai RAB Jaringan
(file pa aji)]],0)</f>
        <v>0</v>
      </c>
      <c r="CU358" s="789">
        <v>0</v>
      </c>
      <c r="CV358" s="299">
        <v>0</v>
      </c>
      <c r="CW358" s="481">
        <v>0</v>
      </c>
      <c r="CX358" s="789">
        <f>_xlfn.XLOOKUP(Table1[[#This Row],[Kode Program]],'[1]Breakdown VOWD Greenfield'!$E:$E,'[1]Breakdown VOWD Greenfield'!$AT:$AT)</f>
        <v>0</v>
      </c>
      <c r="CY358" s="42"/>
      <c r="CZ358" s="301">
        <v>45929</v>
      </c>
      <c r="DA358" s="301">
        <v>45956</v>
      </c>
      <c r="DB358" s="301">
        <v>45999</v>
      </c>
      <c r="DC358" s="286" t="s">
        <v>2865</v>
      </c>
      <c r="DD358" s="478">
        <v>3196946622</v>
      </c>
      <c r="DE3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8" s="301">
        <v>46028</v>
      </c>
      <c r="DG358" s="286" t="s">
        <v>2866</v>
      </c>
      <c r="DH358" s="478">
        <v>3196946622</v>
      </c>
      <c r="DI3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8" s="301">
        <v>45957</v>
      </c>
      <c r="DK358" s="301">
        <v>46019</v>
      </c>
      <c r="DL358" s="301">
        <v>46062</v>
      </c>
      <c r="DM358" s="286" t="s">
        <v>2867</v>
      </c>
      <c r="DN35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8" s="301">
        <v>46085</v>
      </c>
      <c r="DP358" s="286"/>
      <c r="DQ358" s="308" t="s">
        <v>275</v>
      </c>
      <c r="DR35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8" s="301">
        <v>45957</v>
      </c>
      <c r="DT358" s="301">
        <v>46164</v>
      </c>
      <c r="DU358" s="301">
        <v>45998</v>
      </c>
      <c r="DV358" s="301">
        <v>46178</v>
      </c>
      <c r="DW358" s="301">
        <v>46062</v>
      </c>
      <c r="DX358" s="396" t="s">
        <v>2868</v>
      </c>
      <c r="DY358" s="304">
        <v>44</v>
      </c>
      <c r="DZ358" s="304">
        <v>44</v>
      </c>
      <c r="EA35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8" s="301"/>
      <c r="EC358" s="302">
        <v>39</v>
      </c>
      <c r="ED358" s="302">
        <v>39</v>
      </c>
      <c r="EE358" s="100"/>
      <c r="EF358" s="307">
        <v>0.88636363636363635</v>
      </c>
      <c r="EG358" s="307">
        <f>Table1[[#This Row],[Line PO]]/Table1[[#This Row],[Line PR]]</f>
        <v>0.88636363636363635</v>
      </c>
      <c r="EH358" s="286" t="str">
        <f>IF(Table1[[#This Row],[PO Material Aktual 
(%)]]&gt;=100%,"Selesai PO = 100%",IF(Table1[[#This Row],[PO Material Aktual 
(%)]]&gt;=50%,"Proses PO &gt; 100%",IF(Table1[[#This Row],[PO Material Aktual 
(%)]]&gt;0%,"Proses PO &gt; 50%",IF(Table1[[#This Row],[PO Material Aktual 
(%)]]=0,"Belum PO = 0%"))))</f>
        <v>Proses PO &gt; 100%</v>
      </c>
      <c r="EI35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8" s="301">
        <v>45999</v>
      </c>
      <c r="EK358" s="301">
        <v>46178</v>
      </c>
      <c r="EL358" s="301">
        <v>46110</v>
      </c>
      <c r="EM358" s="301">
        <v>46203</v>
      </c>
      <c r="EN358" s="301"/>
      <c r="EO358" s="302">
        <v>8</v>
      </c>
      <c r="EP358" s="302">
        <v>8</v>
      </c>
      <c r="EQ358" s="307">
        <v>0.18181818181818182</v>
      </c>
      <c r="ER358" s="307">
        <f>Table1[[#This Row],[Line MOS (kolom bantu)]]/Table1[[#This Row],[Line PR]]</f>
        <v>0.18181818181818182</v>
      </c>
      <c r="ES358" s="286" t="str">
        <f>IF(Table1[[#This Row],[Progres MOS]]&gt;=100%,"Selesai MOS = 100%",IF(Table1[[#This Row],[Progres MOS]]&gt;=50%,"Proses MOS &gt; 100%",IF(Table1[[#This Row],[Progres MOS]]&gt;0%,"Proses MOS &gt; 50%",IF(Table1[[#This Row],[Progres MOS]]=0,"Belum MOS = 0%"))))</f>
        <v>Proses MOS &gt; 50%</v>
      </c>
      <c r="ET3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8" s="42"/>
      <c r="EV358" s="301">
        <v>45957</v>
      </c>
      <c r="EW358" s="301">
        <v>46150</v>
      </c>
      <c r="EX358" s="301">
        <v>46047</v>
      </c>
      <c r="EY358" s="301">
        <v>46180</v>
      </c>
      <c r="EZ358" s="322" t="s">
        <v>2769</v>
      </c>
      <c r="FA358" s="379" t="s">
        <v>2769</v>
      </c>
      <c r="FB358" s="300"/>
      <c r="FC358" s="300">
        <v>46036</v>
      </c>
      <c r="FD358" s="300" t="s">
        <v>260</v>
      </c>
      <c r="FE358" s="300"/>
      <c r="FF358" s="300"/>
      <c r="FG358" s="300"/>
      <c r="FH358" s="300"/>
      <c r="FI358" s="300"/>
      <c r="FJ358" s="300"/>
      <c r="FK358" s="300"/>
      <c r="FL358" s="306" t="s">
        <v>2827</v>
      </c>
      <c r="FM358" s="322"/>
      <c r="FN358" s="308" t="str">
        <f>IF(Table1[[#This Row],[Tanggal Pengajuan Dokumen]]="","",Table1[[#This Row],[PLAN PERMIT
start]]-Table1[[#This Row],[Tanggal Pengajuan Dokumen]])</f>
        <v/>
      </c>
      <c r="FO358" s="322"/>
      <c r="FP358" s="286"/>
      <c r="FQ358" s="308"/>
      <c r="FR358" s="301"/>
      <c r="FS358" s="308"/>
      <c r="FT3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8" s="314">
        <f ca="1">IF(Table1[[#This Row],[Status Izin]]="Selesai",Table1[[#This Row],[PLAN PERMIT
finish]]-Table1[[#This Row],[Tanggal Terbit/ Target Izin Terbit]],ROUNDUP(Table1[[#This Row],[PLAN PERMIT
finish]]-NOW(),0))</f>
        <v>-157</v>
      </c>
      <c r="FV3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8" s="314"/>
      <c r="FX358" s="42"/>
      <c r="FY358" s="483">
        <v>46006</v>
      </c>
      <c r="FZ358" s="483">
        <v>46050</v>
      </c>
      <c r="GA35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8" s="301">
        <v>46020</v>
      </c>
      <c r="GC358" s="322">
        <v>46113</v>
      </c>
      <c r="GD3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8" s="301">
        <v>46027</v>
      </c>
      <c r="GF358" s="322">
        <v>46113</v>
      </c>
      <c r="GG3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8" s="301">
        <v>46034</v>
      </c>
      <c r="GI358" s="301">
        <v>46040</v>
      </c>
      <c r="GJ358" s="322">
        <v>46119</v>
      </c>
      <c r="GK3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8" s="301">
        <v>46048</v>
      </c>
      <c r="GM358" s="301">
        <v>46206</v>
      </c>
      <c r="GN358" s="301">
        <v>46166</v>
      </c>
      <c r="GO358" s="300">
        <v>46262</v>
      </c>
      <c r="GP358" s="286"/>
      <c r="GQ3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8" s="301"/>
      <c r="GS358" s="301"/>
      <c r="GT358" s="324"/>
      <c r="GU358" s="314" t="str">
        <f>IF(Table1[[#This Row],[Hydro Tes Actual
(tanggal)]]&lt;&gt;"","Sudah","Belum")</f>
        <v>Belum</v>
      </c>
      <c r="GV358" s="300"/>
      <c r="GW358" s="300"/>
      <c r="GX358" s="301"/>
      <c r="GY358" s="314" t="str">
        <f>IF(Table1[[#This Row],[Interkoneksi Actual
(tanggal)]]&lt;&gt;"","Sudah","Belum")</f>
        <v>Belum</v>
      </c>
      <c r="GZ358" s="300"/>
      <c r="HA358" s="300"/>
      <c r="HB358" s="301"/>
      <c r="HC358" s="314" t="str">
        <f>IF(Table1[[#This Row],[Flushing Actual
(tanggal)]]&lt;&gt;"","Sudah","Belum")</f>
        <v>Belum</v>
      </c>
      <c r="HD358" s="301">
        <v>46169</v>
      </c>
      <c r="HE358" s="301">
        <v>46263</v>
      </c>
      <c r="HF358" s="301">
        <v>46174</v>
      </c>
      <c r="HG358" s="322"/>
      <c r="HH3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8" s="300"/>
      <c r="HJ358" s="300"/>
      <c r="HK358" s="301"/>
      <c r="HL358" s="301"/>
      <c r="HM358" s="301">
        <v>46191</v>
      </c>
      <c r="HN358" s="301">
        <v>46191</v>
      </c>
      <c r="HO358" s="300">
        <v>46280</v>
      </c>
      <c r="HP358" s="300"/>
      <c r="HQ358" s="301"/>
      <c r="HR3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8" s="301">
        <v>46199</v>
      </c>
      <c r="HT358" s="301"/>
      <c r="HU358" s="301">
        <v>46199</v>
      </c>
      <c r="HV358" s="390">
        <v>46285</v>
      </c>
      <c r="HW358" s="365"/>
      <c r="HX35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8" s="42"/>
      <c r="HZ358" s="322"/>
      <c r="IA358" s="306"/>
      <c r="IB358" s="67"/>
      <c r="IC358" s="585">
        <f>IFERROR(ROUND((Table1[[#This Row],[PLAN TC
finish]]-Table1[[#This Row],[PLAN MC-0
start]])/30,2),"")</f>
        <v>4.67</v>
      </c>
      <c r="ID358">
        <f>DATEDIF(Table1[[#This Row],[PLAN MC-0
start]],Table1[[#This Row],[PLAN TC
finish]],"m")</f>
        <v>4</v>
      </c>
      <c r="IE358" s="6"/>
      <c r="IF358" s="6"/>
      <c r="IG358" s="67"/>
      <c r="II358" s="6"/>
      <c r="IJ358" s="4"/>
      <c r="IK358" s="4"/>
      <c r="IL358" s="6"/>
      <c r="IM358" s="6"/>
      <c r="IN358" s="6"/>
      <c r="IO358" s="6"/>
      <c r="IP358" s="6"/>
      <c r="IR358" s="6"/>
      <c r="IS358" s="6"/>
      <c r="IT358" s="6"/>
      <c r="IU358" s="6"/>
      <c r="IX358" s="6"/>
      <c r="IY358" s="6"/>
      <c r="JA358" s="6"/>
      <c r="JB358" s="6"/>
    </row>
    <row r="359" spans="2:262" ht="15" customHeight="1" x14ac:dyDescent="0.25">
      <c r="B359" s="281">
        <f>SUBTOTAL(3,$D$5:D359)</f>
        <v>355</v>
      </c>
      <c r="C359" s="286">
        <v>355</v>
      </c>
      <c r="D359" s="285" t="s">
        <v>244</v>
      </c>
      <c r="E359" s="430" t="s">
        <v>2869</v>
      </c>
      <c r="F359" s="308" t="s">
        <v>2870</v>
      </c>
      <c r="G359" s="319">
        <v>46300</v>
      </c>
      <c r="H359" s="308" t="s">
        <v>247</v>
      </c>
      <c r="I359" s="308" t="s">
        <v>278</v>
      </c>
      <c r="J359" s="450"/>
      <c r="K359" s="308"/>
      <c r="L359" s="286"/>
      <c r="M359" s="325" t="s">
        <v>269</v>
      </c>
      <c r="N359" s="477">
        <v>1813</v>
      </c>
      <c r="O359" s="31" t="s">
        <v>252</v>
      </c>
      <c r="P3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59" s="35">
        <v>0.99878983831319745</v>
      </c>
      <c r="S359" s="297">
        <v>1</v>
      </c>
      <c r="T359" s="128">
        <f>Table1[[#This Row],[Progres Total Aktual
(%)]]</f>
        <v>5.3324955065416353E-2</v>
      </c>
      <c r="U359" s="103">
        <f>Table1[[#This Row],[Progres Aktual
(%)]]-Table1[[#This Row],[Target Progres
(%)]]</f>
        <v>-0.94667504493458365</v>
      </c>
      <c r="V359" s="75">
        <v>1800</v>
      </c>
      <c r="W359" s="75">
        <f>Table1[[#This Row],[Total Panjang Pipa Aktual
(Sum-&gt;)3]]</f>
        <v>0</v>
      </c>
      <c r="X359" s="99"/>
      <c r="Y359" s="478" t="s">
        <v>2871</v>
      </c>
      <c r="Z359" s="62">
        <v>6927006818</v>
      </c>
      <c r="AA359" s="479">
        <f>ROUND((Table1[[#This Row],[Nilai RAB Jaringan
(Exclude Ppn)]]-Table1[[#This Row],[RAB Perizinan]])*1.11+Table1[[#This Row],[RAB Perizinan]],0)</f>
        <v>6927006818</v>
      </c>
      <c r="AB359" s="406">
        <f>SUM(Table1[[#This Row],[RAB Kegiatan Umum]:[RAB Perizinan]])</f>
        <v>6242448870</v>
      </c>
      <c r="AC359" s="406">
        <v>151041410</v>
      </c>
      <c r="AD359" s="406">
        <v>3020828193</v>
      </c>
      <c r="AE359" s="406">
        <v>3051384467</v>
      </c>
      <c r="AF359" s="406">
        <v>19194800</v>
      </c>
      <c r="AG359" s="406"/>
      <c r="AH359" s="480">
        <f>SUM(Table1[[#This Row],[Bobot Keg Umum]:[Bobot Perizinan]])</f>
        <v>1</v>
      </c>
      <c r="AI359" s="480">
        <f>Table1[[#This Row],[RAB Kegiatan Umum]]/Table1[[#This Row],[Nilai RAB Jaringan
(Exclude Ppn)]]</f>
        <v>2.4195858571765923E-2</v>
      </c>
      <c r="AJ359" s="480">
        <f>Table1[[#This Row],[RAB Pemasangan]]/Table1[[#This Row],[Nilai RAB Jaringan
(Exclude Ppn)]]</f>
        <v>0.48391717031396364</v>
      </c>
      <c r="AK359" s="111">
        <f>Table1[[#This Row],[RAB Pengadaan]]/Table1[[#This Row],[Nilai RAB Jaringan
(Exclude Ppn)]]</f>
        <v>0.48881208809964993</v>
      </c>
      <c r="AL359" s="112">
        <f>Table1[[#This Row],[RAB Perizinan]]/Table1[[#This Row],[Nilai RAB Jaringan
(Exclude Ppn)]]</f>
        <v>3.0748830146205106E-3</v>
      </c>
      <c r="AM359" s="42"/>
      <c r="AN359" s="256">
        <v>1800</v>
      </c>
      <c r="AO359" s="256">
        <f>SUM(Table1[[#This Row],[Pipa 63 mm]:[Pipa 1,800 mm]])</f>
        <v>1800</v>
      </c>
      <c r="AP359" s="256"/>
      <c r="AQ359" s="256"/>
      <c r="AR359" s="256"/>
      <c r="AS359" s="256"/>
      <c r="AT359" s="256"/>
      <c r="AU359" s="256"/>
      <c r="AV359" s="256">
        <v>1800</v>
      </c>
      <c r="AW359" s="256"/>
      <c r="AX359" s="256"/>
      <c r="AY359" s="256"/>
      <c r="AZ359" s="256"/>
      <c r="BA359" s="256"/>
      <c r="BB359" s="256"/>
      <c r="BC359" s="256"/>
      <c r="BD359" s="256"/>
      <c r="BE359" s="256"/>
      <c r="BF359" s="256"/>
      <c r="BG359" s="256"/>
      <c r="BH359" s="256"/>
      <c r="BI359" s="256"/>
      <c r="BJ359" s="36">
        <f>SUM(Table1[[#This Row],[Pipa 63 mm2]:[Pipa 1,800 mm21]])</f>
        <v>0</v>
      </c>
      <c r="BK359" s="32"/>
      <c r="BL359" s="32"/>
      <c r="BM359" s="32"/>
      <c r="BN359" s="32"/>
      <c r="BO359" s="32"/>
      <c r="BP359" s="32"/>
      <c r="BQ359" s="32"/>
      <c r="BR359" s="32"/>
      <c r="BS359" s="32"/>
      <c r="BT359" s="32"/>
      <c r="BU359" s="32"/>
      <c r="BV359" s="32"/>
      <c r="BW359" s="32"/>
      <c r="BX359" s="32"/>
      <c r="BY359" s="32"/>
      <c r="BZ359" s="32"/>
      <c r="CA359" s="32"/>
      <c r="CB359" s="32"/>
      <c r="CC359" s="32"/>
      <c r="CD359" s="32"/>
      <c r="CE359" s="32"/>
      <c r="CF359" s="32"/>
      <c r="CG359" s="32"/>
      <c r="CH359" s="32"/>
      <c r="CI359" s="32"/>
      <c r="CJ359" s="32">
        <f>IF((Table1[[#This Row],["Volume
BA MC-0"]]-Table1[[#This Row],[Total Panjang Pipa Aktual
(Sum-&gt;)3]]-Table1[[#This Row],[Total Volume
tidak dapat dipasang]])&gt;=0,Table1[[#This Row],["Volume
BA MC-0"]]-Table1[[#This Row],[Total Panjang Pipa Aktual
(Sum-&gt;)3]]-Table1[[#This Row],[Total Volume
tidak dapat dipasang]],0)</f>
        <v>1800</v>
      </c>
      <c r="CK359" s="42"/>
      <c r="CL359" s="113"/>
      <c r="CM359" s="307"/>
      <c r="CN359" s="113"/>
      <c r="CO359" s="113"/>
      <c r="CP35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5.3324955065416353E-2</v>
      </c>
      <c r="CQ359" s="406">
        <f>IFERROR(Table1[[#This Row],[Progres Keg. Umum
(%)]]*Table1[[#This Row],[Nilai RAB Jaringan
(file pa aji)]],0)</f>
        <v>0</v>
      </c>
      <c r="CR359" s="406">
        <f>IFERROR(Table1[[#This Row],[Progres MOS
(%)]]*Table1[[#This Row],[Nilai RAB Jaringan
(file pa aji)]],0)</f>
        <v>0</v>
      </c>
      <c r="CS359" s="406">
        <f>IFERROR(Table1[[#This Row],[Progres Pemasangan
(%)]]*Table1[[#This Row],[Nilai RAB Jaringan
(file pa aji)]],0)</f>
        <v>0</v>
      </c>
      <c r="CT359" s="406">
        <f>IFERROR(Table1[[#This Row],[Progres Perizinan
(%)]]*Table1[[#This Row],[Nilai RAB Jaringan
(file pa aji)]],0)</f>
        <v>0</v>
      </c>
      <c r="CU359" s="789">
        <v>0</v>
      </c>
      <c r="CV359" s="299">
        <v>0</v>
      </c>
      <c r="CW359" s="481">
        <v>0</v>
      </c>
      <c r="CX359" s="789">
        <f>_xlfn.XLOOKUP(Table1[[#This Row],[Kode Program]],'[1]Breakdown VOWD Greenfield'!$E:$E,'[1]Breakdown VOWD Greenfield'!$AT:$AT)</f>
        <v>0</v>
      </c>
      <c r="CY359" s="42"/>
      <c r="CZ359" s="301">
        <v>45929</v>
      </c>
      <c r="DA359" s="301">
        <v>45956</v>
      </c>
      <c r="DB359" s="301">
        <v>46020</v>
      </c>
      <c r="DC359" s="286" t="s">
        <v>2872</v>
      </c>
      <c r="DD359" s="478">
        <v>6927006818</v>
      </c>
      <c r="DE3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59" s="301">
        <v>46049</v>
      </c>
      <c r="DG359" s="286" t="s">
        <v>2873</v>
      </c>
      <c r="DH359" s="478">
        <v>6927006818</v>
      </c>
      <c r="DI3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59" s="301">
        <v>45957</v>
      </c>
      <c r="DK359" s="301">
        <v>46019</v>
      </c>
      <c r="DL359" s="301">
        <v>46063</v>
      </c>
      <c r="DM359" s="286" t="s">
        <v>2874</v>
      </c>
      <c r="DN35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59" s="301">
        <v>46086.291666666664</v>
      </c>
      <c r="DP359" s="286" t="s">
        <v>2875</v>
      </c>
      <c r="DQ359" s="308" t="s">
        <v>312</v>
      </c>
      <c r="DR35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59" s="301">
        <v>45957</v>
      </c>
      <c r="DT359" s="301">
        <v>46164</v>
      </c>
      <c r="DU359" s="301">
        <v>45998</v>
      </c>
      <c r="DV359" s="301">
        <v>46178</v>
      </c>
      <c r="DW359" s="301">
        <v>46063</v>
      </c>
      <c r="DX359" s="396" t="s">
        <v>2876</v>
      </c>
      <c r="DY359" s="304">
        <v>55</v>
      </c>
      <c r="DZ359" s="304">
        <v>55</v>
      </c>
      <c r="EA35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59" s="301"/>
      <c r="EC359" s="302">
        <v>53</v>
      </c>
      <c r="ED359" s="302">
        <v>53</v>
      </c>
      <c r="EE359" s="100"/>
      <c r="EF359" s="307">
        <v>0.96363636363636362</v>
      </c>
      <c r="EG359" s="307">
        <f>Table1[[#This Row],[Line PO]]/Table1[[#This Row],[Line PR]]</f>
        <v>0.96363636363636362</v>
      </c>
      <c r="EH359" s="286" t="str">
        <f>IF(Table1[[#This Row],[PO Material Aktual 
(%)]]&gt;=100%,"Selesai PO = 100%",IF(Table1[[#This Row],[PO Material Aktual 
(%)]]&gt;=50%,"Proses PO &gt; 100%",IF(Table1[[#This Row],[PO Material Aktual 
(%)]]&gt;0%,"Proses PO &gt; 50%",IF(Table1[[#This Row],[PO Material Aktual 
(%)]]=0,"Belum PO = 0%"))))</f>
        <v>Proses PO &gt; 100%</v>
      </c>
      <c r="EI35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59" s="301">
        <v>45999</v>
      </c>
      <c r="EK359" s="301">
        <v>46178</v>
      </c>
      <c r="EL359" s="301">
        <v>46110</v>
      </c>
      <c r="EM359" s="301">
        <v>46203</v>
      </c>
      <c r="EN359" s="301"/>
      <c r="EO359" s="302">
        <v>10</v>
      </c>
      <c r="EP359" s="302">
        <v>10</v>
      </c>
      <c r="EQ359" s="307">
        <v>0.18181818181818182</v>
      </c>
      <c r="ER359" s="307">
        <f>Table1[[#This Row],[Line MOS (kolom bantu)]]/Table1[[#This Row],[Line PR]]</f>
        <v>0.18181818181818182</v>
      </c>
      <c r="ES359" s="286" t="str">
        <f>IF(Table1[[#This Row],[Progres MOS]]&gt;=100%,"Selesai MOS = 100%",IF(Table1[[#This Row],[Progres MOS]]&gt;=50%,"Proses MOS &gt; 100%",IF(Table1[[#This Row],[Progres MOS]]&gt;0%,"Proses MOS &gt; 50%",IF(Table1[[#This Row],[Progres MOS]]=0,"Belum MOS = 0%"))))</f>
        <v>Proses MOS &gt; 50%</v>
      </c>
      <c r="ET3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59" s="42"/>
      <c r="EV359" s="301">
        <v>45957</v>
      </c>
      <c r="EW359" s="301">
        <v>46150</v>
      </c>
      <c r="EX359" s="301">
        <v>46047</v>
      </c>
      <c r="EY359" s="301">
        <v>46180</v>
      </c>
      <c r="EZ359" s="322" t="s">
        <v>1592</v>
      </c>
      <c r="FA359" s="379" t="s">
        <v>1592</v>
      </c>
      <c r="FB359" s="300"/>
      <c r="FC359" s="300">
        <v>46010</v>
      </c>
      <c r="FD359" s="300" t="s">
        <v>260</v>
      </c>
      <c r="FE359" s="300">
        <v>46052</v>
      </c>
      <c r="FF359" s="300">
        <v>46071</v>
      </c>
      <c r="FG359" s="300"/>
      <c r="FH359" s="300"/>
      <c r="FI359" s="300"/>
      <c r="FJ359" s="300"/>
      <c r="FK359" s="300"/>
      <c r="FL359" s="306" t="s">
        <v>2827</v>
      </c>
      <c r="FM359" s="322"/>
      <c r="FN359" s="308" t="str">
        <f>IF(Table1[[#This Row],[Tanggal Pengajuan Dokumen]]="","",Table1[[#This Row],[PLAN PERMIT
start]]-Table1[[#This Row],[Tanggal Pengajuan Dokumen]])</f>
        <v/>
      </c>
      <c r="FO359" s="322"/>
      <c r="FP359" s="286"/>
      <c r="FQ359" s="308"/>
      <c r="FR359" s="301"/>
      <c r="FS359" s="308"/>
      <c r="FT3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59" s="314">
        <f ca="1">IF(Table1[[#This Row],[Status Izin]]="Selesai",Table1[[#This Row],[PLAN PERMIT
finish]]-Table1[[#This Row],[Tanggal Terbit/ Target Izin Terbit]],ROUNDUP(Table1[[#This Row],[PLAN PERMIT
finish]]-NOW(),0))</f>
        <v>-157</v>
      </c>
      <c r="FV3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59" s="314"/>
      <c r="FX359" s="42"/>
      <c r="FY359" s="483">
        <v>46006</v>
      </c>
      <c r="FZ359" s="483">
        <v>46050</v>
      </c>
      <c r="GA35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59" s="301">
        <v>46020</v>
      </c>
      <c r="GC359" s="322">
        <f>Table1[[#This Row],[Tanggal Aktual Kick Off]]</f>
        <v>46112</v>
      </c>
      <c r="GD3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59" s="301">
        <v>46027</v>
      </c>
      <c r="GF359" s="322">
        <v>46112</v>
      </c>
      <c r="GG3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59" s="301">
        <v>46034</v>
      </c>
      <c r="GI359" s="301">
        <v>46040</v>
      </c>
      <c r="GJ359" s="322">
        <v>46119</v>
      </c>
      <c r="GK3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59" s="301">
        <v>46048</v>
      </c>
      <c r="GM359" s="301">
        <v>46206</v>
      </c>
      <c r="GN359" s="301">
        <v>46166</v>
      </c>
      <c r="GO359" s="300">
        <v>46262</v>
      </c>
      <c r="GP359" s="286"/>
      <c r="GQ3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59" s="301"/>
      <c r="GS359" s="301"/>
      <c r="GT359" s="324"/>
      <c r="GU359" s="314" t="str">
        <f>IF(Table1[[#This Row],[Hydro Tes Actual
(tanggal)]]&lt;&gt;"","Sudah","Belum")</f>
        <v>Belum</v>
      </c>
      <c r="GV359" s="300"/>
      <c r="GW359" s="300"/>
      <c r="GX359" s="301"/>
      <c r="GY359" s="314" t="str">
        <f>IF(Table1[[#This Row],[Interkoneksi Actual
(tanggal)]]&lt;&gt;"","Sudah","Belum")</f>
        <v>Belum</v>
      </c>
      <c r="GZ359" s="300"/>
      <c r="HA359" s="300"/>
      <c r="HB359" s="301"/>
      <c r="HC359" s="314" t="str">
        <f>IF(Table1[[#This Row],[Flushing Actual
(tanggal)]]&lt;&gt;"","Sudah","Belum")</f>
        <v>Belum</v>
      </c>
      <c r="HD359" s="301">
        <v>46169</v>
      </c>
      <c r="HE359" s="301">
        <v>46263</v>
      </c>
      <c r="HF359" s="301">
        <v>46174</v>
      </c>
      <c r="HG359" s="322"/>
      <c r="HH3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59" s="300"/>
      <c r="HJ359" s="300"/>
      <c r="HK359" s="301"/>
      <c r="HL359" s="301"/>
      <c r="HM359" s="301">
        <v>46191</v>
      </c>
      <c r="HN359" s="301">
        <v>46191</v>
      </c>
      <c r="HO359" s="300">
        <v>46280</v>
      </c>
      <c r="HP359" s="300"/>
      <c r="HQ359" s="301"/>
      <c r="HR3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59" s="301">
        <v>46199</v>
      </c>
      <c r="HT359" s="301"/>
      <c r="HU359" s="301">
        <v>46199</v>
      </c>
      <c r="HV359" s="390">
        <v>46285</v>
      </c>
      <c r="HW359" s="365"/>
      <c r="HX35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59" s="42"/>
      <c r="HZ359" s="322"/>
      <c r="IA359" s="306"/>
      <c r="IB359" s="67"/>
      <c r="IC359" s="585">
        <f>IFERROR(ROUND((Table1[[#This Row],[PLAN TC
finish]]-Table1[[#This Row],[PLAN MC-0
start]])/30,2),"")</f>
        <v>4.67</v>
      </c>
      <c r="ID359">
        <f>DATEDIF(Table1[[#This Row],[PLAN MC-0
start]],Table1[[#This Row],[PLAN TC
finish]],"m")</f>
        <v>4</v>
      </c>
      <c r="IE359" s="6"/>
      <c r="IF359" s="6"/>
      <c r="IG359" s="67"/>
      <c r="II359" s="6"/>
      <c r="IJ359" s="4"/>
      <c r="IK359" s="4"/>
      <c r="IL359" s="6"/>
      <c r="IM359" s="6"/>
      <c r="IN359" s="6"/>
      <c r="IO359" s="6"/>
      <c r="IP359" s="6"/>
      <c r="IR359" s="6"/>
      <c r="IS359" s="6"/>
      <c r="IT359" s="6"/>
      <c r="IU359" s="6"/>
      <c r="IX359" s="6"/>
      <c r="IY359" s="6"/>
      <c r="JA359" s="6"/>
      <c r="JB359" s="6"/>
    </row>
    <row r="360" spans="2:262" ht="15" customHeight="1" x14ac:dyDescent="0.25">
      <c r="B360" s="281">
        <f>SUBTOTAL(3,$D$5:D360)</f>
        <v>356</v>
      </c>
      <c r="C360" s="286">
        <v>356</v>
      </c>
      <c r="D360" s="285" t="s">
        <v>244</v>
      </c>
      <c r="E360" s="285" t="s">
        <v>2877</v>
      </c>
      <c r="F360" s="308" t="s">
        <v>2878</v>
      </c>
      <c r="G360" s="319">
        <v>46300</v>
      </c>
      <c r="H360" s="308" t="s">
        <v>247</v>
      </c>
      <c r="I360" s="308" t="s">
        <v>278</v>
      </c>
      <c r="J360" s="450"/>
      <c r="K360" s="308"/>
      <c r="L360" s="286"/>
      <c r="M360" s="325" t="s">
        <v>269</v>
      </c>
      <c r="N360" s="477">
        <v>1953</v>
      </c>
      <c r="O360" s="31" t="s">
        <v>252</v>
      </c>
      <c r="P3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0" s="35">
        <v>0.99721246145893461</v>
      </c>
      <c r="S360" s="297">
        <f>_xlfn.XLOOKUP(Table1[[#This Row],[Nama Program]],'[2]Summary Plan'!$E:$E,'[2]Summary Plan'!$M:$M)</f>
        <v>1</v>
      </c>
      <c r="T360" s="128">
        <f>Table1[[#This Row],[Progres Total Aktual
(%)]]</f>
        <v>8.4481158046790961E-2</v>
      </c>
      <c r="U360" s="103">
        <f>Table1[[#This Row],[Progres Aktual
(%)]]-Table1[[#This Row],[Target Progres
(%)]]</f>
        <v>-0.91551884195320898</v>
      </c>
      <c r="V360" s="75">
        <f>Table1[[#This Row],["Volume
BA MC-0"]]</f>
        <v>758.5</v>
      </c>
      <c r="W360" s="75">
        <f>Table1[[#This Row],[Total Panjang Pipa Aktual
(Sum-&gt;)3]]</f>
        <v>0</v>
      </c>
      <c r="X360" s="99"/>
      <c r="Y360" s="478" t="s">
        <v>2879</v>
      </c>
      <c r="Z360" s="62">
        <v>4118143290</v>
      </c>
      <c r="AA360" s="479">
        <f>ROUND((Table1[[#This Row],[Nilai RAB Jaringan
(Exclude Ppn)]]-Table1[[#This Row],[RAB Perizinan]])*1.11+Table1[[#This Row],[RAB Perizinan]],0)</f>
        <v>4118143289</v>
      </c>
      <c r="AB360" s="406">
        <f>SUM(Table1[[#This Row],[RAB Kegiatan Umum]:[RAB Perizinan]])</f>
        <v>3714055486</v>
      </c>
      <c r="AC360" s="406">
        <v>206837534</v>
      </c>
      <c r="AD360" s="406">
        <v>2068375338</v>
      </c>
      <c r="AE360" s="406">
        <v>1398312614</v>
      </c>
      <c r="AF360" s="406">
        <v>40530000</v>
      </c>
      <c r="AG360" s="406"/>
      <c r="AH360" s="480">
        <f>SUM(Table1[[#This Row],[Bobot Keg Umum]:[Bobot Perizinan]])</f>
        <v>1</v>
      </c>
      <c r="AI360" s="480">
        <f>Table1[[#This Row],[RAB Kegiatan Umum]]/Table1[[#This Row],[Nilai RAB Jaringan
(Exclude Ppn)]]</f>
        <v>5.5690480333335547E-2</v>
      </c>
      <c r="AJ360" s="480">
        <f>Table1[[#This Row],[RAB Pemasangan]]/Table1[[#This Row],[Nilai RAB Jaringan
(Exclude Ppn)]]</f>
        <v>0.55690480279486054</v>
      </c>
      <c r="AK360" s="111">
        <f>Table1[[#This Row],[RAB Pengadaan]]/Table1[[#This Row],[Nilai RAB Jaringan
(Exclude Ppn)]]</f>
        <v>0.37649211738243804</v>
      </c>
      <c r="AL360" s="112">
        <f>Table1[[#This Row],[RAB Perizinan]]/Table1[[#This Row],[Nilai RAB Jaringan
(Exclude Ppn)]]</f>
        <v>1.0912599489365842E-2</v>
      </c>
      <c r="AM360" s="42"/>
      <c r="AN360" s="256">
        <v>758.5</v>
      </c>
      <c r="AO360" s="256">
        <f>SUM(Table1[[#This Row],[Pipa 63 mm]:[Pipa 1,800 mm]])</f>
        <v>713.5</v>
      </c>
      <c r="AP360" s="256">
        <v>597</v>
      </c>
      <c r="AQ360" s="256"/>
      <c r="AR360" s="256">
        <v>93.5</v>
      </c>
      <c r="AS360" s="256">
        <v>18</v>
      </c>
      <c r="AT360" s="256"/>
      <c r="AU360" s="256">
        <v>5</v>
      </c>
      <c r="AV360" s="256"/>
      <c r="AW360" s="256"/>
      <c r="AX360" s="256"/>
      <c r="AY360" s="256"/>
      <c r="AZ360" s="256"/>
      <c r="BA360" s="256"/>
      <c r="BB360" s="256"/>
      <c r="BC360" s="256"/>
      <c r="BD360" s="256"/>
      <c r="BE360" s="256"/>
      <c r="BF360" s="256"/>
      <c r="BG360" s="256"/>
      <c r="BH360" s="256"/>
      <c r="BI360" s="256"/>
      <c r="BJ360" s="36">
        <f>SUM(Table1[[#This Row],[Pipa 63 mm2]:[Pipa 1,800 mm21]])</f>
        <v>0</v>
      </c>
      <c r="BK360" s="32"/>
      <c r="BL360" s="32"/>
      <c r="BM360" s="32"/>
      <c r="BN360" s="32"/>
      <c r="BO360" s="32"/>
      <c r="BP360" s="32"/>
      <c r="BQ360" s="32"/>
      <c r="BR360" s="32"/>
      <c r="BS360" s="32"/>
      <c r="BT360" s="32"/>
      <c r="BU360" s="32"/>
      <c r="BV360" s="32"/>
      <c r="BW360" s="32"/>
      <c r="BX360" s="32"/>
      <c r="BY360" s="32"/>
      <c r="BZ360" s="32"/>
      <c r="CA360" s="32"/>
      <c r="CB360" s="32"/>
      <c r="CC360" s="32"/>
      <c r="CD360" s="32"/>
      <c r="CE360" s="32"/>
      <c r="CF360" s="32"/>
      <c r="CG360" s="32"/>
      <c r="CH360" s="32"/>
      <c r="CI360" s="32"/>
      <c r="CJ360" s="32">
        <f>IF((Table1[[#This Row],["Volume
BA MC-0"]]-Table1[[#This Row],[Total Panjang Pipa Aktual
(Sum-&gt;)3]]-Table1[[#This Row],[Total Volume
tidak dapat dipasang]])&gt;=0,Table1[[#This Row],["Volume
BA MC-0"]]-Table1[[#This Row],[Total Panjang Pipa Aktual
(Sum-&gt;)3]]-Table1[[#This Row],[Total Volume
tidak dapat dipasang]],0)</f>
        <v>758.5</v>
      </c>
      <c r="CK360" s="42"/>
      <c r="CL360" s="113"/>
      <c r="CM360" s="307"/>
      <c r="CN360" s="113"/>
      <c r="CO360" s="113"/>
      <c r="CP36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8.4481158046790961E-2</v>
      </c>
      <c r="CQ360" s="406">
        <f>IFERROR(Table1[[#This Row],[Progres Keg. Umum
(%)]]*Table1[[#This Row],[Nilai RAB Jaringan
(file pa aji)]],0)</f>
        <v>0</v>
      </c>
      <c r="CR360" s="406">
        <f>IFERROR(Table1[[#This Row],[Progres MOS
(%)]]*Table1[[#This Row],[Nilai RAB Jaringan
(file pa aji)]],0)</f>
        <v>0</v>
      </c>
      <c r="CS360" s="406">
        <f>IFERROR(Table1[[#This Row],[Progres Pemasangan
(%)]]*Table1[[#This Row],[Nilai RAB Jaringan
(file pa aji)]],0)</f>
        <v>0</v>
      </c>
      <c r="CT360" s="406">
        <f>IFERROR(Table1[[#This Row],[Progres Perizinan
(%)]]*Table1[[#This Row],[Nilai RAB Jaringan
(file pa aji)]],0)</f>
        <v>0</v>
      </c>
      <c r="CU360" s="789">
        <v>0</v>
      </c>
      <c r="CV360" s="299">
        <v>0</v>
      </c>
      <c r="CW360" s="481">
        <v>0</v>
      </c>
      <c r="CX360" s="789">
        <f>_xlfn.XLOOKUP(Table1[[#This Row],[Kode Program]],'[1]Breakdown VOWD Greenfield'!$E:$E,'[1]Breakdown VOWD Greenfield'!$AT:$AT)</f>
        <v>0</v>
      </c>
      <c r="CY360" s="42"/>
      <c r="CZ360" s="301">
        <v>45992</v>
      </c>
      <c r="DA360" s="301">
        <v>46019</v>
      </c>
      <c r="DB360" s="301">
        <v>45950</v>
      </c>
      <c r="DC360" s="286" t="s">
        <v>2880</v>
      </c>
      <c r="DD360" s="478">
        <v>4118143290</v>
      </c>
      <c r="DE3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0" s="301">
        <v>46049</v>
      </c>
      <c r="DG360" s="286" t="s">
        <v>2881</v>
      </c>
      <c r="DH360" s="478">
        <v>4118143290</v>
      </c>
      <c r="DI3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0" s="301">
        <v>46020</v>
      </c>
      <c r="DK360" s="301">
        <v>46082</v>
      </c>
      <c r="DL360" s="301">
        <v>46059</v>
      </c>
      <c r="DM360" s="286" t="s">
        <v>2882</v>
      </c>
      <c r="DN36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0" s="301">
        <v>46087</v>
      </c>
      <c r="DP360" s="286"/>
      <c r="DQ360" s="308" t="s">
        <v>560</v>
      </c>
      <c r="DR36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0" s="301">
        <v>46020</v>
      </c>
      <c r="DT360" s="301">
        <v>46162</v>
      </c>
      <c r="DU360" s="301">
        <v>46061</v>
      </c>
      <c r="DV360" s="301">
        <v>46176</v>
      </c>
      <c r="DW360" s="301">
        <v>46059</v>
      </c>
      <c r="DX360" s="396" t="s">
        <v>2883</v>
      </c>
      <c r="DY360" s="304">
        <v>123</v>
      </c>
      <c r="DZ360" s="304">
        <v>123</v>
      </c>
      <c r="EA36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0" s="301"/>
      <c r="EC360" s="302">
        <v>122</v>
      </c>
      <c r="ED360" s="302">
        <v>122</v>
      </c>
      <c r="EE360" s="100"/>
      <c r="EF360" s="307">
        <v>0.99186991869918695</v>
      </c>
      <c r="EG360" s="307">
        <f>Table1[[#This Row],[Line PO]]/Table1[[#This Row],[Line PR]]</f>
        <v>0.99186991869918695</v>
      </c>
      <c r="EH360" s="286" t="str">
        <f>IF(Table1[[#This Row],[PO Material Aktual 
(%)]]&gt;=100%,"Selesai PO = 100%",IF(Table1[[#This Row],[PO Material Aktual 
(%)]]&gt;=50%,"Proses PO &gt; 100%",IF(Table1[[#This Row],[PO Material Aktual 
(%)]]&gt;0%,"Proses PO &gt; 50%",IF(Table1[[#This Row],[PO Material Aktual 
(%)]]=0,"Belum PO = 0%"))))</f>
        <v>Proses PO &gt; 100%</v>
      </c>
      <c r="EI36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0" s="301">
        <v>46062</v>
      </c>
      <c r="EK360" s="301">
        <v>46176</v>
      </c>
      <c r="EL360" s="301">
        <v>46145</v>
      </c>
      <c r="EM360" s="301">
        <v>46190</v>
      </c>
      <c r="EN360" s="301"/>
      <c r="EO360" s="302">
        <v>46</v>
      </c>
      <c r="EP360" s="302">
        <v>46</v>
      </c>
      <c r="EQ360" s="307">
        <v>0.37398373983739835</v>
      </c>
      <c r="ER360" s="307">
        <f>Table1[[#This Row],[Line MOS (kolom bantu)]]/Table1[[#This Row],[Line PR]]</f>
        <v>0.37398373983739835</v>
      </c>
      <c r="ES360" s="286" t="str">
        <f>IF(Table1[[#This Row],[Progres MOS]]&gt;=100%,"Selesai MOS = 100%",IF(Table1[[#This Row],[Progres MOS]]&gt;=50%,"Proses MOS &gt; 100%",IF(Table1[[#This Row],[Progres MOS]]&gt;0%,"Proses MOS &gt; 50%",IF(Table1[[#This Row],[Progres MOS]]=0,"Belum MOS = 0%"))))</f>
        <v>Proses MOS &gt; 50%</v>
      </c>
      <c r="ET3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0" s="42"/>
      <c r="EV360" s="301">
        <v>46020</v>
      </c>
      <c r="EW360" s="301">
        <v>46156</v>
      </c>
      <c r="EX360" s="301">
        <v>46110</v>
      </c>
      <c r="EY360" s="301">
        <v>46186</v>
      </c>
      <c r="EZ360" s="322" t="s">
        <v>2769</v>
      </c>
      <c r="FA360" s="379" t="s">
        <v>2769</v>
      </c>
      <c r="FB360" s="300"/>
      <c r="FC360" s="300">
        <v>46010</v>
      </c>
      <c r="FD360" s="300" t="s">
        <v>260</v>
      </c>
      <c r="FE360" s="300">
        <v>46079</v>
      </c>
      <c r="FF360" s="300"/>
      <c r="FG360" s="300"/>
      <c r="FH360" s="300"/>
      <c r="FI360" s="300"/>
      <c r="FJ360" s="300"/>
      <c r="FK360" s="300"/>
      <c r="FL360" s="306" t="s">
        <v>2827</v>
      </c>
      <c r="FM360" s="322"/>
      <c r="FN360" s="308" t="str">
        <f>IF(Table1[[#This Row],[Tanggal Pengajuan Dokumen]]="","",Table1[[#This Row],[PLAN PERMIT
start]]-Table1[[#This Row],[Tanggal Pengajuan Dokumen]])</f>
        <v/>
      </c>
      <c r="FO360" s="322"/>
      <c r="FP360" s="286"/>
      <c r="FQ360" s="308"/>
      <c r="FR360" s="301"/>
      <c r="FS360" s="308"/>
      <c r="FT3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0" s="314">
        <f ca="1">IF(Table1[[#This Row],[Status Izin]]="Selesai",Table1[[#This Row],[PLAN PERMIT
finish]]-Table1[[#This Row],[Tanggal Terbit/ Target Izin Terbit]],ROUNDUP(Table1[[#This Row],[PLAN PERMIT
finish]]-NOW(),0))</f>
        <v>-94</v>
      </c>
      <c r="FV3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0" s="314"/>
      <c r="FX360" s="42"/>
      <c r="FY360" s="483">
        <v>46069</v>
      </c>
      <c r="FZ360" s="483">
        <v>46125</v>
      </c>
      <c r="GA36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0" s="301">
        <v>46083</v>
      </c>
      <c r="GC360" s="322">
        <v>46113</v>
      </c>
      <c r="GD3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0" s="301">
        <v>46090</v>
      </c>
      <c r="GF360" s="322">
        <v>46113</v>
      </c>
      <c r="GG3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0" s="301">
        <v>46097</v>
      </c>
      <c r="GI360" s="301">
        <v>46103</v>
      </c>
      <c r="GJ360" s="322">
        <v>46127</v>
      </c>
      <c r="GK3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0" s="301">
        <v>46111</v>
      </c>
      <c r="GM360" s="301">
        <v>46193</v>
      </c>
      <c r="GN360" s="301">
        <v>46166</v>
      </c>
      <c r="GO360" s="300">
        <v>46269</v>
      </c>
      <c r="GP360" s="286"/>
      <c r="GQ3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0" s="301"/>
      <c r="GS360" s="301"/>
      <c r="GT360" s="324"/>
      <c r="GU360" s="314" t="str">
        <f>IF(Table1[[#This Row],[Hydro Tes Actual
(tanggal)]]&lt;&gt;"","Sudah","Belum")</f>
        <v>Belum</v>
      </c>
      <c r="GV360" s="300"/>
      <c r="GW360" s="300"/>
      <c r="GX360" s="301"/>
      <c r="GY360" s="314" t="str">
        <f>IF(Table1[[#This Row],[Interkoneksi Actual
(tanggal)]]&lt;&gt;"","Sudah","Belum")</f>
        <v>Belum</v>
      </c>
      <c r="GZ360" s="300"/>
      <c r="HA360" s="300"/>
      <c r="HB360" s="301"/>
      <c r="HC360" s="314" t="str">
        <f>IF(Table1[[#This Row],[Flushing Actual
(tanggal)]]&lt;&gt;"","Sudah","Belum")</f>
        <v>Belum</v>
      </c>
      <c r="HD360" s="301">
        <v>46169</v>
      </c>
      <c r="HE360" s="301">
        <v>46270</v>
      </c>
      <c r="HF360" s="301">
        <v>46174</v>
      </c>
      <c r="HG360" s="322"/>
      <c r="HH3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0" s="300"/>
      <c r="HJ360" s="300"/>
      <c r="HK360" s="301"/>
      <c r="HL360" s="301"/>
      <c r="HM360" s="301">
        <v>46191</v>
      </c>
      <c r="HN360" s="301">
        <v>46191</v>
      </c>
      <c r="HO360" s="300">
        <v>46287</v>
      </c>
      <c r="HP360" s="300"/>
      <c r="HQ360" s="301"/>
      <c r="HR3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0" s="301">
        <v>46199</v>
      </c>
      <c r="HT360" s="301"/>
      <c r="HU360" s="301">
        <v>46199</v>
      </c>
      <c r="HV360" s="390">
        <v>46292</v>
      </c>
      <c r="HW360" s="365"/>
      <c r="HX36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0" s="42"/>
      <c r="HZ360" s="322"/>
      <c r="IA360" s="306"/>
      <c r="IB360" s="67"/>
      <c r="IC360" s="585">
        <f>IFERROR(ROUND((Table1[[#This Row],[PLAN TC
finish]]-Table1[[#This Row],[PLAN MC-0
start]])/30,2),"")</f>
        <v>2.57</v>
      </c>
      <c r="ID360">
        <f>DATEDIF(Table1[[#This Row],[PLAN MC-0
start]],Table1[[#This Row],[PLAN TC
finish]],"m")</f>
        <v>2</v>
      </c>
      <c r="IE360" s="6"/>
      <c r="IF360" s="6"/>
      <c r="IG360" s="67"/>
      <c r="II360" s="6"/>
      <c r="IJ360" s="4"/>
      <c r="IK360" s="4"/>
      <c r="IL360" s="6"/>
      <c r="IM360" s="6"/>
      <c r="IN360" s="6"/>
      <c r="IO360" s="6"/>
      <c r="IP360" s="6"/>
      <c r="IR360" s="6"/>
      <c r="IS360" s="6"/>
      <c r="IT360" s="6"/>
      <c r="IU360" s="6"/>
      <c r="IX360" s="6"/>
      <c r="IY360" s="6"/>
      <c r="JA360" s="6"/>
      <c r="JB360" s="6"/>
    </row>
    <row r="361" spans="2:262" ht="15" customHeight="1" x14ac:dyDescent="0.25">
      <c r="B361" s="281">
        <f>SUBTOTAL(3,$D$5:D361)</f>
        <v>357</v>
      </c>
      <c r="C361" s="286">
        <v>357</v>
      </c>
      <c r="D361" s="285" t="s">
        <v>244</v>
      </c>
      <c r="E361" s="285" t="s">
        <v>2884</v>
      </c>
      <c r="F361" s="308" t="s">
        <v>2885</v>
      </c>
      <c r="G361" s="319">
        <v>46300</v>
      </c>
      <c r="H361" s="308" t="s">
        <v>247</v>
      </c>
      <c r="I361" s="308" t="s">
        <v>278</v>
      </c>
      <c r="J361" s="450"/>
      <c r="K361" s="308"/>
      <c r="L361" s="286"/>
      <c r="M361" s="325" t="s">
        <v>269</v>
      </c>
      <c r="N361" s="477">
        <v>2201</v>
      </c>
      <c r="O361" s="31" t="s">
        <v>252</v>
      </c>
      <c r="P3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1" s="35">
        <v>0.99678950935065302</v>
      </c>
      <c r="S361" s="297">
        <f>_xlfn.XLOOKUP(Table1[[#This Row],[Nama Program]],'[2]Summary Plan'!$E:$E,'[2]Summary Plan'!$M:$M)</f>
        <v>0.99999999999999989</v>
      </c>
      <c r="T361" s="128">
        <f>Table1[[#This Row],[Progres Total Aktual
(%)]]</f>
        <v>9.8593003831892928E-2</v>
      </c>
      <c r="U361" s="103">
        <f>Table1[[#This Row],[Progres Aktual
(%)]]-Table1[[#This Row],[Target Progres
(%)]]</f>
        <v>-0.90140699616810693</v>
      </c>
      <c r="V361" s="75">
        <f>Table1[[#This Row],["Volume
BA MC-0"]]</f>
        <v>801.5</v>
      </c>
      <c r="W361" s="75">
        <f>Table1[[#This Row],[Total Panjang Pipa Aktual
(Sum-&gt;)3]]</f>
        <v>0</v>
      </c>
      <c r="X361" s="99"/>
      <c r="Y361" s="478" t="s">
        <v>2886</v>
      </c>
      <c r="Z361" s="62">
        <v>3704638539</v>
      </c>
      <c r="AA361" s="479">
        <f>ROUND((Table1[[#This Row],[Nilai RAB Jaringan
(Exclude Ppn)]]-Table1[[#This Row],[RAB Perizinan]])*1.11+Table1[[#This Row],[RAB Perizinan]],0)</f>
        <v>3704638538</v>
      </c>
      <c r="AB361" s="406">
        <f>SUM(Table1[[#This Row],[RAB Kegiatan Umum]:[RAB Perizinan]])</f>
        <v>3339693368</v>
      </c>
      <c r="AC361" s="406">
        <v>214301034</v>
      </c>
      <c r="AD361" s="406">
        <v>2143010331</v>
      </c>
      <c r="AE361" s="406">
        <v>960372003</v>
      </c>
      <c r="AF361" s="406">
        <v>22010000</v>
      </c>
      <c r="AG361" s="406"/>
      <c r="AH361" s="480">
        <f>SUM(Table1[[#This Row],[Bobot Keg Umum]:[Bobot Perizinan]])</f>
        <v>1</v>
      </c>
      <c r="AI361" s="480">
        <f>Table1[[#This Row],[RAB Kegiatan Umum]]/Table1[[#This Row],[Nilai RAB Jaringan
(Exclude Ppn)]]</f>
        <v>6.4167877222912756E-2</v>
      </c>
      <c r="AJ361" s="480">
        <f>Table1[[#This Row],[RAB Pemasangan]]/Table1[[#This Row],[Nilai RAB Jaringan
(Exclude Ppn)]]</f>
        <v>0.64167876953426939</v>
      </c>
      <c r="AK361" s="111">
        <f>Table1[[#This Row],[RAB Pengadaan]]/Table1[[#This Row],[Nilai RAB Jaringan
(Exclude Ppn)]]</f>
        <v>0.28756292784302107</v>
      </c>
      <c r="AL361" s="112">
        <f>Table1[[#This Row],[RAB Perizinan]]/Table1[[#This Row],[Nilai RAB Jaringan
(Exclude Ppn)]]</f>
        <v>6.5904253997967639E-3</v>
      </c>
      <c r="AM361" s="42"/>
      <c r="AN361" s="256">
        <v>801.5</v>
      </c>
      <c r="AO361" s="256">
        <f>SUM(Table1[[#This Row],[Pipa 63 mm]:[Pipa 1,800 mm]])</f>
        <v>801.5</v>
      </c>
      <c r="AP361" s="256">
        <v>792.5</v>
      </c>
      <c r="AQ361" s="256"/>
      <c r="AR361" s="256">
        <v>1</v>
      </c>
      <c r="AS361" s="256">
        <v>2</v>
      </c>
      <c r="AT361" s="256"/>
      <c r="AU361" s="256">
        <v>6</v>
      </c>
      <c r="AV361" s="256"/>
      <c r="AW361" s="256"/>
      <c r="AX361" s="256"/>
      <c r="AY361" s="256"/>
      <c r="AZ361" s="256"/>
      <c r="BA361" s="256"/>
      <c r="BB361" s="256"/>
      <c r="BC361" s="256"/>
      <c r="BD361" s="256"/>
      <c r="BE361" s="256"/>
      <c r="BF361" s="256"/>
      <c r="BG361" s="256"/>
      <c r="BH361" s="256"/>
      <c r="BI361" s="256"/>
      <c r="BJ361" s="36">
        <f>SUM(Table1[[#This Row],[Pipa 63 mm2]:[Pipa 1,800 mm21]])</f>
        <v>0</v>
      </c>
      <c r="BK361" s="32"/>
      <c r="BL361" s="32"/>
      <c r="BM361" s="32"/>
      <c r="BN361" s="32"/>
      <c r="BO361" s="32"/>
      <c r="BP361" s="32"/>
      <c r="BQ361" s="32"/>
      <c r="BR361" s="32"/>
      <c r="BS361" s="32"/>
      <c r="BT361" s="32"/>
      <c r="BU361" s="32"/>
      <c r="BV361" s="32"/>
      <c r="BW361" s="32"/>
      <c r="BX361" s="32"/>
      <c r="BY361" s="32"/>
      <c r="BZ361" s="32"/>
      <c r="CA361" s="32"/>
      <c r="CB361" s="32"/>
      <c r="CC361" s="32"/>
      <c r="CD361" s="32"/>
      <c r="CE361" s="32"/>
      <c r="CF361" s="32"/>
      <c r="CG361" s="32"/>
      <c r="CH361" s="32"/>
      <c r="CI361" s="32"/>
      <c r="CJ361" s="32">
        <f>IF((Table1[[#This Row],["Volume
BA MC-0"]]-Table1[[#This Row],[Total Panjang Pipa Aktual
(Sum-&gt;)3]]-Table1[[#This Row],[Total Volume
tidak dapat dipasang]])&gt;=0,Table1[[#This Row],["Volume
BA MC-0"]]-Table1[[#This Row],[Total Panjang Pipa Aktual
(Sum-&gt;)3]]-Table1[[#This Row],[Total Volume
tidak dapat dipasang]],0)</f>
        <v>801.5</v>
      </c>
      <c r="CK361" s="42"/>
      <c r="CL361" s="113"/>
      <c r="CM361" s="307"/>
      <c r="CN361" s="113"/>
      <c r="CO361" s="113"/>
      <c r="CP36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9.8593003831892928E-2</v>
      </c>
      <c r="CQ361" s="406">
        <f>IFERROR(Table1[[#This Row],[Progres Keg. Umum
(%)]]*Table1[[#This Row],[Nilai RAB Jaringan
(file pa aji)]],0)</f>
        <v>0</v>
      </c>
      <c r="CR361" s="406">
        <f>IFERROR(Table1[[#This Row],[Progres MOS
(%)]]*Table1[[#This Row],[Nilai RAB Jaringan
(file pa aji)]],0)</f>
        <v>0</v>
      </c>
      <c r="CS361" s="406">
        <f>IFERROR(Table1[[#This Row],[Progres Pemasangan
(%)]]*Table1[[#This Row],[Nilai RAB Jaringan
(file pa aji)]],0)</f>
        <v>0</v>
      </c>
      <c r="CT361" s="406">
        <f>IFERROR(Table1[[#This Row],[Progres Perizinan
(%)]]*Table1[[#This Row],[Nilai RAB Jaringan
(file pa aji)]],0)</f>
        <v>0</v>
      </c>
      <c r="CU361" s="789">
        <v>0</v>
      </c>
      <c r="CV361" s="299">
        <v>0</v>
      </c>
      <c r="CW361" s="481">
        <v>0</v>
      </c>
      <c r="CX361" s="789">
        <f>_xlfn.XLOOKUP(Table1[[#This Row],[Kode Program]],'[1]Breakdown VOWD Greenfield'!$E:$E,'[1]Breakdown VOWD Greenfield'!$AT:$AT)</f>
        <v>0</v>
      </c>
      <c r="CY361" s="42"/>
      <c r="CZ361" s="301">
        <v>45992</v>
      </c>
      <c r="DA361" s="301">
        <v>46019</v>
      </c>
      <c r="DB361" s="301">
        <v>45951</v>
      </c>
      <c r="DC361" s="286" t="s">
        <v>2887</v>
      </c>
      <c r="DD361" s="478">
        <v>3704638539</v>
      </c>
      <c r="DE3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1" s="301">
        <v>45972</v>
      </c>
      <c r="DG361" s="286" t="s">
        <v>2888</v>
      </c>
      <c r="DH361" s="478">
        <v>3704638539</v>
      </c>
      <c r="DI3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1" s="301">
        <v>46020</v>
      </c>
      <c r="DK361" s="301">
        <v>46082</v>
      </c>
      <c r="DL361" s="301">
        <v>46050</v>
      </c>
      <c r="DM361" s="286" t="s">
        <v>2889</v>
      </c>
      <c r="DN36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1" s="301">
        <v>46093</v>
      </c>
      <c r="DP361" s="286" t="s">
        <v>2890</v>
      </c>
      <c r="DQ361" s="308" t="s">
        <v>479</v>
      </c>
      <c r="DR36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1" s="301">
        <v>46020</v>
      </c>
      <c r="DT361" s="301">
        <v>46162</v>
      </c>
      <c r="DU361" s="301">
        <v>46061</v>
      </c>
      <c r="DV361" s="301">
        <v>46176</v>
      </c>
      <c r="DW361" s="301">
        <v>46050</v>
      </c>
      <c r="DX361" s="286" t="s">
        <v>2891</v>
      </c>
      <c r="DY361" s="304">
        <v>77</v>
      </c>
      <c r="DZ361" s="304">
        <v>77</v>
      </c>
      <c r="EA36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61" s="301"/>
      <c r="EC361" s="302">
        <v>74</v>
      </c>
      <c r="ED361" s="302">
        <v>74</v>
      </c>
      <c r="EE361" s="100"/>
      <c r="EF361" s="307">
        <v>0.96103896103896103</v>
      </c>
      <c r="EG361" s="307">
        <f>Table1[[#This Row],[Line PO]]/Table1[[#This Row],[Line PR]]</f>
        <v>0.96103896103896103</v>
      </c>
      <c r="EH361" s="286" t="str">
        <f>IF(Table1[[#This Row],[PO Material Aktual 
(%)]]&gt;=100%,"Selesai PO = 100%",IF(Table1[[#This Row],[PO Material Aktual 
(%)]]&gt;=50%,"Proses PO &gt; 100%",IF(Table1[[#This Row],[PO Material Aktual 
(%)]]&gt;0%,"Proses PO &gt; 50%",IF(Table1[[#This Row],[PO Material Aktual 
(%)]]=0,"Belum PO = 0%"))))</f>
        <v>Proses PO &gt; 100%</v>
      </c>
      <c r="EI36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1" s="301">
        <v>46062</v>
      </c>
      <c r="EK361" s="301">
        <v>46176</v>
      </c>
      <c r="EL361" s="301">
        <v>46145</v>
      </c>
      <c r="EM361" s="301">
        <v>46190</v>
      </c>
      <c r="EN361" s="301"/>
      <c r="EO361" s="302">
        <v>44</v>
      </c>
      <c r="EP361" s="302">
        <v>44</v>
      </c>
      <c r="EQ361" s="307">
        <v>0.5714285714285714</v>
      </c>
      <c r="ER361" s="307">
        <f>Table1[[#This Row],[Line MOS (kolom bantu)]]/Table1[[#This Row],[Line PR]]</f>
        <v>0.5714285714285714</v>
      </c>
      <c r="ES361" s="286" t="str">
        <f>IF(Table1[[#This Row],[Progres MOS]]&gt;=100%,"Selesai MOS = 100%",IF(Table1[[#This Row],[Progres MOS]]&gt;=50%,"Proses MOS &gt; 100%",IF(Table1[[#This Row],[Progres MOS]]&gt;0%,"Proses MOS &gt; 50%",IF(Table1[[#This Row],[Progres MOS]]=0,"Belum MOS = 0%"))))</f>
        <v>Proses MOS &gt; 100%</v>
      </c>
      <c r="ET3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1" s="42"/>
      <c r="EV361" s="301">
        <v>46020</v>
      </c>
      <c r="EW361" s="301">
        <v>46156</v>
      </c>
      <c r="EX361" s="301">
        <v>46110</v>
      </c>
      <c r="EY361" s="301">
        <v>46186</v>
      </c>
      <c r="EZ361" s="322" t="s">
        <v>2769</v>
      </c>
      <c r="FA361" s="379" t="s">
        <v>2769</v>
      </c>
      <c r="FB361" s="300"/>
      <c r="FC361" s="300">
        <v>46010</v>
      </c>
      <c r="FD361" s="300" t="s">
        <v>260</v>
      </c>
      <c r="FE361" s="300">
        <v>46079</v>
      </c>
      <c r="FF361" s="300"/>
      <c r="FG361" s="300"/>
      <c r="FH361" s="300"/>
      <c r="FI361" s="300"/>
      <c r="FJ361" s="300"/>
      <c r="FK361" s="300"/>
      <c r="FL361" s="306" t="s">
        <v>2827</v>
      </c>
      <c r="FM361" s="322"/>
      <c r="FN361" s="308" t="str">
        <f>IF(Table1[[#This Row],[Tanggal Pengajuan Dokumen]]="","",Table1[[#This Row],[PLAN PERMIT
start]]-Table1[[#This Row],[Tanggal Pengajuan Dokumen]])</f>
        <v/>
      </c>
      <c r="FO361" s="322"/>
      <c r="FP361" s="286"/>
      <c r="FQ361" s="308"/>
      <c r="FR361" s="301"/>
      <c r="FS361" s="308"/>
      <c r="FT3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1" s="314">
        <f ca="1">IF(Table1[[#This Row],[Status Izin]]="Selesai",Table1[[#This Row],[PLAN PERMIT
finish]]-Table1[[#This Row],[Tanggal Terbit/ Target Izin Terbit]],ROUNDUP(Table1[[#This Row],[PLAN PERMIT
finish]]-NOW(),0))</f>
        <v>-94</v>
      </c>
      <c r="FV3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1" s="314"/>
      <c r="FX361" s="42"/>
      <c r="FY361" s="483">
        <v>46069</v>
      </c>
      <c r="FZ361" s="483">
        <v>46125</v>
      </c>
      <c r="GA36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1" s="301">
        <v>46083</v>
      </c>
      <c r="GC361" s="322">
        <f>Table1[[#This Row],[Tanggal Aktual Kick Off]]</f>
        <v>46112</v>
      </c>
      <c r="GD3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1" s="301">
        <v>46090</v>
      </c>
      <c r="GF361" s="322">
        <v>46112</v>
      </c>
      <c r="GG3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1" s="301">
        <v>46097</v>
      </c>
      <c r="GI361" s="301">
        <v>46103</v>
      </c>
      <c r="GJ361" s="322">
        <v>46120</v>
      </c>
      <c r="GK3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1" s="301">
        <v>46111</v>
      </c>
      <c r="GM361" s="301">
        <v>46193</v>
      </c>
      <c r="GN361" s="301">
        <v>46166</v>
      </c>
      <c r="GO361" s="300">
        <v>46269</v>
      </c>
      <c r="GP361" s="286"/>
      <c r="GQ3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1" s="301"/>
      <c r="GS361" s="301"/>
      <c r="GT361" s="324"/>
      <c r="GU361" s="314" t="str">
        <f>IF(Table1[[#This Row],[Hydro Tes Actual
(tanggal)]]&lt;&gt;"","Sudah","Belum")</f>
        <v>Belum</v>
      </c>
      <c r="GV361" s="300"/>
      <c r="GW361" s="300"/>
      <c r="GX361" s="301"/>
      <c r="GY361" s="314" t="str">
        <f>IF(Table1[[#This Row],[Interkoneksi Actual
(tanggal)]]&lt;&gt;"","Sudah","Belum")</f>
        <v>Belum</v>
      </c>
      <c r="GZ361" s="300"/>
      <c r="HA361" s="300"/>
      <c r="HB361" s="301"/>
      <c r="HC361" s="314" t="str">
        <f>IF(Table1[[#This Row],[Flushing Actual
(tanggal)]]&lt;&gt;"","Sudah","Belum")</f>
        <v>Belum</v>
      </c>
      <c r="HD361" s="301">
        <v>46169</v>
      </c>
      <c r="HE361" s="301">
        <v>46270</v>
      </c>
      <c r="HF361" s="301">
        <v>46174</v>
      </c>
      <c r="HG361" s="322"/>
      <c r="HH3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1" s="300"/>
      <c r="HJ361" s="300"/>
      <c r="HK361" s="301"/>
      <c r="HL361" s="301"/>
      <c r="HM361" s="301">
        <v>46191</v>
      </c>
      <c r="HN361" s="301">
        <v>46191</v>
      </c>
      <c r="HO361" s="300">
        <v>46287</v>
      </c>
      <c r="HP361" s="300"/>
      <c r="HQ361" s="301"/>
      <c r="HR3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1" s="301">
        <v>46199</v>
      </c>
      <c r="HT361" s="301"/>
      <c r="HU361" s="301">
        <v>46199</v>
      </c>
      <c r="HV361" s="390">
        <v>46292</v>
      </c>
      <c r="HW361" s="365"/>
      <c r="HX36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1" s="42"/>
      <c r="HZ361" s="322"/>
      <c r="IA361" s="306"/>
      <c r="IB361" s="67"/>
      <c r="IC361" s="585">
        <f>IFERROR(ROUND((Table1[[#This Row],[PLAN TC
finish]]-Table1[[#This Row],[PLAN MC-0
start]])/30,2),"")</f>
        <v>2.57</v>
      </c>
      <c r="ID361">
        <f>DATEDIF(Table1[[#This Row],[PLAN MC-0
start]],Table1[[#This Row],[PLAN TC
finish]],"m")</f>
        <v>2</v>
      </c>
      <c r="IE361" s="6"/>
      <c r="IF361" s="6"/>
      <c r="IG361" s="67"/>
      <c r="II361" s="6"/>
      <c r="IJ361" s="4"/>
      <c r="IK361" s="4"/>
      <c r="IL361" s="6"/>
      <c r="IM361" s="6"/>
      <c r="IN361" s="6"/>
      <c r="IO361" s="6"/>
      <c r="IP361" s="6"/>
      <c r="IR361" s="6"/>
      <c r="IS361" s="6"/>
      <c r="IT361" s="6"/>
      <c r="IU361" s="6"/>
      <c r="IX361" s="6"/>
      <c r="IY361" s="6"/>
      <c r="JA361" s="6"/>
      <c r="JB361" s="6"/>
    </row>
    <row r="362" spans="2:262" ht="15" customHeight="1" x14ac:dyDescent="0.25">
      <c r="B362" s="281">
        <f>SUBTOTAL(3,$D$5:D362)</f>
        <v>358</v>
      </c>
      <c r="C362" s="286">
        <v>358</v>
      </c>
      <c r="D362" s="285" t="s">
        <v>244</v>
      </c>
      <c r="E362" s="285" t="s">
        <v>2892</v>
      </c>
      <c r="F362" s="308" t="s">
        <v>2893</v>
      </c>
      <c r="G362" s="319">
        <v>46300</v>
      </c>
      <c r="H362" s="308" t="s">
        <v>247</v>
      </c>
      <c r="I362" s="308" t="s">
        <v>278</v>
      </c>
      <c r="J362" s="450"/>
      <c r="K362" s="308"/>
      <c r="L362" s="286"/>
      <c r="M362" s="325" t="s">
        <v>269</v>
      </c>
      <c r="N362" s="477">
        <v>7443</v>
      </c>
      <c r="O362" s="31" t="s">
        <v>252</v>
      </c>
      <c r="P3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2" s="35">
        <v>0.99627175543067459</v>
      </c>
      <c r="S362" s="297">
        <f>_xlfn.XLOOKUP(Table1[[#This Row],[Nama Program]],'[2]Summary Plan'!$E:$E,'[2]Summary Plan'!$M:$M)</f>
        <v>1</v>
      </c>
      <c r="T362" s="128">
        <f>Table1[[#This Row],[Progres Total Aktual
(%)]]</f>
        <v>5.313733860809524E-2</v>
      </c>
      <c r="U362" s="103">
        <f>Table1[[#This Row],[Progres Aktual
(%)]]-Table1[[#This Row],[Target Progres
(%)]]</f>
        <v>-0.94686266139190478</v>
      </c>
      <c r="V362" s="75">
        <f>Table1[[#This Row],["Volume
BA MC-0"]]</f>
        <v>479</v>
      </c>
      <c r="W362" s="75">
        <f>Table1[[#This Row],[Total Panjang Pipa Aktual
(Sum-&gt;)3]]</f>
        <v>0</v>
      </c>
      <c r="X362" s="99"/>
      <c r="Y362" s="478" t="s">
        <v>2894</v>
      </c>
      <c r="Z362" s="62">
        <v>11957112422</v>
      </c>
      <c r="AA362" s="479">
        <f>ROUND((Table1[[#This Row],[Nilai RAB Jaringan
(Exclude Ppn)]]-Table1[[#This Row],[RAB Perizinan]])*1.11+Table1[[#This Row],[RAB Perizinan]],0)</f>
        <v>11957112421</v>
      </c>
      <c r="AB362" s="406">
        <f>SUM(Table1[[#This Row],[RAB Kegiatan Umum]:[RAB Perizinan]])</f>
        <v>10782324072.87458</v>
      </c>
      <c r="AC362" s="406">
        <v>803225936</v>
      </c>
      <c r="AD362" s="406">
        <v>8032259352.8745804</v>
      </c>
      <c r="AE362" s="406">
        <v>1844408784</v>
      </c>
      <c r="AF362" s="406">
        <v>102430000</v>
      </c>
      <c r="AG362" s="406"/>
      <c r="AH362" s="480">
        <f>SUM(Table1[[#This Row],[Bobot Keg Umum]:[Bobot Perizinan]])</f>
        <v>1</v>
      </c>
      <c r="AI362" s="480">
        <f>Table1[[#This Row],[RAB Kegiatan Umum]]/Table1[[#This Row],[Nilai RAB Jaringan
(Exclude Ppn)]]</f>
        <v>7.4494694332245107E-2</v>
      </c>
      <c r="AJ362" s="480">
        <f>Table1[[#This Row],[RAB Pemasangan]]/Table1[[#This Row],[Nilai RAB Jaringan
(Exclude Ppn)]]</f>
        <v>0.74494694266160844</v>
      </c>
      <c r="AK362" s="111">
        <f>Table1[[#This Row],[RAB Pengadaan]]/Table1[[#This Row],[Nilai RAB Jaringan
(Exclude Ppn)]]</f>
        <v>0.17105855579318333</v>
      </c>
      <c r="AL362" s="112">
        <f>Table1[[#This Row],[RAB Perizinan]]/Table1[[#This Row],[Nilai RAB Jaringan
(Exclude Ppn)]]</f>
        <v>9.4998072129631357E-3</v>
      </c>
      <c r="AM362" s="42"/>
      <c r="AN362" s="256">
        <v>479</v>
      </c>
      <c r="AO362" s="256">
        <f>SUM(Table1[[#This Row],[Pipa 63 mm]:[Pipa 1,800 mm]])</f>
        <v>0</v>
      </c>
      <c r="AP362" s="256"/>
      <c r="AQ362" s="256"/>
      <c r="AR362" s="256"/>
      <c r="AS362" s="256"/>
      <c r="AT362" s="256"/>
      <c r="AU362" s="256"/>
      <c r="AV362" s="256"/>
      <c r="AW362" s="256"/>
      <c r="AX362" s="256"/>
      <c r="AY362" s="256"/>
      <c r="AZ362" s="256"/>
      <c r="BA362" s="256"/>
      <c r="BB362" s="256"/>
      <c r="BC362" s="256"/>
      <c r="BD362" s="256"/>
      <c r="BE362" s="256"/>
      <c r="BF362" s="256"/>
      <c r="BG362" s="256"/>
      <c r="BH362" s="256"/>
      <c r="BI362" s="256"/>
      <c r="BJ362" s="36">
        <f>SUM(Table1[[#This Row],[Pipa 63 mm2]:[Pipa 1,800 mm21]])</f>
        <v>0</v>
      </c>
      <c r="BK362" s="32"/>
      <c r="BL362" s="32"/>
      <c r="BM362" s="32"/>
      <c r="BN362" s="32"/>
      <c r="BO362" s="32"/>
      <c r="BP362" s="32"/>
      <c r="BQ362" s="32"/>
      <c r="BR362" s="32"/>
      <c r="BS362" s="32"/>
      <c r="BT362" s="32"/>
      <c r="BU362" s="32"/>
      <c r="BV362" s="32"/>
      <c r="BW362" s="32"/>
      <c r="BX362" s="32"/>
      <c r="BY362" s="32"/>
      <c r="BZ362" s="32"/>
      <c r="CA362" s="32"/>
      <c r="CB362" s="32"/>
      <c r="CC362" s="32"/>
      <c r="CD362" s="32"/>
      <c r="CE362" s="32"/>
      <c r="CF362" s="32"/>
      <c r="CG362" s="32"/>
      <c r="CH362" s="32"/>
      <c r="CI362" s="32"/>
      <c r="CJ362" s="32">
        <f>IF((Table1[[#This Row],["Volume
BA MC-0"]]-Table1[[#This Row],[Total Panjang Pipa Aktual
(Sum-&gt;)3]]-Table1[[#This Row],[Total Volume
tidak dapat dipasang]])&gt;=0,Table1[[#This Row],["Volume
BA MC-0"]]-Table1[[#This Row],[Total Panjang Pipa Aktual
(Sum-&gt;)3]]-Table1[[#This Row],[Total Volume
tidak dapat dipasang]],0)</f>
        <v>479</v>
      </c>
      <c r="CK362" s="42"/>
      <c r="CL362" s="113"/>
      <c r="CM362" s="307"/>
      <c r="CN362" s="113"/>
      <c r="CO362" s="113"/>
      <c r="CP36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5.313733860809524E-2</v>
      </c>
      <c r="CQ362" s="406">
        <f>IFERROR(Table1[[#This Row],[Progres Keg. Umum
(%)]]*Table1[[#This Row],[Nilai RAB Jaringan
(file pa aji)]],0)</f>
        <v>0</v>
      </c>
      <c r="CR362" s="406">
        <f>IFERROR(Table1[[#This Row],[Progres MOS
(%)]]*Table1[[#This Row],[Nilai RAB Jaringan
(file pa aji)]],0)</f>
        <v>0</v>
      </c>
      <c r="CS362" s="406">
        <f>IFERROR(Table1[[#This Row],[Progres Pemasangan
(%)]]*Table1[[#This Row],[Nilai RAB Jaringan
(file pa aji)]],0)</f>
        <v>0</v>
      </c>
      <c r="CT362" s="406">
        <f>IFERROR(Table1[[#This Row],[Progres Perizinan
(%)]]*Table1[[#This Row],[Nilai RAB Jaringan
(file pa aji)]],0)</f>
        <v>0</v>
      </c>
      <c r="CU362" s="789">
        <v>0</v>
      </c>
      <c r="CV362" s="299">
        <v>0</v>
      </c>
      <c r="CW362" s="481">
        <v>0</v>
      </c>
      <c r="CX362" s="789">
        <f>_xlfn.XLOOKUP(Table1[[#This Row],[Kode Program]],'[1]Breakdown VOWD Greenfield'!$E:$E,'[1]Breakdown VOWD Greenfield'!$AT:$AT)</f>
        <v>0</v>
      </c>
      <c r="CY362" s="42"/>
      <c r="CZ362" s="301">
        <v>45957</v>
      </c>
      <c r="DA362" s="301">
        <v>45984</v>
      </c>
      <c r="DB362" s="301">
        <v>45953</v>
      </c>
      <c r="DC362" s="286" t="s">
        <v>2895</v>
      </c>
      <c r="DD362" s="478">
        <v>11957112422</v>
      </c>
      <c r="DE3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2" s="301">
        <v>46001</v>
      </c>
      <c r="DG362" s="286" t="s">
        <v>2896</v>
      </c>
      <c r="DH362" s="478">
        <v>11957112422</v>
      </c>
      <c r="DI3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2" s="301">
        <v>45985</v>
      </c>
      <c r="DK362" s="301">
        <v>46047</v>
      </c>
      <c r="DL362" s="301">
        <v>46050</v>
      </c>
      <c r="DM362" s="286" t="s">
        <v>2897</v>
      </c>
      <c r="DN36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2" s="301">
        <v>46087</v>
      </c>
      <c r="DP362" s="304"/>
      <c r="DQ362" s="431" t="s">
        <v>762</v>
      </c>
      <c r="DR36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2" s="301">
        <v>45985</v>
      </c>
      <c r="DT362" s="301">
        <v>46158</v>
      </c>
      <c r="DU362" s="301">
        <v>46026</v>
      </c>
      <c r="DV362" s="301">
        <v>46172</v>
      </c>
      <c r="DW362" s="301">
        <v>46051</v>
      </c>
      <c r="DX362" s="286" t="s">
        <v>2898</v>
      </c>
      <c r="DY362" s="304">
        <v>141</v>
      </c>
      <c r="DZ362" s="304">
        <v>141</v>
      </c>
      <c r="EA36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2" s="301"/>
      <c r="EC362" s="302">
        <v>137</v>
      </c>
      <c r="ED362" s="302">
        <v>137</v>
      </c>
      <c r="EE362" s="100"/>
      <c r="EF362" s="307">
        <v>0.97163120567375882</v>
      </c>
      <c r="EG362" s="307">
        <f>Table1[[#This Row],[Line PO]]/Table1[[#This Row],[Line PR]]</f>
        <v>0.97163120567375882</v>
      </c>
      <c r="EH362" s="286" t="str">
        <f>IF(Table1[[#This Row],[PO Material Aktual 
(%)]]&gt;=100%,"Selesai PO = 100%",IF(Table1[[#This Row],[PO Material Aktual 
(%)]]&gt;=50%,"Proses PO &gt; 100%",IF(Table1[[#This Row],[PO Material Aktual 
(%)]]&gt;0%,"Proses PO &gt; 50%",IF(Table1[[#This Row],[PO Material Aktual 
(%)]]=0,"Belum PO = 0%"))))</f>
        <v>Proses PO &gt; 100%</v>
      </c>
      <c r="EI36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2" s="301">
        <v>46027</v>
      </c>
      <c r="EK362" s="301">
        <v>46172</v>
      </c>
      <c r="EL362" s="301">
        <v>46138</v>
      </c>
      <c r="EM362" s="301">
        <v>46187</v>
      </c>
      <c r="EN362" s="301"/>
      <c r="EO362" s="302">
        <v>73</v>
      </c>
      <c r="EP362" s="302">
        <v>73</v>
      </c>
      <c r="EQ362" s="307">
        <v>0.51773049645390068</v>
      </c>
      <c r="ER362" s="307">
        <f>Table1[[#This Row],[Line MOS (kolom bantu)]]/Table1[[#This Row],[Line PR]]</f>
        <v>0.51773049645390068</v>
      </c>
      <c r="ES362" s="286" t="str">
        <f>IF(Table1[[#This Row],[Progres MOS]]&gt;=100%,"Selesai MOS = 100%",IF(Table1[[#This Row],[Progres MOS]]&gt;=50%,"Proses MOS &gt; 100%",IF(Table1[[#This Row],[Progres MOS]]&gt;0%,"Proses MOS &gt; 50%",IF(Table1[[#This Row],[Progres MOS]]=0,"Belum MOS = 0%"))))</f>
        <v>Proses MOS &gt; 100%</v>
      </c>
      <c r="ET3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2" s="42"/>
      <c r="EV362" s="301">
        <v>45985</v>
      </c>
      <c r="EW362" s="301">
        <v>46153</v>
      </c>
      <c r="EX362" s="301">
        <v>46075</v>
      </c>
      <c r="EY362" s="301">
        <v>46183</v>
      </c>
      <c r="EZ362" s="322" t="s">
        <v>2769</v>
      </c>
      <c r="FA362" s="379" t="s">
        <v>2769</v>
      </c>
      <c r="FB362" s="300"/>
      <c r="FC362" s="300">
        <v>46010</v>
      </c>
      <c r="FD362" s="300" t="s">
        <v>260</v>
      </c>
      <c r="FE362" s="300">
        <v>46079</v>
      </c>
      <c r="FF362" s="300"/>
      <c r="FG362" s="300"/>
      <c r="FH362" s="300"/>
      <c r="FI362" s="300"/>
      <c r="FJ362" s="300"/>
      <c r="FK362" s="300"/>
      <c r="FL362" s="306" t="s">
        <v>2827</v>
      </c>
      <c r="FM362" s="322"/>
      <c r="FN362" s="308" t="str">
        <f>IF(Table1[[#This Row],[Tanggal Pengajuan Dokumen]]="","",Table1[[#This Row],[PLAN PERMIT
start]]-Table1[[#This Row],[Tanggal Pengajuan Dokumen]])</f>
        <v/>
      </c>
      <c r="FO362" s="322"/>
      <c r="FP362" s="286"/>
      <c r="FQ362" s="308"/>
      <c r="FR362" s="301"/>
      <c r="FS362" s="308"/>
      <c r="FT3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2" s="314">
        <f ca="1">IF(Table1[[#This Row],[Status Izin]]="Selesai",Table1[[#This Row],[PLAN PERMIT
finish]]-Table1[[#This Row],[Tanggal Terbit/ Target Izin Terbit]],ROUNDUP(Table1[[#This Row],[PLAN PERMIT
finish]]-NOW(),0))</f>
        <v>-129</v>
      </c>
      <c r="FV3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2" s="314"/>
      <c r="FX362" s="42"/>
      <c r="FY362" s="483">
        <v>46034</v>
      </c>
      <c r="FZ362" s="483">
        <v>46049</v>
      </c>
      <c r="GA36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2" s="301">
        <v>46048</v>
      </c>
      <c r="GC362" s="322">
        <v>46113</v>
      </c>
      <c r="GD3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2" s="301">
        <v>46055</v>
      </c>
      <c r="GF362" s="322">
        <v>46113</v>
      </c>
      <c r="GG3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2" s="301">
        <v>46062</v>
      </c>
      <c r="GI362" s="301">
        <v>46068</v>
      </c>
      <c r="GJ362" s="322">
        <v>46121</v>
      </c>
      <c r="GK3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2" s="301">
        <v>46076</v>
      </c>
      <c r="GM362" s="301">
        <v>46190</v>
      </c>
      <c r="GN362" s="301">
        <v>46166</v>
      </c>
      <c r="GO362" s="300">
        <v>46262</v>
      </c>
      <c r="GP362" s="286"/>
      <c r="GQ3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2" s="301"/>
      <c r="GS362" s="301"/>
      <c r="GT362" s="324"/>
      <c r="GU362" s="314" t="str">
        <f>IF(Table1[[#This Row],[Hydro Tes Actual
(tanggal)]]&lt;&gt;"","Sudah","Belum")</f>
        <v>Belum</v>
      </c>
      <c r="GV362" s="300"/>
      <c r="GW362" s="300"/>
      <c r="GX362" s="301"/>
      <c r="GY362" s="314" t="str">
        <f>IF(Table1[[#This Row],[Interkoneksi Actual
(tanggal)]]&lt;&gt;"","Sudah","Belum")</f>
        <v>Belum</v>
      </c>
      <c r="GZ362" s="300"/>
      <c r="HA362" s="300"/>
      <c r="HB362" s="301"/>
      <c r="HC362" s="314" t="str">
        <f>IF(Table1[[#This Row],[Flushing Actual
(tanggal)]]&lt;&gt;"","Sudah","Belum")</f>
        <v>Belum</v>
      </c>
      <c r="HD362" s="301">
        <v>46169</v>
      </c>
      <c r="HE362" s="301">
        <v>46263</v>
      </c>
      <c r="HF362" s="301">
        <v>46174</v>
      </c>
      <c r="HG362" s="322"/>
      <c r="HH3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2" s="300"/>
      <c r="HJ362" s="300"/>
      <c r="HK362" s="301"/>
      <c r="HL362" s="301"/>
      <c r="HM362" s="301">
        <v>46191</v>
      </c>
      <c r="HN362" s="301">
        <v>46191</v>
      </c>
      <c r="HO362" s="300">
        <v>46280</v>
      </c>
      <c r="HP362" s="300"/>
      <c r="HQ362" s="301"/>
      <c r="HR3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2" s="301">
        <v>46199</v>
      </c>
      <c r="HT362" s="301"/>
      <c r="HU362" s="301">
        <v>46199</v>
      </c>
      <c r="HV362" s="390">
        <v>46285</v>
      </c>
      <c r="HW362" s="365"/>
      <c r="HX36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2" s="42"/>
      <c r="HZ362" s="322"/>
      <c r="IA362" s="306"/>
      <c r="IB362" s="67"/>
      <c r="IC362" s="585">
        <f>IFERROR(ROUND((Table1[[#This Row],[PLAN TC
finish]]-Table1[[#This Row],[PLAN MC-0
start]])/30,2),"")</f>
        <v>3.73</v>
      </c>
      <c r="ID362">
        <f>DATEDIF(Table1[[#This Row],[PLAN MC-0
start]],Table1[[#This Row],[PLAN TC
finish]],"m")</f>
        <v>3</v>
      </c>
      <c r="IE362" s="6"/>
      <c r="IF362" s="6"/>
      <c r="IG362" s="67"/>
      <c r="II362" s="6"/>
      <c r="IJ362" s="4"/>
      <c r="IK362" s="4"/>
      <c r="IL362" s="6"/>
      <c r="IM362" s="6"/>
      <c r="IN362" s="6"/>
      <c r="IO362" s="6"/>
      <c r="IP362" s="6"/>
      <c r="IR362" s="6"/>
      <c r="IS362" s="6"/>
      <c r="IT362" s="6"/>
      <c r="IU362" s="6"/>
      <c r="IX362" s="6"/>
      <c r="IY362" s="6"/>
      <c r="JA362" s="6"/>
      <c r="JB362" s="6"/>
    </row>
    <row r="363" spans="2:262" ht="15" customHeight="1" x14ac:dyDescent="0.25">
      <c r="B363" s="281">
        <f>SUBTOTAL(3,$D$5:D363)</f>
        <v>359</v>
      </c>
      <c r="C363" s="286">
        <v>359</v>
      </c>
      <c r="D363" s="285" t="s">
        <v>244</v>
      </c>
      <c r="E363" s="285" t="s">
        <v>2899</v>
      </c>
      <c r="F363" s="308" t="s">
        <v>2900</v>
      </c>
      <c r="G363" s="319">
        <v>46300</v>
      </c>
      <c r="H363" s="308" t="s">
        <v>247</v>
      </c>
      <c r="I363" s="308" t="s">
        <v>278</v>
      </c>
      <c r="J363" s="450"/>
      <c r="K363" s="308"/>
      <c r="L363" s="286"/>
      <c r="M363" s="325" t="s">
        <v>269</v>
      </c>
      <c r="N363" s="477">
        <v>5686</v>
      </c>
      <c r="O363" s="31" t="s">
        <v>252</v>
      </c>
      <c r="P3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3" s="35">
        <v>0.99697827930728988</v>
      </c>
      <c r="S363" s="297">
        <f>_xlfn.XLOOKUP(Table1[[#This Row],[Nama Program]],'[2]Summary Plan'!$E:$E,'[2]Summary Plan'!$M:$M)</f>
        <v>1</v>
      </c>
      <c r="T363" s="128">
        <f>Table1[[#This Row],[Progres Total Aktual
(%)]]</f>
        <v>5.1961401708096579E-2</v>
      </c>
      <c r="U363" s="103">
        <f>Table1[[#This Row],[Progres Aktual
(%)]]-Table1[[#This Row],[Target Progres
(%)]]</f>
        <v>-0.9480385982919034</v>
      </c>
      <c r="V363" s="75">
        <f>Table1[[#This Row],["Volume
BA MC-0"]]</f>
        <v>5239.3</v>
      </c>
      <c r="W363" s="75">
        <f>Table1[[#This Row],[Total Panjang Pipa Aktual
(Sum-&gt;)3]]</f>
        <v>0</v>
      </c>
      <c r="X363" s="99"/>
      <c r="Y363" s="478" t="s">
        <v>2901</v>
      </c>
      <c r="Z363" s="62">
        <v>27440000151</v>
      </c>
      <c r="AA363" s="479">
        <f>ROUND((Table1[[#This Row],[Nilai RAB Jaringan
(Exclude Ppn)]]-Table1[[#This Row],[RAB Perizinan]])*1.11+Table1[[#This Row],[RAB Perizinan]],0)</f>
        <v>27440000150</v>
      </c>
      <c r="AB363" s="406">
        <f>SUM(Table1[[#This Row],[RAB Kegiatan Umum]:[RAB Perizinan]])</f>
        <v>24730693198.579002</v>
      </c>
      <c r="AC363" s="406">
        <v>1493982275</v>
      </c>
      <c r="AD363" s="406">
        <v>14939822741.579</v>
      </c>
      <c r="AE363" s="406">
        <v>8196258182</v>
      </c>
      <c r="AF363" s="406">
        <v>100630000</v>
      </c>
      <c r="AG363" s="406"/>
      <c r="AH363" s="480">
        <f>SUM(Table1[[#This Row],[Bobot Keg Umum]:[Bobot Perizinan]])</f>
        <v>0.99999999999999989</v>
      </c>
      <c r="AI363" s="480">
        <f>Table1[[#This Row],[RAB Kegiatan Umum]]/Table1[[#This Row],[Nilai RAB Jaringan
(Exclude Ppn)]]</f>
        <v>6.0410044433604579E-2</v>
      </c>
      <c r="AJ363" s="480">
        <f>Table1[[#This Row],[RAB Pemasangan]]/Table1[[#This Row],[Nilai RAB Jaringan
(Exclude Ppn)]]</f>
        <v>0.60410044399553775</v>
      </c>
      <c r="AK363" s="111">
        <f>Table1[[#This Row],[RAB Pengadaan]]/Table1[[#This Row],[Nilai RAB Jaringan
(Exclude Ppn)]]</f>
        <v>0.33142047884330827</v>
      </c>
      <c r="AL363" s="112">
        <f>Table1[[#This Row],[RAB Perizinan]]/Table1[[#This Row],[Nilai RAB Jaringan
(Exclude Ppn)]]</f>
        <v>4.0690327275493465E-3</v>
      </c>
      <c r="AM363" s="42"/>
      <c r="AN363" s="256">
        <v>5239.3</v>
      </c>
      <c r="AO363" s="256">
        <f>SUM(Table1[[#This Row],[Pipa 63 mm]:[Pipa 1,800 mm]])</f>
        <v>3870</v>
      </c>
      <c r="AP363" s="256">
        <v>619</v>
      </c>
      <c r="AQ363" s="256">
        <v>90</v>
      </c>
      <c r="AR363" s="256">
        <v>4</v>
      </c>
      <c r="AS363" s="256">
        <v>1620</v>
      </c>
      <c r="AT363" s="256">
        <v>406</v>
      </c>
      <c r="AU363" s="256">
        <v>199</v>
      </c>
      <c r="AV363" s="256">
        <v>932</v>
      </c>
      <c r="AW363" s="256" t="s">
        <v>2902</v>
      </c>
      <c r="AX363" s="256"/>
      <c r="AY363" s="256"/>
      <c r="AZ363" s="256"/>
      <c r="BA363" s="256"/>
      <c r="BB363" s="256"/>
      <c r="BC363" s="256"/>
      <c r="BD363" s="256"/>
      <c r="BE363" s="256"/>
      <c r="BF363" s="256"/>
      <c r="BG363" s="256"/>
      <c r="BH363" s="256"/>
      <c r="BI363" s="256"/>
      <c r="BJ363" s="36">
        <f>SUM(Table1[[#This Row],[Pipa 63 mm2]:[Pipa 1,800 mm21]])</f>
        <v>0</v>
      </c>
      <c r="BK363" s="32"/>
      <c r="BL363" s="32"/>
      <c r="BM363" s="32"/>
      <c r="BN363" s="32"/>
      <c r="BO363" s="32"/>
      <c r="BP363" s="32"/>
      <c r="BQ363" s="32"/>
      <c r="BR363" s="32"/>
      <c r="BS363" s="32"/>
      <c r="BT363" s="32"/>
      <c r="BU363" s="32"/>
      <c r="BV363" s="32"/>
      <c r="BW363" s="32"/>
      <c r="BX363" s="32"/>
      <c r="BY363" s="32"/>
      <c r="BZ363" s="32"/>
      <c r="CA363" s="32"/>
      <c r="CB363" s="32"/>
      <c r="CC363" s="32"/>
      <c r="CD363" s="32"/>
      <c r="CE363" s="32"/>
      <c r="CF363" s="32"/>
      <c r="CG363" s="32"/>
      <c r="CH363" s="32"/>
      <c r="CI363" s="32"/>
      <c r="CJ363" s="32">
        <f>IF((Table1[[#This Row],["Volume
BA MC-0"]]-Table1[[#This Row],[Total Panjang Pipa Aktual
(Sum-&gt;)3]]-Table1[[#This Row],[Total Volume
tidak dapat dipasang]])&gt;=0,Table1[[#This Row],["Volume
BA MC-0"]]-Table1[[#This Row],[Total Panjang Pipa Aktual
(Sum-&gt;)3]]-Table1[[#This Row],[Total Volume
tidak dapat dipasang]],0)</f>
        <v>5239.3</v>
      </c>
      <c r="CK363" s="42"/>
      <c r="CL363" s="113"/>
      <c r="CM363" s="307"/>
      <c r="CN363" s="113"/>
      <c r="CO363" s="113"/>
      <c r="CP36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5.1961401708096579E-2</v>
      </c>
      <c r="CQ363" s="406">
        <f>IFERROR(Table1[[#This Row],[Progres Keg. Umum
(%)]]*Table1[[#This Row],[Nilai RAB Jaringan
(file pa aji)]],0)</f>
        <v>0</v>
      </c>
      <c r="CR363" s="406">
        <f>IFERROR(Table1[[#This Row],[Progres MOS
(%)]]*Table1[[#This Row],[Nilai RAB Jaringan
(file pa aji)]],0)</f>
        <v>0</v>
      </c>
      <c r="CS363" s="406">
        <f>IFERROR(Table1[[#This Row],[Progres Pemasangan
(%)]]*Table1[[#This Row],[Nilai RAB Jaringan
(file pa aji)]],0)</f>
        <v>0</v>
      </c>
      <c r="CT363" s="406">
        <f>IFERROR(Table1[[#This Row],[Progres Perizinan
(%)]]*Table1[[#This Row],[Nilai RAB Jaringan
(file pa aji)]],0)</f>
        <v>0</v>
      </c>
      <c r="CU363" s="789">
        <v>0</v>
      </c>
      <c r="CV363" s="299">
        <v>0</v>
      </c>
      <c r="CW363" s="481">
        <v>0</v>
      </c>
      <c r="CX363" s="789">
        <f>_xlfn.XLOOKUP(Table1[[#This Row],[Kode Program]],'[1]Breakdown VOWD Greenfield'!$E:$E,'[1]Breakdown VOWD Greenfield'!$AT:$AT)</f>
        <v>0</v>
      </c>
      <c r="CY363" s="42"/>
      <c r="CZ363" s="301">
        <v>45957</v>
      </c>
      <c r="DA363" s="301">
        <v>45984</v>
      </c>
      <c r="DB363" s="301">
        <v>45953</v>
      </c>
      <c r="DC363" s="286" t="s">
        <v>2903</v>
      </c>
      <c r="DD363" s="478">
        <v>27440000151</v>
      </c>
      <c r="DE3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3" s="301">
        <v>45972</v>
      </c>
      <c r="DG363" s="286" t="s">
        <v>2904</v>
      </c>
      <c r="DH363" s="478">
        <v>27440000151</v>
      </c>
      <c r="DI3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3" s="301">
        <v>45985</v>
      </c>
      <c r="DK363" s="301">
        <v>46047</v>
      </c>
      <c r="DL363" s="301">
        <v>46051</v>
      </c>
      <c r="DM363" s="286" t="s">
        <v>2905</v>
      </c>
      <c r="DN36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3" s="301">
        <v>46087</v>
      </c>
      <c r="DP363" s="304"/>
      <c r="DQ363" s="431" t="s">
        <v>762</v>
      </c>
      <c r="DR36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3" s="301">
        <v>45985</v>
      </c>
      <c r="DT363" s="301">
        <v>46164</v>
      </c>
      <c r="DU363" s="301">
        <v>46026</v>
      </c>
      <c r="DV363" s="301">
        <v>46178</v>
      </c>
      <c r="DW363" s="301">
        <v>46051</v>
      </c>
      <c r="DX363" s="286" t="s">
        <v>2906</v>
      </c>
      <c r="DY363" s="304">
        <v>199</v>
      </c>
      <c r="DZ363" s="304">
        <v>199</v>
      </c>
      <c r="EA36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3" s="301"/>
      <c r="EC363" s="302">
        <v>193</v>
      </c>
      <c r="ED363" s="302">
        <v>193</v>
      </c>
      <c r="EE363" s="100"/>
      <c r="EF363" s="307">
        <v>0.96984924623115576</v>
      </c>
      <c r="EG363" s="307">
        <f>Table1[[#This Row],[Line PO]]/Table1[[#This Row],[Line PR]]</f>
        <v>0.96984924623115576</v>
      </c>
      <c r="EH363" s="286" t="str">
        <f>IF(Table1[[#This Row],[PO Material Aktual 
(%)]]&gt;=100%,"Selesai PO = 100%",IF(Table1[[#This Row],[PO Material Aktual 
(%)]]&gt;=50%,"Proses PO &gt; 100%",IF(Table1[[#This Row],[PO Material Aktual 
(%)]]&gt;0%,"Proses PO &gt; 50%",IF(Table1[[#This Row],[PO Material Aktual 
(%)]]=0,"Belum PO = 0%"))))</f>
        <v>Proses PO &gt; 100%</v>
      </c>
      <c r="EI36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3" s="301">
        <v>46027</v>
      </c>
      <c r="EK363" s="301">
        <v>46178</v>
      </c>
      <c r="EL363" s="301">
        <v>46138</v>
      </c>
      <c r="EM363" s="301">
        <v>46203</v>
      </c>
      <c r="EN363" s="301"/>
      <c r="EO363" s="302">
        <v>52</v>
      </c>
      <c r="EP363" s="302">
        <v>52</v>
      </c>
      <c r="EQ363" s="307">
        <v>0.2613065326633166</v>
      </c>
      <c r="ER363" s="307">
        <f>Table1[[#This Row],[Line MOS (kolom bantu)]]/Table1[[#This Row],[Line PR]]</f>
        <v>0.2613065326633166</v>
      </c>
      <c r="ES363" s="286" t="str">
        <f>IF(Table1[[#This Row],[Progres MOS]]&gt;=100%,"Selesai MOS = 100%",IF(Table1[[#This Row],[Progres MOS]]&gt;=50%,"Proses MOS &gt; 100%",IF(Table1[[#This Row],[Progres MOS]]&gt;0%,"Proses MOS &gt; 50%",IF(Table1[[#This Row],[Progres MOS]]=0,"Belum MOS = 0%"))))</f>
        <v>Proses MOS &gt; 50%</v>
      </c>
      <c r="ET3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3" s="42"/>
      <c r="EV363" s="301">
        <v>45985</v>
      </c>
      <c r="EW363" s="301">
        <v>46148</v>
      </c>
      <c r="EX363" s="301">
        <v>46075</v>
      </c>
      <c r="EY363" s="301">
        <v>46178</v>
      </c>
      <c r="EZ363" s="322" t="s">
        <v>2769</v>
      </c>
      <c r="FA363" s="379" t="s">
        <v>2769</v>
      </c>
      <c r="FB363" s="300"/>
      <c r="FC363" s="300">
        <v>46001</v>
      </c>
      <c r="FD363" s="300" t="s">
        <v>260</v>
      </c>
      <c r="FE363" s="300">
        <v>46045</v>
      </c>
      <c r="FF363" s="300"/>
      <c r="FG363" s="300"/>
      <c r="FH363" s="300"/>
      <c r="FI363" s="300"/>
      <c r="FJ363" s="300"/>
      <c r="FK363" s="300"/>
      <c r="FL363" s="306" t="s">
        <v>2827</v>
      </c>
      <c r="FM363" s="322"/>
      <c r="FN363" s="308" t="str">
        <f>IF(Table1[[#This Row],[Tanggal Pengajuan Dokumen]]="","",Table1[[#This Row],[PLAN PERMIT
start]]-Table1[[#This Row],[Tanggal Pengajuan Dokumen]])</f>
        <v/>
      </c>
      <c r="FO363" s="322"/>
      <c r="FP363" s="286"/>
      <c r="FQ363" s="308"/>
      <c r="FR363" s="301"/>
      <c r="FS363" s="308"/>
      <c r="FT3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3" s="314">
        <f ca="1">IF(Table1[[#This Row],[Status Izin]]="Selesai",Table1[[#This Row],[PLAN PERMIT
finish]]-Table1[[#This Row],[Tanggal Terbit/ Target Izin Terbit]],ROUNDUP(Table1[[#This Row],[PLAN PERMIT
finish]]-NOW(),0))</f>
        <v>-129</v>
      </c>
      <c r="FV3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3" s="314"/>
      <c r="FX363" s="42"/>
      <c r="FY363" s="483">
        <v>46034</v>
      </c>
      <c r="FZ363" s="483">
        <v>46049</v>
      </c>
      <c r="GA36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3" s="301">
        <v>46048</v>
      </c>
      <c r="GC363" s="322">
        <v>46113</v>
      </c>
      <c r="GD3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3" s="301">
        <v>46055</v>
      </c>
      <c r="GF363" s="322">
        <v>46113</v>
      </c>
      <c r="GG3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3" s="301">
        <v>46062</v>
      </c>
      <c r="GI363" s="301">
        <v>46068</v>
      </c>
      <c r="GJ363" s="322">
        <v>46122</v>
      </c>
      <c r="GK3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3" s="301">
        <v>46076</v>
      </c>
      <c r="GM363" s="301">
        <v>46206</v>
      </c>
      <c r="GN363" s="301">
        <v>46166</v>
      </c>
      <c r="GO363" s="300">
        <v>46275</v>
      </c>
      <c r="GP363" s="286"/>
      <c r="GQ3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3" s="301"/>
      <c r="GS363" s="301"/>
      <c r="GT363" s="324"/>
      <c r="GU363" s="314" t="str">
        <f>IF(Table1[[#This Row],[Hydro Tes Actual
(tanggal)]]&lt;&gt;"","Sudah","Belum")</f>
        <v>Belum</v>
      </c>
      <c r="GV363" s="300"/>
      <c r="GW363" s="300"/>
      <c r="GX363" s="301"/>
      <c r="GY363" s="314" t="str">
        <f>IF(Table1[[#This Row],[Interkoneksi Actual
(tanggal)]]&lt;&gt;"","Sudah","Belum")</f>
        <v>Belum</v>
      </c>
      <c r="GZ363" s="300"/>
      <c r="HA363" s="300"/>
      <c r="HB363" s="301"/>
      <c r="HC363" s="314" t="str">
        <f>IF(Table1[[#This Row],[Flushing Actual
(tanggal)]]&lt;&gt;"","Sudah","Belum")</f>
        <v>Belum</v>
      </c>
      <c r="HD363" s="301">
        <v>46169</v>
      </c>
      <c r="HE363" s="301">
        <v>46276</v>
      </c>
      <c r="HF363" s="301">
        <v>46174</v>
      </c>
      <c r="HG363" s="322"/>
      <c r="HH3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3" s="300"/>
      <c r="HJ363" s="300"/>
      <c r="HK363" s="301"/>
      <c r="HL363" s="301"/>
      <c r="HM363" s="301">
        <v>46191</v>
      </c>
      <c r="HN363" s="301">
        <v>46191</v>
      </c>
      <c r="HO363" s="300">
        <v>46293</v>
      </c>
      <c r="HP363" s="300"/>
      <c r="HQ363" s="301"/>
      <c r="HR3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3" s="301">
        <v>46199</v>
      </c>
      <c r="HT363" s="301"/>
      <c r="HU363" s="301">
        <v>46199</v>
      </c>
      <c r="HV363" s="390">
        <v>46298</v>
      </c>
      <c r="HW363" s="365"/>
      <c r="HX36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3" s="42"/>
      <c r="HZ363" s="322"/>
      <c r="IA363" s="306"/>
      <c r="IB363" s="67"/>
      <c r="IC363" s="585">
        <f>IFERROR(ROUND((Table1[[#This Row],[PLAN TC
finish]]-Table1[[#This Row],[PLAN MC-0
start]])/30,2),"")</f>
        <v>3.73</v>
      </c>
      <c r="ID363">
        <f>DATEDIF(Table1[[#This Row],[PLAN MC-0
start]],Table1[[#This Row],[PLAN TC
finish]],"m")</f>
        <v>3</v>
      </c>
      <c r="IE363" s="6"/>
      <c r="IF363" s="6"/>
      <c r="IG363" s="67"/>
      <c r="II363" s="6"/>
      <c r="IJ363" s="4"/>
      <c r="IK363" s="4"/>
      <c r="IL363" s="6"/>
      <c r="IM363" s="6"/>
      <c r="IN363" s="6"/>
      <c r="IO363" s="6"/>
      <c r="IP363" s="6"/>
      <c r="IR363" s="6"/>
      <c r="IS363" s="6"/>
      <c r="IT363" s="6"/>
      <c r="IU363" s="6"/>
      <c r="IX363" s="6"/>
      <c r="IY363" s="6"/>
      <c r="JA363" s="6"/>
      <c r="JB363" s="6"/>
    </row>
    <row r="364" spans="2:262" ht="15" customHeight="1" x14ac:dyDescent="0.25">
      <c r="B364" s="281">
        <f>SUBTOTAL(3,$D$5:D364)</f>
        <v>360</v>
      </c>
      <c r="C364" s="286">
        <v>360</v>
      </c>
      <c r="D364" s="285" t="s">
        <v>244</v>
      </c>
      <c r="E364" s="285" t="s">
        <v>2907</v>
      </c>
      <c r="F364" s="308" t="s">
        <v>2908</v>
      </c>
      <c r="G364" s="319">
        <v>46300</v>
      </c>
      <c r="H364" s="308" t="s">
        <v>247</v>
      </c>
      <c r="I364" s="308" t="s">
        <v>278</v>
      </c>
      <c r="J364" s="450"/>
      <c r="K364" s="308"/>
      <c r="L364" s="286"/>
      <c r="M364" s="325" t="s">
        <v>269</v>
      </c>
      <c r="N364" s="477">
        <v>32683</v>
      </c>
      <c r="O364" s="31" t="s">
        <v>252</v>
      </c>
      <c r="P3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4" s="35">
        <v>0.99724019313854462</v>
      </c>
      <c r="S364" s="297">
        <f>_xlfn.XLOOKUP(Table1[[#This Row],[Nama Program]],'[2]Summary Plan'!$E:$E,'[2]Summary Plan'!$M:$M)</f>
        <v>1.0000000000000002</v>
      </c>
      <c r="T364" s="128">
        <f>Table1[[#This Row],[Progres Total Aktual
(%)]]</f>
        <v>3.0757397495327382E-2</v>
      </c>
      <c r="U364" s="103">
        <f>Table1[[#This Row],[Progres Aktual
(%)]]-Table1[[#This Row],[Target Progres
(%)]]</f>
        <v>-0.96924260250467287</v>
      </c>
      <c r="V364" s="75">
        <f>Table1[[#This Row],["Volume
BA MC-0"]]</f>
        <v>0</v>
      </c>
      <c r="W364" s="75">
        <f>Table1[[#This Row],[Total Panjang Pipa Aktual
(Sum-&gt;)3]]</f>
        <v>0</v>
      </c>
      <c r="X364" s="99"/>
      <c r="Y364" s="478" t="s">
        <v>2909</v>
      </c>
      <c r="Z364" s="62">
        <v>55903447227</v>
      </c>
      <c r="AA364" s="479">
        <f>ROUND((Table1[[#This Row],[Nilai RAB Jaringan
(Exclude Ppn)]]-Table1[[#This Row],[RAB Perizinan]])*1.11+Table1[[#This Row],[RAB Perizinan]],0)</f>
        <v>55903447226</v>
      </c>
      <c r="AB364" s="406">
        <f>SUM(Table1[[#This Row],[RAB Kegiatan Umum]:[RAB Perizinan]])</f>
        <v>50396548222</v>
      </c>
      <c r="AC364" s="406">
        <v>2779868779</v>
      </c>
      <c r="AD364" s="406">
        <v>34748359736</v>
      </c>
      <c r="AE364" s="406">
        <v>12534489707</v>
      </c>
      <c r="AF364" s="406">
        <v>333830000</v>
      </c>
      <c r="AG364" s="406"/>
      <c r="AH364" s="480">
        <f>SUM(Table1[[#This Row],[Bobot Keg Umum]:[Bobot Perizinan]])</f>
        <v>1</v>
      </c>
      <c r="AI364" s="480">
        <f>Table1[[#This Row],[RAB Kegiatan Umum]]/Table1[[#This Row],[Nilai RAB Jaringan
(Exclude Ppn)]]</f>
        <v>5.5159904340164358E-2</v>
      </c>
      <c r="AJ364" s="480">
        <f>Table1[[#This Row],[RAB Pemasangan]]/Table1[[#This Row],[Nilai RAB Jaringan
(Exclude Ppn)]]</f>
        <v>0.68949880422229048</v>
      </c>
      <c r="AK364" s="111">
        <f>Table1[[#This Row],[RAB Pengadaan]]/Table1[[#This Row],[Nilai RAB Jaringan
(Exclude Ppn)]]</f>
        <v>0.24871722665974613</v>
      </c>
      <c r="AL364" s="112">
        <f>Table1[[#This Row],[RAB Perizinan]]/Table1[[#This Row],[Nilai RAB Jaringan
(Exclude Ppn)]]</f>
        <v>6.6240647777990195E-3</v>
      </c>
      <c r="AM364" s="42"/>
      <c r="AN364" s="256"/>
      <c r="AO364" s="256">
        <f>SUM(Table1[[#This Row],[Pipa 63 mm]:[Pipa 1,800 mm]])</f>
        <v>32900</v>
      </c>
      <c r="AP364" s="256">
        <v>14855</v>
      </c>
      <c r="AQ364" s="256">
        <v>7135</v>
      </c>
      <c r="AR364" s="256">
        <v>5896</v>
      </c>
      <c r="AS364" s="256">
        <v>1952</v>
      </c>
      <c r="AT364" s="256">
        <v>1979</v>
      </c>
      <c r="AU364" s="256">
        <v>592</v>
      </c>
      <c r="AV364" s="256">
        <v>491</v>
      </c>
      <c r="AW364" s="256"/>
      <c r="AX364" s="256"/>
      <c r="AY364" s="256"/>
      <c r="AZ364" s="256"/>
      <c r="BA364" s="256"/>
      <c r="BB364" s="256"/>
      <c r="BC364" s="256"/>
      <c r="BD364" s="256"/>
      <c r="BE364" s="256"/>
      <c r="BF364" s="256"/>
      <c r="BG364" s="256"/>
      <c r="BH364" s="256"/>
      <c r="BI364" s="256"/>
      <c r="BJ364" s="36">
        <f>SUM(Table1[[#This Row],[Pipa 63 mm2]:[Pipa 1,800 mm21]])</f>
        <v>0</v>
      </c>
      <c r="BK364" s="32"/>
      <c r="BL364" s="32"/>
      <c r="BM364" s="32"/>
      <c r="BN364" s="32"/>
      <c r="BO364" s="32"/>
      <c r="BP364" s="32"/>
      <c r="BQ364" s="32"/>
      <c r="BR364" s="32"/>
      <c r="BS364" s="32"/>
      <c r="BT364" s="32"/>
      <c r="BU364" s="32"/>
      <c r="BV364" s="32"/>
      <c r="BW364" s="32"/>
      <c r="BX364" s="32"/>
      <c r="BY364" s="32"/>
      <c r="BZ364" s="32"/>
      <c r="CA364" s="32"/>
      <c r="CB364" s="32"/>
      <c r="CC364" s="32"/>
      <c r="CD364" s="32"/>
      <c r="CE364" s="32"/>
      <c r="CF364" s="32"/>
      <c r="CG364" s="32"/>
      <c r="CH364" s="32"/>
      <c r="CI364" s="32"/>
      <c r="CJ364" s="32">
        <f>IF((Table1[[#This Row],["Volume
BA MC-0"]]-Table1[[#This Row],[Total Panjang Pipa Aktual
(Sum-&gt;)3]]-Table1[[#This Row],[Total Volume
tidak dapat dipasang]])&gt;=0,Table1[[#This Row],["Volume
BA MC-0"]]-Table1[[#This Row],[Total Panjang Pipa Aktual
(Sum-&gt;)3]]-Table1[[#This Row],[Total Volume
tidak dapat dipasang]],0)</f>
        <v>0</v>
      </c>
      <c r="CK364" s="42"/>
      <c r="CL364" s="113"/>
      <c r="CM364" s="307"/>
      <c r="CN364" s="113"/>
      <c r="CO364" s="113"/>
      <c r="CP36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3.0757397495327382E-2</v>
      </c>
      <c r="CQ364" s="406">
        <f>IFERROR(Table1[[#This Row],[Progres Keg. Umum
(%)]]*Table1[[#This Row],[Nilai RAB Jaringan
(file pa aji)]],0)</f>
        <v>0</v>
      </c>
      <c r="CR364" s="406">
        <f>IFERROR(Table1[[#This Row],[Progres MOS
(%)]]*Table1[[#This Row],[Nilai RAB Jaringan
(file pa aji)]],0)</f>
        <v>0</v>
      </c>
      <c r="CS364" s="406">
        <f>IFERROR(Table1[[#This Row],[Progres Pemasangan
(%)]]*Table1[[#This Row],[Nilai RAB Jaringan
(file pa aji)]],0)</f>
        <v>0</v>
      </c>
      <c r="CT364" s="406">
        <f>IFERROR(Table1[[#This Row],[Progres Perizinan
(%)]]*Table1[[#This Row],[Nilai RAB Jaringan
(file pa aji)]],0)</f>
        <v>0</v>
      </c>
      <c r="CU364" s="789">
        <v>0</v>
      </c>
      <c r="CV364" s="299">
        <v>0</v>
      </c>
      <c r="CW364" s="481">
        <v>0</v>
      </c>
      <c r="CX364" s="789">
        <f>_xlfn.XLOOKUP(Table1[[#This Row],[Kode Program]],'[1]Breakdown VOWD Greenfield'!$E:$E,'[1]Breakdown VOWD Greenfield'!$AT:$AT)</f>
        <v>0</v>
      </c>
      <c r="CY364" s="42"/>
      <c r="CZ364" s="301">
        <v>45929</v>
      </c>
      <c r="DA364" s="301">
        <v>45956</v>
      </c>
      <c r="DB364" s="301">
        <v>45953</v>
      </c>
      <c r="DC364" s="286" t="s">
        <v>2910</v>
      </c>
      <c r="DD364" s="478">
        <v>55903447227</v>
      </c>
      <c r="DE3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4" s="301">
        <v>45972</v>
      </c>
      <c r="DG364" s="286" t="s">
        <v>2911</v>
      </c>
      <c r="DH364" s="478">
        <v>55903447227</v>
      </c>
      <c r="DI3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4" s="301">
        <v>45957</v>
      </c>
      <c r="DK364" s="301">
        <v>46019</v>
      </c>
      <c r="DL364" s="301">
        <v>46050</v>
      </c>
      <c r="DM364" s="286" t="s">
        <v>2912</v>
      </c>
      <c r="DN36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4" s="301">
        <v>46085.291666666664</v>
      </c>
      <c r="DP364" s="286" t="s">
        <v>2913</v>
      </c>
      <c r="DQ364" s="308" t="s">
        <v>2914</v>
      </c>
      <c r="DR36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4" s="301">
        <v>45957</v>
      </c>
      <c r="DT364" s="301">
        <v>46164</v>
      </c>
      <c r="DU364" s="301">
        <v>45998</v>
      </c>
      <c r="DV364" s="301">
        <v>46178</v>
      </c>
      <c r="DW364" s="301">
        <v>46050</v>
      </c>
      <c r="DX364" s="286" t="s">
        <v>2915</v>
      </c>
      <c r="DY364" s="304">
        <v>131</v>
      </c>
      <c r="DZ364" s="304">
        <v>131</v>
      </c>
      <c r="EA36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4" s="301"/>
      <c r="EC364" s="302">
        <v>126</v>
      </c>
      <c r="ED364" s="302">
        <v>126</v>
      </c>
      <c r="EE364" s="100"/>
      <c r="EF364" s="307">
        <v>0.96183206106870234</v>
      </c>
      <c r="EG364" s="307">
        <f>Table1[[#This Row],[Line PO]]/Table1[[#This Row],[Line PR]]</f>
        <v>0.96183206106870234</v>
      </c>
      <c r="EH364" s="286" t="str">
        <f>IF(Table1[[#This Row],[PO Material Aktual 
(%)]]&gt;=100%,"Selesai PO = 100%",IF(Table1[[#This Row],[PO Material Aktual 
(%)]]&gt;=50%,"Proses PO &gt; 100%",IF(Table1[[#This Row],[PO Material Aktual 
(%)]]&gt;0%,"Proses PO &gt; 50%",IF(Table1[[#This Row],[PO Material Aktual 
(%)]]=0,"Belum PO = 0%"))))</f>
        <v>Proses PO &gt; 100%</v>
      </c>
      <c r="EI36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4" s="301">
        <v>45999</v>
      </c>
      <c r="EK364" s="301">
        <v>46178</v>
      </c>
      <c r="EL364" s="301">
        <v>46110</v>
      </c>
      <c r="EM364" s="301">
        <v>46203</v>
      </c>
      <c r="EN364" s="301"/>
      <c r="EO364" s="302">
        <v>27</v>
      </c>
      <c r="EP364" s="302">
        <v>27</v>
      </c>
      <c r="EQ364" s="307">
        <v>0.20610687022900764</v>
      </c>
      <c r="ER364" s="307">
        <f>Table1[[#This Row],[Line MOS (kolom bantu)]]/Table1[[#This Row],[Line PR]]</f>
        <v>0.20610687022900764</v>
      </c>
      <c r="ES364" s="286" t="str">
        <f>IF(Table1[[#This Row],[Progres MOS]]&gt;=100%,"Selesai MOS = 100%",IF(Table1[[#This Row],[Progres MOS]]&gt;=50%,"Proses MOS &gt; 100%",IF(Table1[[#This Row],[Progres MOS]]&gt;0%,"Proses MOS &gt; 50%",IF(Table1[[#This Row],[Progres MOS]]=0,"Belum MOS = 0%"))))</f>
        <v>Proses MOS &gt; 50%</v>
      </c>
      <c r="ET3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4" s="42"/>
      <c r="EV364" s="301">
        <v>45957</v>
      </c>
      <c r="EW364" s="301">
        <v>46148</v>
      </c>
      <c r="EX364" s="301">
        <v>46047</v>
      </c>
      <c r="EY364" s="301">
        <v>46178</v>
      </c>
      <c r="EZ364" s="322" t="s">
        <v>2769</v>
      </c>
      <c r="FA364" s="379" t="s">
        <v>2769</v>
      </c>
      <c r="FB364" s="300"/>
      <c r="FC364" s="300">
        <v>46000</v>
      </c>
      <c r="FD364" s="300" t="s">
        <v>260</v>
      </c>
      <c r="FE364" s="300">
        <v>46056</v>
      </c>
      <c r="FF364" s="300">
        <v>46078</v>
      </c>
      <c r="FG364" s="300"/>
      <c r="FH364" s="300"/>
      <c r="FI364" s="300"/>
      <c r="FJ364" s="300"/>
      <c r="FK364" s="300"/>
      <c r="FL364" s="306" t="s">
        <v>2827</v>
      </c>
      <c r="FM364" s="322"/>
      <c r="FN364" s="308" t="str">
        <f>IF(Table1[[#This Row],[Tanggal Pengajuan Dokumen]]="","",Table1[[#This Row],[PLAN PERMIT
start]]-Table1[[#This Row],[Tanggal Pengajuan Dokumen]])</f>
        <v/>
      </c>
      <c r="FO364" s="322"/>
      <c r="FP364" s="286"/>
      <c r="FQ364" s="308"/>
      <c r="FR364" s="301"/>
      <c r="FS364" s="308"/>
      <c r="FT3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4" s="314">
        <f ca="1">IF(Table1[[#This Row],[Status Izin]]="Selesai",Table1[[#This Row],[PLAN PERMIT
finish]]-Table1[[#This Row],[Tanggal Terbit/ Target Izin Terbit]],ROUNDUP(Table1[[#This Row],[PLAN PERMIT
finish]]-NOW(),0))</f>
        <v>-157</v>
      </c>
      <c r="FV3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4" s="314"/>
      <c r="FX364" s="42"/>
      <c r="FY364" s="483">
        <v>46006</v>
      </c>
      <c r="FZ364" s="483">
        <v>45967</v>
      </c>
      <c r="GA36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4" s="301">
        <v>46020</v>
      </c>
      <c r="GC364" s="322">
        <v>46118</v>
      </c>
      <c r="GD3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4" s="301">
        <v>46027</v>
      </c>
      <c r="GF364" s="322">
        <v>46118</v>
      </c>
      <c r="GG3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4" s="301">
        <v>46034</v>
      </c>
      <c r="GI364" s="301">
        <v>46040</v>
      </c>
      <c r="GJ364" s="322">
        <v>46132</v>
      </c>
      <c r="GK3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4" s="301">
        <v>46048</v>
      </c>
      <c r="GM364" s="301">
        <v>46206</v>
      </c>
      <c r="GN364" s="301">
        <v>46166</v>
      </c>
      <c r="GO364" s="300">
        <v>46275</v>
      </c>
      <c r="GP364" s="286"/>
      <c r="GQ3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4" s="301"/>
      <c r="GS364" s="301"/>
      <c r="GT364" s="324"/>
      <c r="GU364" s="314" t="str">
        <f>IF(Table1[[#This Row],[Hydro Tes Actual
(tanggal)]]&lt;&gt;"","Sudah","Belum")</f>
        <v>Belum</v>
      </c>
      <c r="GV364" s="300"/>
      <c r="GW364" s="300"/>
      <c r="GX364" s="301"/>
      <c r="GY364" s="314" t="str">
        <f>IF(Table1[[#This Row],[Interkoneksi Actual
(tanggal)]]&lt;&gt;"","Sudah","Belum")</f>
        <v>Belum</v>
      </c>
      <c r="GZ364" s="300"/>
      <c r="HA364" s="300"/>
      <c r="HB364" s="301"/>
      <c r="HC364" s="314" t="str">
        <f>IF(Table1[[#This Row],[Flushing Actual
(tanggal)]]&lt;&gt;"","Sudah","Belum")</f>
        <v>Belum</v>
      </c>
      <c r="HD364" s="301">
        <v>46169</v>
      </c>
      <c r="HE364" s="301">
        <v>46276</v>
      </c>
      <c r="HF364" s="301">
        <v>46174</v>
      </c>
      <c r="HG364" s="322"/>
      <c r="HH3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4" s="300"/>
      <c r="HJ364" s="300"/>
      <c r="HK364" s="301"/>
      <c r="HL364" s="301"/>
      <c r="HM364" s="301">
        <v>46191</v>
      </c>
      <c r="HN364" s="301">
        <v>46191</v>
      </c>
      <c r="HO364" s="300">
        <v>46293</v>
      </c>
      <c r="HP364" s="300"/>
      <c r="HQ364" s="301"/>
      <c r="HR3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4" s="301">
        <v>46199</v>
      </c>
      <c r="HT364" s="301"/>
      <c r="HU364" s="301">
        <v>46199</v>
      </c>
      <c r="HV364" s="390">
        <v>46298</v>
      </c>
      <c r="HW364" s="365"/>
      <c r="HX36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4" s="42"/>
      <c r="HZ364" s="322"/>
      <c r="IA364" s="306"/>
      <c r="IB364" s="67"/>
      <c r="IC364" s="585">
        <f>IFERROR(ROUND((Table1[[#This Row],[PLAN TC
finish]]-Table1[[#This Row],[PLAN MC-0
start]])/30,2),"")</f>
        <v>4.67</v>
      </c>
      <c r="ID364">
        <f>DATEDIF(Table1[[#This Row],[PLAN MC-0
start]],Table1[[#This Row],[PLAN TC
finish]],"m")</f>
        <v>4</v>
      </c>
      <c r="IE364" s="6"/>
      <c r="IF364" s="6"/>
      <c r="IG364" s="67"/>
      <c r="II364" s="6"/>
      <c r="IJ364" s="4"/>
      <c r="IK364" s="4"/>
      <c r="IL364" s="6"/>
      <c r="IM364" s="6"/>
      <c r="IN364" s="6"/>
      <c r="IO364" s="6"/>
      <c r="IP364" s="6"/>
      <c r="IR364" s="6"/>
      <c r="IS364" s="6"/>
      <c r="IT364" s="6"/>
      <c r="IU364" s="6"/>
      <c r="IX364" s="6"/>
      <c r="IY364" s="6"/>
      <c r="JA364" s="6"/>
      <c r="JB364" s="6"/>
    </row>
    <row r="365" spans="2:262" ht="15" customHeight="1" x14ac:dyDescent="0.25">
      <c r="B365" s="281">
        <f>SUBTOTAL(3,$D$5:D365)</f>
        <v>361</v>
      </c>
      <c r="C365" s="286">
        <v>361</v>
      </c>
      <c r="D365" s="285" t="s">
        <v>244</v>
      </c>
      <c r="E365" s="285" t="s">
        <v>2916</v>
      </c>
      <c r="F365" s="308" t="s">
        <v>2917</v>
      </c>
      <c r="G365" s="319">
        <v>46300</v>
      </c>
      <c r="H365" s="308" t="s">
        <v>247</v>
      </c>
      <c r="I365" s="308" t="s">
        <v>278</v>
      </c>
      <c r="J365" s="450"/>
      <c r="K365" s="308"/>
      <c r="L365" s="286"/>
      <c r="M365" s="325" t="s">
        <v>269</v>
      </c>
      <c r="N365" s="477">
        <v>3332</v>
      </c>
      <c r="O365" s="31" t="s">
        <v>252</v>
      </c>
      <c r="P3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5" s="35">
        <v>0.9961885005793909</v>
      </c>
      <c r="S365" s="297">
        <f>_xlfn.XLOOKUP(Table1[[#This Row],[Nama Program]],'[2]Summary Plan'!$E:$E,'[2]Summary Plan'!$M:$M)</f>
        <v>1</v>
      </c>
      <c r="T365" s="128">
        <f>Table1[[#This Row],[Progres Total Aktual
(%)]]</f>
        <v>2.3366936812519241E-2</v>
      </c>
      <c r="U365" s="103">
        <f>Table1[[#This Row],[Progres Aktual
(%)]]-Table1[[#This Row],[Target Progres
(%)]]</f>
        <v>-0.97663306318748078</v>
      </c>
      <c r="V365" s="75">
        <f>Table1[[#This Row],["Volume
BA MC-0"]]</f>
        <v>3607</v>
      </c>
      <c r="W365" s="75">
        <f>Table1[[#This Row],[Total Panjang Pipa Aktual
(Sum-&gt;)3]]</f>
        <v>0</v>
      </c>
      <c r="X365" s="99"/>
      <c r="Y365" s="478" t="s">
        <v>2918</v>
      </c>
      <c r="Z365" s="62">
        <v>4170299451</v>
      </c>
      <c r="AA365" s="479">
        <f>ROUND((Table1[[#This Row],[Nilai RAB Jaringan
(Exclude Ppn)]]-Table1[[#This Row],[RAB Perizinan]])*1.11+Table1[[#This Row],[RAB Perizinan]],0)</f>
        <v>4170299451</v>
      </c>
      <c r="AB365" s="406">
        <f>SUM(Table1[[#This Row],[RAB Kegiatan Umum]:[RAB Perizinan]])</f>
        <v>3760328514</v>
      </c>
      <c r="AC365" s="406">
        <v>286398089</v>
      </c>
      <c r="AD365" s="406">
        <v>2863980883</v>
      </c>
      <c r="AE365" s="406">
        <v>576629542</v>
      </c>
      <c r="AF365" s="406">
        <v>33320000</v>
      </c>
      <c r="AG365" s="406"/>
      <c r="AH365" s="480">
        <f>SUM(Table1[[#This Row],[Bobot Keg Umum]:[Bobot Perizinan]])</f>
        <v>0.99999999999999989</v>
      </c>
      <c r="AI365" s="480">
        <f>Table1[[#This Row],[RAB Kegiatan Umum]]/Table1[[#This Row],[Nilai RAB Jaringan
(Exclude Ppn)]]</f>
        <v>7.6163050098872295E-2</v>
      </c>
      <c r="AJ365" s="480">
        <f>Table1[[#This Row],[RAB Pemasangan]]/Table1[[#This Row],[Nilai RAB Jaringan
(Exclude Ppn)]]</f>
        <v>0.76163049912718339</v>
      </c>
      <c r="AK365" s="111">
        <f>Table1[[#This Row],[RAB Pengadaan]]/Table1[[#This Row],[Nilai RAB Jaringan
(Exclude Ppn)]]</f>
        <v>0.15334552283215752</v>
      </c>
      <c r="AL365" s="112">
        <f>Table1[[#This Row],[RAB Perizinan]]/Table1[[#This Row],[Nilai RAB Jaringan
(Exclude Ppn)]]</f>
        <v>8.8609279417867365E-3</v>
      </c>
      <c r="AM365" s="42"/>
      <c r="AN365" s="256">
        <v>3607</v>
      </c>
      <c r="AO365" s="256">
        <f>SUM(Table1[[#This Row],[Pipa 63 mm]:[Pipa 1,800 mm]])</f>
        <v>3282</v>
      </c>
      <c r="AP365" s="256">
        <v>3227</v>
      </c>
      <c r="AQ365" s="256"/>
      <c r="AR365" s="256">
        <v>13</v>
      </c>
      <c r="AS365" s="256">
        <v>40</v>
      </c>
      <c r="AT365" s="256">
        <v>2</v>
      </c>
      <c r="AU365" s="256"/>
      <c r="AV365" s="256"/>
      <c r="AW365" s="256"/>
      <c r="AX365" s="256"/>
      <c r="AY365" s="256"/>
      <c r="AZ365" s="256"/>
      <c r="BA365" s="256"/>
      <c r="BB365" s="256"/>
      <c r="BC365" s="256"/>
      <c r="BD365" s="256"/>
      <c r="BE365" s="256"/>
      <c r="BF365" s="256"/>
      <c r="BG365" s="256"/>
      <c r="BH365" s="256"/>
      <c r="BI365" s="256"/>
      <c r="BJ365" s="36">
        <f>SUM(Table1[[#This Row],[Pipa 63 mm2]:[Pipa 1,800 mm21]])</f>
        <v>0</v>
      </c>
      <c r="BK365" s="32"/>
      <c r="BL365" s="32"/>
      <c r="BM365" s="32"/>
      <c r="BN365" s="32"/>
      <c r="BO365" s="32"/>
      <c r="BP365" s="32"/>
      <c r="BQ365" s="32"/>
      <c r="BR365" s="32"/>
      <c r="BS365" s="32"/>
      <c r="BT365" s="32"/>
      <c r="BU365" s="32"/>
      <c r="BV365" s="32"/>
      <c r="BW365" s="32"/>
      <c r="BX365" s="32"/>
      <c r="BY365" s="32"/>
      <c r="BZ365" s="32"/>
      <c r="CA365" s="32"/>
      <c r="CB365" s="32"/>
      <c r="CC365" s="32"/>
      <c r="CD365" s="32"/>
      <c r="CE365" s="32"/>
      <c r="CF365" s="32"/>
      <c r="CG365" s="32"/>
      <c r="CH365" s="32"/>
      <c r="CI365" s="32"/>
      <c r="CJ365" s="32">
        <f>IF((Table1[[#This Row],["Volume
BA MC-0"]]-Table1[[#This Row],[Total Panjang Pipa Aktual
(Sum-&gt;)3]]-Table1[[#This Row],[Total Volume
tidak dapat dipasang]])&gt;=0,Table1[[#This Row],["Volume
BA MC-0"]]-Table1[[#This Row],[Total Panjang Pipa Aktual
(Sum-&gt;)3]]-Table1[[#This Row],[Total Volume
tidak dapat dipasang]],0)</f>
        <v>3607</v>
      </c>
      <c r="CK365" s="42"/>
      <c r="CL365" s="113"/>
      <c r="CM365" s="307"/>
      <c r="CN365" s="113"/>
      <c r="CO365" s="113"/>
      <c r="CP36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2.3366936812519241E-2</v>
      </c>
      <c r="CQ365" s="406">
        <f>IFERROR(Table1[[#This Row],[Progres Keg. Umum
(%)]]*Table1[[#This Row],[Nilai RAB Jaringan
(file pa aji)]],0)</f>
        <v>0</v>
      </c>
      <c r="CR365" s="406">
        <f>IFERROR(Table1[[#This Row],[Progres MOS
(%)]]*Table1[[#This Row],[Nilai RAB Jaringan
(file pa aji)]],0)</f>
        <v>0</v>
      </c>
      <c r="CS365" s="406">
        <f>IFERROR(Table1[[#This Row],[Progres Pemasangan
(%)]]*Table1[[#This Row],[Nilai RAB Jaringan
(file pa aji)]],0)</f>
        <v>0</v>
      </c>
      <c r="CT365" s="406">
        <f>IFERROR(Table1[[#This Row],[Progres Perizinan
(%)]]*Table1[[#This Row],[Nilai RAB Jaringan
(file pa aji)]],0)</f>
        <v>0</v>
      </c>
      <c r="CU365" s="789">
        <v>0</v>
      </c>
      <c r="CV365" s="299">
        <v>0</v>
      </c>
      <c r="CW365" s="481">
        <v>0</v>
      </c>
      <c r="CX365" s="789">
        <f>_xlfn.XLOOKUP(Table1[[#This Row],[Kode Program]],'[1]Breakdown VOWD Greenfield'!$E:$E,'[1]Breakdown VOWD Greenfield'!$AT:$AT)</f>
        <v>0</v>
      </c>
      <c r="CY365" s="42"/>
      <c r="CZ365" s="301">
        <v>45957</v>
      </c>
      <c r="DA365" s="301">
        <v>45984</v>
      </c>
      <c r="DB365" s="301">
        <v>45964</v>
      </c>
      <c r="DC365" s="286" t="s">
        <v>2919</v>
      </c>
      <c r="DD365" s="478">
        <v>4170299451</v>
      </c>
      <c r="DE3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5" s="301">
        <v>45986</v>
      </c>
      <c r="DG365" s="286" t="s">
        <v>2920</v>
      </c>
      <c r="DH365" s="478">
        <v>4170299451</v>
      </c>
      <c r="DI3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5" s="301">
        <v>45985</v>
      </c>
      <c r="DK365" s="301">
        <v>46047</v>
      </c>
      <c r="DL365" s="301">
        <v>46050</v>
      </c>
      <c r="DM365" s="286" t="s">
        <v>2921</v>
      </c>
      <c r="DN36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5" s="301">
        <v>46087</v>
      </c>
      <c r="DP365" s="286"/>
      <c r="DQ365" s="308" t="s">
        <v>560</v>
      </c>
      <c r="DR36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5" s="301">
        <v>45985</v>
      </c>
      <c r="DT365" s="301">
        <v>46158</v>
      </c>
      <c r="DU365" s="301">
        <v>46026</v>
      </c>
      <c r="DV365" s="301">
        <v>46172</v>
      </c>
      <c r="DW365" s="301">
        <v>46050</v>
      </c>
      <c r="DX365" s="286" t="s">
        <v>2922</v>
      </c>
      <c r="DY365" s="304">
        <v>63</v>
      </c>
      <c r="DZ365" s="304">
        <v>63</v>
      </c>
      <c r="EA36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5" s="301"/>
      <c r="EC365" s="302">
        <v>59</v>
      </c>
      <c r="ED365" s="302">
        <v>59</v>
      </c>
      <c r="EE365" s="100"/>
      <c r="EF365" s="307">
        <v>0.93650793650793651</v>
      </c>
      <c r="EG365" s="307">
        <f>Table1[[#This Row],[Line PO]]/Table1[[#This Row],[Line PR]]</f>
        <v>0.93650793650793651</v>
      </c>
      <c r="EH365" s="286" t="str">
        <f>IF(Table1[[#This Row],[PO Material Aktual 
(%)]]&gt;=100%,"Selesai PO = 100%",IF(Table1[[#This Row],[PO Material Aktual 
(%)]]&gt;=50%,"Proses PO &gt; 100%",IF(Table1[[#This Row],[PO Material Aktual 
(%)]]&gt;0%,"Proses PO &gt; 50%",IF(Table1[[#This Row],[PO Material Aktual 
(%)]]=0,"Belum PO = 0%"))))</f>
        <v>Proses PO &gt; 100%</v>
      </c>
      <c r="EI36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5" s="301">
        <v>46027</v>
      </c>
      <c r="EK365" s="301">
        <v>46172</v>
      </c>
      <c r="EL365" s="301">
        <v>46138</v>
      </c>
      <c r="EM365" s="301">
        <v>46187</v>
      </c>
      <c r="EN365" s="301"/>
      <c r="EO365" s="302">
        <v>16</v>
      </c>
      <c r="EP365" s="302">
        <v>16</v>
      </c>
      <c r="EQ365" s="307">
        <v>0.25396825396825395</v>
      </c>
      <c r="ER365" s="307">
        <f>Table1[[#This Row],[Line MOS (kolom bantu)]]/Table1[[#This Row],[Line PR]]</f>
        <v>0.25396825396825395</v>
      </c>
      <c r="ES365" s="286" t="str">
        <f>IF(Table1[[#This Row],[Progres MOS]]&gt;=100%,"Selesai MOS = 100%",IF(Table1[[#This Row],[Progres MOS]]&gt;=50%,"Proses MOS &gt; 100%",IF(Table1[[#This Row],[Progres MOS]]&gt;0%,"Proses MOS &gt; 50%",IF(Table1[[#This Row],[Progres MOS]]=0,"Belum MOS = 0%"))))</f>
        <v>Proses MOS &gt; 50%</v>
      </c>
      <c r="ET3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5" s="42"/>
      <c r="EV365" s="301">
        <v>45985</v>
      </c>
      <c r="EW365" s="301">
        <v>46153</v>
      </c>
      <c r="EX365" s="301">
        <v>46075</v>
      </c>
      <c r="EY365" s="301">
        <v>46183</v>
      </c>
      <c r="EZ365" s="322" t="s">
        <v>2769</v>
      </c>
      <c r="FA365" s="379" t="s">
        <v>2769</v>
      </c>
      <c r="FB365" s="300"/>
      <c r="FC365" s="300">
        <v>46001</v>
      </c>
      <c r="FD365" s="300" t="s">
        <v>260</v>
      </c>
      <c r="FE365" s="300">
        <v>46045</v>
      </c>
      <c r="FF365" s="300">
        <v>46078</v>
      </c>
      <c r="FG365" s="300"/>
      <c r="FH365" s="300"/>
      <c r="FI365" s="300"/>
      <c r="FJ365" s="300"/>
      <c r="FK365" s="300"/>
      <c r="FL365" s="306" t="s">
        <v>2827</v>
      </c>
      <c r="FM365" s="322"/>
      <c r="FN365" s="308" t="str">
        <f>IF(Table1[[#This Row],[Tanggal Pengajuan Dokumen]]="","",Table1[[#This Row],[PLAN PERMIT
start]]-Table1[[#This Row],[Tanggal Pengajuan Dokumen]])</f>
        <v/>
      </c>
      <c r="FO365" s="322"/>
      <c r="FP365" s="286"/>
      <c r="FQ365" s="308"/>
      <c r="FR365" s="301"/>
      <c r="FS365" s="308"/>
      <c r="FT3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5" s="314">
        <f ca="1">IF(Table1[[#This Row],[Status Izin]]="Selesai",Table1[[#This Row],[PLAN PERMIT
finish]]-Table1[[#This Row],[Tanggal Terbit/ Target Izin Terbit]],ROUNDUP(Table1[[#This Row],[PLAN PERMIT
finish]]-NOW(),0))</f>
        <v>-129</v>
      </c>
      <c r="FV3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5" s="314"/>
      <c r="FX365" s="42"/>
      <c r="FY365" s="483">
        <v>46034</v>
      </c>
      <c r="FZ365" s="483">
        <v>46049</v>
      </c>
      <c r="GA36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5" s="301">
        <v>46048</v>
      </c>
      <c r="GC365" s="322">
        <v>46118</v>
      </c>
      <c r="GD3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5" s="301">
        <v>46055</v>
      </c>
      <c r="GF365" s="322">
        <v>46118</v>
      </c>
      <c r="GG3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5" s="301">
        <v>46062</v>
      </c>
      <c r="GI365" s="301">
        <v>46068</v>
      </c>
      <c r="GJ365" s="322">
        <v>46125</v>
      </c>
      <c r="GK3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5" s="301">
        <v>46076</v>
      </c>
      <c r="GM365" s="301">
        <v>46190</v>
      </c>
      <c r="GN365" s="301">
        <v>46166</v>
      </c>
      <c r="GO365" s="300">
        <v>46262</v>
      </c>
      <c r="GP365" s="286"/>
      <c r="GQ3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5" s="301"/>
      <c r="GS365" s="301"/>
      <c r="GT365" s="324"/>
      <c r="GU365" s="314" t="str">
        <f>IF(Table1[[#This Row],[Hydro Tes Actual
(tanggal)]]&lt;&gt;"","Sudah","Belum")</f>
        <v>Belum</v>
      </c>
      <c r="GV365" s="300"/>
      <c r="GW365" s="300"/>
      <c r="GX365" s="301"/>
      <c r="GY365" s="314" t="str">
        <f>IF(Table1[[#This Row],[Interkoneksi Actual
(tanggal)]]&lt;&gt;"","Sudah","Belum")</f>
        <v>Belum</v>
      </c>
      <c r="GZ365" s="300"/>
      <c r="HA365" s="300"/>
      <c r="HB365" s="301"/>
      <c r="HC365" s="314" t="str">
        <f>IF(Table1[[#This Row],[Flushing Actual
(tanggal)]]&lt;&gt;"","Sudah","Belum")</f>
        <v>Belum</v>
      </c>
      <c r="HD365" s="301">
        <v>46169</v>
      </c>
      <c r="HE365" s="301">
        <v>46263</v>
      </c>
      <c r="HF365" s="301">
        <v>46174</v>
      </c>
      <c r="HG365" s="322"/>
      <c r="HH3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5" s="300"/>
      <c r="HJ365" s="300"/>
      <c r="HK365" s="301"/>
      <c r="HL365" s="301"/>
      <c r="HM365" s="301">
        <v>46191</v>
      </c>
      <c r="HN365" s="301">
        <v>46191</v>
      </c>
      <c r="HO365" s="300">
        <v>46280</v>
      </c>
      <c r="HP365" s="300"/>
      <c r="HQ365" s="301"/>
      <c r="HR3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5" s="301">
        <v>46199</v>
      </c>
      <c r="HT365" s="301"/>
      <c r="HU365" s="301">
        <v>46199</v>
      </c>
      <c r="HV365" s="390">
        <v>46285</v>
      </c>
      <c r="HW365" s="365"/>
      <c r="HX36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5" s="42"/>
      <c r="HZ365" s="322"/>
      <c r="IA365" s="306"/>
      <c r="IB365" s="67"/>
      <c r="IC365" s="585">
        <f>IFERROR(ROUND((Table1[[#This Row],[PLAN TC
finish]]-Table1[[#This Row],[PLAN MC-0
start]])/30,2),"")</f>
        <v>3.73</v>
      </c>
      <c r="ID365">
        <f>DATEDIF(Table1[[#This Row],[PLAN MC-0
start]],Table1[[#This Row],[PLAN TC
finish]],"m")</f>
        <v>3</v>
      </c>
      <c r="IE365" s="6"/>
      <c r="IF365" s="6"/>
      <c r="IG365" s="67"/>
      <c r="II365" s="6"/>
      <c r="IJ365" s="4"/>
      <c r="IK365" s="4"/>
      <c r="IL365" s="6"/>
      <c r="IM365" s="6"/>
      <c r="IN365" s="6"/>
      <c r="IO365" s="6"/>
      <c r="IP365" s="6"/>
      <c r="IR365" s="6"/>
      <c r="IS365" s="6"/>
      <c r="IT365" s="6"/>
      <c r="IU365" s="6"/>
      <c r="IX365" s="6"/>
      <c r="IY365" s="6"/>
      <c r="JA365" s="6"/>
      <c r="JB365" s="6"/>
    </row>
    <row r="366" spans="2:262" ht="15" customHeight="1" x14ac:dyDescent="0.25">
      <c r="B366" s="281">
        <f>SUBTOTAL(3,$D$5:D366)</f>
        <v>362</v>
      </c>
      <c r="C366" s="286">
        <v>362</v>
      </c>
      <c r="D366" s="285" t="s">
        <v>244</v>
      </c>
      <c r="E366" s="285" t="s">
        <v>2923</v>
      </c>
      <c r="F366" s="308" t="s">
        <v>2924</v>
      </c>
      <c r="G366" s="319">
        <v>46300</v>
      </c>
      <c r="H366" s="308" t="s">
        <v>247</v>
      </c>
      <c r="I366" s="308" t="s">
        <v>278</v>
      </c>
      <c r="J366" s="450"/>
      <c r="K366" s="308"/>
      <c r="L366" s="286"/>
      <c r="M366" s="325" t="s">
        <v>269</v>
      </c>
      <c r="N366" s="477">
        <v>1592</v>
      </c>
      <c r="O366" s="31" t="s">
        <v>252</v>
      </c>
      <c r="P3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6" s="35">
        <v>0.99649844140470312</v>
      </c>
      <c r="S366" s="297">
        <f>_xlfn.XLOOKUP(Table1[[#This Row],[Nama Program]],'[2]Summary Plan'!$E:$E,'[2]Summary Plan'!$M:$M)</f>
        <v>0.99999999999999989</v>
      </c>
      <c r="T366" s="128">
        <f>Table1[[#This Row],[Progres Total Aktual
(%)]]</f>
        <v>3.4327612783892542E-2</v>
      </c>
      <c r="U366" s="103">
        <f>Table1[[#This Row],[Progres Aktual
(%)]]-Table1[[#This Row],[Target Progres
(%)]]</f>
        <v>-0.96567238721610738</v>
      </c>
      <c r="V366" s="75">
        <f>Table1[[#This Row],["Volume
BA MC-0"]]</f>
        <v>1751</v>
      </c>
      <c r="W366" s="75">
        <f>Table1[[#This Row],[Total Panjang Pipa Aktual
(Sum-&gt;)3]]</f>
        <v>0</v>
      </c>
      <c r="X366" s="99"/>
      <c r="Y366" s="478" t="s">
        <v>2925</v>
      </c>
      <c r="Z366" s="62">
        <v>3277940339</v>
      </c>
      <c r="AA366" s="479">
        <f>ROUND((Table1[[#This Row],[Nilai RAB Jaringan
(Exclude Ppn)]]-Table1[[#This Row],[RAB Perizinan]])*1.11+Table1[[#This Row],[RAB Perizinan]],0)</f>
        <v>3277940338</v>
      </c>
      <c r="AB366" s="406">
        <f>SUM(Table1[[#This Row],[RAB Kegiatan Umum]:[RAB Perizinan]])</f>
        <v>2955370755.1108599</v>
      </c>
      <c r="AC366" s="406">
        <v>206809012</v>
      </c>
      <c r="AD366" s="406">
        <v>2068090113.1108601</v>
      </c>
      <c r="AE366" s="406">
        <v>657551630</v>
      </c>
      <c r="AF366" s="406">
        <v>22920000</v>
      </c>
      <c r="AG366" s="406"/>
      <c r="AH366" s="480">
        <f>SUM(Table1[[#This Row],[Bobot Keg Umum]:[Bobot Perizinan]])</f>
        <v>1</v>
      </c>
      <c r="AI366" s="480">
        <f>Table1[[#This Row],[RAB Kegiatan Umum]]/Table1[[#This Row],[Nilai RAB Jaringan
(Exclude Ppn)]]</f>
        <v>6.9977349421339291E-2</v>
      </c>
      <c r="AJ366" s="480">
        <f>Table1[[#This Row],[RAB Pemasangan]]/Table1[[#This Row],[Nilai RAB Jaringan
(Exclude Ppn)]]</f>
        <v>0.69977349188233517</v>
      </c>
      <c r="AK366" s="111">
        <f>Table1[[#This Row],[RAB Pengadaan]]/Table1[[#This Row],[Nilai RAB Jaringan
(Exclude Ppn)]]</f>
        <v>0.22249378656226648</v>
      </c>
      <c r="AL366" s="112">
        <f>Table1[[#This Row],[RAB Perizinan]]/Table1[[#This Row],[Nilai RAB Jaringan
(Exclude Ppn)]]</f>
        <v>7.7553721340591127E-3</v>
      </c>
      <c r="AM366" s="42"/>
      <c r="AN366" s="256">
        <v>1751</v>
      </c>
      <c r="AO366" s="256">
        <f>SUM(Table1[[#This Row],[Pipa 63 mm]:[Pipa 1,800 mm]])</f>
        <v>1751</v>
      </c>
      <c r="AP366" s="256">
        <v>911</v>
      </c>
      <c r="AQ366" s="256">
        <v>40</v>
      </c>
      <c r="AR366" s="256"/>
      <c r="AS366" s="256">
        <v>800</v>
      </c>
      <c r="AT366" s="256"/>
      <c r="AU366" s="256"/>
      <c r="AV366" s="256"/>
      <c r="AW366" s="256"/>
      <c r="AX366" s="256"/>
      <c r="AY366" s="256"/>
      <c r="AZ366" s="256"/>
      <c r="BA366" s="256"/>
      <c r="BB366" s="256"/>
      <c r="BC366" s="256"/>
      <c r="BD366" s="256"/>
      <c r="BE366" s="256"/>
      <c r="BF366" s="256"/>
      <c r="BG366" s="256"/>
      <c r="BH366" s="256"/>
      <c r="BI366" s="256"/>
      <c r="BJ366" s="36">
        <f>SUM(Table1[[#This Row],[Pipa 63 mm2]:[Pipa 1,800 mm21]])</f>
        <v>0</v>
      </c>
      <c r="BK366" s="32"/>
      <c r="BL366" s="32"/>
      <c r="BM366" s="32"/>
      <c r="BN366" s="32"/>
      <c r="BO366" s="32"/>
      <c r="BP366" s="32"/>
      <c r="BQ366" s="32"/>
      <c r="BR366" s="32"/>
      <c r="BS366" s="32"/>
      <c r="BT366" s="32"/>
      <c r="BU366" s="32"/>
      <c r="BV366" s="32"/>
      <c r="BW366" s="32"/>
      <c r="BX366" s="32"/>
      <c r="BY366" s="32"/>
      <c r="BZ366" s="32"/>
      <c r="CA366" s="32"/>
      <c r="CB366" s="32"/>
      <c r="CC366" s="32"/>
      <c r="CD366" s="32"/>
      <c r="CE366" s="32"/>
      <c r="CF366" s="32"/>
      <c r="CG366" s="32"/>
      <c r="CH366" s="32"/>
      <c r="CI366" s="32"/>
      <c r="CJ366" s="32">
        <f>IF((Table1[[#This Row],["Volume
BA MC-0"]]-Table1[[#This Row],[Total Panjang Pipa Aktual
(Sum-&gt;)3]]-Table1[[#This Row],[Total Volume
tidak dapat dipasang]])&gt;=0,Table1[[#This Row],["Volume
BA MC-0"]]-Table1[[#This Row],[Total Panjang Pipa Aktual
(Sum-&gt;)3]]-Table1[[#This Row],[Total Volume
tidak dapat dipasang]],0)</f>
        <v>1751</v>
      </c>
      <c r="CK366" s="42"/>
      <c r="CL366" s="113"/>
      <c r="CM366" s="307"/>
      <c r="CN366" s="113"/>
      <c r="CO366" s="113"/>
      <c r="CP36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3.4327612783892542E-2</v>
      </c>
      <c r="CQ366" s="406">
        <f>IFERROR(Table1[[#This Row],[Progres Keg. Umum
(%)]]*Table1[[#This Row],[Nilai RAB Jaringan
(file pa aji)]],0)</f>
        <v>0</v>
      </c>
      <c r="CR366" s="406">
        <f>IFERROR(Table1[[#This Row],[Progres MOS
(%)]]*Table1[[#This Row],[Nilai RAB Jaringan
(file pa aji)]],0)</f>
        <v>0</v>
      </c>
      <c r="CS366" s="406">
        <f>IFERROR(Table1[[#This Row],[Progres Pemasangan
(%)]]*Table1[[#This Row],[Nilai RAB Jaringan
(file pa aji)]],0)</f>
        <v>0</v>
      </c>
      <c r="CT366" s="406">
        <f>IFERROR(Table1[[#This Row],[Progres Perizinan
(%)]]*Table1[[#This Row],[Nilai RAB Jaringan
(file pa aji)]],0)</f>
        <v>0</v>
      </c>
      <c r="CU366" s="789">
        <v>0</v>
      </c>
      <c r="CV366" s="299">
        <v>0</v>
      </c>
      <c r="CW366" s="481">
        <v>0</v>
      </c>
      <c r="CX366" s="789">
        <f>_xlfn.XLOOKUP(Table1[[#This Row],[Kode Program]],'[1]Breakdown VOWD Greenfield'!$E:$E,'[1]Breakdown VOWD Greenfield'!$AT:$AT)</f>
        <v>0</v>
      </c>
      <c r="CY366" s="42"/>
      <c r="CZ366" s="301">
        <v>45957</v>
      </c>
      <c r="DA366" s="301">
        <v>45984</v>
      </c>
      <c r="DB366" s="301">
        <v>45964</v>
      </c>
      <c r="DC366" s="286" t="s">
        <v>2926</v>
      </c>
      <c r="DD366" s="478">
        <v>3277940339</v>
      </c>
      <c r="DE3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6" s="301">
        <v>45669</v>
      </c>
      <c r="DG366" s="286" t="s">
        <v>2927</v>
      </c>
      <c r="DH366" s="478">
        <v>3277940339</v>
      </c>
      <c r="DI3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66" s="301">
        <v>45985</v>
      </c>
      <c r="DK366" s="301">
        <v>46047</v>
      </c>
      <c r="DL366" s="301">
        <v>46050</v>
      </c>
      <c r="DM366" s="286" t="s">
        <v>2928</v>
      </c>
      <c r="DN36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6" s="301">
        <v>46087</v>
      </c>
      <c r="DP366" s="286"/>
      <c r="DQ366" s="308" t="s">
        <v>560</v>
      </c>
      <c r="DR36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6" s="301">
        <v>45985</v>
      </c>
      <c r="DT366" s="301">
        <v>46158</v>
      </c>
      <c r="DU366" s="301">
        <v>46026</v>
      </c>
      <c r="DV366" s="301">
        <v>46172</v>
      </c>
      <c r="DW366" s="301">
        <v>46051</v>
      </c>
      <c r="DX366" s="286" t="s">
        <v>2929</v>
      </c>
      <c r="DY366" s="304">
        <v>35</v>
      </c>
      <c r="DZ366" s="304">
        <v>35</v>
      </c>
      <c r="EA36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6" s="301"/>
      <c r="EC366" s="302">
        <v>31</v>
      </c>
      <c r="ED366" s="302">
        <v>31</v>
      </c>
      <c r="EE366" s="100"/>
      <c r="EF366" s="307">
        <v>0.88571428571428568</v>
      </c>
      <c r="EG366" s="307">
        <f>Table1[[#This Row],[Line PO]]/Table1[[#This Row],[Line PR]]</f>
        <v>0.88571428571428568</v>
      </c>
      <c r="EH366" s="286" t="str">
        <f>IF(Table1[[#This Row],[PO Material Aktual 
(%)]]&gt;=100%,"Selesai PO = 100%",IF(Table1[[#This Row],[PO Material Aktual 
(%)]]&gt;=50%,"Proses PO &gt; 100%",IF(Table1[[#This Row],[PO Material Aktual 
(%)]]&gt;0%,"Proses PO &gt; 50%",IF(Table1[[#This Row],[PO Material Aktual 
(%)]]=0,"Belum PO = 0%"))))</f>
        <v>Proses PO &gt; 100%</v>
      </c>
      <c r="EI36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6" s="301">
        <v>46027</v>
      </c>
      <c r="EK366" s="301">
        <v>46172</v>
      </c>
      <c r="EL366" s="301">
        <v>46138</v>
      </c>
      <c r="EM366" s="301">
        <v>46187</v>
      </c>
      <c r="EN366" s="301"/>
      <c r="EO366" s="302">
        <v>9</v>
      </c>
      <c r="EP366" s="302">
        <v>9</v>
      </c>
      <c r="EQ366" s="307">
        <v>0.25714285714285712</v>
      </c>
      <c r="ER366" s="307">
        <f>Table1[[#This Row],[Line MOS (kolom bantu)]]/Table1[[#This Row],[Line PR]]</f>
        <v>0.25714285714285712</v>
      </c>
      <c r="ES366" s="286" t="str">
        <f>IF(Table1[[#This Row],[Progres MOS]]&gt;=100%,"Selesai MOS = 100%",IF(Table1[[#This Row],[Progres MOS]]&gt;=50%,"Proses MOS &gt; 100%",IF(Table1[[#This Row],[Progres MOS]]&gt;0%,"Proses MOS &gt; 50%",IF(Table1[[#This Row],[Progres MOS]]=0,"Belum MOS = 0%"))))</f>
        <v>Proses MOS &gt; 50%</v>
      </c>
      <c r="ET3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6" s="42"/>
      <c r="EV366" s="301">
        <v>45985</v>
      </c>
      <c r="EW366" s="301">
        <v>46153</v>
      </c>
      <c r="EX366" s="301">
        <v>46075</v>
      </c>
      <c r="EY366" s="301">
        <v>46183</v>
      </c>
      <c r="EZ366" s="322" t="s">
        <v>2769</v>
      </c>
      <c r="FA366" s="379" t="s">
        <v>2769</v>
      </c>
      <c r="FB366" s="300"/>
      <c r="FC366" s="300">
        <v>45994</v>
      </c>
      <c r="FD366" s="300" t="s">
        <v>260</v>
      </c>
      <c r="FE366" s="300">
        <v>46045</v>
      </c>
      <c r="FF366" s="300">
        <v>46078</v>
      </c>
      <c r="FG366" s="300"/>
      <c r="FH366" s="300"/>
      <c r="FI366" s="300"/>
      <c r="FJ366" s="300"/>
      <c r="FK366" s="300"/>
      <c r="FL366" s="306" t="s">
        <v>2827</v>
      </c>
      <c r="FM366" s="322"/>
      <c r="FN366" s="308" t="str">
        <f>IF(Table1[[#This Row],[Tanggal Pengajuan Dokumen]]="","",Table1[[#This Row],[PLAN PERMIT
start]]-Table1[[#This Row],[Tanggal Pengajuan Dokumen]])</f>
        <v/>
      </c>
      <c r="FO366" s="322"/>
      <c r="FP366" s="286"/>
      <c r="FQ366" s="308"/>
      <c r="FR366" s="301"/>
      <c r="FS366" s="308"/>
      <c r="FT3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6" s="314">
        <f ca="1">IF(Table1[[#This Row],[Status Izin]]="Selesai",Table1[[#This Row],[PLAN PERMIT
finish]]-Table1[[#This Row],[Tanggal Terbit/ Target Izin Terbit]],ROUNDUP(Table1[[#This Row],[PLAN PERMIT
finish]]-NOW(),0))</f>
        <v>-129</v>
      </c>
      <c r="FV3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6" s="314"/>
      <c r="FX366" s="42"/>
      <c r="FY366" s="483">
        <v>46034</v>
      </c>
      <c r="FZ366" s="483">
        <v>46049</v>
      </c>
      <c r="GA36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6" s="301">
        <v>46048</v>
      </c>
      <c r="GC366" s="322">
        <v>46118</v>
      </c>
      <c r="GD3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6" s="301">
        <v>46055</v>
      </c>
      <c r="GF366" s="322">
        <v>46118</v>
      </c>
      <c r="GG3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6" s="301">
        <v>46062</v>
      </c>
      <c r="GI366" s="301">
        <v>46068</v>
      </c>
      <c r="GJ366" s="322">
        <v>46125</v>
      </c>
      <c r="GK3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6" s="301">
        <v>46076</v>
      </c>
      <c r="GM366" s="301">
        <v>46190</v>
      </c>
      <c r="GN366" s="301">
        <v>46166</v>
      </c>
      <c r="GO366" s="300">
        <v>46262</v>
      </c>
      <c r="GP366" s="286"/>
      <c r="GQ3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6" s="301"/>
      <c r="GS366" s="301"/>
      <c r="GT366" s="324"/>
      <c r="GU366" s="314" t="str">
        <f>IF(Table1[[#This Row],[Hydro Tes Actual
(tanggal)]]&lt;&gt;"","Sudah","Belum")</f>
        <v>Belum</v>
      </c>
      <c r="GV366" s="300"/>
      <c r="GW366" s="300"/>
      <c r="GX366" s="301"/>
      <c r="GY366" s="314" t="str">
        <f>IF(Table1[[#This Row],[Interkoneksi Actual
(tanggal)]]&lt;&gt;"","Sudah","Belum")</f>
        <v>Belum</v>
      </c>
      <c r="GZ366" s="300"/>
      <c r="HA366" s="300"/>
      <c r="HB366" s="301"/>
      <c r="HC366" s="314" t="str">
        <f>IF(Table1[[#This Row],[Flushing Actual
(tanggal)]]&lt;&gt;"","Sudah","Belum")</f>
        <v>Belum</v>
      </c>
      <c r="HD366" s="301">
        <v>46169</v>
      </c>
      <c r="HE366" s="301">
        <v>46263</v>
      </c>
      <c r="HF366" s="301">
        <v>46174</v>
      </c>
      <c r="HG366" s="322"/>
      <c r="HH3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6" s="300"/>
      <c r="HJ366" s="300"/>
      <c r="HK366" s="301"/>
      <c r="HL366" s="301"/>
      <c r="HM366" s="301">
        <v>46191</v>
      </c>
      <c r="HN366" s="301">
        <v>46191</v>
      </c>
      <c r="HO366" s="300">
        <v>46280</v>
      </c>
      <c r="HP366" s="300"/>
      <c r="HQ366" s="301"/>
      <c r="HR3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6" s="301">
        <v>46199</v>
      </c>
      <c r="HT366" s="301"/>
      <c r="HU366" s="301">
        <v>46199</v>
      </c>
      <c r="HV366" s="390">
        <v>46285</v>
      </c>
      <c r="HW366" s="365"/>
      <c r="HX36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6" s="42"/>
      <c r="HZ366" s="322"/>
      <c r="IA366" s="306"/>
      <c r="IB366" s="67"/>
      <c r="IC366" s="585">
        <f>IFERROR(ROUND((Table1[[#This Row],[PLAN TC
finish]]-Table1[[#This Row],[PLAN MC-0
start]])/30,2),"")</f>
        <v>3.73</v>
      </c>
      <c r="ID366">
        <f>DATEDIF(Table1[[#This Row],[PLAN MC-0
start]],Table1[[#This Row],[PLAN TC
finish]],"m")</f>
        <v>3</v>
      </c>
      <c r="IE366" s="6"/>
      <c r="IF366" s="6"/>
      <c r="IG366" s="67"/>
      <c r="II366" s="6"/>
      <c r="IJ366" s="4"/>
      <c r="IK366" s="4"/>
      <c r="IL366" s="6"/>
      <c r="IM366" s="6"/>
      <c r="IN366" s="6"/>
      <c r="IO366" s="6"/>
      <c r="IP366" s="6"/>
      <c r="IR366" s="6"/>
      <c r="IS366" s="6"/>
      <c r="IT366" s="6"/>
      <c r="IU366" s="6"/>
      <c r="IX366" s="6"/>
      <c r="IY366" s="6"/>
      <c r="JA366" s="6"/>
      <c r="JB366" s="6"/>
    </row>
    <row r="367" spans="2:262" ht="15" customHeight="1" x14ac:dyDescent="0.25">
      <c r="B367" s="281">
        <f>SUBTOTAL(3,$D$5:D367)</f>
        <v>363</v>
      </c>
      <c r="C367" s="286">
        <v>363</v>
      </c>
      <c r="D367" s="285" t="s">
        <v>244</v>
      </c>
      <c r="E367" s="285" t="s">
        <v>2930</v>
      </c>
      <c r="F367" s="308" t="s">
        <v>2931</v>
      </c>
      <c r="G367" s="319">
        <v>46300</v>
      </c>
      <c r="H367" s="308" t="s">
        <v>247</v>
      </c>
      <c r="I367" s="308" t="s">
        <v>278</v>
      </c>
      <c r="J367" s="450"/>
      <c r="K367" s="308"/>
      <c r="L367" s="286"/>
      <c r="M367" s="325" t="s">
        <v>269</v>
      </c>
      <c r="N367" s="477">
        <v>24864</v>
      </c>
      <c r="O367" s="31" t="s">
        <v>252</v>
      </c>
      <c r="P3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7" s="35">
        <v>0.9967205894971235</v>
      </c>
      <c r="S367" s="297">
        <f>_xlfn.XLOOKUP(Table1[[#This Row],[Nama Program]],'[2]Summary Plan'!$E:$E,'[2]Summary Plan'!$M:$M)</f>
        <v>0.99999999999999989</v>
      </c>
      <c r="T367" s="128">
        <f>Table1[[#This Row],[Progres Total Aktual
(%)]]</f>
        <v>7.3186502583744401E-2</v>
      </c>
      <c r="U367" s="103">
        <f>Table1[[#This Row],[Progres Aktual
(%)]]-Table1[[#This Row],[Target Progres
(%)]]</f>
        <v>-0.92681349741625552</v>
      </c>
      <c r="V367" s="75">
        <f>Table1[[#This Row],["Volume
BA MC-0"]]</f>
        <v>24266.7</v>
      </c>
      <c r="W367" s="75">
        <f>Table1[[#This Row],[Total Panjang Pipa Aktual
(Sum-&gt;)3]]</f>
        <v>0</v>
      </c>
      <c r="X367" s="99"/>
      <c r="Y367" s="478" t="s">
        <v>2932</v>
      </c>
      <c r="Z367" s="62">
        <v>48103364397</v>
      </c>
      <c r="AA367" s="479">
        <f>ROUND((Table1[[#This Row],[Nilai RAB Jaringan
(Exclude Ppn)]]-Table1[[#This Row],[RAB Perizinan]])*1.11+Table1[[#This Row],[RAB Perizinan]],0)</f>
        <v>48103364396</v>
      </c>
      <c r="AB367" s="406">
        <f>SUM(Table1[[#This Row],[RAB Kegiatan Umum]:[RAB Perizinan]])</f>
        <v>43364257744.226624</v>
      </c>
      <c r="AC367" s="406">
        <v>2842354566.2024202</v>
      </c>
      <c r="AD367" s="406">
        <v>28423545662.0242</v>
      </c>
      <c r="AE367" s="406">
        <v>11816887516</v>
      </c>
      <c r="AF367" s="406">
        <v>281470000</v>
      </c>
      <c r="AG367" s="406"/>
      <c r="AH367" s="480">
        <f>SUM(Table1[[#This Row],[Bobot Keg Umum]:[Bobot Perizinan]])</f>
        <v>0.99999999999999989</v>
      </c>
      <c r="AI367" s="480">
        <f>Table1[[#This Row],[RAB Kegiatan Umum]]/Table1[[#This Row],[Nilai RAB Jaringan
(Exclude Ppn)]]</f>
        <v>6.5546021402403509E-2</v>
      </c>
      <c r="AJ367" s="480">
        <f>Table1[[#This Row],[RAB Pemasangan]]/Table1[[#This Row],[Nilai RAB Jaringan
(Exclude Ppn)]]</f>
        <v>0.65546021402403498</v>
      </c>
      <c r="AK367" s="111">
        <f>Table1[[#This Row],[RAB Pengadaan]]/Table1[[#This Row],[Nilai RAB Jaringan
(Exclude Ppn)]]</f>
        <v>0.27250293515223978</v>
      </c>
      <c r="AL367" s="112">
        <f>Table1[[#This Row],[RAB Perizinan]]/Table1[[#This Row],[Nilai RAB Jaringan
(Exclude Ppn)]]</f>
        <v>6.4908294213216183E-3</v>
      </c>
      <c r="AM367" s="42"/>
      <c r="AN367" s="256">
        <v>24266.7</v>
      </c>
      <c r="AO367" s="256">
        <f>SUM(Table1[[#This Row],[Pipa 63 mm]:[Pipa 1,800 mm]])</f>
        <v>23284.7</v>
      </c>
      <c r="AP367" s="256">
        <v>12584</v>
      </c>
      <c r="AQ367" s="256">
        <v>2884.2</v>
      </c>
      <c r="AR367" s="256">
        <v>1951.4</v>
      </c>
      <c r="AS367" s="256">
        <v>2629.1</v>
      </c>
      <c r="AT367" s="256">
        <v>1304.3</v>
      </c>
      <c r="AU367" s="256">
        <v>1931.7</v>
      </c>
      <c r="AV367" s="256"/>
      <c r="AW367" s="256"/>
      <c r="AX367" s="256"/>
      <c r="AY367" s="256"/>
      <c r="AZ367" s="256"/>
      <c r="BA367" s="256"/>
      <c r="BB367" s="256"/>
      <c r="BC367" s="256"/>
      <c r="BD367" s="256"/>
      <c r="BE367" s="256"/>
      <c r="BF367" s="256"/>
      <c r="BG367" s="256"/>
      <c r="BH367" s="256"/>
      <c r="BI367" s="256"/>
      <c r="BJ367" s="36">
        <f>SUM(Table1[[#This Row],[Pipa 63 mm2]:[Pipa 1,800 mm21]])</f>
        <v>0</v>
      </c>
      <c r="BK367" s="32"/>
      <c r="BL367" s="32"/>
      <c r="BM367" s="32"/>
      <c r="BN367" s="32"/>
      <c r="BO367" s="32"/>
      <c r="BP367" s="32"/>
      <c r="BQ367" s="32"/>
      <c r="BR367" s="32"/>
      <c r="BS367" s="32"/>
      <c r="BT367" s="32"/>
      <c r="BU367" s="32"/>
      <c r="BV367" s="32"/>
      <c r="BW367" s="32"/>
      <c r="BX367" s="32"/>
      <c r="BY367" s="32"/>
      <c r="BZ367" s="32"/>
      <c r="CA367" s="32"/>
      <c r="CB367" s="32"/>
      <c r="CC367" s="32"/>
      <c r="CD367" s="32"/>
      <c r="CE367" s="32"/>
      <c r="CF367" s="32"/>
      <c r="CG367" s="32"/>
      <c r="CH367" s="32"/>
      <c r="CI367" s="32"/>
      <c r="CJ367" s="32">
        <f>IF((Table1[[#This Row],["Volume
BA MC-0"]]-Table1[[#This Row],[Total Panjang Pipa Aktual
(Sum-&gt;)3]]-Table1[[#This Row],[Total Volume
tidak dapat dipasang]])&gt;=0,Table1[[#This Row],["Volume
BA MC-0"]]-Table1[[#This Row],[Total Panjang Pipa Aktual
(Sum-&gt;)3]]-Table1[[#This Row],[Total Volume
tidak dapat dipasang]],0)</f>
        <v>24266.7</v>
      </c>
      <c r="CK367" s="42"/>
      <c r="CL367" s="113"/>
      <c r="CM367" s="307"/>
      <c r="CN367" s="113"/>
      <c r="CO367" s="113"/>
      <c r="CP36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7.3186502583744401E-2</v>
      </c>
      <c r="CQ367" s="406">
        <f>IFERROR(Table1[[#This Row],[Progres Keg. Umum
(%)]]*Table1[[#This Row],[Nilai RAB Jaringan
(file pa aji)]],0)</f>
        <v>0</v>
      </c>
      <c r="CR367" s="406">
        <f>IFERROR(Table1[[#This Row],[Progres MOS
(%)]]*Table1[[#This Row],[Nilai RAB Jaringan
(file pa aji)]],0)</f>
        <v>0</v>
      </c>
      <c r="CS367" s="406">
        <f>IFERROR(Table1[[#This Row],[Progres Pemasangan
(%)]]*Table1[[#This Row],[Nilai RAB Jaringan
(file pa aji)]],0)</f>
        <v>0</v>
      </c>
      <c r="CT367" s="406">
        <f>IFERROR(Table1[[#This Row],[Progres Perizinan
(%)]]*Table1[[#This Row],[Nilai RAB Jaringan
(file pa aji)]],0)</f>
        <v>0</v>
      </c>
      <c r="CU367" s="789">
        <v>0</v>
      </c>
      <c r="CV367" s="299">
        <v>0</v>
      </c>
      <c r="CW367" s="481">
        <v>0</v>
      </c>
      <c r="CX367" s="789">
        <f>_xlfn.XLOOKUP(Table1[[#This Row],[Kode Program]],'[1]Breakdown VOWD Greenfield'!$E:$E,'[1]Breakdown VOWD Greenfield'!$AT:$AT)</f>
        <v>0</v>
      </c>
      <c r="CY367" s="42"/>
      <c r="CZ367" s="301">
        <v>45929</v>
      </c>
      <c r="DA367" s="301">
        <v>45956</v>
      </c>
      <c r="DB367" s="301">
        <v>45964</v>
      </c>
      <c r="DC367" s="286" t="s">
        <v>2933</v>
      </c>
      <c r="DD367" s="478">
        <v>48103364396</v>
      </c>
      <c r="DE3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7" s="301">
        <v>45992</v>
      </c>
      <c r="DG367" s="286" t="s">
        <v>2934</v>
      </c>
      <c r="DH367" s="478">
        <v>48103364396</v>
      </c>
      <c r="DI3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7" s="301">
        <v>45957</v>
      </c>
      <c r="DK367" s="301">
        <v>46019</v>
      </c>
      <c r="DL367" s="301">
        <v>46049</v>
      </c>
      <c r="DM367" s="286" t="s">
        <v>2935</v>
      </c>
      <c r="DN36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7" s="301">
        <v>46087</v>
      </c>
      <c r="DP367" s="286"/>
      <c r="DQ367" s="308" t="s">
        <v>560</v>
      </c>
      <c r="DR36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7" s="301">
        <v>45957</v>
      </c>
      <c r="DT367" s="301">
        <v>46164</v>
      </c>
      <c r="DU367" s="301">
        <v>45998</v>
      </c>
      <c r="DV367" s="301">
        <v>46178</v>
      </c>
      <c r="DW367" s="301">
        <v>46049</v>
      </c>
      <c r="DX367" s="286" t="s">
        <v>2936</v>
      </c>
      <c r="DY367" s="304">
        <v>210</v>
      </c>
      <c r="DZ367" s="304">
        <v>210</v>
      </c>
      <c r="EA36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7" s="301"/>
      <c r="EC367" s="304">
        <v>206</v>
      </c>
      <c r="ED367" s="304">
        <v>206</v>
      </c>
      <c r="EE367" s="100"/>
      <c r="EF367" s="307">
        <v>0.98095238095238091</v>
      </c>
      <c r="EG367" s="307">
        <f>Table1[[#This Row],[Line PO]]/Table1[[#This Row],[Line PR]]</f>
        <v>0.98095238095238091</v>
      </c>
      <c r="EH367" s="286" t="str">
        <f>IF(Table1[[#This Row],[PO Material Aktual 
(%)]]&gt;=100%,"Selesai PO = 100%",IF(Table1[[#This Row],[PO Material Aktual 
(%)]]&gt;=50%,"Proses PO &gt; 100%",IF(Table1[[#This Row],[PO Material Aktual 
(%)]]&gt;0%,"Proses PO &gt; 50%",IF(Table1[[#This Row],[PO Material Aktual 
(%)]]=0,"Belum PO = 0%"))))</f>
        <v>Proses PO &gt; 100%</v>
      </c>
      <c r="EI36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7" s="301">
        <v>45999</v>
      </c>
      <c r="EK367" s="301">
        <v>46178</v>
      </c>
      <c r="EL367" s="301">
        <v>46110</v>
      </c>
      <c r="EM367" s="301">
        <v>46203</v>
      </c>
      <c r="EN367" s="301"/>
      <c r="EO367" s="302">
        <v>94</v>
      </c>
      <c r="EP367" s="302">
        <v>94</v>
      </c>
      <c r="EQ367" s="307">
        <v>0.44761904761904764</v>
      </c>
      <c r="ER367" s="307">
        <f>Table1[[#This Row],[Line MOS (kolom bantu)]]/Table1[[#This Row],[Line PR]]</f>
        <v>0.44761904761904764</v>
      </c>
      <c r="ES367" s="286" t="str">
        <f>IF(Table1[[#This Row],[Progres MOS]]&gt;=100%,"Selesai MOS = 100%",IF(Table1[[#This Row],[Progres MOS]]&gt;=50%,"Proses MOS &gt; 100%",IF(Table1[[#This Row],[Progres MOS]]&gt;0%,"Proses MOS &gt; 50%",IF(Table1[[#This Row],[Progres MOS]]=0,"Belum MOS = 0%"))))</f>
        <v>Proses MOS &gt; 50%</v>
      </c>
      <c r="ET3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7" s="42"/>
      <c r="EV367" s="301">
        <v>45957</v>
      </c>
      <c r="EW367" s="301">
        <v>46148</v>
      </c>
      <c r="EX367" s="301">
        <v>46047</v>
      </c>
      <c r="EY367" s="301">
        <v>46178</v>
      </c>
      <c r="EZ367" s="322" t="s">
        <v>2769</v>
      </c>
      <c r="FA367" s="379" t="s">
        <v>2769</v>
      </c>
      <c r="FB367" s="300"/>
      <c r="FC367" s="300">
        <v>46000</v>
      </c>
      <c r="FD367" s="300" t="s">
        <v>260</v>
      </c>
      <c r="FE367" s="300">
        <v>46052</v>
      </c>
      <c r="FF367" s="300"/>
      <c r="FG367" s="300"/>
      <c r="FH367" s="300"/>
      <c r="FI367" s="300"/>
      <c r="FJ367" s="300"/>
      <c r="FK367" s="300"/>
      <c r="FL367" s="306" t="s">
        <v>2827</v>
      </c>
      <c r="FM367" s="322"/>
      <c r="FN367" s="308" t="str">
        <f>IF(Table1[[#This Row],[Tanggal Pengajuan Dokumen]]="","",Table1[[#This Row],[PLAN PERMIT
start]]-Table1[[#This Row],[Tanggal Pengajuan Dokumen]])</f>
        <v/>
      </c>
      <c r="FO367" s="322"/>
      <c r="FP367" s="286"/>
      <c r="FQ367" s="308"/>
      <c r="FR367" s="301"/>
      <c r="FS367" s="308"/>
      <c r="FT3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7" s="314">
        <f ca="1">IF(Table1[[#This Row],[Status Izin]]="Selesai",Table1[[#This Row],[PLAN PERMIT
finish]]-Table1[[#This Row],[Tanggal Terbit/ Target Izin Terbit]],ROUNDUP(Table1[[#This Row],[PLAN PERMIT
finish]]-NOW(),0))</f>
        <v>-157</v>
      </c>
      <c r="FV3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7" s="314"/>
      <c r="FX367" s="42"/>
      <c r="FY367" s="483">
        <v>46006</v>
      </c>
      <c r="FZ367" s="483">
        <v>45967</v>
      </c>
      <c r="GA36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7" s="301">
        <v>46020</v>
      </c>
      <c r="GC367" s="322">
        <v>46113</v>
      </c>
      <c r="GD3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7" s="301">
        <v>46027</v>
      </c>
      <c r="GF367" s="322">
        <v>46113</v>
      </c>
      <c r="GG3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7" s="301">
        <v>46034</v>
      </c>
      <c r="GI367" s="301">
        <v>46040</v>
      </c>
      <c r="GJ367" s="322">
        <v>46125</v>
      </c>
      <c r="GK3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7" s="301">
        <v>46048</v>
      </c>
      <c r="GM367" s="301">
        <v>46206</v>
      </c>
      <c r="GN367" s="301">
        <v>46166</v>
      </c>
      <c r="GO367" s="300">
        <v>46275</v>
      </c>
      <c r="GP367" s="286"/>
      <c r="GQ3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7" s="301"/>
      <c r="GS367" s="301"/>
      <c r="GT367" s="324"/>
      <c r="GU367" s="314" t="str">
        <f>IF(Table1[[#This Row],[Hydro Tes Actual
(tanggal)]]&lt;&gt;"","Sudah","Belum")</f>
        <v>Belum</v>
      </c>
      <c r="GV367" s="300"/>
      <c r="GW367" s="300"/>
      <c r="GX367" s="301"/>
      <c r="GY367" s="314" t="str">
        <f>IF(Table1[[#This Row],[Interkoneksi Actual
(tanggal)]]&lt;&gt;"","Sudah","Belum")</f>
        <v>Belum</v>
      </c>
      <c r="GZ367" s="300"/>
      <c r="HA367" s="300"/>
      <c r="HB367" s="301"/>
      <c r="HC367" s="314" t="str">
        <f>IF(Table1[[#This Row],[Flushing Actual
(tanggal)]]&lt;&gt;"","Sudah","Belum")</f>
        <v>Belum</v>
      </c>
      <c r="HD367" s="301">
        <v>46169</v>
      </c>
      <c r="HE367" s="301">
        <v>46276</v>
      </c>
      <c r="HF367" s="301">
        <v>46174</v>
      </c>
      <c r="HG367" s="322"/>
      <c r="HH3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7" s="300"/>
      <c r="HJ367" s="300"/>
      <c r="HK367" s="301"/>
      <c r="HL367" s="301"/>
      <c r="HM367" s="301">
        <v>46191</v>
      </c>
      <c r="HN367" s="301">
        <v>46191</v>
      </c>
      <c r="HO367" s="300">
        <v>46293</v>
      </c>
      <c r="HP367" s="300"/>
      <c r="HQ367" s="301"/>
      <c r="HR3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7" s="301">
        <v>46199</v>
      </c>
      <c r="HT367" s="301"/>
      <c r="HU367" s="301">
        <v>46199</v>
      </c>
      <c r="HV367" s="390">
        <v>46298</v>
      </c>
      <c r="HW367" s="365"/>
      <c r="HX36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7" s="42"/>
      <c r="HZ367" s="322"/>
      <c r="IA367" s="306"/>
      <c r="IB367" s="67"/>
      <c r="IC367" s="585">
        <f>IFERROR(ROUND((Table1[[#This Row],[PLAN TC
finish]]-Table1[[#This Row],[PLAN MC-0
start]])/30,2),"")</f>
        <v>4.67</v>
      </c>
      <c r="ID367">
        <f>DATEDIF(Table1[[#This Row],[PLAN MC-0
start]],Table1[[#This Row],[PLAN TC
finish]],"m")</f>
        <v>4</v>
      </c>
      <c r="IE367" s="6"/>
      <c r="IF367" s="6"/>
      <c r="IG367" s="67"/>
      <c r="II367" s="6"/>
      <c r="IJ367" s="4"/>
      <c r="IK367" s="4"/>
      <c r="IL367" s="6"/>
      <c r="IM367" s="6"/>
      <c r="IN367" s="6"/>
      <c r="IO367" s="6"/>
      <c r="IP367" s="6"/>
      <c r="IR367" s="6"/>
      <c r="IS367" s="6"/>
      <c r="IT367" s="6"/>
      <c r="IU367" s="6"/>
      <c r="IX367" s="6"/>
      <c r="IY367" s="6"/>
      <c r="JA367" s="6"/>
      <c r="JB367" s="6"/>
    </row>
    <row r="368" spans="2:262" ht="15" customHeight="1" x14ac:dyDescent="0.25">
      <c r="B368" s="281">
        <f>SUBTOTAL(3,$D$5:D368)</f>
        <v>364</v>
      </c>
      <c r="C368" s="286">
        <v>364</v>
      </c>
      <c r="D368" s="285" t="s">
        <v>244</v>
      </c>
      <c r="E368" s="285" t="s">
        <v>2937</v>
      </c>
      <c r="F368" s="308" t="s">
        <v>2938</v>
      </c>
      <c r="G368" s="319">
        <v>46300</v>
      </c>
      <c r="H368" s="308" t="s">
        <v>247</v>
      </c>
      <c r="I368" s="308" t="s">
        <v>278</v>
      </c>
      <c r="J368" s="488"/>
      <c r="K368" s="431"/>
      <c r="L368" s="304"/>
      <c r="M368" s="325" t="s">
        <v>269</v>
      </c>
      <c r="N368" s="477">
        <v>23765</v>
      </c>
      <c r="O368" s="31" t="s">
        <v>252</v>
      </c>
      <c r="P368"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8" s="35">
        <v>0.99773364346571403</v>
      </c>
      <c r="S368" s="297">
        <f>_xlfn.XLOOKUP(Table1[[#This Row],[Nama Program]],'[2]Summary Plan'!$E:$E,'[2]Summary Plan'!$M:$M)</f>
        <v>1.0000000000000002</v>
      </c>
      <c r="T368" s="129">
        <f>Table1[[#This Row],[Progres Total Aktual
(%)]]</f>
        <v>5.83427264768729E-2</v>
      </c>
      <c r="U368" s="104">
        <f>Table1[[#This Row],[Progres Aktual
(%)]]-Table1[[#This Row],[Target Progres
(%)]]</f>
        <v>-0.94165727352312734</v>
      </c>
      <c r="V368" s="101">
        <f>Table1[[#This Row],["Volume
BA MC-0"]]</f>
        <v>22594.799999999999</v>
      </c>
      <c r="W368" s="101">
        <f>Table1[[#This Row],[Total Panjang Pipa Aktual
(Sum-&gt;)3]]</f>
        <v>0</v>
      </c>
      <c r="X368" s="102"/>
      <c r="Y368" s="478" t="s">
        <v>2939</v>
      </c>
      <c r="Z368" s="62">
        <v>71310108897</v>
      </c>
      <c r="AA368" s="489">
        <f>ROUND((Table1[[#This Row],[Nilai RAB Jaringan
(Exclude Ppn)]]-Table1[[#This Row],[RAB Perizinan]])*1.11+Table1[[#This Row],[RAB Perizinan]],0)</f>
        <v>71310108898</v>
      </c>
      <c r="AB368" s="435">
        <f>SUM(Table1[[#This Row],[RAB Kegiatan Umum]:[RAB Perizinan]])</f>
        <v>64275680635.685699</v>
      </c>
      <c r="AC368" s="435">
        <v>2911966329</v>
      </c>
      <c r="AD368" s="435">
        <v>36399579100.685699</v>
      </c>
      <c r="AE368" s="435">
        <v>24637802406</v>
      </c>
      <c r="AF368" s="435">
        <v>326332800</v>
      </c>
      <c r="AG368" s="435"/>
      <c r="AH368" s="490">
        <f>SUM(Table1[[#This Row],[Bobot Keg Umum]:[Bobot Perizinan]])</f>
        <v>1</v>
      </c>
      <c r="AI368" s="490">
        <f>Table1[[#This Row],[RAB Kegiatan Umum]]/Table1[[#This Row],[Nilai RAB Jaringan
(Exclude Ppn)]]</f>
        <v>4.5304325060437918E-2</v>
      </c>
      <c r="AJ368" s="490">
        <f>Table1[[#This Row],[RAB Pemasangan]]/Table1[[#This Row],[Nilai RAB Jaringan
(Exclude Ppn)]]</f>
        <v>0.56630406307166736</v>
      </c>
      <c r="AK368" s="491">
        <f>Table1[[#This Row],[RAB Pengadaan]]/Table1[[#This Row],[Nilai RAB Jaringan
(Exclude Ppn)]]</f>
        <v>0.38331453144225675</v>
      </c>
      <c r="AL368" s="492">
        <f>Table1[[#This Row],[RAB Perizinan]]/Table1[[#This Row],[Nilai RAB Jaringan
(Exclude Ppn)]]</f>
        <v>5.0770804256380104E-3</v>
      </c>
      <c r="AM368" s="42"/>
      <c r="AN368" s="440">
        <v>22594.799999999999</v>
      </c>
      <c r="AO368" s="440">
        <f>SUM(Table1[[#This Row],[Pipa 63 mm]:[Pipa 1,800 mm]])</f>
        <v>22594.799999999999</v>
      </c>
      <c r="AP368" s="440">
        <v>9903.1</v>
      </c>
      <c r="AQ368" s="440">
        <v>2730.8</v>
      </c>
      <c r="AR368" s="440">
        <v>2231.3000000000002</v>
      </c>
      <c r="AS368" s="440">
        <v>1348.8</v>
      </c>
      <c r="AT368" s="440">
        <v>2196.6</v>
      </c>
      <c r="AU368" s="440">
        <v>237.4</v>
      </c>
      <c r="AV368" s="440"/>
      <c r="AW368" s="440"/>
      <c r="AX368" s="440">
        <v>3121.8</v>
      </c>
      <c r="AY368" s="440"/>
      <c r="AZ368" s="440">
        <v>825</v>
      </c>
      <c r="BA368" s="440"/>
      <c r="BB368" s="440"/>
      <c r="BC368" s="440"/>
      <c r="BD368" s="440"/>
      <c r="BE368" s="440"/>
      <c r="BF368" s="440"/>
      <c r="BG368" s="440"/>
      <c r="BH368" s="440"/>
      <c r="BI368" s="440"/>
      <c r="BJ368" s="493">
        <f>SUM(Table1[[#This Row],[Pipa 63 mm2]:[Pipa 1,800 mm21]])</f>
        <v>0</v>
      </c>
      <c r="BK368" s="441"/>
      <c r="BL368" s="441"/>
      <c r="BM368" s="441"/>
      <c r="BN368" s="441"/>
      <c r="BO368" s="441"/>
      <c r="BP368" s="441"/>
      <c r="BQ368" s="441"/>
      <c r="BR368" s="441"/>
      <c r="BS368" s="441"/>
      <c r="BT368" s="441"/>
      <c r="BU368" s="441"/>
      <c r="BV368" s="441"/>
      <c r="BW368" s="441"/>
      <c r="BX368" s="441"/>
      <c r="BY368" s="441"/>
      <c r="BZ368" s="441"/>
      <c r="CA368" s="441"/>
      <c r="CB368" s="441"/>
      <c r="CC368" s="441"/>
      <c r="CD368" s="441"/>
      <c r="CE368" s="441"/>
      <c r="CF368" s="441"/>
      <c r="CG368" s="441"/>
      <c r="CH368" s="441"/>
      <c r="CI368" s="441"/>
      <c r="CJ368" s="441">
        <f>IF((Table1[[#This Row],["Volume
BA MC-0"]]-Table1[[#This Row],[Total Panjang Pipa Aktual
(Sum-&gt;)3]]-Table1[[#This Row],[Total Volume
tidak dapat dipasang]])&gt;=0,Table1[[#This Row],["Volume
BA MC-0"]]-Table1[[#This Row],[Total Panjang Pipa Aktual
(Sum-&gt;)3]]-Table1[[#This Row],[Total Volume
tidak dapat dipasang]],0)</f>
        <v>22594.799999999999</v>
      </c>
      <c r="CK368" s="42"/>
      <c r="CL368" s="442"/>
      <c r="CM368" s="445"/>
      <c r="CN368" s="442"/>
      <c r="CO368" s="442"/>
      <c r="CP36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5.83427264768729E-2</v>
      </c>
      <c r="CQ368" s="435">
        <f>IFERROR(Table1[[#This Row],[Progres Keg. Umum
(%)]]*Table1[[#This Row],[Nilai RAB Jaringan
(file pa aji)]],0)</f>
        <v>0</v>
      </c>
      <c r="CR368" s="435">
        <f>IFERROR(Table1[[#This Row],[Progres MOS
(%)]]*Table1[[#This Row],[Nilai RAB Jaringan
(file pa aji)]],0)</f>
        <v>0</v>
      </c>
      <c r="CS368" s="435">
        <f>IFERROR(Table1[[#This Row],[Progres Pemasangan
(%)]]*Table1[[#This Row],[Nilai RAB Jaringan
(file pa aji)]],0)</f>
        <v>0</v>
      </c>
      <c r="CT368" s="435">
        <f>IFERROR(Table1[[#This Row],[Progres Perizinan
(%)]]*Table1[[#This Row],[Nilai RAB Jaringan
(file pa aji)]],0)</f>
        <v>0</v>
      </c>
      <c r="CU368" s="789">
        <v>0</v>
      </c>
      <c r="CV368" s="299">
        <v>0</v>
      </c>
      <c r="CW368" s="494">
        <v>0</v>
      </c>
      <c r="CX368" s="789">
        <f>_xlfn.XLOOKUP(Table1[[#This Row],[Kode Program]],'[1]Breakdown VOWD Greenfield'!$E:$E,'[1]Breakdown VOWD Greenfield'!$AT:$AT)</f>
        <v>0</v>
      </c>
      <c r="CY368" s="42"/>
      <c r="CZ368" s="301">
        <v>45929</v>
      </c>
      <c r="DA368" s="301">
        <v>45956</v>
      </c>
      <c r="DB368" s="390">
        <v>45965</v>
      </c>
      <c r="DC368" s="304" t="s">
        <v>2940</v>
      </c>
      <c r="DD368" s="495">
        <v>71310108898</v>
      </c>
      <c r="DE3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68" s="390">
        <v>45986</v>
      </c>
      <c r="DG368" s="304" t="s">
        <v>2941</v>
      </c>
      <c r="DH368" s="495">
        <v>71310108898</v>
      </c>
      <c r="DI368"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8" s="301">
        <v>45957</v>
      </c>
      <c r="DK368" s="301">
        <v>46019</v>
      </c>
      <c r="DL368" s="301">
        <v>46052</v>
      </c>
      <c r="DM368" s="286" t="s">
        <v>2942</v>
      </c>
      <c r="DN36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68" s="301">
        <v>46084</v>
      </c>
      <c r="DP368" s="304"/>
      <c r="DQ368" s="431" t="s">
        <v>2943</v>
      </c>
      <c r="DR36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8" s="301">
        <v>45957</v>
      </c>
      <c r="DT368" s="301">
        <v>46164</v>
      </c>
      <c r="DU368" s="301">
        <v>45998</v>
      </c>
      <c r="DV368" s="301">
        <v>46178</v>
      </c>
      <c r="DW368" s="301">
        <v>46052</v>
      </c>
      <c r="DX368" s="286" t="s">
        <v>2944</v>
      </c>
      <c r="DY368" s="304">
        <v>272</v>
      </c>
      <c r="DZ368" s="304">
        <v>272</v>
      </c>
      <c r="EA36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8" s="390"/>
      <c r="EC368" s="305">
        <v>267</v>
      </c>
      <c r="ED368" s="305">
        <v>267</v>
      </c>
      <c r="EE368" s="496"/>
      <c r="EF368" s="445">
        <v>0.98161764705882348</v>
      </c>
      <c r="EG368" s="307">
        <f>Table1[[#This Row],[Line PO]]/Table1[[#This Row],[Line PR]]</f>
        <v>0.98161764705882348</v>
      </c>
      <c r="EH368" s="286" t="str">
        <f>IF(Table1[[#This Row],[PO Material Aktual 
(%)]]&gt;=100%,"Selesai PO = 100%",IF(Table1[[#This Row],[PO Material Aktual 
(%)]]&gt;=50%,"Proses PO &gt; 100%",IF(Table1[[#This Row],[PO Material Aktual 
(%)]]&gt;0%,"Proses PO &gt; 50%",IF(Table1[[#This Row],[PO Material Aktual 
(%)]]=0,"Belum PO = 0%"))))</f>
        <v>Proses PO &gt; 100%</v>
      </c>
      <c r="EI36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8" s="301">
        <v>45999</v>
      </c>
      <c r="EK368" s="301">
        <v>46178</v>
      </c>
      <c r="EL368" s="301">
        <v>46110</v>
      </c>
      <c r="EM368" s="390">
        <v>46203</v>
      </c>
      <c r="EN368" s="390"/>
      <c r="EO368" s="302">
        <v>69</v>
      </c>
      <c r="EP368" s="302">
        <v>69</v>
      </c>
      <c r="EQ368" s="307">
        <v>0.25367647058823528</v>
      </c>
      <c r="ER368" s="307">
        <f>Table1[[#This Row],[Line MOS (kolom bantu)]]/Table1[[#This Row],[Line PR]]</f>
        <v>0.25367647058823528</v>
      </c>
      <c r="ES368" s="286" t="str">
        <f>IF(Table1[[#This Row],[Progres MOS]]&gt;=100%,"Selesai MOS = 100%",IF(Table1[[#This Row],[Progres MOS]]&gt;=50%,"Proses MOS &gt; 100%",IF(Table1[[#This Row],[Progres MOS]]&gt;0%,"Proses MOS &gt; 50%",IF(Table1[[#This Row],[Progres MOS]]=0,"Belum MOS = 0%"))))</f>
        <v>Proses MOS &gt; 50%</v>
      </c>
      <c r="ET3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8" s="42"/>
      <c r="EV368" s="301">
        <v>45957</v>
      </c>
      <c r="EW368" s="301">
        <v>46148</v>
      </c>
      <c r="EX368" s="301">
        <v>46047</v>
      </c>
      <c r="EY368" s="390">
        <v>46178</v>
      </c>
      <c r="EZ368" s="447" t="s">
        <v>1592</v>
      </c>
      <c r="FA368" s="379" t="s">
        <v>1592</v>
      </c>
      <c r="FB368" s="497"/>
      <c r="FC368" s="300">
        <v>46000</v>
      </c>
      <c r="FD368" s="497" t="s">
        <v>260</v>
      </c>
      <c r="FE368" s="497">
        <v>46079</v>
      </c>
      <c r="FF368" s="497"/>
      <c r="FG368" s="497"/>
      <c r="FH368" s="497"/>
      <c r="FI368" s="497"/>
      <c r="FJ368" s="497"/>
      <c r="FK368" s="497"/>
      <c r="FL368" s="306" t="s">
        <v>2827</v>
      </c>
      <c r="FM368" s="447"/>
      <c r="FN368" s="431" t="str">
        <f>IF(Table1[[#This Row],[Tanggal Pengajuan Dokumen]]="","",Table1[[#This Row],[PLAN PERMIT
start]]-Table1[[#This Row],[Tanggal Pengajuan Dokumen]])</f>
        <v/>
      </c>
      <c r="FO368" s="447"/>
      <c r="FP368" s="304"/>
      <c r="FQ368" s="431"/>
      <c r="FR368" s="390"/>
      <c r="FS368" s="431"/>
      <c r="FT368"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8" s="446">
        <f ca="1">IF(Table1[[#This Row],[Status Izin]]="Selesai",Table1[[#This Row],[PLAN PERMIT
finish]]-Table1[[#This Row],[Tanggal Terbit/ Target Izin Terbit]],ROUNDUP(Table1[[#This Row],[PLAN PERMIT
finish]]-NOW(),0))</f>
        <v>-157</v>
      </c>
      <c r="FV368"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8" s="446"/>
      <c r="FX368" s="42"/>
      <c r="FY368" s="483">
        <v>46006</v>
      </c>
      <c r="FZ368" s="483">
        <v>45967</v>
      </c>
      <c r="GA36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68" s="301">
        <v>46020</v>
      </c>
      <c r="GC368" s="447">
        <v>46113</v>
      </c>
      <c r="GD368"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8" s="301">
        <v>46027</v>
      </c>
      <c r="GF368" s="447">
        <v>46113</v>
      </c>
      <c r="GG368"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8" s="301">
        <v>46034</v>
      </c>
      <c r="GI368" s="301">
        <v>46040</v>
      </c>
      <c r="GJ368" s="447">
        <v>46126</v>
      </c>
      <c r="GK368"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8" s="301">
        <v>46048</v>
      </c>
      <c r="GM368" s="301">
        <v>46206</v>
      </c>
      <c r="GN368" s="301">
        <v>46166</v>
      </c>
      <c r="GO368" s="300">
        <v>46275</v>
      </c>
      <c r="GP368" s="304"/>
      <c r="GQ368"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8" s="390"/>
      <c r="GS368" s="390"/>
      <c r="GT368" s="389">
        <v>46163</v>
      </c>
      <c r="GU368" s="446" t="str">
        <f>IF(Table1[[#This Row],[Hydro Tes Actual
(tanggal)]]&lt;&gt;"","Sudah","Belum")</f>
        <v>Sudah</v>
      </c>
      <c r="GV368" s="497"/>
      <c r="GW368" s="497"/>
      <c r="GX368" s="390"/>
      <c r="GY368" s="446" t="str">
        <f>IF(Table1[[#This Row],[Interkoneksi Actual
(tanggal)]]&lt;&gt;"","Sudah","Belum")</f>
        <v>Belum</v>
      </c>
      <c r="GZ368" s="497"/>
      <c r="HA368" s="497"/>
      <c r="HB368" s="390"/>
      <c r="HC368" s="446" t="str">
        <f>IF(Table1[[#This Row],[Flushing Actual
(tanggal)]]&lt;&gt;"","Sudah","Belum")</f>
        <v>Belum</v>
      </c>
      <c r="HD368" s="301">
        <v>46169</v>
      </c>
      <c r="HE368" s="301">
        <v>46276</v>
      </c>
      <c r="HF368" s="301">
        <v>46174</v>
      </c>
      <c r="HG368" s="447"/>
      <c r="HH368"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8" s="497"/>
      <c r="HJ368" s="497"/>
      <c r="HK368" s="390"/>
      <c r="HL368" s="390"/>
      <c r="HM368" s="301">
        <v>46191</v>
      </c>
      <c r="HN368" s="301">
        <v>46191</v>
      </c>
      <c r="HO368" s="300">
        <v>46293</v>
      </c>
      <c r="HP368" s="497"/>
      <c r="HQ368" s="390"/>
      <c r="HR368"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8" s="301">
        <v>46199</v>
      </c>
      <c r="HT368" s="301"/>
      <c r="HU368" s="301">
        <v>46199</v>
      </c>
      <c r="HV368" s="390">
        <v>46298</v>
      </c>
      <c r="HW368" s="317"/>
      <c r="HX368"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8" s="42"/>
      <c r="HZ368" s="447"/>
      <c r="IA368" s="306"/>
      <c r="IB368" s="67"/>
      <c r="IC368" s="585">
        <f>IFERROR(ROUND((Table1[[#This Row],[PLAN TC
finish]]-Table1[[#This Row],[PLAN MC-0
start]])/30,2),"")</f>
        <v>4.67</v>
      </c>
      <c r="ID368">
        <f>DATEDIF(Table1[[#This Row],[PLAN MC-0
start]],Table1[[#This Row],[PLAN TC
finish]],"m")</f>
        <v>4</v>
      </c>
      <c r="IE368" s="6"/>
      <c r="IF368" s="6"/>
      <c r="IG368" s="67"/>
      <c r="II368" s="6"/>
      <c r="IJ368" s="4"/>
      <c r="IK368" s="4"/>
      <c r="IL368" s="6"/>
      <c r="IM368" s="6"/>
      <c r="IN368" s="6"/>
      <c r="IO368" s="6"/>
      <c r="IP368" s="6"/>
      <c r="IR368" s="6"/>
      <c r="IS368" s="6"/>
      <c r="IT368" s="6"/>
      <c r="IU368" s="6"/>
      <c r="IX368" s="6"/>
      <c r="IY368" s="6"/>
      <c r="JA368" s="6"/>
      <c r="JB368" s="6"/>
    </row>
    <row r="369" spans="2:262" ht="15" customHeight="1" x14ac:dyDescent="0.25">
      <c r="B369" s="281">
        <f>SUBTOTAL(3,$D$5:D369)</f>
        <v>365</v>
      </c>
      <c r="C369" s="286">
        <v>365</v>
      </c>
      <c r="D369" s="285" t="s">
        <v>244</v>
      </c>
      <c r="E369" s="308" t="s">
        <v>2945</v>
      </c>
      <c r="F369" s="308" t="s">
        <v>2946</v>
      </c>
      <c r="G369" s="319">
        <v>46300</v>
      </c>
      <c r="H369" s="308" t="s">
        <v>681</v>
      </c>
      <c r="I369" s="308" t="s">
        <v>278</v>
      </c>
      <c r="J369" s="450"/>
      <c r="K369" s="308"/>
      <c r="L369" s="286"/>
      <c r="M369" s="325" t="s">
        <v>269</v>
      </c>
      <c r="N369" s="477">
        <v>88</v>
      </c>
      <c r="O369" s="477" t="s">
        <v>252</v>
      </c>
      <c r="P36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6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69" s="35">
        <v>1.0000000000000002</v>
      </c>
      <c r="S369" s="297">
        <f>_xlfn.XLOOKUP(Table1[[#This Row],[Nama Program]],'[2]Summary Plan'!$E:$E,'[2]Summary Plan'!$M:$M)</f>
        <v>1.0000000000000002</v>
      </c>
      <c r="T369" s="128">
        <f>Table1[[#This Row],[Progres Total Aktual
(%)]]</f>
        <v>6.4387339111755884E-2</v>
      </c>
      <c r="U369" s="103">
        <f>Table1[[#This Row],[Progres Aktual
(%)]]-Table1[[#This Row],[Target Progres
(%)]]</f>
        <v>-0.93561266088824435</v>
      </c>
      <c r="V369" s="75">
        <f>Table1[[#This Row],["Volume
BA MC-0"]]</f>
        <v>0</v>
      </c>
      <c r="W369" s="75">
        <f>Table1[[#This Row],[Total Panjang Pipa Aktual
(Sum-&gt;)3]]</f>
        <v>0</v>
      </c>
      <c r="X369" s="99"/>
      <c r="Y369" s="62" t="s">
        <v>2947</v>
      </c>
      <c r="Z369" s="62">
        <v>149392990</v>
      </c>
      <c r="AA369" s="479">
        <f>ROUND((Table1[[#This Row],[Nilai RAB Jaringan
(Exclude Ppn)]]-Table1[[#This Row],[RAB Perizinan]])*1.11+Table1[[#This Row],[RAB Perizinan]],0)</f>
        <v>149392990</v>
      </c>
      <c r="AB369" s="406">
        <f>SUM(Table1[[#This Row],[RAB Kegiatan Umum]:[RAB Perizinan]])</f>
        <v>134675486.19999999</v>
      </c>
      <c r="AC369" s="406">
        <v>9535530.1999999993</v>
      </c>
      <c r="AD369" s="406">
        <v>95355302</v>
      </c>
      <c r="AE369" s="406">
        <v>28904654</v>
      </c>
      <c r="AF369" s="406">
        <v>880000</v>
      </c>
      <c r="AG369" s="406"/>
      <c r="AH369" s="480">
        <f>SUM(Table1[[#This Row],[Bobot Keg Umum]:[Bobot Perizinan]])</f>
        <v>1</v>
      </c>
      <c r="AI369" s="480">
        <f>Table1[[#This Row],[RAB Kegiatan Umum]]/Table1[[#This Row],[Nilai RAB Jaringan
(Exclude Ppn)]]</f>
        <v>7.080375552414378E-2</v>
      </c>
      <c r="AJ369" s="480">
        <f>Table1[[#This Row],[RAB Pemasangan]]/Table1[[#This Row],[Nilai RAB Jaringan
(Exclude Ppn)]]</f>
        <v>0.70803755524143785</v>
      </c>
      <c r="AK369" s="111">
        <f>Table1[[#This Row],[RAB Pengadaan]]/Table1[[#This Row],[Nilai RAB Jaringan
(Exclude Ppn)]]</f>
        <v>0.21462446370585297</v>
      </c>
      <c r="AL369" s="112">
        <f>Table1[[#This Row],[RAB Perizinan]]/Table1[[#This Row],[Nilai RAB Jaringan
(Exclude Ppn)]]</f>
        <v>6.5342255285654209E-3</v>
      </c>
      <c r="AM369" s="42"/>
      <c r="AN369" s="256"/>
      <c r="AO369" s="256">
        <f>SUM(Table1[[#This Row],[Pipa 63 mm]:[Pipa 1,800 mm]])</f>
        <v>86</v>
      </c>
      <c r="AP369" s="256">
        <v>86</v>
      </c>
      <c r="AQ369" s="256"/>
      <c r="AR369" s="256"/>
      <c r="AS369" s="256"/>
      <c r="AT369" s="256"/>
      <c r="AU369" s="256"/>
      <c r="AV369" s="256"/>
      <c r="AW369" s="256"/>
      <c r="AX369" s="256"/>
      <c r="AY369" s="256"/>
      <c r="AZ369" s="256"/>
      <c r="BA369" s="256"/>
      <c r="BB369" s="256"/>
      <c r="BC369" s="256"/>
      <c r="BD369" s="256"/>
      <c r="BE369" s="256"/>
      <c r="BF369" s="256"/>
      <c r="BG369" s="256"/>
      <c r="BH369" s="256"/>
      <c r="BI369" s="256"/>
      <c r="BJ369" s="36">
        <f>SUM(Table1[[#This Row],[Pipa 63 mm2]:[Pipa 1,800 mm21]])</f>
        <v>0</v>
      </c>
      <c r="BK369" s="32"/>
      <c r="BL369" s="32"/>
      <c r="BM369" s="32"/>
      <c r="BN369" s="32"/>
      <c r="BO369" s="32"/>
      <c r="BP369" s="32"/>
      <c r="BQ369" s="32"/>
      <c r="BR369" s="32"/>
      <c r="BS369" s="32"/>
      <c r="BT369" s="32"/>
      <c r="BU369" s="32"/>
      <c r="BV369" s="32"/>
      <c r="BW369" s="32"/>
      <c r="BX369" s="32"/>
      <c r="BY369" s="32"/>
      <c r="BZ369" s="32"/>
      <c r="CA369" s="32"/>
      <c r="CB369" s="32"/>
      <c r="CC369" s="32"/>
      <c r="CD369" s="32"/>
      <c r="CE369" s="32"/>
      <c r="CF369" s="32"/>
      <c r="CG369" s="32"/>
      <c r="CH369" s="32"/>
      <c r="CI369" s="32"/>
      <c r="CJ369" s="32">
        <f>IF((Table1[[#This Row],["Volume
BA MC-0"]]-Table1[[#This Row],[Total Panjang Pipa Aktual
(Sum-&gt;)3]]-Table1[[#This Row],[Total Volume
tidak dapat dipasang]])&gt;=0,Table1[[#This Row],["Volume
BA MC-0"]]-Table1[[#This Row],[Total Panjang Pipa Aktual
(Sum-&gt;)3]]-Table1[[#This Row],[Total Volume
tidak dapat dipasang]],0)</f>
        <v>0</v>
      </c>
      <c r="CK369" s="42"/>
      <c r="CL369" s="113"/>
      <c r="CM369" s="307"/>
      <c r="CN369" s="113"/>
      <c r="CO369" s="113"/>
      <c r="CP36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6.4387339111755884E-2</v>
      </c>
      <c r="CQ369" s="406">
        <f>IFERROR(Table1[[#This Row],[Progres Keg. Umum
(%)]]*Table1[[#This Row],[Nilai RAB Jaringan
(file pa aji)]],0)</f>
        <v>0</v>
      </c>
      <c r="CR369" s="406">
        <f>IFERROR(Table1[[#This Row],[Progres MOS
(%)]]*Table1[[#This Row],[Nilai RAB Jaringan
(file pa aji)]],0)</f>
        <v>0</v>
      </c>
      <c r="CS369" s="406">
        <f>IFERROR(Table1[[#This Row],[Progres Pemasangan
(%)]]*Table1[[#This Row],[Nilai RAB Jaringan
(file pa aji)]],0)</f>
        <v>0</v>
      </c>
      <c r="CT369" s="406">
        <f>IFERROR(Table1[[#This Row],[Progres Perizinan
(%)]]*Table1[[#This Row],[Nilai RAB Jaringan
(file pa aji)]],0)</f>
        <v>0</v>
      </c>
      <c r="CU369" s="789">
        <v>0</v>
      </c>
      <c r="CV369" s="299">
        <v>0</v>
      </c>
      <c r="CW369" s="481">
        <v>0</v>
      </c>
      <c r="CX369" s="789">
        <f>_xlfn.XLOOKUP(Table1[[#This Row],[Kode Program]],'[1]Breakdown VOWD Greenfield'!$E:$E,'[1]Breakdown VOWD Greenfield'!$AT:$AT)</f>
        <v>0</v>
      </c>
      <c r="CY369" s="42"/>
      <c r="CZ369" s="301">
        <v>45957</v>
      </c>
      <c r="DA369" s="301">
        <v>45984</v>
      </c>
      <c r="DB369" s="301">
        <v>45966</v>
      </c>
      <c r="DC369" s="286" t="s">
        <v>2948</v>
      </c>
      <c r="DD369" s="478">
        <v>149392990</v>
      </c>
      <c r="DE36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69" s="301">
        <v>45987</v>
      </c>
      <c r="DG369" s="286" t="s">
        <v>2949</v>
      </c>
      <c r="DH369" s="478">
        <v>149392990</v>
      </c>
      <c r="DI36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69" s="301">
        <v>45985</v>
      </c>
      <c r="DK369" s="301">
        <v>46047</v>
      </c>
      <c r="DL369" s="301">
        <v>46042</v>
      </c>
      <c r="DM369" s="286" t="s">
        <v>2950</v>
      </c>
      <c r="DN36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69" s="301">
        <v>46091</v>
      </c>
      <c r="DP369" s="286" t="s">
        <v>2951</v>
      </c>
      <c r="DQ369" s="308" t="s">
        <v>479</v>
      </c>
      <c r="DR36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69" s="301">
        <v>45985</v>
      </c>
      <c r="DT369" s="301">
        <v>46164</v>
      </c>
      <c r="DU369" s="301">
        <v>46026</v>
      </c>
      <c r="DV369" s="301">
        <v>46178</v>
      </c>
      <c r="DW369" s="301">
        <v>46042</v>
      </c>
      <c r="DX369" s="286" t="s">
        <v>2952</v>
      </c>
      <c r="DY369" s="304">
        <v>16</v>
      </c>
      <c r="DZ369" s="304">
        <v>16</v>
      </c>
      <c r="EA36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69" s="301"/>
      <c r="EC369" s="302">
        <v>13</v>
      </c>
      <c r="ED369" s="302">
        <v>13</v>
      </c>
      <c r="EE369" s="100"/>
      <c r="EF369" s="307">
        <v>0.8125</v>
      </c>
      <c r="EG369" s="307">
        <f>Table1[[#This Row],[Line PO]]/Table1[[#This Row],[Line PR]]</f>
        <v>0.8125</v>
      </c>
      <c r="EH369" s="286" t="str">
        <f>IF(Table1[[#This Row],[PO Material Aktual 
(%)]]&gt;=100%,"Selesai PO = 100%",IF(Table1[[#This Row],[PO Material Aktual 
(%)]]&gt;=50%,"Proses PO &gt; 100%",IF(Table1[[#This Row],[PO Material Aktual 
(%)]]&gt;0%,"Proses PO &gt; 50%",IF(Table1[[#This Row],[PO Material Aktual 
(%)]]=0,"Belum PO = 0%"))))</f>
        <v>Proses PO &gt; 100%</v>
      </c>
      <c r="EI36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69" s="301">
        <v>46027</v>
      </c>
      <c r="EK369" s="301">
        <v>46178</v>
      </c>
      <c r="EL369" s="301">
        <v>46103</v>
      </c>
      <c r="EM369" s="301">
        <v>46183</v>
      </c>
      <c r="EN369" s="301"/>
      <c r="EO369" s="302">
        <v>8</v>
      </c>
      <c r="EP369" s="302">
        <v>8</v>
      </c>
      <c r="EQ369" s="307">
        <v>0.5</v>
      </c>
      <c r="ER369" s="307">
        <f>Table1[[#This Row],[Line MOS (kolom bantu)]]/Table1[[#This Row],[Line PR]]</f>
        <v>0.5</v>
      </c>
      <c r="ES369" s="286" t="str">
        <f>IF(Table1[[#This Row],[Progres MOS]]&gt;=100%,"Selesai MOS = 100%",IF(Table1[[#This Row],[Progres MOS]]&gt;=50%,"Proses MOS &gt; 100%",IF(Table1[[#This Row],[Progres MOS]]&gt;0%,"Proses MOS &gt; 50%",IF(Table1[[#This Row],[Progres MOS]]=0,"Belum MOS = 0%"))))</f>
        <v>Proses MOS &gt; 100%</v>
      </c>
      <c r="ET36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69" s="42"/>
      <c r="EV369" s="301">
        <v>45985</v>
      </c>
      <c r="EW369" s="301">
        <v>46156</v>
      </c>
      <c r="EX369" s="301">
        <v>46075</v>
      </c>
      <c r="EY369" s="301">
        <v>46186</v>
      </c>
      <c r="EZ369" s="322" t="s">
        <v>2769</v>
      </c>
      <c r="FA369" s="379" t="s">
        <v>2769</v>
      </c>
      <c r="FB369" s="300"/>
      <c r="FC369" s="300">
        <v>46036</v>
      </c>
      <c r="FD369" s="300" t="s">
        <v>260</v>
      </c>
      <c r="FE369" s="300"/>
      <c r="FF369" s="300"/>
      <c r="FG369" s="300"/>
      <c r="FH369" s="300"/>
      <c r="FI369" s="300"/>
      <c r="FJ369" s="300"/>
      <c r="FK369" s="300"/>
      <c r="FL369" s="306" t="s">
        <v>2827</v>
      </c>
      <c r="FM369" s="322"/>
      <c r="FN369" s="308" t="str">
        <f>IF(Table1[[#This Row],[Tanggal Pengajuan Dokumen]]="","",Table1[[#This Row],[PLAN PERMIT
start]]-Table1[[#This Row],[Tanggal Pengajuan Dokumen]])</f>
        <v/>
      </c>
      <c r="FO369" s="322"/>
      <c r="FP369" s="286"/>
      <c r="FQ369" s="308"/>
      <c r="FR369" s="301"/>
      <c r="FS369" s="308"/>
      <c r="FT36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69" s="314">
        <f ca="1">IF(Table1[[#This Row],[Status Izin]]="Selesai",Table1[[#This Row],[PLAN PERMIT
finish]]-Table1[[#This Row],[Tanggal Terbit/ Target Izin Terbit]],ROUNDUP(Table1[[#This Row],[PLAN PERMIT
finish]]-NOW(),0))</f>
        <v>-129</v>
      </c>
      <c r="FV36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69" s="314"/>
      <c r="FX369" s="42"/>
      <c r="FY369" s="483">
        <v>46034</v>
      </c>
      <c r="FZ369" s="483">
        <v>46049</v>
      </c>
      <c r="GA36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69" s="301">
        <v>46048</v>
      </c>
      <c r="GC369" s="322">
        <v>46141</v>
      </c>
      <c r="GD36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69" s="301">
        <v>46055</v>
      </c>
      <c r="GF369" s="322">
        <v>46141</v>
      </c>
      <c r="GG36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69" s="301">
        <v>46062</v>
      </c>
      <c r="GI369" s="301">
        <v>46068</v>
      </c>
      <c r="GJ369" s="322">
        <v>46150</v>
      </c>
      <c r="GK36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69" s="301">
        <v>46076</v>
      </c>
      <c r="GM369" s="301">
        <v>46193</v>
      </c>
      <c r="GN369" s="301">
        <v>46103</v>
      </c>
      <c r="GO369" s="300">
        <v>46241</v>
      </c>
      <c r="GP369" s="286"/>
      <c r="GQ36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69" s="301"/>
      <c r="GS369" s="301"/>
      <c r="GT369" s="324"/>
      <c r="GU369" s="314" t="str">
        <f>IF(Table1[[#This Row],[Hydro Tes Actual
(tanggal)]]&lt;&gt;"","Sudah","Belum")</f>
        <v>Belum</v>
      </c>
      <c r="GV369" s="300"/>
      <c r="GW369" s="300"/>
      <c r="GX369" s="301"/>
      <c r="GY369" s="314" t="str">
        <f>IF(Table1[[#This Row],[Interkoneksi Actual
(tanggal)]]&lt;&gt;"","Sudah","Belum")</f>
        <v>Belum</v>
      </c>
      <c r="GZ369" s="300"/>
      <c r="HA369" s="300"/>
      <c r="HB369" s="301"/>
      <c r="HC369" s="314" t="str">
        <f>IF(Table1[[#This Row],[Flushing Actual
(tanggal)]]&lt;&gt;"","Sudah","Belum")</f>
        <v>Belum</v>
      </c>
      <c r="HD369" s="301">
        <v>46106</v>
      </c>
      <c r="HE369" s="301">
        <v>46242</v>
      </c>
      <c r="HF369" s="301">
        <v>46111</v>
      </c>
      <c r="HG369" s="322"/>
      <c r="HH36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69" s="300"/>
      <c r="HJ369" s="300"/>
      <c r="HK369" s="301"/>
      <c r="HL369" s="301"/>
      <c r="HM369" s="301">
        <v>46128</v>
      </c>
      <c r="HN369" s="301">
        <v>46128</v>
      </c>
      <c r="HO369" s="300">
        <v>46259</v>
      </c>
      <c r="HP369" s="300"/>
      <c r="HQ369" s="301"/>
      <c r="HR36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69" s="301">
        <v>46136</v>
      </c>
      <c r="HT369" s="301"/>
      <c r="HU369" s="301">
        <v>46136</v>
      </c>
      <c r="HV369" s="390">
        <v>46264</v>
      </c>
      <c r="HW369" s="365"/>
      <c r="HX36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69" s="42"/>
      <c r="HZ369" s="322"/>
      <c r="IA369" s="306"/>
      <c r="IB369" s="67"/>
      <c r="IC369" s="585">
        <f>IFERROR(ROUND((Table1[[#This Row],[PLAN TC
finish]]-Table1[[#This Row],[PLAN MC-0
start]])/30,2),"")</f>
        <v>1.63</v>
      </c>
      <c r="ID369">
        <f>DATEDIF(Table1[[#This Row],[PLAN MC-0
start]],Table1[[#This Row],[PLAN TC
finish]],"m")</f>
        <v>1</v>
      </c>
      <c r="IE369" s="6"/>
      <c r="IF369" s="6"/>
      <c r="IG369" s="67"/>
      <c r="II369" s="6"/>
      <c r="IJ369" s="4"/>
      <c r="IK369" s="4"/>
      <c r="IL369" s="6"/>
      <c r="IM369" s="6"/>
      <c r="IN369" s="6"/>
      <c r="IO369" s="6"/>
      <c r="IP369" s="6"/>
      <c r="IR369" s="6"/>
      <c r="IS369" s="6"/>
      <c r="IT369" s="6"/>
      <c r="IU369" s="6"/>
      <c r="IX369" s="6"/>
      <c r="IY369" s="6"/>
      <c r="JA369" s="6"/>
      <c r="JB369" s="6"/>
    </row>
    <row r="370" spans="2:262" ht="15" customHeight="1" x14ac:dyDescent="0.25">
      <c r="B370" s="281">
        <f>SUBTOTAL(3,$D$5:D370)</f>
        <v>366</v>
      </c>
      <c r="C370" s="286">
        <v>366</v>
      </c>
      <c r="D370" s="285" t="s">
        <v>244</v>
      </c>
      <c r="E370" s="308" t="s">
        <v>2953</v>
      </c>
      <c r="F370" s="308" t="s">
        <v>2954</v>
      </c>
      <c r="G370" s="319">
        <v>46300</v>
      </c>
      <c r="H370" s="308" t="s">
        <v>681</v>
      </c>
      <c r="I370" s="308" t="s">
        <v>278</v>
      </c>
      <c r="J370" s="450"/>
      <c r="K370" s="308"/>
      <c r="L370" s="286"/>
      <c r="M370" s="325" t="s">
        <v>269</v>
      </c>
      <c r="N370" s="477">
        <v>904</v>
      </c>
      <c r="O370" s="477" t="s">
        <v>252</v>
      </c>
      <c r="P37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0" s="35">
        <v>1</v>
      </c>
      <c r="S370" s="297">
        <f>_xlfn.XLOOKUP(Table1[[#This Row],[Nama Program]],'[2]Summary Plan'!$E:$E,'[2]Summary Plan'!$M:$M)</f>
        <v>1</v>
      </c>
      <c r="T370" s="128">
        <f>Table1[[#This Row],[Progres Total Aktual
(%)]]</f>
        <v>5.1620825288808278E-2</v>
      </c>
      <c r="U370" s="103">
        <f>Table1[[#This Row],[Progres Aktual
(%)]]-Table1[[#This Row],[Target Progres
(%)]]</f>
        <v>-0.94837917471119171</v>
      </c>
      <c r="V370" s="75">
        <f>Table1[[#This Row],["Volume
BA MC-0"]]</f>
        <v>920</v>
      </c>
      <c r="W370" s="75">
        <f>Table1[[#This Row],[Total Panjang Pipa Aktual
(Sum-&gt;)3]]</f>
        <v>0</v>
      </c>
      <c r="X370" s="99"/>
      <c r="Y370" s="62" t="s">
        <v>2955</v>
      </c>
      <c r="Z370" s="62">
        <v>1722020292</v>
      </c>
      <c r="AA370" s="479">
        <f>ROUND((Table1[[#This Row],[Nilai RAB Jaringan
(Exclude Ppn)]]-Table1[[#This Row],[RAB Perizinan]])*1.11+Table1[[#This Row],[RAB Perizinan]],0)</f>
        <v>1722020292</v>
      </c>
      <c r="AB370" s="406">
        <f>SUM(Table1[[#This Row],[RAB Kegiatan Umum]:[RAB Perizinan]])</f>
        <v>1552265488</v>
      </c>
      <c r="AC370" s="406">
        <v>121070306</v>
      </c>
      <c r="AD370" s="406">
        <v>1210703059</v>
      </c>
      <c r="AE370" s="406">
        <v>211452123</v>
      </c>
      <c r="AF370" s="406">
        <v>9040000</v>
      </c>
      <c r="AG370" s="406"/>
      <c r="AH370" s="480">
        <f>SUM(Table1[[#This Row],[Bobot Keg Umum]:[Bobot Perizinan]])</f>
        <v>0.99999999999999989</v>
      </c>
      <c r="AI370" s="480">
        <f>Table1[[#This Row],[RAB Kegiatan Umum]]/Table1[[#This Row],[Nilai RAB Jaringan
(Exclude Ppn)]]</f>
        <v>7.7995875664279402E-2</v>
      </c>
      <c r="AJ370" s="480">
        <f>Table1[[#This Row],[RAB Pemasangan]]/Table1[[#This Row],[Nilai RAB Jaringan
(Exclude Ppn)]]</f>
        <v>0.77995875599857434</v>
      </c>
      <c r="AK370" s="111">
        <f>Table1[[#This Row],[RAB Pengadaan]]/Table1[[#This Row],[Nilai RAB Jaringan
(Exclude Ppn)]]</f>
        <v>0.13622162228991075</v>
      </c>
      <c r="AL370" s="112">
        <f>Table1[[#This Row],[RAB Perizinan]]/Table1[[#This Row],[Nilai RAB Jaringan
(Exclude Ppn)]]</f>
        <v>5.8237460472354459E-3</v>
      </c>
      <c r="AM370" s="42"/>
      <c r="AN370" s="256">
        <v>920</v>
      </c>
      <c r="AO370" s="256">
        <f>SUM(Table1[[#This Row],[Pipa 63 mm]:[Pipa 1,800 mm]])</f>
        <v>920</v>
      </c>
      <c r="AP370" s="256"/>
      <c r="AQ370" s="256"/>
      <c r="AR370" s="256">
        <v>920</v>
      </c>
      <c r="AS370" s="256"/>
      <c r="AT370" s="256"/>
      <c r="AU370" s="256"/>
      <c r="AV370" s="256"/>
      <c r="AW370" s="256"/>
      <c r="AX370" s="256"/>
      <c r="AY370" s="256"/>
      <c r="AZ370" s="256"/>
      <c r="BA370" s="256"/>
      <c r="BB370" s="256"/>
      <c r="BC370" s="256"/>
      <c r="BD370" s="256"/>
      <c r="BE370" s="256"/>
      <c r="BF370" s="256"/>
      <c r="BG370" s="256"/>
      <c r="BH370" s="256"/>
      <c r="BI370" s="256"/>
      <c r="BJ370" s="36">
        <f>SUM(Table1[[#This Row],[Pipa 63 mm2]:[Pipa 1,800 mm21]])</f>
        <v>0</v>
      </c>
      <c r="BK370" s="32"/>
      <c r="BL370" s="32"/>
      <c r="BM370" s="32"/>
      <c r="BN370" s="32"/>
      <c r="BO370" s="32"/>
      <c r="BP370" s="32"/>
      <c r="BQ370" s="32"/>
      <c r="BR370" s="32"/>
      <c r="BS370" s="32"/>
      <c r="BT370" s="32"/>
      <c r="BU370" s="32"/>
      <c r="BV370" s="32"/>
      <c r="BW370" s="32"/>
      <c r="BX370" s="32"/>
      <c r="BY370" s="32"/>
      <c r="BZ370" s="32"/>
      <c r="CA370" s="32"/>
      <c r="CB370" s="32"/>
      <c r="CC370" s="32"/>
      <c r="CD370" s="32"/>
      <c r="CE370" s="32"/>
      <c r="CF370" s="32"/>
      <c r="CG370" s="32"/>
      <c r="CH370" s="32"/>
      <c r="CI370" s="32"/>
      <c r="CJ370" s="32">
        <f>IF((Table1[[#This Row],["Volume
BA MC-0"]]-Table1[[#This Row],[Total Panjang Pipa Aktual
(Sum-&gt;)3]]-Table1[[#This Row],[Total Volume
tidak dapat dipasang]])&gt;=0,Table1[[#This Row],["Volume
BA MC-0"]]-Table1[[#This Row],[Total Panjang Pipa Aktual
(Sum-&gt;)3]]-Table1[[#This Row],[Total Volume
tidak dapat dipasang]],0)</f>
        <v>920</v>
      </c>
      <c r="CK370" s="42"/>
      <c r="CL370" s="113"/>
      <c r="CM370" s="307"/>
      <c r="CN370" s="113"/>
      <c r="CO370" s="113"/>
      <c r="CP37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5.1620825288808278E-2</v>
      </c>
      <c r="CQ370" s="406">
        <f>IFERROR(Table1[[#This Row],[Progres Keg. Umum
(%)]]*Table1[[#This Row],[Nilai RAB Jaringan
(file pa aji)]],0)</f>
        <v>0</v>
      </c>
      <c r="CR370" s="406">
        <f>IFERROR(Table1[[#This Row],[Progres MOS
(%)]]*Table1[[#This Row],[Nilai RAB Jaringan
(file pa aji)]],0)</f>
        <v>0</v>
      </c>
      <c r="CS370" s="406">
        <f>IFERROR(Table1[[#This Row],[Progres Pemasangan
(%)]]*Table1[[#This Row],[Nilai RAB Jaringan
(file pa aji)]],0)</f>
        <v>0</v>
      </c>
      <c r="CT370" s="406">
        <f>IFERROR(Table1[[#This Row],[Progres Perizinan
(%)]]*Table1[[#This Row],[Nilai RAB Jaringan
(file pa aji)]],0)</f>
        <v>0</v>
      </c>
      <c r="CU370" s="789">
        <v>0</v>
      </c>
      <c r="CV370" s="299">
        <v>0</v>
      </c>
      <c r="CW370" s="481">
        <v>0</v>
      </c>
      <c r="CX370" s="789">
        <f>_xlfn.XLOOKUP(Table1[[#This Row],[Kode Program]],'[1]Breakdown VOWD Greenfield'!$E:$E,'[1]Breakdown VOWD Greenfield'!$AT:$AT)</f>
        <v>0</v>
      </c>
      <c r="CY370" s="42"/>
      <c r="CZ370" s="301">
        <v>45957</v>
      </c>
      <c r="DA370" s="301">
        <v>45984</v>
      </c>
      <c r="DB370" s="301">
        <v>45966</v>
      </c>
      <c r="DC370" s="286" t="s">
        <v>2956</v>
      </c>
      <c r="DD370" s="478">
        <v>1722020292</v>
      </c>
      <c r="DE37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0" s="301">
        <v>45986</v>
      </c>
      <c r="DG370" s="486" t="s">
        <v>2957</v>
      </c>
      <c r="DH370" s="478">
        <v>1722020292</v>
      </c>
      <c r="DI37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0" s="301">
        <v>45985</v>
      </c>
      <c r="DK370" s="301">
        <v>46047</v>
      </c>
      <c r="DL370" s="301">
        <v>46046</v>
      </c>
      <c r="DM370" s="286" t="s">
        <v>2958</v>
      </c>
      <c r="DN37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0" s="301">
        <v>46091</v>
      </c>
      <c r="DP370" s="286" t="s">
        <v>2959</v>
      </c>
      <c r="DQ370" s="308" t="s">
        <v>479</v>
      </c>
      <c r="DR37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0" s="301">
        <v>45985</v>
      </c>
      <c r="DT370" s="301">
        <v>46158</v>
      </c>
      <c r="DU370" s="301">
        <v>46026</v>
      </c>
      <c r="DV370" s="301">
        <v>46172</v>
      </c>
      <c r="DW370" s="301">
        <v>46046</v>
      </c>
      <c r="DX370" s="286" t="s">
        <v>2960</v>
      </c>
      <c r="DY370" s="304">
        <v>38</v>
      </c>
      <c r="DZ370" s="304">
        <v>38</v>
      </c>
      <c r="EA37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0" s="301"/>
      <c r="EC370" s="302">
        <v>35</v>
      </c>
      <c r="ED370" s="302">
        <v>35</v>
      </c>
      <c r="EE370" s="100"/>
      <c r="EF370" s="307">
        <v>0.92105263157894735</v>
      </c>
      <c r="EG370" s="307">
        <f>Table1[[#This Row],[Line PO]]/Table1[[#This Row],[Line PR]]</f>
        <v>0.92105263157894735</v>
      </c>
      <c r="EH370" s="286" t="str">
        <f>IF(Table1[[#This Row],[PO Material Aktual 
(%)]]&gt;=100%,"Selesai PO = 100%",IF(Table1[[#This Row],[PO Material Aktual 
(%)]]&gt;=50%,"Proses PO &gt; 100%",IF(Table1[[#This Row],[PO Material Aktual 
(%)]]&gt;0%,"Proses PO &gt; 50%",IF(Table1[[#This Row],[PO Material Aktual 
(%)]]=0,"Belum PO = 0%"))))</f>
        <v>Proses PO &gt; 100%</v>
      </c>
      <c r="EI37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0" s="301">
        <v>46027</v>
      </c>
      <c r="EK370" s="301">
        <v>46172</v>
      </c>
      <c r="EL370" s="301">
        <v>46124</v>
      </c>
      <c r="EM370" s="301">
        <v>46187</v>
      </c>
      <c r="EN370" s="301"/>
      <c r="EO370" s="302">
        <v>24</v>
      </c>
      <c r="EP370" s="302">
        <v>24</v>
      </c>
      <c r="EQ370" s="307">
        <v>0.63157894736842102</v>
      </c>
      <c r="ER370" s="307">
        <f>Table1[[#This Row],[Line MOS (kolom bantu)]]/Table1[[#This Row],[Line PR]]</f>
        <v>0.63157894736842102</v>
      </c>
      <c r="ES370" s="286" t="str">
        <f>IF(Table1[[#This Row],[Progres MOS]]&gt;=100%,"Selesai MOS = 100%",IF(Table1[[#This Row],[Progres MOS]]&gt;=50%,"Proses MOS &gt; 100%",IF(Table1[[#This Row],[Progres MOS]]&gt;0%,"Proses MOS &gt; 50%",IF(Table1[[#This Row],[Progres MOS]]=0,"Belum MOS = 0%"))))</f>
        <v>Proses MOS &gt; 100%</v>
      </c>
      <c r="ET37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0" s="42"/>
      <c r="EV370" s="301">
        <v>45985</v>
      </c>
      <c r="EW370" s="301">
        <v>46153</v>
      </c>
      <c r="EX370" s="301">
        <v>46075</v>
      </c>
      <c r="EY370" s="301">
        <v>46183</v>
      </c>
      <c r="EZ370" s="322" t="s">
        <v>2769</v>
      </c>
      <c r="FA370" s="379" t="s">
        <v>2769</v>
      </c>
      <c r="FB370" s="300"/>
      <c r="FC370" s="300">
        <v>46010</v>
      </c>
      <c r="FD370" s="300" t="s">
        <v>260</v>
      </c>
      <c r="FE370" s="300"/>
      <c r="FF370" s="300"/>
      <c r="FG370" s="300"/>
      <c r="FH370" s="300"/>
      <c r="FI370" s="300"/>
      <c r="FJ370" s="300"/>
      <c r="FK370" s="300"/>
      <c r="FL370" s="306" t="s">
        <v>2827</v>
      </c>
      <c r="FM370" s="322"/>
      <c r="FN370" s="308" t="str">
        <f>IF(Table1[[#This Row],[Tanggal Pengajuan Dokumen]]="","",Table1[[#This Row],[PLAN PERMIT
start]]-Table1[[#This Row],[Tanggal Pengajuan Dokumen]])</f>
        <v/>
      </c>
      <c r="FO370" s="322"/>
      <c r="FP370" s="286"/>
      <c r="FQ370" s="308"/>
      <c r="FR370" s="301"/>
      <c r="FS370" s="308"/>
      <c r="FT37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0" s="314">
        <f ca="1">IF(Table1[[#This Row],[Status Izin]]="Selesai",Table1[[#This Row],[PLAN PERMIT
finish]]-Table1[[#This Row],[Tanggal Terbit/ Target Izin Terbit]],ROUNDUP(Table1[[#This Row],[PLAN PERMIT
finish]]-NOW(),0))</f>
        <v>-129</v>
      </c>
      <c r="FV37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0" s="314"/>
      <c r="FX370" s="42"/>
      <c r="FY370" s="483">
        <v>46034</v>
      </c>
      <c r="FZ370" s="483">
        <v>46049</v>
      </c>
      <c r="GA37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0" s="301">
        <v>46048</v>
      </c>
      <c r="GC370" s="322">
        <f>Table1[[#This Row],[Tanggal Aktual Kick Off]]</f>
        <v>46112</v>
      </c>
      <c r="GD37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0" s="301">
        <v>46055</v>
      </c>
      <c r="GF370" s="322">
        <v>46112</v>
      </c>
      <c r="GG37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0" s="301">
        <v>46062</v>
      </c>
      <c r="GI370" s="301">
        <v>46068</v>
      </c>
      <c r="GJ370" s="322">
        <v>46127</v>
      </c>
      <c r="GK37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0" s="301">
        <v>46076</v>
      </c>
      <c r="GM370" s="301">
        <v>46190</v>
      </c>
      <c r="GN370" s="301">
        <v>46138</v>
      </c>
      <c r="GO370" s="300">
        <v>46273</v>
      </c>
      <c r="GP370" s="286"/>
      <c r="GQ37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0" s="301"/>
      <c r="GS370" s="301"/>
      <c r="GT370" s="324"/>
      <c r="GU370" s="314" t="str">
        <f>IF(Table1[[#This Row],[Hydro Tes Actual
(tanggal)]]&lt;&gt;"","Sudah","Belum")</f>
        <v>Belum</v>
      </c>
      <c r="GV370" s="300"/>
      <c r="GW370" s="300"/>
      <c r="GX370" s="301"/>
      <c r="GY370" s="314" t="str">
        <f>IF(Table1[[#This Row],[Interkoneksi Actual
(tanggal)]]&lt;&gt;"","Sudah","Belum")</f>
        <v>Belum</v>
      </c>
      <c r="GZ370" s="300"/>
      <c r="HA370" s="300"/>
      <c r="HB370" s="301"/>
      <c r="HC370" s="314" t="str">
        <f>IF(Table1[[#This Row],[Flushing Actual
(tanggal)]]&lt;&gt;"","Sudah","Belum")</f>
        <v>Belum</v>
      </c>
      <c r="HD370" s="301">
        <v>46141</v>
      </c>
      <c r="HE370" s="301">
        <v>46274</v>
      </c>
      <c r="HF370" s="301">
        <v>46146</v>
      </c>
      <c r="HG370" s="322"/>
      <c r="HH37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0" s="300"/>
      <c r="HJ370" s="300"/>
      <c r="HK370" s="301"/>
      <c r="HL370" s="301"/>
      <c r="HM370" s="301">
        <v>46163</v>
      </c>
      <c r="HN370" s="301">
        <v>46163</v>
      </c>
      <c r="HO370" s="300">
        <v>46291</v>
      </c>
      <c r="HP370" s="300"/>
      <c r="HQ370" s="301"/>
      <c r="HR37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0" s="301">
        <v>46171</v>
      </c>
      <c r="HT370" s="301"/>
      <c r="HU370" s="301">
        <v>46171</v>
      </c>
      <c r="HV370" s="390">
        <v>46296</v>
      </c>
      <c r="HW370" s="365"/>
      <c r="HX37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0" s="42"/>
      <c r="HZ370" s="322"/>
      <c r="IA370" s="306"/>
      <c r="IB370" s="67"/>
      <c r="IC370" s="585">
        <f>IFERROR(ROUND((Table1[[#This Row],[PLAN TC
finish]]-Table1[[#This Row],[PLAN MC-0
start]])/30,2),"")</f>
        <v>2.8</v>
      </c>
      <c r="ID370">
        <f>DATEDIF(Table1[[#This Row],[PLAN MC-0
start]],Table1[[#This Row],[PLAN TC
finish]],"m")</f>
        <v>2</v>
      </c>
      <c r="IE370" s="6"/>
      <c r="IF370" s="6"/>
      <c r="IG370" s="67"/>
      <c r="II370" s="6"/>
      <c r="IJ370" s="4"/>
      <c r="IK370" s="4"/>
      <c r="IL370" s="6"/>
      <c r="IM370" s="6"/>
      <c r="IN370" s="6"/>
      <c r="IO370" s="6"/>
      <c r="IP370" s="6"/>
      <c r="IR370" s="6"/>
      <c r="IS370" s="6"/>
      <c r="IT370" s="6"/>
      <c r="IU370" s="6"/>
      <c r="IX370" s="6"/>
      <c r="IY370" s="6"/>
      <c r="JA370" s="6"/>
      <c r="JB370" s="6"/>
    </row>
    <row r="371" spans="2:262" ht="15" customHeight="1" x14ac:dyDescent="0.25">
      <c r="B371" s="558">
        <f>SUBTOTAL(3,$D$5:D371)</f>
        <v>367</v>
      </c>
      <c r="C371" s="286">
        <v>367</v>
      </c>
      <c r="D371" s="553" t="s">
        <v>244</v>
      </c>
      <c r="E371" s="554" t="s">
        <v>2961</v>
      </c>
      <c r="F371" s="554" t="s">
        <v>2962</v>
      </c>
      <c r="G371" s="555">
        <v>46300</v>
      </c>
      <c r="H371" s="554" t="s">
        <v>681</v>
      </c>
      <c r="I371" s="308" t="s">
        <v>278</v>
      </c>
      <c r="J371" s="591" t="str">
        <f>Table1[[#This Row],[Status Aktual]]</f>
        <v>BATAL / CANCEL</v>
      </c>
      <c r="K371" s="308"/>
      <c r="L371" s="286"/>
      <c r="M371" s="325" t="s">
        <v>269</v>
      </c>
      <c r="N371" s="556">
        <v>29</v>
      </c>
      <c r="O371" s="556" t="s">
        <v>252</v>
      </c>
      <c r="P37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1" s="557" t="s">
        <v>389</v>
      </c>
      <c r="R371" s="35">
        <v>1.0000000000000002</v>
      </c>
      <c r="S371" s="297">
        <f>_xlfn.XLOOKUP(Table1[[#This Row],[Nama Program]],'[2]Summary Plan'!$E:$E,'[2]Summary Plan'!$M:$M)</f>
        <v>1.0000000000000002</v>
      </c>
      <c r="T371" s="128">
        <f>Table1[[#This Row],[Progres Total Aktual
(%)]]</f>
        <v>7.0822232078847316E-2</v>
      </c>
      <c r="U371" s="103">
        <f>Table1[[#This Row],[Progres Aktual
(%)]]-Table1[[#This Row],[Target Progres
(%)]]</f>
        <v>-0.92917776792115292</v>
      </c>
      <c r="V371" s="75">
        <f>Table1[[#This Row],["Volume
BA MC-0"]]</f>
        <v>0</v>
      </c>
      <c r="W371" s="75">
        <f>Table1[[#This Row],[Total Panjang Pipa Aktual
(Sum-&gt;)3]]</f>
        <v>0</v>
      </c>
      <c r="X371" s="99"/>
      <c r="Y371" s="62" t="s">
        <v>2963</v>
      </c>
      <c r="Z371" s="62">
        <v>57696121</v>
      </c>
      <c r="AA371" s="479">
        <f>ROUND((Table1[[#This Row],[Nilai RAB Jaringan
(Exclude Ppn)]]-Table1[[#This Row],[RAB Perizinan]])*1.11+Table1[[#This Row],[RAB Perizinan]],0)</f>
        <v>57696121</v>
      </c>
      <c r="AB371" s="406">
        <f>SUM(Table1[[#This Row],[RAB Kegiatan Umum]:[RAB Perizinan]])</f>
        <v>52007225.799999997</v>
      </c>
      <c r="AC371" s="406">
        <v>3794700.8</v>
      </c>
      <c r="AD371" s="406">
        <v>37947008</v>
      </c>
      <c r="AE371" s="406">
        <v>9975517</v>
      </c>
      <c r="AF371" s="406">
        <v>290000</v>
      </c>
      <c r="AG371" s="406"/>
      <c r="AH371" s="480">
        <f>SUM(Table1[[#This Row],[Bobot Keg Umum]:[Bobot Perizinan]])</f>
        <v>1</v>
      </c>
      <c r="AI371" s="480">
        <f>Table1[[#This Row],[RAB Kegiatan Umum]]/Table1[[#This Row],[Nilai RAB Jaringan
(Exclude Ppn)]]</f>
        <v>7.2964876353777755E-2</v>
      </c>
      <c r="AJ371" s="480">
        <f>Table1[[#This Row],[RAB Pemasangan]]/Table1[[#This Row],[Nilai RAB Jaringan
(Exclude Ppn)]]</f>
        <v>0.72964876353777752</v>
      </c>
      <c r="AK371" s="111">
        <f>Table1[[#This Row],[RAB Pengadaan]]/Table1[[#This Row],[Nilai RAB Jaringan
(Exclude Ppn)]]</f>
        <v>0.19181021188021147</v>
      </c>
      <c r="AL371" s="112">
        <f>Table1[[#This Row],[RAB Perizinan]]/Table1[[#This Row],[Nilai RAB Jaringan
(Exclude Ppn)]]</f>
        <v>5.5761482282333163E-3</v>
      </c>
      <c r="AM371" s="42"/>
      <c r="AN371" s="256"/>
      <c r="AO371" s="256">
        <f>SUM(Table1[[#This Row],[Pipa 63 mm]:[Pipa 1,800 mm]])</f>
        <v>0</v>
      </c>
      <c r="AP371" s="256"/>
      <c r="AQ371" s="256"/>
      <c r="AR371" s="256"/>
      <c r="AS371" s="256"/>
      <c r="AT371" s="256"/>
      <c r="AU371" s="256"/>
      <c r="AV371" s="256"/>
      <c r="AW371" s="256"/>
      <c r="AX371" s="256"/>
      <c r="AY371" s="256"/>
      <c r="AZ371" s="256"/>
      <c r="BA371" s="256"/>
      <c r="BB371" s="256"/>
      <c r="BC371" s="256"/>
      <c r="BD371" s="256"/>
      <c r="BE371" s="256"/>
      <c r="BF371" s="256"/>
      <c r="BG371" s="256"/>
      <c r="BH371" s="256"/>
      <c r="BI371" s="256"/>
      <c r="BJ371" s="36">
        <f>SUM(Table1[[#This Row],[Pipa 63 mm2]:[Pipa 1,800 mm21]])</f>
        <v>0</v>
      </c>
      <c r="BK371" s="32"/>
      <c r="BL371" s="32"/>
      <c r="BM371" s="32"/>
      <c r="BN371" s="32"/>
      <c r="BO371" s="32"/>
      <c r="BP371" s="32"/>
      <c r="BQ371" s="32"/>
      <c r="BR371" s="32"/>
      <c r="BS371" s="32"/>
      <c r="BT371" s="32"/>
      <c r="BU371" s="32"/>
      <c r="BV371" s="32"/>
      <c r="BW371" s="32"/>
      <c r="BX371" s="32"/>
      <c r="BY371" s="32"/>
      <c r="BZ371" s="32"/>
      <c r="CA371" s="32"/>
      <c r="CB371" s="32"/>
      <c r="CC371" s="32"/>
      <c r="CD371" s="32"/>
      <c r="CE371" s="32"/>
      <c r="CF371" s="32"/>
      <c r="CG371" s="32"/>
      <c r="CH371" s="32"/>
      <c r="CI371" s="32"/>
      <c r="CJ371" s="32">
        <f>IF((Table1[[#This Row],["Volume
BA MC-0"]]-Table1[[#This Row],[Total Panjang Pipa Aktual
(Sum-&gt;)3]]-Table1[[#This Row],[Total Volume
tidak dapat dipasang]])&gt;=0,Table1[[#This Row],["Volume
BA MC-0"]]-Table1[[#This Row],[Total Panjang Pipa Aktual
(Sum-&gt;)3]]-Table1[[#This Row],[Total Volume
tidak dapat dipasang]],0)</f>
        <v>0</v>
      </c>
      <c r="CK371" s="42"/>
      <c r="CL371" s="113"/>
      <c r="CM371" s="307"/>
      <c r="CN371" s="113"/>
      <c r="CO371" s="113"/>
      <c r="CP37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7.0822232078847316E-2</v>
      </c>
      <c r="CQ371" s="406">
        <f>IFERROR(Table1[[#This Row],[Progres Keg. Umum
(%)]]*Table1[[#This Row],[Nilai RAB Jaringan
(file pa aji)]],0)</f>
        <v>0</v>
      </c>
      <c r="CR371" s="406">
        <f>IFERROR(Table1[[#This Row],[Progres MOS
(%)]]*Table1[[#This Row],[Nilai RAB Jaringan
(file pa aji)]],0)</f>
        <v>0</v>
      </c>
      <c r="CS371" s="406">
        <f>IFERROR(Table1[[#This Row],[Progres Pemasangan
(%)]]*Table1[[#This Row],[Nilai RAB Jaringan
(file pa aji)]],0)</f>
        <v>0</v>
      </c>
      <c r="CT371" s="406">
        <f>IFERROR(Table1[[#This Row],[Progres Perizinan
(%)]]*Table1[[#This Row],[Nilai RAB Jaringan
(file pa aji)]],0)</f>
        <v>0</v>
      </c>
      <c r="CU371" s="789">
        <v>0</v>
      </c>
      <c r="CV371" s="299">
        <v>0</v>
      </c>
      <c r="CW371" s="481">
        <v>0</v>
      </c>
      <c r="CX371" s="789">
        <f>_xlfn.XLOOKUP(Table1[[#This Row],[Kode Program]],'[1]Breakdown VOWD Greenfield'!$E:$E,'[1]Breakdown VOWD Greenfield'!$AT:$AT)</f>
        <v>0</v>
      </c>
      <c r="CY371" s="42"/>
      <c r="CZ371" s="301">
        <v>45957</v>
      </c>
      <c r="DA371" s="301">
        <v>45984</v>
      </c>
      <c r="DB371" s="301">
        <v>45966</v>
      </c>
      <c r="DC371" s="286" t="s">
        <v>2964</v>
      </c>
      <c r="DD371" s="478">
        <v>57696121</v>
      </c>
      <c r="DE37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1" s="301">
        <v>45987</v>
      </c>
      <c r="DG371" s="286" t="s">
        <v>2965</v>
      </c>
      <c r="DH371" s="478">
        <v>57696121</v>
      </c>
      <c r="DI37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1" s="301">
        <v>45985</v>
      </c>
      <c r="DK371" s="301">
        <v>46047</v>
      </c>
      <c r="DL371" s="301">
        <v>46042</v>
      </c>
      <c r="DM371" s="286" t="s">
        <v>2966</v>
      </c>
      <c r="DN37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1" s="301">
        <v>46091</v>
      </c>
      <c r="DP371" s="286" t="s">
        <v>2967</v>
      </c>
      <c r="DQ371" s="308" t="s">
        <v>479</v>
      </c>
      <c r="DR37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1" s="301">
        <v>45985</v>
      </c>
      <c r="DT371" s="301">
        <v>0</v>
      </c>
      <c r="DU371" s="301">
        <v>46026</v>
      </c>
      <c r="DV371" s="301">
        <v>0</v>
      </c>
      <c r="DW371" s="301">
        <v>46042</v>
      </c>
      <c r="DX371" s="286" t="s">
        <v>2968</v>
      </c>
      <c r="DY371" s="304">
        <v>13</v>
      </c>
      <c r="DZ371" s="304">
        <v>13</v>
      </c>
      <c r="EA37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1" s="301"/>
      <c r="EC371" s="302">
        <v>11</v>
      </c>
      <c r="ED371" s="302">
        <v>11</v>
      </c>
      <c r="EE371" s="100"/>
      <c r="EF371" s="307">
        <v>0.84615384615384615</v>
      </c>
      <c r="EG371" s="307">
        <f>Table1[[#This Row],[Line PO]]/Table1[[#This Row],[Line PR]]</f>
        <v>0.84615384615384615</v>
      </c>
      <c r="EH371" s="286" t="str">
        <f>IF(Table1[[#This Row],[PO Material Aktual 
(%)]]&gt;=100%,"Selesai PO = 100%",IF(Table1[[#This Row],[PO Material Aktual 
(%)]]&gt;=50%,"Proses PO &gt; 100%",IF(Table1[[#This Row],[PO Material Aktual 
(%)]]&gt;0%,"Proses PO &gt; 50%",IF(Table1[[#This Row],[PO Material Aktual 
(%)]]=0,"Belum PO = 0%"))))</f>
        <v>Proses PO &gt; 100%</v>
      </c>
      <c r="EI37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1" s="301">
        <v>46027</v>
      </c>
      <c r="EK371" s="301">
        <v>0</v>
      </c>
      <c r="EL371" s="301">
        <v>46103</v>
      </c>
      <c r="EM371" s="301">
        <v>0</v>
      </c>
      <c r="EN371" s="301"/>
      <c r="EO371" s="302">
        <v>8</v>
      </c>
      <c r="EP371" s="302">
        <v>8</v>
      </c>
      <c r="EQ371" s="307">
        <v>0.61538461538461542</v>
      </c>
      <c r="ER371" s="307">
        <f>Table1[[#This Row],[Line MOS (kolom bantu)]]/Table1[[#This Row],[Line PR]]</f>
        <v>0.61538461538461542</v>
      </c>
      <c r="ES371" s="286" t="str">
        <f>IF(Table1[[#This Row],[Progres MOS]]&gt;=100%,"Selesai MOS = 100%",IF(Table1[[#This Row],[Progres MOS]]&gt;=50%,"Proses MOS &gt; 100%",IF(Table1[[#This Row],[Progres MOS]]&gt;0%,"Proses MOS &gt; 50%",IF(Table1[[#This Row],[Progres MOS]]=0,"Belum MOS = 0%"))))</f>
        <v>Proses MOS &gt; 100%</v>
      </c>
      <c r="ET37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1" s="42"/>
      <c r="EV371" s="301">
        <v>45985</v>
      </c>
      <c r="EW371" s="301">
        <v>0</v>
      </c>
      <c r="EX371" s="301">
        <v>46075</v>
      </c>
      <c r="EY371" s="301">
        <v>0</v>
      </c>
      <c r="EZ371" s="322" t="s">
        <v>2769</v>
      </c>
      <c r="FA371" s="379" t="s">
        <v>2769</v>
      </c>
      <c r="FB371" s="300"/>
      <c r="FC371" s="300">
        <v>46010</v>
      </c>
      <c r="FD371" s="300" t="s">
        <v>260</v>
      </c>
      <c r="FE371" s="300"/>
      <c r="FF371" s="300"/>
      <c r="FG371" s="300"/>
      <c r="FH371" s="300"/>
      <c r="FI371" s="300"/>
      <c r="FJ371" s="300"/>
      <c r="FK371" s="300"/>
      <c r="FL371" s="306" t="s">
        <v>2827</v>
      </c>
      <c r="FM371" s="322"/>
      <c r="FN371" s="308" t="str">
        <f>IF(Table1[[#This Row],[Tanggal Pengajuan Dokumen]]="","",Table1[[#This Row],[PLAN PERMIT
start]]-Table1[[#This Row],[Tanggal Pengajuan Dokumen]])</f>
        <v/>
      </c>
      <c r="FO371" s="322"/>
      <c r="FP371" s="286"/>
      <c r="FQ371" s="308"/>
      <c r="FR371" s="301"/>
      <c r="FS371" s="308"/>
      <c r="FT37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1" s="314">
        <f ca="1">IF(Table1[[#This Row],[Status Izin]]="Selesai",Table1[[#This Row],[PLAN PERMIT
finish]]-Table1[[#This Row],[Tanggal Terbit/ Target Izin Terbit]],ROUNDUP(Table1[[#This Row],[PLAN PERMIT
finish]]-NOW(),0))</f>
        <v>-129</v>
      </c>
      <c r="FV37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1" s="314"/>
      <c r="FX371" s="42"/>
      <c r="FY371" s="483">
        <v>46034</v>
      </c>
      <c r="FZ371" s="483">
        <v>46049</v>
      </c>
      <c r="GA37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1" s="301">
        <v>46048</v>
      </c>
      <c r="GC371" s="322">
        <v>46141</v>
      </c>
      <c r="GD37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1" s="301">
        <v>46055</v>
      </c>
      <c r="GF371" s="322">
        <v>46141</v>
      </c>
      <c r="GG37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1" s="301">
        <v>46062</v>
      </c>
      <c r="GI371" s="301">
        <v>46068</v>
      </c>
      <c r="GJ371" s="322">
        <v>46146</v>
      </c>
      <c r="GK37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1" s="301">
        <v>46076</v>
      </c>
      <c r="GM371" s="301">
        <v>0</v>
      </c>
      <c r="GN371" s="301">
        <v>46103</v>
      </c>
      <c r="GO371" s="300">
        <v>0</v>
      </c>
      <c r="GP371" s="286"/>
      <c r="GQ37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1" s="301"/>
      <c r="GS371" s="301"/>
      <c r="GT371" s="324"/>
      <c r="GU371" s="314" t="str">
        <f>IF(Table1[[#This Row],[Hydro Tes Actual
(tanggal)]]&lt;&gt;"","Sudah","Belum")</f>
        <v>Belum</v>
      </c>
      <c r="GV371" s="300"/>
      <c r="GW371" s="300"/>
      <c r="GX371" s="301"/>
      <c r="GY371" s="314" t="str">
        <f>IF(Table1[[#This Row],[Interkoneksi Actual
(tanggal)]]&lt;&gt;"","Sudah","Belum")</f>
        <v>Belum</v>
      </c>
      <c r="GZ371" s="300"/>
      <c r="HA371" s="300"/>
      <c r="HB371" s="301"/>
      <c r="HC371" s="314" t="str">
        <f>IF(Table1[[#This Row],[Flushing Actual
(tanggal)]]&lt;&gt;"","Sudah","Belum")</f>
        <v>Belum</v>
      </c>
      <c r="HD371" s="301">
        <v>46106</v>
      </c>
      <c r="HE371" s="301">
        <v>0</v>
      </c>
      <c r="HF371" s="301">
        <v>46111</v>
      </c>
      <c r="HG371" s="322"/>
      <c r="HH37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1" s="300"/>
      <c r="HJ371" s="300"/>
      <c r="HK371" s="301"/>
      <c r="HL371" s="301"/>
      <c r="HM371" s="301">
        <v>46128</v>
      </c>
      <c r="HN371" s="301">
        <v>46128</v>
      </c>
      <c r="HO371" s="300">
        <v>0</v>
      </c>
      <c r="HP371" s="300"/>
      <c r="HQ371" s="301"/>
      <c r="HR37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1" s="301">
        <v>46136</v>
      </c>
      <c r="HT371" s="301"/>
      <c r="HU371" s="301">
        <v>46136</v>
      </c>
      <c r="HV371" s="390"/>
      <c r="HW371" s="365"/>
      <c r="HX37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1" s="42"/>
      <c r="HZ371" s="322"/>
      <c r="IA371" s="306"/>
      <c r="IB371" s="67"/>
      <c r="IC371" s="585">
        <f>IFERROR(ROUND((Table1[[#This Row],[PLAN TC
finish]]-Table1[[#This Row],[PLAN MC-0
start]])/30,2),"")</f>
        <v>1.63</v>
      </c>
      <c r="ID371">
        <f>DATEDIF(Table1[[#This Row],[PLAN MC-0
start]],Table1[[#This Row],[PLAN TC
finish]],"m")</f>
        <v>1</v>
      </c>
      <c r="IE371" s="6"/>
      <c r="IF371" s="6"/>
      <c r="IG371" s="67"/>
      <c r="II371" s="6"/>
      <c r="IJ371" s="4"/>
      <c r="IK371" s="4"/>
      <c r="IL371" s="6"/>
      <c r="IM371" s="6"/>
      <c r="IN371" s="6"/>
      <c r="IO371" s="6"/>
      <c r="IP371" s="6"/>
      <c r="IR371" s="6"/>
      <c r="IS371" s="6"/>
      <c r="IT371" s="6"/>
      <c r="IU371" s="6"/>
      <c r="IX371" s="6"/>
      <c r="IY371" s="6"/>
      <c r="JA371" s="6"/>
      <c r="JB371" s="6"/>
    </row>
    <row r="372" spans="2:262" ht="15" customHeight="1" x14ac:dyDescent="0.25">
      <c r="B372" s="281">
        <f>SUBTOTAL(3,$D$5:D372)</f>
        <v>368</v>
      </c>
      <c r="C372" s="286">
        <v>368</v>
      </c>
      <c r="D372" s="285" t="s">
        <v>244</v>
      </c>
      <c r="E372" s="308" t="s">
        <v>2969</v>
      </c>
      <c r="F372" s="308" t="s">
        <v>2970</v>
      </c>
      <c r="G372" s="319">
        <v>46300</v>
      </c>
      <c r="H372" s="308" t="s">
        <v>681</v>
      </c>
      <c r="I372" s="308" t="s">
        <v>278</v>
      </c>
      <c r="J372" s="450"/>
      <c r="K372" s="308"/>
      <c r="L372" s="286"/>
      <c r="M372" s="325" t="s">
        <v>269</v>
      </c>
      <c r="N372" s="477">
        <v>55</v>
      </c>
      <c r="O372" s="477" t="s">
        <v>252</v>
      </c>
      <c r="P37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2" s="35">
        <v>1</v>
      </c>
      <c r="S372" s="297">
        <f>_xlfn.XLOOKUP(Table1[[#This Row],[Nama Program]],'[2]Summary Plan'!$E:$E,'[2]Summary Plan'!$M:$M)</f>
        <v>1</v>
      </c>
      <c r="T372" s="128">
        <f>Table1[[#This Row],[Progres Total Aktual
(%)]]</f>
        <v>7.9003289546693556E-2</v>
      </c>
      <c r="U372" s="103">
        <f>Table1[[#This Row],[Progres Aktual
(%)]]-Table1[[#This Row],[Target Progres
(%)]]</f>
        <v>-0.92099671045330644</v>
      </c>
      <c r="V372" s="75">
        <f>Table1[[#This Row],["Volume
BA MC-0"]]</f>
        <v>0</v>
      </c>
      <c r="W372" s="75">
        <f>Table1[[#This Row],[Total Panjang Pipa Aktual
(Sum-&gt;)3]]</f>
        <v>0</v>
      </c>
      <c r="X372" s="99"/>
      <c r="Y372" s="62" t="s">
        <v>2971</v>
      </c>
      <c r="Z372" s="62">
        <v>134399396</v>
      </c>
      <c r="AA372" s="479">
        <f>ROUND((Table1[[#This Row],[Nilai RAB Jaringan
(Exclude Ppn)]]-Table1[[#This Row],[RAB Perizinan]])*1.11+Table1[[#This Row],[RAB Perizinan]],0)</f>
        <v>134058202</v>
      </c>
      <c r="AB372" s="406">
        <f>SUM(Table1[[#This Row],[RAB Kegiatan Umum]:[RAB Perizinan]])</f>
        <v>120793847</v>
      </c>
      <c r="AC372" s="406">
        <v>8333321</v>
      </c>
      <c r="AD372" s="406">
        <v>83333201</v>
      </c>
      <c r="AE372" s="406">
        <v>28918519</v>
      </c>
      <c r="AF372" s="406">
        <v>208806</v>
      </c>
      <c r="AG372" s="406"/>
      <c r="AH372" s="480">
        <f>SUM(Table1[[#This Row],[Bobot Keg Umum]:[Bobot Perizinan]])</f>
        <v>1</v>
      </c>
      <c r="AI372" s="480">
        <f>Table1[[#This Row],[RAB Kegiatan Umum]]/Table1[[#This Row],[Nilai RAB Jaringan
(Exclude Ppn)]]</f>
        <v>6.8987959295641943E-2</v>
      </c>
      <c r="AJ372" s="480">
        <f>Table1[[#This Row],[RAB Pemasangan]]/Table1[[#This Row],[Nilai RAB Jaringan
(Exclude Ppn)]]</f>
        <v>0.68987951844931306</v>
      </c>
      <c r="AK372" s="111">
        <f>Table1[[#This Row],[RAB Pengadaan]]/Table1[[#This Row],[Nilai RAB Jaringan
(Exclude Ppn)]]</f>
        <v>0.23940390771725317</v>
      </c>
      <c r="AL372" s="112">
        <f>Table1[[#This Row],[RAB Perizinan]]/Table1[[#This Row],[Nilai RAB Jaringan
(Exclude Ppn)]]</f>
        <v>1.7286145377918131E-3</v>
      </c>
      <c r="AM372" s="42"/>
      <c r="AN372" s="256"/>
      <c r="AO372" s="256">
        <f>SUM(Table1[[#This Row],[Pipa 63 mm]:[Pipa 1,800 mm]])</f>
        <v>63</v>
      </c>
      <c r="AP372" s="256">
        <v>63</v>
      </c>
      <c r="AQ372" s="256"/>
      <c r="AR372" s="256"/>
      <c r="AS372" s="256"/>
      <c r="AT372" s="256"/>
      <c r="AU372" s="256"/>
      <c r="AV372" s="256"/>
      <c r="AW372" s="256"/>
      <c r="AX372" s="256"/>
      <c r="AY372" s="256"/>
      <c r="AZ372" s="256"/>
      <c r="BA372" s="256"/>
      <c r="BB372" s="256"/>
      <c r="BC372" s="256"/>
      <c r="BD372" s="256"/>
      <c r="BE372" s="256"/>
      <c r="BF372" s="256"/>
      <c r="BG372" s="256"/>
      <c r="BH372" s="256"/>
      <c r="BI372" s="256"/>
      <c r="BJ372" s="36">
        <f>SUM(Table1[[#This Row],[Pipa 63 mm2]:[Pipa 1,800 mm21]])</f>
        <v>0</v>
      </c>
      <c r="BK372" s="32"/>
      <c r="BL372" s="32"/>
      <c r="BM372" s="32"/>
      <c r="BN372" s="32"/>
      <c r="BO372" s="32"/>
      <c r="BP372" s="32"/>
      <c r="BQ372" s="32"/>
      <c r="BR372" s="32"/>
      <c r="BS372" s="32"/>
      <c r="BT372" s="32"/>
      <c r="BU372" s="32"/>
      <c r="BV372" s="32"/>
      <c r="BW372" s="32"/>
      <c r="BX372" s="32"/>
      <c r="BY372" s="32"/>
      <c r="BZ372" s="32"/>
      <c r="CA372" s="32"/>
      <c r="CB372" s="32"/>
      <c r="CC372" s="32"/>
      <c r="CD372" s="32"/>
      <c r="CE372" s="32"/>
      <c r="CF372" s="32"/>
      <c r="CG372" s="32"/>
      <c r="CH372" s="32"/>
      <c r="CI372" s="32"/>
      <c r="CJ372" s="32">
        <f>IF((Table1[[#This Row],["Volume
BA MC-0"]]-Table1[[#This Row],[Total Panjang Pipa Aktual
(Sum-&gt;)3]]-Table1[[#This Row],[Total Volume
tidak dapat dipasang]])&gt;=0,Table1[[#This Row],["Volume
BA MC-0"]]-Table1[[#This Row],[Total Panjang Pipa Aktual
(Sum-&gt;)3]]-Table1[[#This Row],[Total Volume
tidak dapat dipasang]],0)</f>
        <v>0</v>
      </c>
      <c r="CK372" s="42"/>
      <c r="CL372" s="113"/>
      <c r="CM372" s="307"/>
      <c r="CN372" s="113"/>
      <c r="CO372" s="113"/>
      <c r="CP37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7.9003289546693556E-2</v>
      </c>
      <c r="CQ372" s="406">
        <f>IFERROR(Table1[[#This Row],[Progres Keg. Umum
(%)]]*Table1[[#This Row],[Nilai RAB Jaringan
(file pa aji)]],0)</f>
        <v>0</v>
      </c>
      <c r="CR372" s="406">
        <f>IFERROR(Table1[[#This Row],[Progres MOS
(%)]]*Table1[[#This Row],[Nilai RAB Jaringan
(file pa aji)]],0)</f>
        <v>0</v>
      </c>
      <c r="CS372" s="406">
        <f>IFERROR(Table1[[#This Row],[Progres Pemasangan
(%)]]*Table1[[#This Row],[Nilai RAB Jaringan
(file pa aji)]],0)</f>
        <v>0</v>
      </c>
      <c r="CT372" s="406">
        <f>IFERROR(Table1[[#This Row],[Progres Perizinan
(%)]]*Table1[[#This Row],[Nilai RAB Jaringan
(file pa aji)]],0)</f>
        <v>0</v>
      </c>
      <c r="CU372" s="789">
        <v>0</v>
      </c>
      <c r="CV372" s="299">
        <v>0</v>
      </c>
      <c r="CW372" s="481">
        <v>0</v>
      </c>
      <c r="CX372" s="789">
        <f>_xlfn.XLOOKUP(Table1[[#This Row],[Kode Program]],'[1]Breakdown VOWD Greenfield'!$E:$E,'[1]Breakdown VOWD Greenfield'!$AT:$AT)</f>
        <v>0</v>
      </c>
      <c r="CY372" s="42"/>
      <c r="CZ372" s="301">
        <v>45957</v>
      </c>
      <c r="DA372" s="301">
        <v>45984</v>
      </c>
      <c r="DB372" s="301">
        <v>45967</v>
      </c>
      <c r="DC372" s="286" t="s">
        <v>2972</v>
      </c>
      <c r="DD372" s="478">
        <v>134399396</v>
      </c>
      <c r="DE37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2" s="301">
        <v>45987</v>
      </c>
      <c r="DG372" s="286" t="s">
        <v>2973</v>
      </c>
      <c r="DH372" s="478">
        <v>134399396</v>
      </c>
      <c r="DI37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2" s="301">
        <v>45985</v>
      </c>
      <c r="DK372" s="301">
        <v>46047</v>
      </c>
      <c r="DL372" s="301">
        <v>46042</v>
      </c>
      <c r="DM372" s="286" t="s">
        <v>2974</v>
      </c>
      <c r="DN37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2" s="301">
        <v>46087</v>
      </c>
      <c r="DP372" s="286"/>
      <c r="DQ372" s="308" t="s">
        <v>371</v>
      </c>
      <c r="DR37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2" s="301">
        <v>45985</v>
      </c>
      <c r="DT372" s="301">
        <v>46164</v>
      </c>
      <c r="DU372" s="301">
        <v>46026</v>
      </c>
      <c r="DV372" s="301">
        <v>46178</v>
      </c>
      <c r="DW372" s="301">
        <v>46042</v>
      </c>
      <c r="DX372" s="286" t="s">
        <v>2975</v>
      </c>
      <c r="DY372" s="304">
        <v>20</v>
      </c>
      <c r="DZ372" s="304">
        <v>20</v>
      </c>
      <c r="EA37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2" s="301"/>
      <c r="EC372" s="302">
        <v>18</v>
      </c>
      <c r="ED372" s="302">
        <v>18</v>
      </c>
      <c r="EE372" s="100"/>
      <c r="EF372" s="307">
        <v>0.9</v>
      </c>
      <c r="EG372" s="307">
        <f>Table1[[#This Row],[Line PO]]/Table1[[#This Row],[Line PR]]</f>
        <v>0.9</v>
      </c>
      <c r="EH372" s="286" t="str">
        <f>IF(Table1[[#This Row],[PO Material Aktual 
(%)]]&gt;=100%,"Selesai PO = 100%",IF(Table1[[#This Row],[PO Material Aktual 
(%)]]&gt;=50%,"Proses PO &gt; 100%",IF(Table1[[#This Row],[PO Material Aktual 
(%)]]&gt;0%,"Proses PO &gt; 50%",IF(Table1[[#This Row],[PO Material Aktual 
(%)]]=0,"Belum PO = 0%"))))</f>
        <v>Proses PO &gt; 100%</v>
      </c>
      <c r="EI37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2" s="301">
        <v>46027</v>
      </c>
      <c r="EK372" s="301">
        <v>46178</v>
      </c>
      <c r="EL372" s="301">
        <v>46103</v>
      </c>
      <c r="EM372" s="301">
        <v>46183</v>
      </c>
      <c r="EN372" s="301"/>
      <c r="EO372" s="302">
        <v>11</v>
      </c>
      <c r="EP372" s="302">
        <v>11</v>
      </c>
      <c r="EQ372" s="307">
        <v>0.55000000000000004</v>
      </c>
      <c r="ER372" s="307">
        <f>Table1[[#This Row],[Line MOS (kolom bantu)]]/Table1[[#This Row],[Line PR]]</f>
        <v>0.55000000000000004</v>
      </c>
      <c r="ES372" s="286" t="str">
        <f>IF(Table1[[#This Row],[Progres MOS]]&gt;=100%,"Selesai MOS = 100%",IF(Table1[[#This Row],[Progres MOS]]&gt;=50%,"Proses MOS &gt; 100%",IF(Table1[[#This Row],[Progres MOS]]&gt;0%,"Proses MOS &gt; 50%",IF(Table1[[#This Row],[Progres MOS]]=0,"Belum MOS = 0%"))))</f>
        <v>Proses MOS &gt; 100%</v>
      </c>
      <c r="ET37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2" s="42"/>
      <c r="EV372" s="301">
        <v>45985</v>
      </c>
      <c r="EW372" s="301">
        <v>46156</v>
      </c>
      <c r="EX372" s="301">
        <v>46075</v>
      </c>
      <c r="EY372" s="301">
        <v>46186</v>
      </c>
      <c r="EZ372" s="322" t="s">
        <v>2976</v>
      </c>
      <c r="FA372" s="379" t="s">
        <v>2976</v>
      </c>
      <c r="FB372" s="300"/>
      <c r="FC372" s="300">
        <v>46010</v>
      </c>
      <c r="FD372" s="300" t="s">
        <v>260</v>
      </c>
      <c r="FE372" s="300"/>
      <c r="FF372" s="300"/>
      <c r="FG372" s="300"/>
      <c r="FH372" s="300"/>
      <c r="FI372" s="300"/>
      <c r="FJ372" s="300"/>
      <c r="FK372" s="300"/>
      <c r="FL372" s="306" t="s">
        <v>2827</v>
      </c>
      <c r="FM372" s="322"/>
      <c r="FN372" s="308" t="str">
        <f>IF(Table1[[#This Row],[Tanggal Pengajuan Dokumen]]="","",Table1[[#This Row],[PLAN PERMIT
start]]-Table1[[#This Row],[Tanggal Pengajuan Dokumen]])</f>
        <v/>
      </c>
      <c r="FO372" s="322"/>
      <c r="FP372" s="286"/>
      <c r="FQ372" s="308"/>
      <c r="FR372" s="301"/>
      <c r="FS372" s="308"/>
      <c r="FT37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2" s="314">
        <f ca="1">IF(Table1[[#This Row],[Status Izin]]="Selesai",Table1[[#This Row],[PLAN PERMIT
finish]]-Table1[[#This Row],[Tanggal Terbit/ Target Izin Terbit]],ROUNDUP(Table1[[#This Row],[PLAN PERMIT
finish]]-NOW(),0))</f>
        <v>-129</v>
      </c>
      <c r="FV37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2" s="314"/>
      <c r="FX372" s="42"/>
      <c r="FY372" s="483">
        <v>46034</v>
      </c>
      <c r="FZ372" s="483">
        <v>46049</v>
      </c>
      <c r="GA37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2" s="301">
        <v>46048</v>
      </c>
      <c r="GC372" s="322">
        <v>46141</v>
      </c>
      <c r="GD37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2" s="301">
        <v>46055</v>
      </c>
      <c r="GF372" s="322">
        <v>46141</v>
      </c>
      <c r="GG37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2" s="301">
        <v>46062</v>
      </c>
      <c r="GI372" s="301">
        <v>46068</v>
      </c>
      <c r="GJ372" s="322">
        <v>46148</v>
      </c>
      <c r="GK37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2" s="301">
        <v>46076</v>
      </c>
      <c r="GM372" s="301">
        <v>46193</v>
      </c>
      <c r="GN372" s="301">
        <v>46103</v>
      </c>
      <c r="GO372" s="300">
        <v>46241</v>
      </c>
      <c r="GP372" s="286"/>
      <c r="GQ37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2" s="301"/>
      <c r="GS372" s="301"/>
      <c r="GT372" s="324"/>
      <c r="GU372" s="314" t="str">
        <f>IF(Table1[[#This Row],[Hydro Tes Actual
(tanggal)]]&lt;&gt;"","Sudah","Belum")</f>
        <v>Belum</v>
      </c>
      <c r="GV372" s="300"/>
      <c r="GW372" s="300"/>
      <c r="GX372" s="301"/>
      <c r="GY372" s="314" t="str">
        <f>IF(Table1[[#This Row],[Interkoneksi Actual
(tanggal)]]&lt;&gt;"","Sudah","Belum")</f>
        <v>Belum</v>
      </c>
      <c r="GZ372" s="300"/>
      <c r="HA372" s="300"/>
      <c r="HB372" s="301"/>
      <c r="HC372" s="314" t="str">
        <f>IF(Table1[[#This Row],[Flushing Actual
(tanggal)]]&lt;&gt;"","Sudah","Belum")</f>
        <v>Belum</v>
      </c>
      <c r="HD372" s="301">
        <v>46106</v>
      </c>
      <c r="HE372" s="301">
        <v>46242</v>
      </c>
      <c r="HF372" s="301">
        <v>46111</v>
      </c>
      <c r="HG372" s="322"/>
      <c r="HH37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2" s="300"/>
      <c r="HJ372" s="300"/>
      <c r="HK372" s="301"/>
      <c r="HL372" s="301"/>
      <c r="HM372" s="301">
        <v>46128</v>
      </c>
      <c r="HN372" s="301">
        <v>46128</v>
      </c>
      <c r="HO372" s="300">
        <v>46259</v>
      </c>
      <c r="HP372" s="300"/>
      <c r="HQ372" s="301"/>
      <c r="HR37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2" s="301">
        <v>46136</v>
      </c>
      <c r="HT372" s="301"/>
      <c r="HU372" s="301">
        <v>46136</v>
      </c>
      <c r="HV372" s="390">
        <v>46264</v>
      </c>
      <c r="HW372" s="365"/>
      <c r="HX37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2" s="42"/>
      <c r="HZ372" s="322"/>
      <c r="IA372" s="306"/>
      <c r="IB372" s="67"/>
      <c r="IC372" s="585">
        <f>IFERROR(ROUND((Table1[[#This Row],[PLAN TC
finish]]-Table1[[#This Row],[PLAN MC-0
start]])/30,2),"")</f>
        <v>1.63</v>
      </c>
      <c r="ID372">
        <f>DATEDIF(Table1[[#This Row],[PLAN MC-0
start]],Table1[[#This Row],[PLAN TC
finish]],"m")</f>
        <v>1</v>
      </c>
      <c r="IE372" s="6"/>
      <c r="IF372" s="6"/>
      <c r="IG372" s="67"/>
      <c r="II372" s="6"/>
      <c r="IJ372" s="4"/>
      <c r="IK372" s="4"/>
      <c r="IL372" s="6"/>
      <c r="IM372" s="6"/>
      <c r="IN372" s="6"/>
      <c r="IO372" s="6"/>
      <c r="IP372" s="6"/>
      <c r="IR372" s="6"/>
      <c r="IS372" s="6"/>
      <c r="IT372" s="6"/>
      <c r="IU372" s="6"/>
      <c r="IX372" s="6"/>
      <c r="IY372" s="6"/>
      <c r="JA372" s="6"/>
      <c r="JB372" s="6"/>
    </row>
    <row r="373" spans="2:262" ht="15" customHeight="1" x14ac:dyDescent="0.25">
      <c r="B373" s="281">
        <f>SUBTOTAL(3,$D$5:D373)</f>
        <v>369</v>
      </c>
      <c r="C373" s="286">
        <v>369</v>
      </c>
      <c r="D373" s="285" t="s">
        <v>244</v>
      </c>
      <c r="E373" s="308" t="s">
        <v>2977</v>
      </c>
      <c r="F373" s="308" t="s">
        <v>2978</v>
      </c>
      <c r="G373" s="319">
        <v>46300</v>
      </c>
      <c r="H373" s="308" t="s">
        <v>681</v>
      </c>
      <c r="I373" s="308" t="s">
        <v>278</v>
      </c>
      <c r="J373" s="450"/>
      <c r="K373" s="308"/>
      <c r="L373" s="286"/>
      <c r="M373" s="325" t="s">
        <v>269</v>
      </c>
      <c r="N373" s="477">
        <v>87</v>
      </c>
      <c r="O373" s="477" t="s">
        <v>252</v>
      </c>
      <c r="P37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3" s="35">
        <v>1</v>
      </c>
      <c r="S373" s="297">
        <f>_xlfn.XLOOKUP(Table1[[#This Row],[Nama Program]],'[2]Summary Plan'!$E:$E,'[2]Summary Plan'!$M:$M)</f>
        <v>1</v>
      </c>
      <c r="T373" s="128">
        <f>Table1[[#This Row],[Progres Total Aktual
(%)]]</f>
        <v>8.8178517756254113E-2</v>
      </c>
      <c r="U373" s="103">
        <f>Table1[[#This Row],[Progres Aktual
(%)]]-Table1[[#This Row],[Target Progres
(%)]]</f>
        <v>-0.91182148224374593</v>
      </c>
      <c r="V373" s="75">
        <f>Table1[[#This Row],["Volume
BA MC-0"]]</f>
        <v>0</v>
      </c>
      <c r="W373" s="75">
        <f>Table1[[#This Row],[Total Panjang Pipa Aktual
(Sum-&gt;)3]]</f>
        <v>0</v>
      </c>
      <c r="X373" s="99"/>
      <c r="Y373" s="62" t="s">
        <v>2979</v>
      </c>
      <c r="Z373" s="62">
        <v>161289261</v>
      </c>
      <c r="AA373" s="479">
        <f>ROUND((Table1[[#This Row],[Nilai RAB Jaringan
(Exclude Ppn)]]-Table1[[#This Row],[RAB Perizinan]])*1.11+Table1[[#This Row],[RAB Perizinan]],0)</f>
        <v>161289261</v>
      </c>
      <c r="AB373" s="406">
        <f>SUM(Table1[[#This Row],[RAB Kegiatan Umum]:[RAB Perizinan]])</f>
        <v>145391856.5</v>
      </c>
      <c r="AC373" s="406">
        <v>9959729.5</v>
      </c>
      <c r="AD373" s="406">
        <v>99597295</v>
      </c>
      <c r="AE373" s="406">
        <v>34964832</v>
      </c>
      <c r="AF373" s="406">
        <v>870000</v>
      </c>
      <c r="AG373" s="406"/>
      <c r="AH373" s="480">
        <f>SUM(Table1[[#This Row],[Bobot Keg Umum]:[Bobot Perizinan]])</f>
        <v>1</v>
      </c>
      <c r="AI373" s="480">
        <f>Table1[[#This Row],[RAB Kegiatan Umum]]/Table1[[#This Row],[Nilai RAB Jaringan
(Exclude Ppn)]]</f>
        <v>6.8502664040196781E-2</v>
      </c>
      <c r="AJ373" s="480">
        <f>Table1[[#This Row],[RAB Pemasangan]]/Table1[[#This Row],[Nilai RAB Jaringan
(Exclude Ppn)]]</f>
        <v>0.68502664040196781</v>
      </c>
      <c r="AK373" s="111">
        <f>Table1[[#This Row],[RAB Pengadaan]]/Table1[[#This Row],[Nilai RAB Jaringan
(Exclude Ppn)]]</f>
        <v>0.24048686660796575</v>
      </c>
      <c r="AL373" s="112">
        <f>Table1[[#This Row],[RAB Perizinan]]/Table1[[#This Row],[Nilai RAB Jaringan
(Exclude Ppn)]]</f>
        <v>5.9838289498696925E-3</v>
      </c>
      <c r="AM373" s="42"/>
      <c r="AN373" s="256"/>
      <c r="AO373" s="256">
        <f>SUM(Table1[[#This Row],[Pipa 63 mm]:[Pipa 1,800 mm]])</f>
        <v>0</v>
      </c>
      <c r="AP373" s="256"/>
      <c r="AQ373" s="256"/>
      <c r="AR373" s="256"/>
      <c r="AS373" s="256"/>
      <c r="AT373" s="256"/>
      <c r="AU373" s="256"/>
      <c r="AV373" s="256"/>
      <c r="AW373" s="256"/>
      <c r="AX373" s="256"/>
      <c r="AY373" s="256"/>
      <c r="AZ373" s="256"/>
      <c r="BA373" s="256"/>
      <c r="BB373" s="256"/>
      <c r="BC373" s="256"/>
      <c r="BD373" s="256"/>
      <c r="BE373" s="256"/>
      <c r="BF373" s="256"/>
      <c r="BG373" s="256"/>
      <c r="BH373" s="256"/>
      <c r="BI373" s="256"/>
      <c r="BJ373" s="36">
        <f>SUM(Table1[[#This Row],[Pipa 63 mm2]:[Pipa 1,800 mm21]])</f>
        <v>0</v>
      </c>
      <c r="BK373" s="32"/>
      <c r="BL373" s="32"/>
      <c r="BM373" s="32"/>
      <c r="BN373" s="32"/>
      <c r="BO373" s="32"/>
      <c r="BP373" s="32"/>
      <c r="BQ373" s="32"/>
      <c r="BR373" s="32"/>
      <c r="BS373" s="32"/>
      <c r="BT373" s="32"/>
      <c r="BU373" s="32"/>
      <c r="BV373" s="32"/>
      <c r="BW373" s="32"/>
      <c r="BX373" s="32"/>
      <c r="BY373" s="32"/>
      <c r="BZ373" s="32"/>
      <c r="CA373" s="32"/>
      <c r="CB373" s="32"/>
      <c r="CC373" s="32"/>
      <c r="CD373" s="32"/>
      <c r="CE373" s="32"/>
      <c r="CF373" s="32"/>
      <c r="CG373" s="32"/>
      <c r="CH373" s="32"/>
      <c r="CI373" s="32"/>
      <c r="CJ373" s="32">
        <f>IF((Table1[[#This Row],["Volume
BA MC-0"]]-Table1[[#This Row],[Total Panjang Pipa Aktual
(Sum-&gt;)3]]-Table1[[#This Row],[Total Volume
tidak dapat dipasang]])&gt;=0,Table1[[#This Row],["Volume
BA MC-0"]]-Table1[[#This Row],[Total Panjang Pipa Aktual
(Sum-&gt;)3]]-Table1[[#This Row],[Total Volume
tidak dapat dipasang]],0)</f>
        <v>0</v>
      </c>
      <c r="CK373" s="42"/>
      <c r="CL373" s="113"/>
      <c r="CM373" s="307"/>
      <c r="CN373" s="113"/>
      <c r="CO373" s="113"/>
      <c r="CP37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8.8178517756254113E-2</v>
      </c>
      <c r="CQ373" s="406">
        <f>IFERROR(Table1[[#This Row],[Progres Keg. Umum
(%)]]*Table1[[#This Row],[Nilai RAB Jaringan
(file pa aji)]],0)</f>
        <v>0</v>
      </c>
      <c r="CR373" s="406">
        <f>IFERROR(Table1[[#This Row],[Progres MOS
(%)]]*Table1[[#This Row],[Nilai RAB Jaringan
(file pa aji)]],0)</f>
        <v>0</v>
      </c>
      <c r="CS373" s="406">
        <f>IFERROR(Table1[[#This Row],[Progres Pemasangan
(%)]]*Table1[[#This Row],[Nilai RAB Jaringan
(file pa aji)]],0)</f>
        <v>0</v>
      </c>
      <c r="CT373" s="406">
        <f>IFERROR(Table1[[#This Row],[Progres Perizinan
(%)]]*Table1[[#This Row],[Nilai RAB Jaringan
(file pa aji)]],0)</f>
        <v>0</v>
      </c>
      <c r="CU373" s="789">
        <v>0</v>
      </c>
      <c r="CV373" s="299">
        <v>0</v>
      </c>
      <c r="CW373" s="481">
        <v>0</v>
      </c>
      <c r="CX373" s="789">
        <f>_xlfn.XLOOKUP(Table1[[#This Row],[Kode Program]],'[1]Breakdown VOWD Greenfield'!$E:$E,'[1]Breakdown VOWD Greenfield'!$AT:$AT)</f>
        <v>0</v>
      </c>
      <c r="CY373" s="42"/>
      <c r="CZ373" s="301">
        <v>45957</v>
      </c>
      <c r="DA373" s="301">
        <v>45984</v>
      </c>
      <c r="DB373" s="301">
        <v>45967</v>
      </c>
      <c r="DC373" s="286" t="s">
        <v>2980</v>
      </c>
      <c r="DD373" s="478">
        <v>161289261</v>
      </c>
      <c r="DE37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3" s="301">
        <v>45987</v>
      </c>
      <c r="DG373" s="286" t="s">
        <v>2981</v>
      </c>
      <c r="DH373" s="478">
        <v>161289261</v>
      </c>
      <c r="DI37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3" s="301">
        <v>45985</v>
      </c>
      <c r="DK373" s="301">
        <v>46047</v>
      </c>
      <c r="DL373" s="301">
        <v>46047</v>
      </c>
      <c r="DM373" s="286" t="s">
        <v>2982</v>
      </c>
      <c r="DN37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3" s="301">
        <v>46093</v>
      </c>
      <c r="DP373" s="286" t="s">
        <v>2983</v>
      </c>
      <c r="DQ373" s="308" t="s">
        <v>479</v>
      </c>
      <c r="DR37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3" s="301">
        <v>45985</v>
      </c>
      <c r="DT373" s="301">
        <v>46164</v>
      </c>
      <c r="DU373" s="301">
        <v>46026</v>
      </c>
      <c r="DV373" s="301">
        <v>46178</v>
      </c>
      <c r="DW373" s="301">
        <v>46047</v>
      </c>
      <c r="DX373" s="286" t="s">
        <v>2984</v>
      </c>
      <c r="DY373" s="304">
        <v>18</v>
      </c>
      <c r="DZ373" s="304">
        <v>18</v>
      </c>
      <c r="EA37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3" s="301"/>
      <c r="EC373" s="302">
        <v>16</v>
      </c>
      <c r="ED373" s="302">
        <v>16</v>
      </c>
      <c r="EE373" s="100"/>
      <c r="EF373" s="307">
        <v>0.88888888888888884</v>
      </c>
      <c r="EG373" s="307">
        <f>Table1[[#This Row],[Line PO]]/Table1[[#This Row],[Line PR]]</f>
        <v>0.88888888888888884</v>
      </c>
      <c r="EH373" s="286" t="str">
        <f>IF(Table1[[#This Row],[PO Material Aktual 
(%)]]&gt;=100%,"Selesai PO = 100%",IF(Table1[[#This Row],[PO Material Aktual 
(%)]]&gt;=50%,"Proses PO &gt; 100%",IF(Table1[[#This Row],[PO Material Aktual 
(%)]]&gt;0%,"Proses PO &gt; 50%",IF(Table1[[#This Row],[PO Material Aktual 
(%)]]=0,"Belum PO = 0%"))))</f>
        <v>Proses PO &gt; 100%</v>
      </c>
      <c r="EI37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3" s="301">
        <v>46027</v>
      </c>
      <c r="EK373" s="301">
        <v>46178</v>
      </c>
      <c r="EL373" s="301">
        <v>46103</v>
      </c>
      <c r="EM373" s="301">
        <v>46183</v>
      </c>
      <c r="EN373" s="301"/>
      <c r="EO373" s="302">
        <v>11</v>
      </c>
      <c r="EP373" s="302">
        <v>11</v>
      </c>
      <c r="EQ373" s="307">
        <v>0.61111111111111116</v>
      </c>
      <c r="ER373" s="307">
        <f>Table1[[#This Row],[Line MOS (kolom bantu)]]/Table1[[#This Row],[Line PR]]</f>
        <v>0.61111111111111116</v>
      </c>
      <c r="ES373" s="286" t="str">
        <f>IF(Table1[[#This Row],[Progres MOS]]&gt;=100%,"Selesai MOS = 100%",IF(Table1[[#This Row],[Progres MOS]]&gt;=50%,"Proses MOS &gt; 100%",IF(Table1[[#This Row],[Progres MOS]]&gt;0%,"Proses MOS &gt; 50%",IF(Table1[[#This Row],[Progres MOS]]=0,"Belum MOS = 0%"))))</f>
        <v>Proses MOS &gt; 100%</v>
      </c>
      <c r="ET37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3" s="42"/>
      <c r="EV373" s="301">
        <v>45985</v>
      </c>
      <c r="EW373" s="301">
        <v>46156</v>
      </c>
      <c r="EX373" s="301">
        <v>46075</v>
      </c>
      <c r="EY373" s="301">
        <v>46186</v>
      </c>
      <c r="EZ373" s="322" t="s">
        <v>2769</v>
      </c>
      <c r="FA373" s="379" t="s">
        <v>2769</v>
      </c>
      <c r="FB373" s="300"/>
      <c r="FC373" s="300">
        <v>46036</v>
      </c>
      <c r="FD373" s="300" t="s">
        <v>260</v>
      </c>
      <c r="FE373" s="300"/>
      <c r="FF373" s="300"/>
      <c r="FG373" s="300"/>
      <c r="FH373" s="300"/>
      <c r="FI373" s="300"/>
      <c r="FJ373" s="300"/>
      <c r="FK373" s="300"/>
      <c r="FL373" s="306" t="s">
        <v>2827</v>
      </c>
      <c r="FM373" s="322"/>
      <c r="FN373" s="308" t="str">
        <f>IF(Table1[[#This Row],[Tanggal Pengajuan Dokumen]]="","",Table1[[#This Row],[PLAN PERMIT
start]]-Table1[[#This Row],[Tanggal Pengajuan Dokumen]])</f>
        <v/>
      </c>
      <c r="FO373" s="322"/>
      <c r="FP373" s="286"/>
      <c r="FQ373" s="308"/>
      <c r="FR373" s="301"/>
      <c r="FS373" s="308"/>
      <c r="FT37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3" s="314">
        <f ca="1">IF(Table1[[#This Row],[Status Izin]]="Selesai",Table1[[#This Row],[PLAN PERMIT
finish]]-Table1[[#This Row],[Tanggal Terbit/ Target Izin Terbit]],ROUNDUP(Table1[[#This Row],[PLAN PERMIT
finish]]-NOW(),0))</f>
        <v>-129</v>
      </c>
      <c r="FV37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3" s="314"/>
      <c r="FX373" s="42"/>
      <c r="FY373" s="483">
        <v>46034</v>
      </c>
      <c r="FZ373" s="483">
        <v>46049</v>
      </c>
      <c r="GA37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3" s="301">
        <v>46048</v>
      </c>
      <c r="GC373" s="322">
        <v>46141</v>
      </c>
      <c r="GD37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3" s="301">
        <v>46055</v>
      </c>
      <c r="GF373" s="322">
        <v>46141</v>
      </c>
      <c r="GG37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3" s="301">
        <v>46062</v>
      </c>
      <c r="GI373" s="301">
        <v>46068</v>
      </c>
      <c r="GJ373" s="322">
        <v>46147</v>
      </c>
      <c r="GK37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3" s="301">
        <v>46076</v>
      </c>
      <c r="GM373" s="301">
        <v>46193</v>
      </c>
      <c r="GN373" s="301">
        <v>46103</v>
      </c>
      <c r="GO373" s="300">
        <v>46241</v>
      </c>
      <c r="GP373" s="286"/>
      <c r="GQ37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3" s="301"/>
      <c r="GS373" s="301"/>
      <c r="GT373" s="324"/>
      <c r="GU373" s="314" t="str">
        <f>IF(Table1[[#This Row],[Hydro Tes Actual
(tanggal)]]&lt;&gt;"","Sudah","Belum")</f>
        <v>Belum</v>
      </c>
      <c r="GV373" s="300"/>
      <c r="GW373" s="300"/>
      <c r="GX373" s="301"/>
      <c r="GY373" s="314" t="str">
        <f>IF(Table1[[#This Row],[Interkoneksi Actual
(tanggal)]]&lt;&gt;"","Sudah","Belum")</f>
        <v>Belum</v>
      </c>
      <c r="GZ373" s="300"/>
      <c r="HA373" s="300"/>
      <c r="HB373" s="301"/>
      <c r="HC373" s="314" t="str">
        <f>IF(Table1[[#This Row],[Flushing Actual
(tanggal)]]&lt;&gt;"","Sudah","Belum")</f>
        <v>Belum</v>
      </c>
      <c r="HD373" s="301">
        <v>46106</v>
      </c>
      <c r="HE373" s="301">
        <v>46242</v>
      </c>
      <c r="HF373" s="301">
        <v>46111</v>
      </c>
      <c r="HG373" s="322"/>
      <c r="HH37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3" s="300"/>
      <c r="HJ373" s="300"/>
      <c r="HK373" s="301"/>
      <c r="HL373" s="301"/>
      <c r="HM373" s="301">
        <v>46128</v>
      </c>
      <c r="HN373" s="301">
        <v>46128</v>
      </c>
      <c r="HO373" s="300">
        <v>46259</v>
      </c>
      <c r="HP373" s="300"/>
      <c r="HQ373" s="301"/>
      <c r="HR37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3" s="301">
        <v>46136</v>
      </c>
      <c r="HT373" s="301"/>
      <c r="HU373" s="301">
        <v>46136</v>
      </c>
      <c r="HV373" s="390">
        <v>46264</v>
      </c>
      <c r="HW373" s="365"/>
      <c r="HX37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3" s="42"/>
      <c r="HZ373" s="322"/>
      <c r="IA373" s="306"/>
      <c r="IB373" s="67"/>
      <c r="IC373" s="585">
        <f>IFERROR(ROUND((Table1[[#This Row],[PLAN TC
finish]]-Table1[[#This Row],[PLAN MC-0
start]])/30,2),"")</f>
        <v>1.63</v>
      </c>
      <c r="ID373">
        <f>DATEDIF(Table1[[#This Row],[PLAN MC-0
start]],Table1[[#This Row],[PLAN TC
finish]],"m")</f>
        <v>1</v>
      </c>
      <c r="IE373" s="6"/>
      <c r="IF373" s="6"/>
      <c r="IG373" s="67"/>
      <c r="II373" s="6"/>
      <c r="IJ373" s="4"/>
      <c r="IK373" s="4"/>
      <c r="IL373" s="6"/>
      <c r="IM373" s="6"/>
      <c r="IN373" s="6"/>
      <c r="IO373" s="6"/>
      <c r="IP373" s="6"/>
      <c r="IR373" s="6"/>
      <c r="IS373" s="6"/>
      <c r="IT373" s="6"/>
      <c r="IU373" s="6"/>
      <c r="IX373" s="6"/>
      <c r="IY373" s="6"/>
      <c r="JA373" s="6"/>
      <c r="JB373" s="6"/>
    </row>
    <row r="374" spans="2:262" ht="15" customHeight="1" x14ac:dyDescent="0.25">
      <c r="B374" s="281">
        <f>SUBTOTAL(3,$D$5:D374)</f>
        <v>370</v>
      </c>
      <c r="C374" s="286">
        <v>370</v>
      </c>
      <c r="D374" s="285" t="s">
        <v>244</v>
      </c>
      <c r="E374" s="308" t="s">
        <v>2985</v>
      </c>
      <c r="F374" s="308" t="s">
        <v>2986</v>
      </c>
      <c r="G374" s="319">
        <v>46300</v>
      </c>
      <c r="H374" s="308" t="s">
        <v>681</v>
      </c>
      <c r="I374" s="308" t="s">
        <v>278</v>
      </c>
      <c r="J374" s="450"/>
      <c r="K374" s="308"/>
      <c r="L374" s="286"/>
      <c r="M374" s="325" t="s">
        <v>269</v>
      </c>
      <c r="N374" s="477">
        <v>22</v>
      </c>
      <c r="O374" s="477" t="s">
        <v>252</v>
      </c>
      <c r="P37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4" s="35">
        <v>0.99999999999999989</v>
      </c>
      <c r="S374" s="297">
        <f>_xlfn.XLOOKUP(Table1[[#This Row],[Nama Program]],'[2]Summary Plan'!$E:$E,'[2]Summary Plan'!$M:$M)</f>
        <v>0.99999999999999989</v>
      </c>
      <c r="T374" s="128">
        <f>Table1[[#This Row],[Progres Total Aktual
(%)]]</f>
        <v>0.11540202893979591</v>
      </c>
      <c r="U374" s="103">
        <f>Table1[[#This Row],[Progres Aktual
(%)]]-Table1[[#This Row],[Target Progres
(%)]]</f>
        <v>-0.88459797106020399</v>
      </c>
      <c r="V374" s="75">
        <f>Table1[[#This Row],["Volume
BA MC-0"]]</f>
        <v>0</v>
      </c>
      <c r="W374" s="75">
        <f>Table1[[#This Row],[Total Panjang Pipa Aktual
(Sum-&gt;)3]]</f>
        <v>0</v>
      </c>
      <c r="X374" s="99"/>
      <c r="Y374" s="62" t="s">
        <v>2987</v>
      </c>
      <c r="Z374" s="62">
        <v>53491610</v>
      </c>
      <c r="AA374" s="479">
        <f>ROUND((Table1[[#This Row],[Nilai RAB Jaringan
(Exclude Ppn)]]-Table1[[#This Row],[RAB Perizinan]])*1.11+Table1[[#This Row],[RAB Perizinan]],0)</f>
        <v>53491609</v>
      </c>
      <c r="AB374" s="406">
        <f>SUM(Table1[[#This Row],[RAB Kegiatan Umum]:[RAB Perizinan]])</f>
        <v>48212440.899999999</v>
      </c>
      <c r="AC374" s="406">
        <v>3014145.9</v>
      </c>
      <c r="AD374" s="406">
        <v>30141459</v>
      </c>
      <c r="AE374" s="406">
        <v>14836836</v>
      </c>
      <c r="AF374" s="406">
        <v>220000</v>
      </c>
      <c r="AG374" s="406"/>
      <c r="AH374" s="480">
        <f>SUM(Table1[[#This Row],[Bobot Keg Umum]:[Bobot Perizinan]])</f>
        <v>1</v>
      </c>
      <c r="AI374" s="480">
        <f>Table1[[#This Row],[RAB Kegiatan Umum]]/Table1[[#This Row],[Nilai RAB Jaringan
(Exclude Ppn)]]</f>
        <v>6.25180107817358E-2</v>
      </c>
      <c r="AJ374" s="480">
        <f>Table1[[#This Row],[RAB Pemasangan]]/Table1[[#This Row],[Nilai RAB Jaringan
(Exclude Ppn)]]</f>
        <v>0.625180107817358</v>
      </c>
      <c r="AK374" s="111">
        <f>Table1[[#This Row],[RAB Pengadaan]]/Table1[[#This Row],[Nilai RAB Jaringan
(Exclude Ppn)]]</f>
        <v>0.30773874383945576</v>
      </c>
      <c r="AL374" s="112">
        <f>Table1[[#This Row],[RAB Perizinan]]/Table1[[#This Row],[Nilai RAB Jaringan
(Exclude Ppn)]]</f>
        <v>4.5631375614504513E-3</v>
      </c>
      <c r="AM374" s="42"/>
      <c r="AN374" s="256"/>
      <c r="AO374" s="256">
        <f>SUM(Table1[[#This Row],[Pipa 63 mm]:[Pipa 1,800 mm]])</f>
        <v>22</v>
      </c>
      <c r="AP374" s="256">
        <v>22</v>
      </c>
      <c r="AQ374" s="256"/>
      <c r="AR374" s="256"/>
      <c r="AS374" s="256"/>
      <c r="AT374" s="256"/>
      <c r="AU374" s="256"/>
      <c r="AV374" s="256"/>
      <c r="AW374" s="256"/>
      <c r="AX374" s="256"/>
      <c r="AY374" s="256"/>
      <c r="AZ374" s="256"/>
      <c r="BA374" s="256"/>
      <c r="BB374" s="256"/>
      <c r="BC374" s="256"/>
      <c r="BD374" s="256"/>
      <c r="BE374" s="256"/>
      <c r="BF374" s="256"/>
      <c r="BG374" s="256"/>
      <c r="BH374" s="256"/>
      <c r="BI374" s="256"/>
      <c r="BJ374" s="36">
        <f>SUM(Table1[[#This Row],[Pipa 63 mm2]:[Pipa 1,800 mm21]])</f>
        <v>0</v>
      </c>
      <c r="BK374" s="32"/>
      <c r="BL374" s="32"/>
      <c r="BM374" s="32"/>
      <c r="BN374" s="32"/>
      <c r="BO374" s="32"/>
      <c r="BP374" s="32"/>
      <c r="BQ374" s="32"/>
      <c r="BR374" s="32"/>
      <c r="BS374" s="32"/>
      <c r="BT374" s="32"/>
      <c r="BU374" s="32"/>
      <c r="BV374" s="32"/>
      <c r="BW374" s="32"/>
      <c r="BX374" s="32"/>
      <c r="BY374" s="32"/>
      <c r="BZ374" s="32"/>
      <c r="CA374" s="32"/>
      <c r="CB374" s="32"/>
      <c r="CC374" s="32"/>
      <c r="CD374" s="32"/>
      <c r="CE374" s="32"/>
      <c r="CF374" s="32"/>
      <c r="CG374" s="32"/>
      <c r="CH374" s="32"/>
      <c r="CI374" s="32"/>
      <c r="CJ374" s="32">
        <f>IF((Table1[[#This Row],["Volume
BA MC-0"]]-Table1[[#This Row],[Total Panjang Pipa Aktual
(Sum-&gt;)3]]-Table1[[#This Row],[Total Volume
tidak dapat dipasang]])&gt;=0,Table1[[#This Row],["Volume
BA MC-0"]]-Table1[[#This Row],[Total Panjang Pipa Aktual
(Sum-&gt;)3]]-Table1[[#This Row],[Total Volume
tidak dapat dipasang]],0)</f>
        <v>0</v>
      </c>
      <c r="CK374" s="42"/>
      <c r="CL374" s="113"/>
      <c r="CM374" s="307"/>
      <c r="CN374" s="113"/>
      <c r="CO374" s="113"/>
      <c r="CP37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0.11540202893979591</v>
      </c>
      <c r="CQ374" s="406">
        <f>IFERROR(Table1[[#This Row],[Progres Keg. Umum
(%)]]*Table1[[#This Row],[Nilai RAB Jaringan
(file pa aji)]],0)</f>
        <v>0</v>
      </c>
      <c r="CR374" s="406">
        <f>IFERROR(Table1[[#This Row],[Progres MOS
(%)]]*Table1[[#This Row],[Nilai RAB Jaringan
(file pa aji)]],0)</f>
        <v>0</v>
      </c>
      <c r="CS374" s="406">
        <f>IFERROR(Table1[[#This Row],[Progres Pemasangan
(%)]]*Table1[[#This Row],[Nilai RAB Jaringan
(file pa aji)]],0)</f>
        <v>0</v>
      </c>
      <c r="CT374" s="406">
        <f>IFERROR(Table1[[#This Row],[Progres Perizinan
(%)]]*Table1[[#This Row],[Nilai RAB Jaringan
(file pa aji)]],0)</f>
        <v>0</v>
      </c>
      <c r="CU374" s="789">
        <v>0</v>
      </c>
      <c r="CV374" s="299">
        <v>0</v>
      </c>
      <c r="CW374" s="481">
        <v>0</v>
      </c>
      <c r="CX374" s="789">
        <f>_xlfn.XLOOKUP(Table1[[#This Row],[Kode Program]],'[1]Breakdown VOWD Greenfield'!$E:$E,'[1]Breakdown VOWD Greenfield'!$AT:$AT)</f>
        <v>0</v>
      </c>
      <c r="CY374" s="42"/>
      <c r="CZ374" s="301">
        <v>45957</v>
      </c>
      <c r="DA374" s="301">
        <v>45984</v>
      </c>
      <c r="DB374" s="301">
        <v>45967</v>
      </c>
      <c r="DC374" s="286" t="s">
        <v>2988</v>
      </c>
      <c r="DD374" s="478">
        <v>53491609</v>
      </c>
      <c r="DE37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4" s="301">
        <v>45999</v>
      </c>
      <c r="DG374" s="486" t="s">
        <v>2989</v>
      </c>
      <c r="DH374" s="478">
        <v>53491609</v>
      </c>
      <c r="DI37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4" s="301">
        <v>45985</v>
      </c>
      <c r="DK374" s="301">
        <v>46047</v>
      </c>
      <c r="DL374" s="301">
        <v>46047</v>
      </c>
      <c r="DM374" s="286" t="s">
        <v>2990</v>
      </c>
      <c r="DN37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74" s="301">
        <v>46093</v>
      </c>
      <c r="DP374" s="286" t="s">
        <v>2991</v>
      </c>
      <c r="DQ374" s="308" t="s">
        <v>479</v>
      </c>
      <c r="DR37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4" s="301">
        <v>45985</v>
      </c>
      <c r="DT374" s="301">
        <v>46164</v>
      </c>
      <c r="DU374" s="301">
        <v>46026</v>
      </c>
      <c r="DV374" s="301">
        <v>46178</v>
      </c>
      <c r="DW374" s="301">
        <v>46047</v>
      </c>
      <c r="DX374" s="286" t="s">
        <v>2992</v>
      </c>
      <c r="DY374" s="304">
        <v>16</v>
      </c>
      <c r="DZ374" s="304">
        <v>16</v>
      </c>
      <c r="EA37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4" s="301"/>
      <c r="EC374" s="302">
        <v>14</v>
      </c>
      <c r="ED374" s="302">
        <v>14</v>
      </c>
      <c r="EE374" s="100"/>
      <c r="EF374" s="307">
        <v>0.875</v>
      </c>
      <c r="EG374" s="307">
        <f>Table1[[#This Row],[Line PO]]/Table1[[#This Row],[Line PR]]</f>
        <v>0.875</v>
      </c>
      <c r="EH374" s="286" t="str">
        <f>IF(Table1[[#This Row],[PO Material Aktual 
(%)]]&gt;=100%,"Selesai PO = 100%",IF(Table1[[#This Row],[PO Material Aktual 
(%)]]&gt;=50%,"Proses PO &gt; 100%",IF(Table1[[#This Row],[PO Material Aktual 
(%)]]&gt;0%,"Proses PO &gt; 50%",IF(Table1[[#This Row],[PO Material Aktual 
(%)]]=0,"Belum PO = 0%"))))</f>
        <v>Proses PO &gt; 100%</v>
      </c>
      <c r="EI37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4" s="301">
        <v>46027</v>
      </c>
      <c r="EK374" s="301">
        <v>46178</v>
      </c>
      <c r="EL374" s="301">
        <v>46103</v>
      </c>
      <c r="EM374" s="301">
        <v>46183</v>
      </c>
      <c r="EN374" s="301"/>
      <c r="EO374" s="302">
        <v>10</v>
      </c>
      <c r="EP374" s="302">
        <v>10</v>
      </c>
      <c r="EQ374" s="307">
        <v>0.625</v>
      </c>
      <c r="ER374" s="307">
        <f>Table1[[#This Row],[Line MOS (kolom bantu)]]/Table1[[#This Row],[Line PR]]</f>
        <v>0.625</v>
      </c>
      <c r="ES374" s="286" t="str">
        <f>IF(Table1[[#This Row],[Progres MOS]]&gt;=100%,"Selesai MOS = 100%",IF(Table1[[#This Row],[Progres MOS]]&gt;=50%,"Proses MOS &gt; 100%",IF(Table1[[#This Row],[Progres MOS]]&gt;0%,"Proses MOS &gt; 50%",IF(Table1[[#This Row],[Progres MOS]]=0,"Belum MOS = 0%"))))</f>
        <v>Proses MOS &gt; 100%</v>
      </c>
      <c r="ET37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4" s="42"/>
      <c r="EV374" s="301">
        <v>45985</v>
      </c>
      <c r="EW374" s="301">
        <v>46156</v>
      </c>
      <c r="EX374" s="301">
        <v>46075</v>
      </c>
      <c r="EY374" s="301">
        <v>46186</v>
      </c>
      <c r="EZ374" s="322" t="s">
        <v>2769</v>
      </c>
      <c r="FA374" s="379" t="s">
        <v>2769</v>
      </c>
      <c r="FB374" s="300"/>
      <c r="FC374" s="300">
        <v>46036</v>
      </c>
      <c r="FD374" s="300" t="s">
        <v>260</v>
      </c>
      <c r="FE374" s="300"/>
      <c r="FF374" s="300"/>
      <c r="FG374" s="300"/>
      <c r="FH374" s="300"/>
      <c r="FI374" s="300"/>
      <c r="FJ374" s="300"/>
      <c r="FK374" s="300"/>
      <c r="FL374" s="306" t="s">
        <v>2827</v>
      </c>
      <c r="FM374" s="322"/>
      <c r="FN374" s="308" t="str">
        <f>IF(Table1[[#This Row],[Tanggal Pengajuan Dokumen]]="","",Table1[[#This Row],[PLAN PERMIT
start]]-Table1[[#This Row],[Tanggal Pengajuan Dokumen]])</f>
        <v/>
      </c>
      <c r="FO374" s="322"/>
      <c r="FP374" s="286"/>
      <c r="FQ374" s="308"/>
      <c r="FR374" s="301"/>
      <c r="FS374" s="308"/>
      <c r="FT37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4" s="314">
        <f ca="1">IF(Table1[[#This Row],[Status Izin]]="Selesai",Table1[[#This Row],[PLAN PERMIT
finish]]-Table1[[#This Row],[Tanggal Terbit/ Target Izin Terbit]],ROUNDUP(Table1[[#This Row],[PLAN PERMIT
finish]]-NOW(),0))</f>
        <v>-129</v>
      </c>
      <c r="FV37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4" s="314"/>
      <c r="FX374" s="42"/>
      <c r="FY374" s="483">
        <v>46034</v>
      </c>
      <c r="FZ374" s="483">
        <v>46049</v>
      </c>
      <c r="GA37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4" s="301">
        <v>46048</v>
      </c>
      <c r="GC374" s="322">
        <v>46141</v>
      </c>
      <c r="GD37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4" s="301">
        <v>46055</v>
      </c>
      <c r="GF374" s="322">
        <v>46141</v>
      </c>
      <c r="GG37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4" s="301">
        <v>46062</v>
      </c>
      <c r="GI374" s="301">
        <v>46068</v>
      </c>
      <c r="GJ374" s="322">
        <v>46147</v>
      </c>
      <c r="GK37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4" s="301">
        <v>46076</v>
      </c>
      <c r="GM374" s="301">
        <v>46193</v>
      </c>
      <c r="GN374" s="301">
        <v>46103</v>
      </c>
      <c r="GO374" s="300">
        <v>46241</v>
      </c>
      <c r="GP374" s="286"/>
      <c r="GQ37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4" s="301"/>
      <c r="GS374" s="301"/>
      <c r="GT374" s="324"/>
      <c r="GU374" s="314" t="str">
        <f>IF(Table1[[#This Row],[Hydro Tes Actual
(tanggal)]]&lt;&gt;"","Sudah","Belum")</f>
        <v>Belum</v>
      </c>
      <c r="GV374" s="300"/>
      <c r="GW374" s="300"/>
      <c r="GX374" s="301"/>
      <c r="GY374" s="314" t="str">
        <f>IF(Table1[[#This Row],[Interkoneksi Actual
(tanggal)]]&lt;&gt;"","Sudah","Belum")</f>
        <v>Belum</v>
      </c>
      <c r="GZ374" s="300"/>
      <c r="HA374" s="300"/>
      <c r="HB374" s="301"/>
      <c r="HC374" s="314" t="str">
        <f>IF(Table1[[#This Row],[Flushing Actual
(tanggal)]]&lt;&gt;"","Sudah","Belum")</f>
        <v>Belum</v>
      </c>
      <c r="HD374" s="301">
        <v>46106</v>
      </c>
      <c r="HE374" s="301">
        <v>46242</v>
      </c>
      <c r="HF374" s="301">
        <v>46111</v>
      </c>
      <c r="HG374" s="322"/>
      <c r="HH37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4" s="300"/>
      <c r="HJ374" s="300"/>
      <c r="HK374" s="301"/>
      <c r="HL374" s="301"/>
      <c r="HM374" s="301">
        <v>46128</v>
      </c>
      <c r="HN374" s="301">
        <v>46128</v>
      </c>
      <c r="HO374" s="300">
        <v>46259</v>
      </c>
      <c r="HP374" s="300"/>
      <c r="HQ374" s="301"/>
      <c r="HR37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4" s="301">
        <v>46136</v>
      </c>
      <c r="HT374" s="301"/>
      <c r="HU374" s="301">
        <v>46136</v>
      </c>
      <c r="HV374" s="390">
        <v>46264</v>
      </c>
      <c r="HW374" s="365"/>
      <c r="HX37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4" s="42"/>
      <c r="HZ374" s="322"/>
      <c r="IA374" s="306"/>
      <c r="IB374" s="67"/>
      <c r="IC374" s="585">
        <f>IFERROR(ROUND((Table1[[#This Row],[PLAN TC
finish]]-Table1[[#This Row],[PLAN MC-0
start]])/30,2),"")</f>
        <v>1.63</v>
      </c>
      <c r="ID374">
        <f>DATEDIF(Table1[[#This Row],[PLAN MC-0
start]],Table1[[#This Row],[PLAN TC
finish]],"m")</f>
        <v>1</v>
      </c>
      <c r="IE374" s="6"/>
      <c r="IF374" s="6"/>
      <c r="IG374" s="67"/>
      <c r="II374" s="6"/>
      <c r="IJ374" s="4"/>
      <c r="IK374" s="4"/>
      <c r="IL374" s="6"/>
      <c r="IM374" s="6"/>
      <c r="IN374" s="6"/>
      <c r="IO374" s="6"/>
      <c r="IP374" s="6"/>
      <c r="IR374" s="6"/>
      <c r="IS374" s="6"/>
      <c r="IT374" s="6"/>
      <c r="IU374" s="6"/>
      <c r="IX374" s="6"/>
      <c r="IY374" s="6"/>
      <c r="JA374" s="6"/>
      <c r="JB374" s="6"/>
    </row>
    <row r="375" spans="2:262" ht="15" customHeight="1" x14ac:dyDescent="0.25">
      <c r="B375" s="281">
        <f>SUBTOTAL(3,$D$5:D375)</f>
        <v>371</v>
      </c>
      <c r="C375" s="286">
        <v>371</v>
      </c>
      <c r="D375" s="285" t="s">
        <v>244</v>
      </c>
      <c r="E375" s="308" t="s">
        <v>2993</v>
      </c>
      <c r="F375" s="308" t="s">
        <v>2994</v>
      </c>
      <c r="G375" s="319">
        <v>46300</v>
      </c>
      <c r="H375" s="308" t="s">
        <v>681</v>
      </c>
      <c r="I375" s="308" t="s">
        <v>278</v>
      </c>
      <c r="J375" s="450"/>
      <c r="K375" s="308"/>
      <c r="L375" s="286"/>
      <c r="M375" s="325" t="s">
        <v>269</v>
      </c>
      <c r="N375" s="477">
        <v>85</v>
      </c>
      <c r="O375" s="477" t="s">
        <v>252</v>
      </c>
      <c r="P37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5" s="35">
        <v>1.0000000000000002</v>
      </c>
      <c r="S375" s="297">
        <f>_xlfn.XLOOKUP(Table1[[#This Row],[Nama Program]],'[2]Summary Plan'!$E:$E,'[2]Summary Plan'!$M:$M)</f>
        <v>1.0000000000000002</v>
      </c>
      <c r="T375" s="128">
        <f>Table1[[#This Row],[Progres Total Aktual
(%)]]</f>
        <v>7.4970633073719484E-2</v>
      </c>
      <c r="U375" s="103">
        <f>Table1[[#This Row],[Progres Aktual
(%)]]-Table1[[#This Row],[Target Progres
(%)]]</f>
        <v>-0.92502936692628079</v>
      </c>
      <c r="V375" s="75">
        <f>Table1[[#This Row],["Volume
BA MC-0"]]</f>
        <v>0</v>
      </c>
      <c r="W375" s="75">
        <f>Table1[[#This Row],[Total Panjang Pipa Aktual
(Sum-&gt;)3]]</f>
        <v>0</v>
      </c>
      <c r="X375" s="99"/>
      <c r="Y375" s="62" t="s">
        <v>2995</v>
      </c>
      <c r="Z375" s="62">
        <v>139276257</v>
      </c>
      <c r="AA375" s="479">
        <f>ROUND((Table1[[#This Row],[Nilai RAB Jaringan
(Exclude Ppn)]]-Table1[[#This Row],[RAB Perizinan]])*1.11+Table1[[#This Row],[RAB Perizinan]],0)</f>
        <v>139276257</v>
      </c>
      <c r="AB375" s="406">
        <f>SUM(Table1[[#This Row],[RAB Kegiatan Umum]:[RAB Perizinan]])</f>
        <v>125558339.5</v>
      </c>
      <c r="AC375" s="406">
        <v>8484640.5</v>
      </c>
      <c r="AD375" s="406">
        <v>84846405</v>
      </c>
      <c r="AE375" s="406">
        <v>31377294</v>
      </c>
      <c r="AF375" s="406">
        <v>850000</v>
      </c>
      <c r="AG375" s="406"/>
      <c r="AH375" s="480">
        <f>SUM(Table1[[#This Row],[Bobot Keg Umum]:[Bobot Perizinan]])</f>
        <v>1</v>
      </c>
      <c r="AI375" s="480">
        <f>Table1[[#This Row],[RAB Kegiatan Umum]]/Table1[[#This Row],[Nilai RAB Jaringan
(Exclude Ppn)]]</f>
        <v>6.7575284395983912E-2</v>
      </c>
      <c r="AJ375" s="480">
        <f>Table1[[#This Row],[RAB Pemasangan]]/Table1[[#This Row],[Nilai RAB Jaringan
(Exclude Ppn)]]</f>
        <v>0.67575284395983903</v>
      </c>
      <c r="AK375" s="111">
        <f>Table1[[#This Row],[RAB Pengadaan]]/Table1[[#This Row],[Nilai RAB Jaringan
(Exclude Ppn)]]</f>
        <v>0.24990211024573164</v>
      </c>
      <c r="AL375" s="112">
        <f>Table1[[#This Row],[RAB Perizinan]]/Table1[[#This Row],[Nilai RAB Jaringan
(Exclude Ppn)]]</f>
        <v>6.7697613984453817E-3</v>
      </c>
      <c r="AM375" s="42"/>
      <c r="AN375" s="256"/>
      <c r="AO375" s="256">
        <f>SUM(Table1[[#This Row],[Pipa 63 mm]:[Pipa 1,800 mm]])</f>
        <v>90</v>
      </c>
      <c r="AP375" s="256">
        <v>90</v>
      </c>
      <c r="AQ375" s="256"/>
      <c r="AR375" s="256"/>
      <c r="AS375" s="256"/>
      <c r="AT375" s="256"/>
      <c r="AU375" s="256"/>
      <c r="AV375" s="256"/>
      <c r="AW375" s="256"/>
      <c r="AX375" s="256"/>
      <c r="AY375" s="256"/>
      <c r="AZ375" s="256"/>
      <c r="BA375" s="256"/>
      <c r="BB375" s="256"/>
      <c r="BC375" s="256"/>
      <c r="BD375" s="256"/>
      <c r="BE375" s="256"/>
      <c r="BF375" s="256"/>
      <c r="BG375" s="256"/>
      <c r="BH375" s="256"/>
      <c r="BI375" s="256"/>
      <c r="BJ375" s="36">
        <f>SUM(Table1[[#This Row],[Pipa 63 mm2]:[Pipa 1,800 mm21]])</f>
        <v>0</v>
      </c>
      <c r="BK375" s="32"/>
      <c r="BL375" s="32"/>
      <c r="BM375" s="32"/>
      <c r="BN375" s="32"/>
      <c r="BO375" s="32"/>
      <c r="BP375" s="32"/>
      <c r="BQ375" s="32"/>
      <c r="BR375" s="32"/>
      <c r="BS375" s="32"/>
      <c r="BT375" s="32"/>
      <c r="BU375" s="32"/>
      <c r="BV375" s="32"/>
      <c r="BW375" s="32"/>
      <c r="BX375" s="32"/>
      <c r="BY375" s="32"/>
      <c r="BZ375" s="32"/>
      <c r="CA375" s="32"/>
      <c r="CB375" s="32"/>
      <c r="CC375" s="32"/>
      <c r="CD375" s="32"/>
      <c r="CE375" s="32"/>
      <c r="CF375" s="32"/>
      <c r="CG375" s="32"/>
      <c r="CH375" s="32"/>
      <c r="CI375" s="32"/>
      <c r="CJ375" s="32">
        <f>IF((Table1[[#This Row],["Volume
BA MC-0"]]-Table1[[#This Row],[Total Panjang Pipa Aktual
(Sum-&gt;)3]]-Table1[[#This Row],[Total Volume
tidak dapat dipasang]])&gt;=0,Table1[[#This Row],["Volume
BA MC-0"]]-Table1[[#This Row],[Total Panjang Pipa Aktual
(Sum-&gt;)3]]-Table1[[#This Row],[Total Volume
tidak dapat dipasang]],0)</f>
        <v>0</v>
      </c>
      <c r="CK375" s="42"/>
      <c r="CL375" s="113"/>
      <c r="CM375" s="307"/>
      <c r="CN375" s="113"/>
      <c r="CO375" s="113"/>
      <c r="CP37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7.4970633073719484E-2</v>
      </c>
      <c r="CQ375" s="406">
        <f>IFERROR(Table1[[#This Row],[Progres Keg. Umum
(%)]]*Table1[[#This Row],[Nilai RAB Jaringan
(file pa aji)]],0)</f>
        <v>0</v>
      </c>
      <c r="CR375" s="406">
        <f>IFERROR(Table1[[#This Row],[Progres MOS
(%)]]*Table1[[#This Row],[Nilai RAB Jaringan
(file pa aji)]],0)</f>
        <v>0</v>
      </c>
      <c r="CS375" s="406">
        <f>IFERROR(Table1[[#This Row],[Progres Pemasangan
(%)]]*Table1[[#This Row],[Nilai RAB Jaringan
(file pa aji)]],0)</f>
        <v>0</v>
      </c>
      <c r="CT375" s="406">
        <f>IFERROR(Table1[[#This Row],[Progres Perizinan
(%)]]*Table1[[#This Row],[Nilai RAB Jaringan
(file pa aji)]],0)</f>
        <v>0</v>
      </c>
      <c r="CU375" s="789">
        <v>0</v>
      </c>
      <c r="CV375" s="299">
        <v>0</v>
      </c>
      <c r="CW375" s="481">
        <v>0</v>
      </c>
      <c r="CX375" s="789">
        <f>_xlfn.XLOOKUP(Table1[[#This Row],[Kode Program]],'[1]Breakdown VOWD Greenfield'!$E:$E,'[1]Breakdown VOWD Greenfield'!$AT:$AT)</f>
        <v>0</v>
      </c>
      <c r="CY375" s="42"/>
      <c r="CZ375" s="301">
        <v>45957</v>
      </c>
      <c r="DA375" s="301">
        <v>45984</v>
      </c>
      <c r="DB375" s="301">
        <v>45967</v>
      </c>
      <c r="DC375" s="286" t="s">
        <v>2996</v>
      </c>
      <c r="DD375" s="478">
        <v>139276257</v>
      </c>
      <c r="DE37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5" s="301">
        <v>45987</v>
      </c>
      <c r="DG375" s="286" t="s">
        <v>2997</v>
      </c>
      <c r="DH375" s="478">
        <v>139276257</v>
      </c>
      <c r="DI37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5" s="301">
        <v>45985</v>
      </c>
      <c r="DK375" s="301">
        <v>46047</v>
      </c>
      <c r="DL375" s="301">
        <v>46048</v>
      </c>
      <c r="DM375" s="286" t="s">
        <v>2998</v>
      </c>
      <c r="DN37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5" s="301">
        <v>46093</v>
      </c>
      <c r="DP375" s="286" t="s">
        <v>2999</v>
      </c>
      <c r="DQ375" s="308" t="s">
        <v>479</v>
      </c>
      <c r="DR37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5" s="301">
        <v>45985</v>
      </c>
      <c r="DT375" s="301">
        <v>46164</v>
      </c>
      <c r="DU375" s="301">
        <v>46026</v>
      </c>
      <c r="DV375" s="301">
        <v>46178</v>
      </c>
      <c r="DW375" s="301">
        <v>46048</v>
      </c>
      <c r="DX375" s="286" t="s">
        <v>3000</v>
      </c>
      <c r="DY375" s="304">
        <v>16</v>
      </c>
      <c r="DZ375" s="304">
        <v>16</v>
      </c>
      <c r="EA37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5" s="301"/>
      <c r="EC375" s="302">
        <v>14</v>
      </c>
      <c r="ED375" s="302">
        <v>14</v>
      </c>
      <c r="EE375" s="100"/>
      <c r="EF375" s="307">
        <v>0.875</v>
      </c>
      <c r="EG375" s="307">
        <f>Table1[[#This Row],[Line PO]]/Table1[[#This Row],[Line PR]]</f>
        <v>0.875</v>
      </c>
      <c r="EH375" s="286" t="str">
        <f>IF(Table1[[#This Row],[PO Material Aktual 
(%)]]&gt;=100%,"Selesai PO = 100%",IF(Table1[[#This Row],[PO Material Aktual 
(%)]]&gt;=50%,"Proses PO &gt; 100%",IF(Table1[[#This Row],[PO Material Aktual 
(%)]]&gt;0%,"Proses PO &gt; 50%",IF(Table1[[#This Row],[PO Material Aktual 
(%)]]=0,"Belum PO = 0%"))))</f>
        <v>Proses PO &gt; 100%</v>
      </c>
      <c r="EI37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5" s="301">
        <v>46027</v>
      </c>
      <c r="EK375" s="301">
        <v>46178</v>
      </c>
      <c r="EL375" s="301">
        <v>46103</v>
      </c>
      <c r="EM375" s="301">
        <v>46183</v>
      </c>
      <c r="EN375" s="301"/>
      <c r="EO375" s="302">
        <v>8</v>
      </c>
      <c r="EP375" s="302">
        <v>8</v>
      </c>
      <c r="EQ375" s="307">
        <v>0.5</v>
      </c>
      <c r="ER375" s="307">
        <f>Table1[[#This Row],[Line MOS (kolom bantu)]]/Table1[[#This Row],[Line PR]]</f>
        <v>0.5</v>
      </c>
      <c r="ES375" s="286" t="str">
        <f>IF(Table1[[#This Row],[Progres MOS]]&gt;=100%,"Selesai MOS = 100%",IF(Table1[[#This Row],[Progres MOS]]&gt;=50%,"Proses MOS &gt; 100%",IF(Table1[[#This Row],[Progres MOS]]&gt;0%,"Proses MOS &gt; 50%",IF(Table1[[#This Row],[Progres MOS]]=0,"Belum MOS = 0%"))))</f>
        <v>Proses MOS &gt; 100%</v>
      </c>
      <c r="ET37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5" s="42"/>
      <c r="EV375" s="301">
        <v>45985</v>
      </c>
      <c r="EW375" s="301">
        <v>46156</v>
      </c>
      <c r="EX375" s="301">
        <v>46075</v>
      </c>
      <c r="EY375" s="301">
        <v>46186</v>
      </c>
      <c r="EZ375" s="322" t="s">
        <v>2769</v>
      </c>
      <c r="FA375" s="379" t="s">
        <v>2769</v>
      </c>
      <c r="FB375" s="300"/>
      <c r="FC375" s="300">
        <v>46036</v>
      </c>
      <c r="FD375" s="300" t="s">
        <v>260</v>
      </c>
      <c r="FE375" s="300"/>
      <c r="FF375" s="300"/>
      <c r="FG375" s="300"/>
      <c r="FH375" s="300"/>
      <c r="FI375" s="300"/>
      <c r="FJ375" s="300"/>
      <c r="FK375" s="300"/>
      <c r="FL375" s="306" t="s">
        <v>2827</v>
      </c>
      <c r="FM375" s="322"/>
      <c r="FN375" s="308" t="str">
        <f>IF(Table1[[#This Row],[Tanggal Pengajuan Dokumen]]="","",Table1[[#This Row],[PLAN PERMIT
start]]-Table1[[#This Row],[Tanggal Pengajuan Dokumen]])</f>
        <v/>
      </c>
      <c r="FO375" s="322"/>
      <c r="FP375" s="286"/>
      <c r="FQ375" s="308"/>
      <c r="FR375" s="301"/>
      <c r="FS375" s="308"/>
      <c r="FT37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5" s="314">
        <f ca="1">IF(Table1[[#This Row],[Status Izin]]="Selesai",Table1[[#This Row],[PLAN PERMIT
finish]]-Table1[[#This Row],[Tanggal Terbit/ Target Izin Terbit]],ROUNDUP(Table1[[#This Row],[PLAN PERMIT
finish]]-NOW(),0))</f>
        <v>-129</v>
      </c>
      <c r="FV37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5" s="314"/>
      <c r="FX375" s="42"/>
      <c r="FY375" s="483">
        <v>46034</v>
      </c>
      <c r="FZ375" s="483">
        <v>46049</v>
      </c>
      <c r="GA37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5" s="301">
        <v>46048</v>
      </c>
      <c r="GC375" s="322">
        <v>46141</v>
      </c>
      <c r="GD37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5" s="301">
        <v>46055</v>
      </c>
      <c r="GF375" s="322">
        <v>46141</v>
      </c>
      <c r="GG37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5" s="301">
        <v>46062</v>
      </c>
      <c r="GI375" s="301">
        <v>46068</v>
      </c>
      <c r="GJ375" s="322">
        <v>46147</v>
      </c>
      <c r="GK37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5" s="301">
        <v>46076</v>
      </c>
      <c r="GM375" s="301">
        <v>46193</v>
      </c>
      <c r="GN375" s="301">
        <v>46103</v>
      </c>
      <c r="GO375" s="300">
        <v>46241</v>
      </c>
      <c r="GP375" s="286"/>
      <c r="GQ37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5" s="301"/>
      <c r="GS375" s="301"/>
      <c r="GT375" s="324"/>
      <c r="GU375" s="314" t="str">
        <f>IF(Table1[[#This Row],[Hydro Tes Actual
(tanggal)]]&lt;&gt;"","Sudah","Belum")</f>
        <v>Belum</v>
      </c>
      <c r="GV375" s="300"/>
      <c r="GW375" s="300"/>
      <c r="GX375" s="301"/>
      <c r="GY375" s="314" t="str">
        <f>IF(Table1[[#This Row],[Interkoneksi Actual
(tanggal)]]&lt;&gt;"","Sudah","Belum")</f>
        <v>Belum</v>
      </c>
      <c r="GZ375" s="300"/>
      <c r="HA375" s="300"/>
      <c r="HB375" s="301"/>
      <c r="HC375" s="314" t="str">
        <f>IF(Table1[[#This Row],[Flushing Actual
(tanggal)]]&lt;&gt;"","Sudah","Belum")</f>
        <v>Belum</v>
      </c>
      <c r="HD375" s="301">
        <v>46106</v>
      </c>
      <c r="HE375" s="301">
        <v>46242</v>
      </c>
      <c r="HF375" s="301">
        <v>46111</v>
      </c>
      <c r="HG375" s="322"/>
      <c r="HH37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5" s="300"/>
      <c r="HJ375" s="300"/>
      <c r="HK375" s="301"/>
      <c r="HL375" s="301"/>
      <c r="HM375" s="301">
        <v>46128</v>
      </c>
      <c r="HN375" s="301">
        <v>46128</v>
      </c>
      <c r="HO375" s="300">
        <v>46259</v>
      </c>
      <c r="HP375" s="300"/>
      <c r="HQ375" s="301"/>
      <c r="HR37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5" s="301">
        <v>46136</v>
      </c>
      <c r="HT375" s="301"/>
      <c r="HU375" s="301">
        <v>46136</v>
      </c>
      <c r="HV375" s="390">
        <v>46264</v>
      </c>
      <c r="HW375" s="365"/>
      <c r="HX37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5" s="42"/>
      <c r="HZ375" s="322"/>
      <c r="IA375" s="306"/>
      <c r="IB375" s="67"/>
      <c r="IC375" s="585">
        <f>IFERROR(ROUND((Table1[[#This Row],[PLAN TC
finish]]-Table1[[#This Row],[PLAN MC-0
start]])/30,2),"")</f>
        <v>1.63</v>
      </c>
      <c r="ID375">
        <f>DATEDIF(Table1[[#This Row],[PLAN MC-0
start]],Table1[[#This Row],[PLAN TC
finish]],"m")</f>
        <v>1</v>
      </c>
      <c r="IE375" s="6"/>
      <c r="IF375" s="6"/>
      <c r="IG375" s="67"/>
      <c r="II375" s="6"/>
      <c r="IJ375" s="4"/>
      <c r="IK375" s="4"/>
      <c r="IL375" s="6"/>
      <c r="IM375" s="6"/>
      <c r="IN375" s="6"/>
      <c r="IO375" s="6"/>
      <c r="IP375" s="6"/>
      <c r="IR375" s="6"/>
      <c r="IS375" s="6"/>
      <c r="IT375" s="6"/>
      <c r="IU375" s="6"/>
      <c r="IX375" s="6"/>
      <c r="IY375" s="6"/>
      <c r="JA375" s="6"/>
      <c r="JB375" s="6"/>
    </row>
    <row r="376" spans="2:262" ht="15" customHeight="1" x14ac:dyDescent="0.25">
      <c r="B376" s="558">
        <f>SUBTOTAL(3,$D$5:D376)</f>
        <v>372</v>
      </c>
      <c r="C376" s="286">
        <v>372</v>
      </c>
      <c r="D376" s="553" t="s">
        <v>244</v>
      </c>
      <c r="E376" s="554" t="s">
        <v>3001</v>
      </c>
      <c r="F376" s="554" t="s">
        <v>3002</v>
      </c>
      <c r="G376" s="555">
        <v>46300</v>
      </c>
      <c r="H376" s="554" t="s">
        <v>681</v>
      </c>
      <c r="I376" s="308" t="s">
        <v>278</v>
      </c>
      <c r="J376" s="591" t="str">
        <f>Table1[[#This Row],[Status Aktual]]</f>
        <v>BATAL / CANCEL</v>
      </c>
      <c r="K376" s="308"/>
      <c r="L376" s="286"/>
      <c r="M376" s="325" t="s">
        <v>269</v>
      </c>
      <c r="N376" s="556">
        <v>38</v>
      </c>
      <c r="O376" s="556" t="s">
        <v>252</v>
      </c>
      <c r="P37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6" s="290" t="s">
        <v>389</v>
      </c>
      <c r="R376" s="35">
        <v>0.99999999999999989</v>
      </c>
      <c r="S376" s="297">
        <f>_xlfn.XLOOKUP(Table1[[#This Row],[Nama Program]],'[2]Summary Plan'!$E:$E,'[2]Summary Plan'!$M:$M)</f>
        <v>0.99999999999999989</v>
      </c>
      <c r="T376" s="128">
        <f>Table1[[#This Row],[Progres Total Aktual
(%)]]</f>
        <v>7.9008761264391339E-2</v>
      </c>
      <c r="U376" s="103">
        <f>Table1[[#This Row],[Progres Aktual
(%)]]-Table1[[#This Row],[Target Progres
(%)]]</f>
        <v>-0.92099123873560851</v>
      </c>
      <c r="V376" s="75">
        <f>Table1[[#This Row],["Volume
BA MC-0"]]</f>
        <v>0</v>
      </c>
      <c r="W376" s="75">
        <f>Table1[[#This Row],[Total Panjang Pipa Aktual
(Sum-&gt;)3]]</f>
        <v>0</v>
      </c>
      <c r="X376" s="99"/>
      <c r="Y376" s="62" t="s">
        <v>3003</v>
      </c>
      <c r="Z376" s="62">
        <v>74085744</v>
      </c>
      <c r="AA376" s="479">
        <f>ROUND((Table1[[#This Row],[Nilai RAB Jaringan
(Exclude Ppn)]]-Table1[[#This Row],[RAB Perizinan]])*1.11+Table1[[#This Row],[RAB Perizinan]],0)</f>
        <v>74085744</v>
      </c>
      <c r="AB376" s="406">
        <f>SUM(Table1[[#This Row],[RAB Kegiatan Umum]:[RAB Perizinan]])</f>
        <v>66781571</v>
      </c>
      <c r="AC376" s="406">
        <v>4615273</v>
      </c>
      <c r="AD376" s="406">
        <v>46152730</v>
      </c>
      <c r="AE376" s="406">
        <v>15633568</v>
      </c>
      <c r="AF376" s="406">
        <v>380000</v>
      </c>
      <c r="AG376" s="406"/>
      <c r="AH376" s="480">
        <f>SUM(Table1[[#This Row],[Bobot Keg Umum]:[Bobot Perizinan]])</f>
        <v>1</v>
      </c>
      <c r="AI376" s="480">
        <f>Table1[[#This Row],[RAB Kegiatan Umum]]/Table1[[#This Row],[Nilai RAB Jaringan
(Exclude Ppn)]]</f>
        <v>6.9109979458255033E-2</v>
      </c>
      <c r="AJ376" s="480">
        <f>Table1[[#This Row],[RAB Pemasangan]]/Table1[[#This Row],[Nilai RAB Jaringan
(Exclude Ppn)]]</f>
        <v>0.69109979458255033</v>
      </c>
      <c r="AK376" s="111">
        <f>Table1[[#This Row],[RAB Pengadaan]]/Table1[[#This Row],[Nilai RAB Jaringan
(Exclude Ppn)]]</f>
        <v>0.23410003337597435</v>
      </c>
      <c r="AL376" s="112">
        <f>Table1[[#This Row],[RAB Perizinan]]/Table1[[#This Row],[Nilai RAB Jaringan
(Exclude Ppn)]]</f>
        <v>5.6901925832203021E-3</v>
      </c>
      <c r="AM376" s="42"/>
      <c r="AN376" s="256"/>
      <c r="AO376" s="256">
        <f>SUM(Table1[[#This Row],[Pipa 63 mm]:[Pipa 1,800 mm]])</f>
        <v>0</v>
      </c>
      <c r="AP376" s="256"/>
      <c r="AQ376" s="256"/>
      <c r="AR376" s="256"/>
      <c r="AS376" s="256"/>
      <c r="AT376" s="256"/>
      <c r="AU376" s="256"/>
      <c r="AV376" s="256"/>
      <c r="AW376" s="256"/>
      <c r="AX376" s="256"/>
      <c r="AY376" s="256"/>
      <c r="AZ376" s="256"/>
      <c r="BA376" s="256"/>
      <c r="BB376" s="256"/>
      <c r="BC376" s="256"/>
      <c r="BD376" s="256"/>
      <c r="BE376" s="256"/>
      <c r="BF376" s="256"/>
      <c r="BG376" s="256"/>
      <c r="BH376" s="256"/>
      <c r="BI376" s="256"/>
      <c r="BJ376" s="36">
        <f>SUM(Table1[[#This Row],[Pipa 63 mm2]:[Pipa 1,800 mm21]])</f>
        <v>0</v>
      </c>
      <c r="BK376" s="32"/>
      <c r="BL376" s="32"/>
      <c r="BM376" s="32"/>
      <c r="BN376" s="32"/>
      <c r="BO376" s="32"/>
      <c r="BP376" s="32"/>
      <c r="BQ376" s="32"/>
      <c r="BR376" s="32"/>
      <c r="BS376" s="32"/>
      <c r="BT376" s="32"/>
      <c r="BU376" s="32"/>
      <c r="BV376" s="32"/>
      <c r="BW376" s="32"/>
      <c r="BX376" s="32"/>
      <c r="BY376" s="32"/>
      <c r="BZ376" s="32"/>
      <c r="CA376" s="32"/>
      <c r="CB376" s="32"/>
      <c r="CC376" s="32"/>
      <c r="CD376" s="32"/>
      <c r="CE376" s="32"/>
      <c r="CF376" s="32"/>
      <c r="CG376" s="32"/>
      <c r="CH376" s="32"/>
      <c r="CI376" s="32"/>
      <c r="CJ376" s="32">
        <f>IF((Table1[[#This Row],["Volume
BA MC-0"]]-Table1[[#This Row],[Total Panjang Pipa Aktual
(Sum-&gt;)3]]-Table1[[#This Row],[Total Volume
tidak dapat dipasang]])&gt;=0,Table1[[#This Row],["Volume
BA MC-0"]]-Table1[[#This Row],[Total Panjang Pipa Aktual
(Sum-&gt;)3]]-Table1[[#This Row],[Total Volume
tidak dapat dipasang]],0)</f>
        <v>0</v>
      </c>
      <c r="CK376" s="42"/>
      <c r="CL376" s="113"/>
      <c r="CM376" s="307"/>
      <c r="CN376" s="113"/>
      <c r="CO376" s="113"/>
      <c r="CP37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7.9008761264391339E-2</v>
      </c>
      <c r="CQ376" s="406">
        <f>IFERROR(Table1[[#This Row],[Progres Keg. Umum
(%)]]*Table1[[#This Row],[Nilai RAB Jaringan
(file pa aji)]],0)</f>
        <v>0</v>
      </c>
      <c r="CR376" s="406">
        <f>IFERROR(Table1[[#This Row],[Progres MOS
(%)]]*Table1[[#This Row],[Nilai RAB Jaringan
(file pa aji)]],0)</f>
        <v>0</v>
      </c>
      <c r="CS376" s="406">
        <f>IFERROR(Table1[[#This Row],[Progres Pemasangan
(%)]]*Table1[[#This Row],[Nilai RAB Jaringan
(file pa aji)]],0)</f>
        <v>0</v>
      </c>
      <c r="CT376" s="406">
        <f>IFERROR(Table1[[#This Row],[Progres Perizinan
(%)]]*Table1[[#This Row],[Nilai RAB Jaringan
(file pa aji)]],0)</f>
        <v>0</v>
      </c>
      <c r="CU376" s="789">
        <v>0</v>
      </c>
      <c r="CV376" s="299">
        <v>0</v>
      </c>
      <c r="CW376" s="481">
        <v>0</v>
      </c>
      <c r="CX376" s="789">
        <f>_xlfn.XLOOKUP(Table1[[#This Row],[Kode Program]],'[1]Breakdown VOWD Greenfield'!$E:$E,'[1]Breakdown VOWD Greenfield'!$AT:$AT)</f>
        <v>0</v>
      </c>
      <c r="CY376" s="42"/>
      <c r="CZ376" s="301">
        <v>45957</v>
      </c>
      <c r="DA376" s="301">
        <v>45984</v>
      </c>
      <c r="DB376" s="301">
        <v>45971</v>
      </c>
      <c r="DC376" s="286" t="s">
        <v>3004</v>
      </c>
      <c r="DD376" s="478">
        <v>74085743</v>
      </c>
      <c r="DE37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6" s="301">
        <v>45987</v>
      </c>
      <c r="DG376" s="486" t="s">
        <v>3005</v>
      </c>
      <c r="DH376" s="478">
        <v>74085743</v>
      </c>
      <c r="DI37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6" s="301">
        <v>45985</v>
      </c>
      <c r="DK376" s="301">
        <v>46047</v>
      </c>
      <c r="DL376" s="301">
        <v>46048</v>
      </c>
      <c r="DM376" s="286" t="s">
        <v>3006</v>
      </c>
      <c r="DN37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6" s="301">
        <v>46093</v>
      </c>
      <c r="DP376" s="286" t="s">
        <v>3007</v>
      </c>
      <c r="DQ376" s="308" t="s">
        <v>479</v>
      </c>
      <c r="DR37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6" s="301">
        <v>45985</v>
      </c>
      <c r="DT376" s="301">
        <v>46164</v>
      </c>
      <c r="DU376" s="301">
        <v>46026</v>
      </c>
      <c r="DV376" s="301">
        <v>46178</v>
      </c>
      <c r="DW376" s="301">
        <v>46048</v>
      </c>
      <c r="DX376" s="286" t="s">
        <v>3008</v>
      </c>
      <c r="DY376" s="304">
        <v>16</v>
      </c>
      <c r="DZ376" s="304">
        <v>16</v>
      </c>
      <c r="EA37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6" s="301"/>
      <c r="EC376" s="302">
        <v>14</v>
      </c>
      <c r="ED376" s="302">
        <v>14</v>
      </c>
      <c r="EE376" s="100"/>
      <c r="EF376" s="307">
        <v>0.875</v>
      </c>
      <c r="EG376" s="307">
        <f>Table1[[#This Row],[Line PO]]/Table1[[#This Row],[Line PR]]</f>
        <v>0.875</v>
      </c>
      <c r="EH376" s="286" t="str">
        <f>IF(Table1[[#This Row],[PO Material Aktual 
(%)]]&gt;=100%,"Selesai PO = 100%",IF(Table1[[#This Row],[PO Material Aktual 
(%)]]&gt;=50%,"Proses PO &gt; 100%",IF(Table1[[#This Row],[PO Material Aktual 
(%)]]&gt;0%,"Proses PO &gt; 50%",IF(Table1[[#This Row],[PO Material Aktual 
(%)]]=0,"Belum PO = 0%"))))</f>
        <v>Proses PO &gt; 100%</v>
      </c>
      <c r="EI37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6" s="301">
        <v>46027</v>
      </c>
      <c r="EK376" s="301">
        <v>46178</v>
      </c>
      <c r="EL376" s="301">
        <v>46103</v>
      </c>
      <c r="EM376" s="301">
        <v>46183</v>
      </c>
      <c r="EN376" s="301"/>
      <c r="EO376" s="302">
        <v>9</v>
      </c>
      <c r="EP376" s="302">
        <v>9</v>
      </c>
      <c r="EQ376" s="307">
        <v>0.5625</v>
      </c>
      <c r="ER376" s="307">
        <f>Table1[[#This Row],[Line MOS (kolom bantu)]]/Table1[[#This Row],[Line PR]]</f>
        <v>0.5625</v>
      </c>
      <c r="ES376" s="286" t="str">
        <f>IF(Table1[[#This Row],[Progres MOS]]&gt;=100%,"Selesai MOS = 100%",IF(Table1[[#This Row],[Progres MOS]]&gt;=50%,"Proses MOS &gt; 100%",IF(Table1[[#This Row],[Progres MOS]]&gt;0%,"Proses MOS &gt; 50%",IF(Table1[[#This Row],[Progres MOS]]=0,"Belum MOS = 0%"))))</f>
        <v>Proses MOS &gt; 100%</v>
      </c>
      <c r="ET37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6" s="42"/>
      <c r="EV376" s="301">
        <v>45985</v>
      </c>
      <c r="EW376" s="301">
        <v>46156</v>
      </c>
      <c r="EX376" s="301">
        <v>46075</v>
      </c>
      <c r="EY376" s="301">
        <v>46186</v>
      </c>
      <c r="EZ376" s="322" t="s">
        <v>2769</v>
      </c>
      <c r="FA376" s="379" t="s">
        <v>2769</v>
      </c>
      <c r="FB376" s="300"/>
      <c r="FC376" s="300">
        <v>46036</v>
      </c>
      <c r="FD376" s="300" t="s">
        <v>260</v>
      </c>
      <c r="FE376" s="300"/>
      <c r="FF376" s="300"/>
      <c r="FG376" s="300"/>
      <c r="FH376" s="300"/>
      <c r="FI376" s="300"/>
      <c r="FJ376" s="300"/>
      <c r="FK376" s="300"/>
      <c r="FL376" s="306" t="s">
        <v>2827</v>
      </c>
      <c r="FM376" s="322"/>
      <c r="FN376" s="308" t="str">
        <f>IF(Table1[[#This Row],[Tanggal Pengajuan Dokumen]]="","",Table1[[#This Row],[PLAN PERMIT
start]]-Table1[[#This Row],[Tanggal Pengajuan Dokumen]])</f>
        <v/>
      </c>
      <c r="FO376" s="322"/>
      <c r="FP376" s="286"/>
      <c r="FQ376" s="308"/>
      <c r="FR376" s="301"/>
      <c r="FS376" s="308"/>
      <c r="FT37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6" s="314">
        <f ca="1">IF(Table1[[#This Row],[Status Izin]]="Selesai",Table1[[#This Row],[PLAN PERMIT
finish]]-Table1[[#This Row],[Tanggal Terbit/ Target Izin Terbit]],ROUNDUP(Table1[[#This Row],[PLAN PERMIT
finish]]-NOW(),0))</f>
        <v>-129</v>
      </c>
      <c r="FV37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6" s="314"/>
      <c r="FX376" s="42"/>
      <c r="FY376" s="483">
        <v>46034</v>
      </c>
      <c r="FZ376" s="483">
        <v>46049</v>
      </c>
      <c r="GA37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6" s="301">
        <v>46048</v>
      </c>
      <c r="GC376" s="322">
        <v>46141</v>
      </c>
      <c r="GD37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6" s="301">
        <v>46055</v>
      </c>
      <c r="GF376" s="322">
        <v>46141</v>
      </c>
      <c r="GG37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6" s="301">
        <v>46062</v>
      </c>
      <c r="GI376" s="301">
        <v>46068</v>
      </c>
      <c r="GJ376" s="322">
        <v>46150</v>
      </c>
      <c r="GK37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6" s="301">
        <v>46076</v>
      </c>
      <c r="GM376" s="301">
        <v>46193</v>
      </c>
      <c r="GN376" s="301">
        <v>46103</v>
      </c>
      <c r="GO376" s="300">
        <v>46241</v>
      </c>
      <c r="GP376" s="286"/>
      <c r="GQ37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6" s="301"/>
      <c r="GS376" s="301"/>
      <c r="GT376" s="324"/>
      <c r="GU376" s="314" t="str">
        <f>IF(Table1[[#This Row],[Hydro Tes Actual
(tanggal)]]&lt;&gt;"","Sudah","Belum")</f>
        <v>Belum</v>
      </c>
      <c r="GV376" s="300"/>
      <c r="GW376" s="300"/>
      <c r="GX376" s="301"/>
      <c r="GY376" s="314" t="str">
        <f>IF(Table1[[#This Row],[Interkoneksi Actual
(tanggal)]]&lt;&gt;"","Sudah","Belum")</f>
        <v>Belum</v>
      </c>
      <c r="GZ376" s="300"/>
      <c r="HA376" s="300"/>
      <c r="HB376" s="301"/>
      <c r="HC376" s="314" t="str">
        <f>IF(Table1[[#This Row],[Flushing Actual
(tanggal)]]&lt;&gt;"","Sudah","Belum")</f>
        <v>Belum</v>
      </c>
      <c r="HD376" s="301">
        <v>46106</v>
      </c>
      <c r="HE376" s="301">
        <v>46242</v>
      </c>
      <c r="HF376" s="301">
        <v>46111</v>
      </c>
      <c r="HG376" s="322"/>
      <c r="HH37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6" s="300"/>
      <c r="HJ376" s="300"/>
      <c r="HK376" s="301"/>
      <c r="HL376" s="301"/>
      <c r="HM376" s="301">
        <v>46128</v>
      </c>
      <c r="HN376" s="301">
        <v>46128</v>
      </c>
      <c r="HO376" s="300">
        <v>46259</v>
      </c>
      <c r="HP376" s="300"/>
      <c r="HQ376" s="301"/>
      <c r="HR37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6" s="301">
        <v>46136</v>
      </c>
      <c r="HT376" s="301"/>
      <c r="HU376" s="301">
        <v>46136</v>
      </c>
      <c r="HV376" s="390"/>
      <c r="HW376" s="365"/>
      <c r="HX37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6" s="42"/>
      <c r="HZ376" s="322"/>
      <c r="IA376" s="306"/>
      <c r="IB376" s="67"/>
      <c r="IC376" s="585">
        <f>IFERROR(ROUND((Table1[[#This Row],[PLAN TC
finish]]-Table1[[#This Row],[PLAN MC-0
start]])/30,2),"")</f>
        <v>1.63</v>
      </c>
      <c r="ID376">
        <f>DATEDIF(Table1[[#This Row],[PLAN MC-0
start]],Table1[[#This Row],[PLAN TC
finish]],"m")</f>
        <v>1</v>
      </c>
      <c r="IE376" s="6"/>
      <c r="IF376" s="6"/>
      <c r="IG376" s="67"/>
      <c r="II376" s="6"/>
      <c r="IJ376" s="4"/>
      <c r="IK376" s="4"/>
      <c r="IL376" s="6"/>
      <c r="IM376" s="6"/>
      <c r="IN376" s="6"/>
      <c r="IO376" s="6"/>
      <c r="IP376" s="6"/>
      <c r="IR376" s="6"/>
      <c r="IS376" s="6"/>
      <c r="IT376" s="6"/>
      <c r="IU376" s="6"/>
      <c r="IX376" s="6"/>
      <c r="IY376" s="6"/>
      <c r="JA376" s="6"/>
      <c r="JB376" s="6"/>
    </row>
    <row r="377" spans="2:262" ht="15" customHeight="1" x14ac:dyDescent="0.25">
      <c r="B377" s="558">
        <f>SUBTOTAL(3,$D$5:D377)</f>
        <v>373</v>
      </c>
      <c r="C377" s="286">
        <v>373</v>
      </c>
      <c r="D377" s="553" t="s">
        <v>244</v>
      </c>
      <c r="E377" s="554" t="s">
        <v>3009</v>
      </c>
      <c r="F377" s="554" t="s">
        <v>3010</v>
      </c>
      <c r="G377" s="555">
        <v>46300</v>
      </c>
      <c r="H377" s="554" t="s">
        <v>681</v>
      </c>
      <c r="I377" s="308" t="s">
        <v>278</v>
      </c>
      <c r="J377" s="591" t="str">
        <f>Table1[[#This Row],[Status Aktual]]</f>
        <v>BATAL / CANCEL</v>
      </c>
      <c r="K377" s="308"/>
      <c r="L377" s="286"/>
      <c r="M377" s="325" t="s">
        <v>269</v>
      </c>
      <c r="N377" s="556">
        <v>45</v>
      </c>
      <c r="O377" s="556" t="s">
        <v>252</v>
      </c>
      <c r="P37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7" s="557" t="s">
        <v>389</v>
      </c>
      <c r="R377" s="35">
        <v>1</v>
      </c>
      <c r="S377" s="297">
        <f>_xlfn.XLOOKUP(Table1[[#This Row],[Nama Program]],'[2]Summary Plan'!$E:$E,'[2]Summary Plan'!$M:$M)</f>
        <v>1</v>
      </c>
      <c r="T377" s="128">
        <f>Table1[[#This Row],[Progres Total Aktual
(%)]]</f>
        <v>0.10049051874786248</v>
      </c>
      <c r="U377" s="103">
        <f>Table1[[#This Row],[Progres Aktual
(%)]]-Table1[[#This Row],[Target Progres
(%)]]</f>
        <v>-0.89950948125213748</v>
      </c>
      <c r="V377" s="75">
        <f>Table1[[#This Row],["Volume
BA MC-0"]]</f>
        <v>0</v>
      </c>
      <c r="W377" s="75">
        <f>Table1[[#This Row],[Total Panjang Pipa Aktual
(Sum-&gt;)3]]</f>
        <v>0</v>
      </c>
      <c r="X377" s="99"/>
      <c r="Y377" s="62" t="s">
        <v>3011</v>
      </c>
      <c r="Z377" s="62">
        <v>109944292</v>
      </c>
      <c r="AA377" s="479">
        <f>ROUND((Table1[[#This Row],[Nilai RAB Jaringan
(Exclude Ppn)]]-Table1[[#This Row],[RAB Perizinan]])*1.11+Table1[[#This Row],[RAB Perizinan]],0)</f>
        <v>109944292</v>
      </c>
      <c r="AB377" s="406">
        <f>SUM(Table1[[#This Row],[RAB Kegiatan Umum]:[RAB Perizinan]])</f>
        <v>99093506.299999997</v>
      </c>
      <c r="AC377" s="406">
        <v>6762449.2999999998</v>
      </c>
      <c r="AD377" s="406">
        <v>67624493</v>
      </c>
      <c r="AE377" s="406">
        <v>24256564</v>
      </c>
      <c r="AF377" s="406">
        <v>450000</v>
      </c>
      <c r="AG377" s="406"/>
      <c r="AH377" s="480">
        <f>SUM(Table1[[#This Row],[Bobot Keg Umum]:[Bobot Perizinan]])</f>
        <v>1</v>
      </c>
      <c r="AI377" s="480">
        <f>Table1[[#This Row],[RAB Kegiatan Umum]]/Table1[[#This Row],[Nilai RAB Jaringan
(Exclude Ppn)]]</f>
        <v>6.8243112515638166E-2</v>
      </c>
      <c r="AJ377" s="480">
        <f>Table1[[#This Row],[RAB Pemasangan]]/Table1[[#This Row],[Nilai RAB Jaringan
(Exclude Ppn)]]</f>
        <v>0.68243112515638171</v>
      </c>
      <c r="AK377" s="111">
        <f>Table1[[#This Row],[RAB Pengadaan]]/Table1[[#This Row],[Nilai RAB Jaringan
(Exclude Ppn)]]</f>
        <v>0.24478459694992144</v>
      </c>
      <c r="AL377" s="112">
        <f>Table1[[#This Row],[RAB Perizinan]]/Table1[[#This Row],[Nilai RAB Jaringan
(Exclude Ppn)]]</f>
        <v>4.5411653780586831E-3</v>
      </c>
      <c r="AM377" s="42"/>
      <c r="AN377" s="256"/>
      <c r="AO377" s="256">
        <f>SUM(Table1[[#This Row],[Pipa 63 mm]:[Pipa 1,800 mm]])</f>
        <v>0</v>
      </c>
      <c r="AP377" s="256"/>
      <c r="AQ377" s="256"/>
      <c r="AR377" s="256"/>
      <c r="AS377" s="256"/>
      <c r="AT377" s="256"/>
      <c r="AU377" s="256"/>
      <c r="AV377" s="256"/>
      <c r="AW377" s="256"/>
      <c r="AX377" s="256"/>
      <c r="AY377" s="256"/>
      <c r="AZ377" s="256"/>
      <c r="BA377" s="256"/>
      <c r="BB377" s="256"/>
      <c r="BC377" s="256"/>
      <c r="BD377" s="256"/>
      <c r="BE377" s="256"/>
      <c r="BF377" s="256"/>
      <c r="BG377" s="256"/>
      <c r="BH377" s="256"/>
      <c r="BI377" s="256"/>
      <c r="BJ377" s="36">
        <f>SUM(Table1[[#This Row],[Pipa 63 mm2]:[Pipa 1,800 mm21]])</f>
        <v>0</v>
      </c>
      <c r="BK377" s="32"/>
      <c r="BL377" s="32"/>
      <c r="BM377" s="32"/>
      <c r="BN377" s="32"/>
      <c r="BO377" s="32"/>
      <c r="BP377" s="32"/>
      <c r="BQ377" s="32"/>
      <c r="BR377" s="32"/>
      <c r="BS377" s="32"/>
      <c r="BT377" s="32"/>
      <c r="BU377" s="32"/>
      <c r="BV377" s="32"/>
      <c r="BW377" s="32"/>
      <c r="BX377" s="32"/>
      <c r="BY377" s="32"/>
      <c r="BZ377" s="32"/>
      <c r="CA377" s="32"/>
      <c r="CB377" s="32"/>
      <c r="CC377" s="32"/>
      <c r="CD377" s="32"/>
      <c r="CE377" s="32"/>
      <c r="CF377" s="32"/>
      <c r="CG377" s="32"/>
      <c r="CH377" s="32"/>
      <c r="CI377" s="32"/>
      <c r="CJ377" s="32">
        <f>IF((Table1[[#This Row],["Volume
BA MC-0"]]-Table1[[#This Row],[Total Panjang Pipa Aktual
(Sum-&gt;)3]]-Table1[[#This Row],[Total Volume
tidak dapat dipasang]])&gt;=0,Table1[[#This Row],["Volume
BA MC-0"]]-Table1[[#This Row],[Total Panjang Pipa Aktual
(Sum-&gt;)3]]-Table1[[#This Row],[Total Volume
tidak dapat dipasang]],0)</f>
        <v>0</v>
      </c>
      <c r="CK377" s="42"/>
      <c r="CL377" s="113"/>
      <c r="CM377" s="307"/>
      <c r="CN377" s="113"/>
      <c r="CO377" s="113"/>
      <c r="CP37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0.10049051874786248</v>
      </c>
      <c r="CQ377" s="406">
        <f>IFERROR(Table1[[#This Row],[Progres Keg. Umum
(%)]]*Table1[[#This Row],[Nilai RAB Jaringan
(file pa aji)]],0)</f>
        <v>0</v>
      </c>
      <c r="CR377" s="406">
        <f>IFERROR(Table1[[#This Row],[Progres MOS
(%)]]*Table1[[#This Row],[Nilai RAB Jaringan
(file pa aji)]],0)</f>
        <v>0</v>
      </c>
      <c r="CS377" s="406">
        <f>IFERROR(Table1[[#This Row],[Progres Pemasangan
(%)]]*Table1[[#This Row],[Nilai RAB Jaringan
(file pa aji)]],0)</f>
        <v>0</v>
      </c>
      <c r="CT377" s="406">
        <f>IFERROR(Table1[[#This Row],[Progres Perizinan
(%)]]*Table1[[#This Row],[Nilai RAB Jaringan
(file pa aji)]],0)</f>
        <v>0</v>
      </c>
      <c r="CU377" s="789">
        <v>0</v>
      </c>
      <c r="CV377" s="299">
        <v>0</v>
      </c>
      <c r="CW377" s="481">
        <v>0</v>
      </c>
      <c r="CX377" s="789">
        <f>_xlfn.XLOOKUP(Table1[[#This Row],[Kode Program]],'[1]Breakdown VOWD Greenfield'!$E:$E,'[1]Breakdown VOWD Greenfield'!$AT:$AT)</f>
        <v>0</v>
      </c>
      <c r="CY377" s="42"/>
      <c r="CZ377" s="301">
        <v>45957</v>
      </c>
      <c r="DA377" s="301">
        <v>45984</v>
      </c>
      <c r="DB377" s="301">
        <v>45971</v>
      </c>
      <c r="DC377" s="286" t="s">
        <v>3012</v>
      </c>
      <c r="DD377" s="478">
        <v>109944292</v>
      </c>
      <c r="DE37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7" s="301">
        <v>46049</v>
      </c>
      <c r="DG377" s="286" t="s">
        <v>3013</v>
      </c>
      <c r="DH377" s="478">
        <v>109944292</v>
      </c>
      <c r="DI37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7" s="301">
        <v>45985</v>
      </c>
      <c r="DK377" s="301">
        <v>46047</v>
      </c>
      <c r="DL377" s="301">
        <v>46059</v>
      </c>
      <c r="DM377" s="286" t="s">
        <v>3014</v>
      </c>
      <c r="DN37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7" s="301">
        <v>46083</v>
      </c>
      <c r="DP377" s="286"/>
      <c r="DQ377" s="308" t="s">
        <v>365</v>
      </c>
      <c r="DR37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7" s="301">
        <v>45985</v>
      </c>
      <c r="DT377" s="301">
        <v>0</v>
      </c>
      <c r="DU377" s="301">
        <v>46026</v>
      </c>
      <c r="DV377" s="301">
        <v>0</v>
      </c>
      <c r="DW377" s="365">
        <v>46059</v>
      </c>
      <c r="DX377" s="286" t="s">
        <v>3015</v>
      </c>
      <c r="DY377" s="304">
        <v>19</v>
      </c>
      <c r="DZ377" s="304">
        <v>19</v>
      </c>
      <c r="EA37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7" s="301"/>
      <c r="EC377" s="302">
        <v>17</v>
      </c>
      <c r="ED377" s="302">
        <v>17</v>
      </c>
      <c r="EE377" s="100"/>
      <c r="EF377" s="307">
        <v>0.89473684210526316</v>
      </c>
      <c r="EG377" s="307">
        <f>Table1[[#This Row],[Line PO]]/Table1[[#This Row],[Line PR]]</f>
        <v>0.89473684210526316</v>
      </c>
      <c r="EH377" s="286" t="str">
        <f>IF(Table1[[#This Row],[PO Material Aktual 
(%)]]&gt;=100%,"Selesai PO = 100%",IF(Table1[[#This Row],[PO Material Aktual 
(%)]]&gt;=50%,"Proses PO &gt; 100%",IF(Table1[[#This Row],[PO Material Aktual 
(%)]]&gt;0%,"Proses PO &gt; 50%",IF(Table1[[#This Row],[PO Material Aktual 
(%)]]=0,"Belum PO = 0%"))))</f>
        <v>Proses PO &gt; 100%</v>
      </c>
      <c r="EI37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7" s="301">
        <v>46027</v>
      </c>
      <c r="EK377" s="301">
        <v>0</v>
      </c>
      <c r="EL377" s="301">
        <v>46103</v>
      </c>
      <c r="EM377" s="301">
        <v>0</v>
      </c>
      <c r="EN377" s="301"/>
      <c r="EO377" s="302">
        <v>13</v>
      </c>
      <c r="EP377" s="302">
        <v>13</v>
      </c>
      <c r="EQ377" s="307">
        <v>0.68421052631578949</v>
      </c>
      <c r="ER377" s="307">
        <f>Table1[[#This Row],[Line MOS (kolom bantu)]]/Table1[[#This Row],[Line PR]]</f>
        <v>0.68421052631578949</v>
      </c>
      <c r="ES377" s="286" t="str">
        <f>IF(Table1[[#This Row],[Progres MOS]]&gt;=100%,"Selesai MOS = 100%",IF(Table1[[#This Row],[Progres MOS]]&gt;=50%,"Proses MOS &gt; 100%",IF(Table1[[#This Row],[Progres MOS]]&gt;0%,"Proses MOS &gt; 50%",IF(Table1[[#This Row],[Progres MOS]]=0,"Belum MOS = 0%"))))</f>
        <v>Proses MOS &gt; 100%</v>
      </c>
      <c r="ET37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7" s="42"/>
      <c r="EV377" s="301">
        <v>45985</v>
      </c>
      <c r="EW377" s="301">
        <v>0</v>
      </c>
      <c r="EX377" s="301">
        <v>46075</v>
      </c>
      <c r="EY377" s="301">
        <v>0</v>
      </c>
      <c r="EZ377" s="322" t="s">
        <v>2769</v>
      </c>
      <c r="FA377" s="379" t="s">
        <v>2769</v>
      </c>
      <c r="FB377" s="300"/>
      <c r="FC377" s="300">
        <v>46010</v>
      </c>
      <c r="FD377" s="300" t="s">
        <v>260</v>
      </c>
      <c r="FE377" s="300"/>
      <c r="FF377" s="300"/>
      <c r="FG377" s="300"/>
      <c r="FH377" s="300"/>
      <c r="FI377" s="300"/>
      <c r="FJ377" s="300"/>
      <c r="FK377" s="300"/>
      <c r="FL377" s="306" t="s">
        <v>2827</v>
      </c>
      <c r="FM377" s="322"/>
      <c r="FN377" s="308" t="str">
        <f>IF(Table1[[#This Row],[Tanggal Pengajuan Dokumen]]="","",Table1[[#This Row],[PLAN PERMIT
start]]-Table1[[#This Row],[Tanggal Pengajuan Dokumen]])</f>
        <v/>
      </c>
      <c r="FO377" s="322"/>
      <c r="FP377" s="286"/>
      <c r="FQ377" s="308"/>
      <c r="FR377" s="301"/>
      <c r="FS377" s="308"/>
      <c r="FT37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7" s="314">
        <f ca="1">IF(Table1[[#This Row],[Status Izin]]="Selesai",Table1[[#This Row],[PLAN PERMIT
finish]]-Table1[[#This Row],[Tanggal Terbit/ Target Izin Terbit]],ROUNDUP(Table1[[#This Row],[PLAN PERMIT
finish]]-NOW(),0))</f>
        <v>-129</v>
      </c>
      <c r="FV37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7" s="314"/>
      <c r="FX377" s="42"/>
      <c r="FY377" s="483">
        <v>46034</v>
      </c>
      <c r="FZ377" s="483">
        <v>46049</v>
      </c>
      <c r="GA37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7" s="301">
        <v>46048</v>
      </c>
      <c r="GC377" s="322">
        <v>46141</v>
      </c>
      <c r="GD37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7" s="301">
        <v>46055</v>
      </c>
      <c r="GF377" s="322">
        <v>46141</v>
      </c>
      <c r="GG37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7" s="301">
        <v>46062</v>
      </c>
      <c r="GI377" s="301">
        <v>46068</v>
      </c>
      <c r="GJ377" s="322">
        <v>46146</v>
      </c>
      <c r="GK37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7" s="301">
        <v>46076</v>
      </c>
      <c r="GM377" s="301">
        <v>0</v>
      </c>
      <c r="GN377" s="301">
        <v>46103</v>
      </c>
      <c r="GO377" s="300">
        <v>0</v>
      </c>
      <c r="GP377" s="286"/>
      <c r="GQ37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7" s="301"/>
      <c r="GS377" s="301"/>
      <c r="GT377" s="324"/>
      <c r="GU377" s="314" t="str">
        <f>IF(Table1[[#This Row],[Hydro Tes Actual
(tanggal)]]&lt;&gt;"","Sudah","Belum")</f>
        <v>Belum</v>
      </c>
      <c r="GV377" s="300"/>
      <c r="GW377" s="300"/>
      <c r="GX377" s="301"/>
      <c r="GY377" s="314" t="str">
        <f>IF(Table1[[#This Row],[Interkoneksi Actual
(tanggal)]]&lt;&gt;"","Sudah","Belum")</f>
        <v>Belum</v>
      </c>
      <c r="GZ377" s="300"/>
      <c r="HA377" s="300"/>
      <c r="HB377" s="301"/>
      <c r="HC377" s="314" t="str">
        <f>IF(Table1[[#This Row],[Flushing Actual
(tanggal)]]&lt;&gt;"","Sudah","Belum")</f>
        <v>Belum</v>
      </c>
      <c r="HD377" s="301">
        <v>46106</v>
      </c>
      <c r="HE377" s="301">
        <v>0</v>
      </c>
      <c r="HF377" s="301">
        <v>46111</v>
      </c>
      <c r="HG377" s="322"/>
      <c r="HH37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7" s="300"/>
      <c r="HJ377" s="300"/>
      <c r="HK377" s="301"/>
      <c r="HL377" s="301"/>
      <c r="HM377" s="301">
        <v>46128</v>
      </c>
      <c r="HN377" s="301">
        <v>46128</v>
      </c>
      <c r="HO377" s="300">
        <v>0</v>
      </c>
      <c r="HP377" s="300"/>
      <c r="HQ377" s="301"/>
      <c r="HR37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7" s="301">
        <v>46136</v>
      </c>
      <c r="HT377" s="301"/>
      <c r="HU377" s="301">
        <v>46136</v>
      </c>
      <c r="HV377" s="390"/>
      <c r="HW377" s="365"/>
      <c r="HX37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7" s="42"/>
      <c r="HZ377" s="322"/>
      <c r="IA377" s="306"/>
      <c r="IB377" s="67"/>
      <c r="IC377" s="585">
        <f>IFERROR(ROUND((Table1[[#This Row],[PLAN TC
finish]]-Table1[[#This Row],[PLAN MC-0
start]])/30,2),"")</f>
        <v>1.63</v>
      </c>
      <c r="ID377">
        <f>DATEDIF(Table1[[#This Row],[PLAN MC-0
start]],Table1[[#This Row],[PLAN TC
finish]],"m")</f>
        <v>1</v>
      </c>
      <c r="IE377" s="6"/>
      <c r="IF377" s="6"/>
      <c r="IG377" s="67"/>
      <c r="II377" s="6"/>
      <c r="IJ377" s="4"/>
      <c r="IK377" s="4"/>
      <c r="IL377" s="6"/>
      <c r="IM377" s="6"/>
      <c r="IN377" s="6"/>
      <c r="IO377" s="6"/>
      <c r="IP377" s="6"/>
      <c r="IR377" s="6"/>
      <c r="IS377" s="6"/>
      <c r="IT377" s="6"/>
      <c r="IU377" s="6"/>
      <c r="IX377" s="6"/>
      <c r="IY377" s="6"/>
      <c r="JA377" s="6"/>
      <c r="JB377" s="6"/>
    </row>
    <row r="378" spans="2:262" ht="15" customHeight="1" x14ac:dyDescent="0.25">
      <c r="B378" s="558">
        <f>SUBTOTAL(3,$D$5:D378)</f>
        <v>374</v>
      </c>
      <c r="C378" s="286">
        <v>374</v>
      </c>
      <c r="D378" s="553" t="s">
        <v>244</v>
      </c>
      <c r="E378" s="554" t="s">
        <v>3016</v>
      </c>
      <c r="F378" s="554" t="s">
        <v>3017</v>
      </c>
      <c r="G378" s="555">
        <v>46300</v>
      </c>
      <c r="H378" s="554" t="s">
        <v>681</v>
      </c>
      <c r="I378" s="308" t="s">
        <v>278</v>
      </c>
      <c r="J378" s="591" t="str">
        <f>Table1[[#This Row],[Status Aktual]]</f>
        <v>BATAL / CANCEL</v>
      </c>
      <c r="K378" s="308"/>
      <c r="L378" s="286"/>
      <c r="M378" s="325" t="s">
        <v>269</v>
      </c>
      <c r="N378" s="556">
        <v>178</v>
      </c>
      <c r="O378" s="556" t="s">
        <v>252</v>
      </c>
      <c r="P37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8" s="557" t="s">
        <v>389</v>
      </c>
      <c r="R378" s="35">
        <v>1</v>
      </c>
      <c r="S378" s="297">
        <f>_xlfn.XLOOKUP(Table1[[#This Row],[Nama Program]],'[2]Summary Plan'!$E:$E,'[2]Summary Plan'!$M:$M)</f>
        <v>1</v>
      </c>
      <c r="T378" s="128">
        <f>Table1[[#This Row],[Progres Total Aktual
(%)]]</f>
        <v>7.6200840245465626E-2</v>
      </c>
      <c r="U378" s="103">
        <f>Table1[[#This Row],[Progres Aktual
(%)]]-Table1[[#This Row],[Target Progres
(%)]]</f>
        <v>-0.92379915975453442</v>
      </c>
      <c r="V378" s="75">
        <f>Table1[[#This Row],["Volume
BA MC-0"]]</f>
        <v>0</v>
      </c>
      <c r="W378" s="75">
        <f>Table1[[#This Row],[Total Panjang Pipa Aktual
(Sum-&gt;)3]]</f>
        <v>0</v>
      </c>
      <c r="X378" s="99"/>
      <c r="Y378" s="62" t="s">
        <v>3018</v>
      </c>
      <c r="Z378" s="62">
        <v>370414688</v>
      </c>
      <c r="AA378" s="479">
        <f>ROUND((Table1[[#This Row],[Nilai RAB Jaringan
(Exclude Ppn)]]-Table1[[#This Row],[RAB Perizinan]])*1.11+Table1[[#This Row],[RAB Perizinan]],0)</f>
        <v>370414687</v>
      </c>
      <c r="AB378" s="406">
        <f>SUM(Table1[[#This Row],[RAB Kegiatan Umum]:[RAB Perizinan]])</f>
        <v>333883321.89999998</v>
      </c>
      <c r="AC378" s="406">
        <v>24890754.899999999</v>
      </c>
      <c r="AD378" s="406">
        <v>248907549</v>
      </c>
      <c r="AE378" s="406">
        <v>58305018</v>
      </c>
      <c r="AF378" s="406">
        <v>1780000</v>
      </c>
      <c r="AG378" s="406"/>
      <c r="AH378" s="480">
        <f>SUM(Table1[[#This Row],[Bobot Keg Umum]:[Bobot Perizinan]])</f>
        <v>1</v>
      </c>
      <c r="AI378" s="480">
        <f>Table1[[#This Row],[RAB Kegiatan Umum]]/Table1[[#This Row],[Nilai RAB Jaringan
(Exclude Ppn)]]</f>
        <v>7.4549260976428541E-2</v>
      </c>
      <c r="AJ378" s="480">
        <f>Table1[[#This Row],[RAB Pemasangan]]/Table1[[#This Row],[Nilai RAB Jaringan
(Exclude Ppn)]]</f>
        <v>0.74549260976428555</v>
      </c>
      <c r="AK378" s="111">
        <f>Table1[[#This Row],[RAB Pengadaan]]/Table1[[#This Row],[Nilai RAB Jaringan
(Exclude Ppn)]]</f>
        <v>0.1746269255625254</v>
      </c>
      <c r="AL378" s="112">
        <f>Table1[[#This Row],[RAB Perizinan]]/Table1[[#This Row],[Nilai RAB Jaringan
(Exclude Ppn)]]</f>
        <v>5.3312036967606323E-3</v>
      </c>
      <c r="AM378" s="42"/>
      <c r="AN378" s="256"/>
      <c r="AO378" s="256">
        <f>SUM(Table1[[#This Row],[Pipa 63 mm]:[Pipa 1,800 mm]])</f>
        <v>0</v>
      </c>
      <c r="AP378" s="256"/>
      <c r="AQ378" s="256"/>
      <c r="AR378" s="256"/>
      <c r="AS378" s="256"/>
      <c r="AT378" s="256"/>
      <c r="AU378" s="256"/>
      <c r="AV378" s="256"/>
      <c r="AW378" s="256"/>
      <c r="AX378" s="256"/>
      <c r="AY378" s="256"/>
      <c r="AZ378" s="256"/>
      <c r="BA378" s="256"/>
      <c r="BB378" s="256"/>
      <c r="BC378" s="256"/>
      <c r="BD378" s="256"/>
      <c r="BE378" s="256"/>
      <c r="BF378" s="256"/>
      <c r="BG378" s="256"/>
      <c r="BH378" s="256"/>
      <c r="BI378" s="256"/>
      <c r="BJ378" s="36">
        <f>SUM(Table1[[#This Row],[Pipa 63 mm2]:[Pipa 1,800 mm21]])</f>
        <v>0</v>
      </c>
      <c r="BK378" s="32"/>
      <c r="BL378" s="32"/>
      <c r="BM378" s="32"/>
      <c r="BN378" s="32"/>
      <c r="BO378" s="32"/>
      <c r="BP378" s="32"/>
      <c r="BQ378" s="32"/>
      <c r="BR378" s="32"/>
      <c r="BS378" s="32"/>
      <c r="BT378" s="32"/>
      <c r="BU378" s="32"/>
      <c r="BV378" s="32"/>
      <c r="BW378" s="32"/>
      <c r="BX378" s="32"/>
      <c r="BY378" s="32"/>
      <c r="BZ378" s="32"/>
      <c r="CA378" s="32"/>
      <c r="CB378" s="32"/>
      <c r="CC378" s="32"/>
      <c r="CD378" s="32"/>
      <c r="CE378" s="32"/>
      <c r="CF378" s="32"/>
      <c r="CG378" s="32"/>
      <c r="CH378" s="32"/>
      <c r="CI378" s="32"/>
      <c r="CJ378" s="32">
        <f>IF((Table1[[#This Row],["Volume
BA MC-0"]]-Table1[[#This Row],[Total Panjang Pipa Aktual
(Sum-&gt;)3]]-Table1[[#This Row],[Total Volume
tidak dapat dipasang]])&gt;=0,Table1[[#This Row],["Volume
BA MC-0"]]-Table1[[#This Row],[Total Panjang Pipa Aktual
(Sum-&gt;)3]]-Table1[[#This Row],[Total Volume
tidak dapat dipasang]],0)</f>
        <v>0</v>
      </c>
      <c r="CK378" s="42"/>
      <c r="CL378" s="113"/>
      <c r="CM378" s="307"/>
      <c r="CN378" s="113"/>
      <c r="CO378" s="113"/>
      <c r="CP37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7.6200840245465626E-2</v>
      </c>
      <c r="CQ378" s="406">
        <f>IFERROR(Table1[[#This Row],[Progres Keg. Umum
(%)]]*Table1[[#This Row],[Nilai RAB Jaringan
(file pa aji)]],0)</f>
        <v>0</v>
      </c>
      <c r="CR378" s="406">
        <f>IFERROR(Table1[[#This Row],[Progres MOS
(%)]]*Table1[[#This Row],[Nilai RAB Jaringan
(file pa aji)]],0)</f>
        <v>0</v>
      </c>
      <c r="CS378" s="406">
        <f>IFERROR(Table1[[#This Row],[Progres Pemasangan
(%)]]*Table1[[#This Row],[Nilai RAB Jaringan
(file pa aji)]],0)</f>
        <v>0</v>
      </c>
      <c r="CT378" s="406">
        <f>IFERROR(Table1[[#This Row],[Progres Perizinan
(%)]]*Table1[[#This Row],[Nilai RAB Jaringan
(file pa aji)]],0)</f>
        <v>0</v>
      </c>
      <c r="CU378" s="789">
        <v>0</v>
      </c>
      <c r="CV378" s="299">
        <v>0</v>
      </c>
      <c r="CW378" s="481">
        <v>0</v>
      </c>
      <c r="CX378" s="789">
        <f>_xlfn.XLOOKUP(Table1[[#This Row],[Kode Program]],'[1]Breakdown VOWD Greenfield'!$E:$E,'[1]Breakdown VOWD Greenfield'!$AT:$AT)</f>
        <v>0</v>
      </c>
      <c r="CY378" s="42"/>
      <c r="CZ378" s="301">
        <v>45957</v>
      </c>
      <c r="DA378" s="301">
        <v>45984</v>
      </c>
      <c r="DB378" s="301">
        <v>45971</v>
      </c>
      <c r="DC378" s="485" t="s">
        <v>3019</v>
      </c>
      <c r="DD378" s="478">
        <v>370414687</v>
      </c>
      <c r="DE37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8" s="301">
        <v>45999</v>
      </c>
      <c r="DG378" s="486" t="s">
        <v>3020</v>
      </c>
      <c r="DH378" s="478">
        <v>370414687</v>
      </c>
      <c r="DI37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8" s="301">
        <v>45985</v>
      </c>
      <c r="DK378" s="301">
        <v>46047</v>
      </c>
      <c r="DL378" s="301">
        <v>46048</v>
      </c>
      <c r="DM378" s="286" t="s">
        <v>3021</v>
      </c>
      <c r="DN37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8" s="301">
        <v>46114</v>
      </c>
      <c r="DP378" s="286" t="s">
        <v>2767</v>
      </c>
      <c r="DQ378" s="308" t="s">
        <v>365</v>
      </c>
      <c r="DR37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8" s="301">
        <v>45985</v>
      </c>
      <c r="DT378" s="301">
        <v>0</v>
      </c>
      <c r="DU378" s="301">
        <v>46026</v>
      </c>
      <c r="DV378" s="301">
        <v>0</v>
      </c>
      <c r="DW378" s="301">
        <v>46048</v>
      </c>
      <c r="DX378" s="301" t="s">
        <v>3022</v>
      </c>
      <c r="DY378" s="304">
        <v>22</v>
      </c>
      <c r="DZ378" s="304">
        <v>22</v>
      </c>
      <c r="EA37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8" s="301"/>
      <c r="EC378" s="302">
        <v>21</v>
      </c>
      <c r="ED378" s="302">
        <v>21</v>
      </c>
      <c r="EE378" s="100"/>
      <c r="EF378" s="307">
        <v>0.95454545454545459</v>
      </c>
      <c r="EG378" s="307">
        <f>Table1[[#This Row],[Line PO]]/Table1[[#This Row],[Line PR]]</f>
        <v>0.95454545454545459</v>
      </c>
      <c r="EH378" s="286" t="str">
        <f>IF(Table1[[#This Row],[PO Material Aktual 
(%)]]&gt;=100%,"Selesai PO = 100%",IF(Table1[[#This Row],[PO Material Aktual 
(%)]]&gt;=50%,"Proses PO &gt; 100%",IF(Table1[[#This Row],[PO Material Aktual 
(%)]]&gt;0%,"Proses PO &gt; 50%",IF(Table1[[#This Row],[PO Material Aktual 
(%)]]=0,"Belum PO = 0%"))))</f>
        <v>Proses PO &gt; 100%</v>
      </c>
      <c r="EI37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8" s="301">
        <v>46027</v>
      </c>
      <c r="EK378" s="301">
        <v>0</v>
      </c>
      <c r="EL378" s="301">
        <v>46103</v>
      </c>
      <c r="EM378" s="301">
        <v>0</v>
      </c>
      <c r="EN378" s="301"/>
      <c r="EO378" s="302">
        <v>16</v>
      </c>
      <c r="EP378" s="302">
        <v>16</v>
      </c>
      <c r="EQ378" s="307">
        <v>0.72727272727272729</v>
      </c>
      <c r="ER378" s="307">
        <f>Table1[[#This Row],[Line MOS (kolom bantu)]]/Table1[[#This Row],[Line PR]]</f>
        <v>0.72727272727272729</v>
      </c>
      <c r="ES378" s="286" t="str">
        <f>IF(Table1[[#This Row],[Progres MOS]]&gt;=100%,"Selesai MOS = 100%",IF(Table1[[#This Row],[Progres MOS]]&gt;=50%,"Proses MOS &gt; 100%",IF(Table1[[#This Row],[Progres MOS]]&gt;0%,"Proses MOS &gt; 50%",IF(Table1[[#This Row],[Progres MOS]]=0,"Belum MOS = 0%"))))</f>
        <v>Proses MOS &gt; 100%</v>
      </c>
      <c r="ET37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8" s="42"/>
      <c r="EV378" s="301">
        <v>45985</v>
      </c>
      <c r="EW378" s="301">
        <v>0</v>
      </c>
      <c r="EX378" s="301">
        <v>46075</v>
      </c>
      <c r="EY378" s="301">
        <v>0</v>
      </c>
      <c r="EZ378" s="322" t="s">
        <v>2769</v>
      </c>
      <c r="FA378" s="379" t="s">
        <v>2769</v>
      </c>
      <c r="FB378" s="300"/>
      <c r="FC378" s="300">
        <v>46036</v>
      </c>
      <c r="FD378" s="300" t="s">
        <v>260</v>
      </c>
      <c r="FE378" s="300"/>
      <c r="FF378" s="300"/>
      <c r="FG378" s="300"/>
      <c r="FH378" s="300"/>
      <c r="FI378" s="300"/>
      <c r="FJ378" s="300"/>
      <c r="FK378" s="300"/>
      <c r="FL378" s="306" t="s">
        <v>2827</v>
      </c>
      <c r="FM378" s="322"/>
      <c r="FN378" s="308" t="str">
        <f>IF(Table1[[#This Row],[Tanggal Pengajuan Dokumen]]="","",Table1[[#This Row],[PLAN PERMIT
start]]-Table1[[#This Row],[Tanggal Pengajuan Dokumen]])</f>
        <v/>
      </c>
      <c r="FO378" s="322"/>
      <c r="FP378" s="286"/>
      <c r="FQ378" s="308"/>
      <c r="FR378" s="301"/>
      <c r="FS378" s="308"/>
      <c r="FT37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8" s="314">
        <f ca="1">IF(Table1[[#This Row],[Status Izin]]="Selesai",Table1[[#This Row],[PLAN PERMIT
finish]]-Table1[[#This Row],[Tanggal Terbit/ Target Izin Terbit]],ROUNDUP(Table1[[#This Row],[PLAN PERMIT
finish]]-NOW(),0))</f>
        <v>-129</v>
      </c>
      <c r="FV37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8" s="314"/>
      <c r="FX378" s="42"/>
      <c r="FY378" s="483">
        <v>46034</v>
      </c>
      <c r="FZ378" s="483">
        <v>46049</v>
      </c>
      <c r="GA37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8" s="301">
        <v>46048</v>
      </c>
      <c r="GC378" s="322">
        <v>46141</v>
      </c>
      <c r="GD37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8" s="301">
        <v>46055</v>
      </c>
      <c r="GF378" s="322">
        <v>46141</v>
      </c>
      <c r="GG37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8" s="301">
        <v>46062</v>
      </c>
      <c r="GI378" s="301">
        <v>46068</v>
      </c>
      <c r="GJ378" s="322">
        <v>46146</v>
      </c>
      <c r="GK37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8" s="301">
        <v>46076</v>
      </c>
      <c r="GM378" s="301">
        <v>0</v>
      </c>
      <c r="GN378" s="301">
        <v>46103</v>
      </c>
      <c r="GO378" s="300">
        <v>0</v>
      </c>
      <c r="GP378" s="286"/>
      <c r="GQ37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8" s="301"/>
      <c r="GS378" s="301"/>
      <c r="GT378" s="324"/>
      <c r="GU378" s="314" t="str">
        <f>IF(Table1[[#This Row],[Hydro Tes Actual
(tanggal)]]&lt;&gt;"","Sudah","Belum")</f>
        <v>Belum</v>
      </c>
      <c r="GV378" s="300"/>
      <c r="GW378" s="300"/>
      <c r="GX378" s="301"/>
      <c r="GY378" s="314" t="str">
        <f>IF(Table1[[#This Row],[Interkoneksi Actual
(tanggal)]]&lt;&gt;"","Sudah","Belum")</f>
        <v>Belum</v>
      </c>
      <c r="GZ378" s="300"/>
      <c r="HA378" s="300"/>
      <c r="HB378" s="301"/>
      <c r="HC378" s="314" t="str">
        <f>IF(Table1[[#This Row],[Flushing Actual
(tanggal)]]&lt;&gt;"","Sudah","Belum")</f>
        <v>Belum</v>
      </c>
      <c r="HD378" s="301">
        <v>46106</v>
      </c>
      <c r="HE378" s="301">
        <v>0</v>
      </c>
      <c r="HF378" s="301">
        <v>46111</v>
      </c>
      <c r="HG378" s="322"/>
      <c r="HH37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8" s="300"/>
      <c r="HJ378" s="300"/>
      <c r="HK378" s="301"/>
      <c r="HL378" s="301"/>
      <c r="HM378" s="301">
        <v>46128</v>
      </c>
      <c r="HN378" s="301">
        <v>46128</v>
      </c>
      <c r="HO378" s="300">
        <v>0</v>
      </c>
      <c r="HP378" s="300"/>
      <c r="HQ378" s="301"/>
      <c r="HR37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8" s="301">
        <v>46136</v>
      </c>
      <c r="HT378" s="301"/>
      <c r="HU378" s="301">
        <v>46136</v>
      </c>
      <c r="HV378" s="390"/>
      <c r="HW378" s="365"/>
      <c r="HX37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8" s="42"/>
      <c r="HZ378" s="322"/>
      <c r="IA378" s="306"/>
      <c r="IB378" s="67"/>
      <c r="IC378" s="585">
        <f>IFERROR(ROUND((Table1[[#This Row],[PLAN TC
finish]]-Table1[[#This Row],[PLAN MC-0
start]])/30,2),"")</f>
        <v>1.63</v>
      </c>
      <c r="ID378">
        <f>DATEDIF(Table1[[#This Row],[PLAN MC-0
start]],Table1[[#This Row],[PLAN TC
finish]],"m")</f>
        <v>1</v>
      </c>
      <c r="IE378" s="6"/>
      <c r="IF378" s="6"/>
      <c r="IG378" s="67"/>
      <c r="II378" s="6"/>
      <c r="IJ378" s="4"/>
      <c r="IK378" s="4"/>
      <c r="IL378" s="6"/>
      <c r="IM378" s="6"/>
      <c r="IN378" s="6"/>
      <c r="IO378" s="6"/>
      <c r="IP378" s="6"/>
      <c r="IR378" s="6"/>
      <c r="IS378" s="6"/>
      <c r="IT378" s="6"/>
      <c r="IU378" s="6"/>
      <c r="IX378" s="6"/>
      <c r="IY378" s="6"/>
      <c r="JA378" s="6"/>
      <c r="JB378" s="6"/>
    </row>
    <row r="379" spans="2:262" ht="15" customHeight="1" x14ac:dyDescent="0.25">
      <c r="B379" s="281">
        <f>SUBTOTAL(3,$D$5:D379)</f>
        <v>375</v>
      </c>
      <c r="C379" s="286">
        <v>375</v>
      </c>
      <c r="D379" s="285" t="s">
        <v>244</v>
      </c>
      <c r="E379" s="308" t="s">
        <v>3023</v>
      </c>
      <c r="F379" s="418" t="s">
        <v>3024</v>
      </c>
      <c r="G379" s="319">
        <v>46300</v>
      </c>
      <c r="H379" s="308" t="s">
        <v>681</v>
      </c>
      <c r="I379" s="308" t="s">
        <v>278</v>
      </c>
      <c r="J379" s="450"/>
      <c r="K379" s="308"/>
      <c r="L379" s="286"/>
      <c r="M379" s="325" t="s">
        <v>269</v>
      </c>
      <c r="N379" s="477">
        <v>1886</v>
      </c>
      <c r="O379" s="477" t="s">
        <v>252</v>
      </c>
      <c r="P37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7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79" s="35">
        <v>1.0000000000000002</v>
      </c>
      <c r="S379" s="297">
        <v>1</v>
      </c>
      <c r="T379" s="128">
        <f>Table1[[#This Row],[Progres Total Aktual
(%)]]</f>
        <v>8.4483270427036836E-2</v>
      </c>
      <c r="U379" s="103">
        <f>Table1[[#This Row],[Progres Aktual
(%)]]-Table1[[#This Row],[Target Progres
(%)]]</f>
        <v>-0.91551672957296315</v>
      </c>
      <c r="V379" s="75">
        <v>1657.2</v>
      </c>
      <c r="W379" s="75">
        <f>Table1[[#This Row],[Total Panjang Pipa Aktual
(Sum-&gt;)3]]</f>
        <v>0</v>
      </c>
      <c r="X379" s="99"/>
      <c r="Y379" s="62" t="s">
        <v>3025</v>
      </c>
      <c r="Z379" s="62">
        <v>4385993618</v>
      </c>
      <c r="AA379" s="479">
        <f>ROUND((Table1[[#This Row],[Nilai RAB Jaringan
(Exclude Ppn)]]-Table1[[#This Row],[RAB Perizinan]])*1.11+Table1[[#This Row],[RAB Perizinan]],0)</f>
        <v>4915268963</v>
      </c>
      <c r="AB379" s="406">
        <f>SUM(Table1[[#This Row],[RAB Kegiatan Umum]:[RAB Perizinan]])</f>
        <v>4430732940</v>
      </c>
      <c r="AC379" s="406">
        <v>305917033</v>
      </c>
      <c r="AD379" s="406">
        <v>3059170326</v>
      </c>
      <c r="AE379" s="406">
        <v>1039785581</v>
      </c>
      <c r="AF379" s="406">
        <v>25860000</v>
      </c>
      <c r="AG379" s="406"/>
      <c r="AH379" s="480">
        <f>SUM(Table1[[#This Row],[Bobot Keg Umum]:[Bobot Perizinan]])</f>
        <v>1</v>
      </c>
      <c r="AI379" s="480">
        <f>Table1[[#This Row],[RAB Kegiatan Umum]]/Table1[[#This Row],[Nilai RAB Jaringan
(Exclude Ppn)]]</f>
        <v>6.904434032532776E-2</v>
      </c>
      <c r="AJ379" s="480">
        <f>Table1[[#This Row],[RAB Pemasangan]]/Table1[[#This Row],[Nilai RAB Jaringan
(Exclude Ppn)]]</f>
        <v>0.6904434023504924</v>
      </c>
      <c r="AK379" s="111">
        <f>Table1[[#This Row],[RAB Pengadaan]]/Table1[[#This Row],[Nilai RAB Jaringan
(Exclude Ppn)]]</f>
        <v>0.23467575118621345</v>
      </c>
      <c r="AL379" s="112">
        <f>Table1[[#This Row],[RAB Perizinan]]/Table1[[#This Row],[Nilai RAB Jaringan
(Exclude Ppn)]]</f>
        <v>5.8365061379664195E-3</v>
      </c>
      <c r="AM379" s="42"/>
      <c r="AN379" s="256">
        <v>1657.2</v>
      </c>
      <c r="AO379" s="256">
        <f>SUM(Table1[[#This Row],[Pipa 63 mm]:[Pipa 1,800 mm]])</f>
        <v>1657.2</v>
      </c>
      <c r="AP379" s="256">
        <v>98</v>
      </c>
      <c r="AQ379" s="256">
        <v>150</v>
      </c>
      <c r="AR379" s="256">
        <v>438.5</v>
      </c>
      <c r="AS379" s="256">
        <v>945.5</v>
      </c>
      <c r="AT379" s="256">
        <v>25.2</v>
      </c>
      <c r="AU379" s="256"/>
      <c r="AV379" s="256"/>
      <c r="AW379" s="256"/>
      <c r="AX379" s="256"/>
      <c r="AY379" s="256"/>
      <c r="AZ379" s="256"/>
      <c r="BA379" s="256"/>
      <c r="BB379" s="256"/>
      <c r="BC379" s="256"/>
      <c r="BD379" s="256"/>
      <c r="BE379" s="256"/>
      <c r="BF379" s="256"/>
      <c r="BG379" s="256"/>
      <c r="BH379" s="256"/>
      <c r="BI379" s="256"/>
      <c r="BJ379" s="36">
        <f>SUM(Table1[[#This Row],[Pipa 63 mm2]:[Pipa 1,800 mm21]])</f>
        <v>0</v>
      </c>
      <c r="BK379" s="32"/>
      <c r="BL379" s="32"/>
      <c r="BM379" s="32"/>
      <c r="BN379" s="32"/>
      <c r="BO379" s="32"/>
      <c r="BP379" s="32"/>
      <c r="BQ379" s="32"/>
      <c r="BR379" s="32"/>
      <c r="BS379" s="32"/>
      <c r="BT379" s="32"/>
      <c r="BU379" s="32"/>
      <c r="BV379" s="32"/>
      <c r="BW379" s="32"/>
      <c r="BX379" s="32"/>
      <c r="BY379" s="32"/>
      <c r="BZ379" s="32"/>
      <c r="CA379" s="32"/>
      <c r="CB379" s="32"/>
      <c r="CC379" s="32"/>
      <c r="CD379" s="32"/>
      <c r="CE379" s="32"/>
      <c r="CF379" s="32"/>
      <c r="CG379" s="32"/>
      <c r="CH379" s="32"/>
      <c r="CI379" s="32"/>
      <c r="CJ379" s="32">
        <f>IF((Table1[[#This Row],["Volume
BA MC-0"]]-Table1[[#This Row],[Total Panjang Pipa Aktual
(Sum-&gt;)3]]-Table1[[#This Row],[Total Volume
tidak dapat dipasang]])&gt;=0,Table1[[#This Row],["Volume
BA MC-0"]]-Table1[[#This Row],[Total Panjang Pipa Aktual
(Sum-&gt;)3]]-Table1[[#This Row],[Total Volume
tidak dapat dipasang]],0)</f>
        <v>1657.2</v>
      </c>
      <c r="CK379" s="42"/>
      <c r="CL379" s="113"/>
      <c r="CM379" s="307"/>
      <c r="CN379" s="113"/>
      <c r="CO379" s="113"/>
      <c r="CP37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8.4483270427036836E-2</v>
      </c>
      <c r="CQ379" s="406">
        <f>IFERROR(Table1[[#This Row],[Progres Keg. Umum
(%)]]*Table1[[#This Row],[Nilai RAB Jaringan
(file pa aji)]],0)</f>
        <v>0</v>
      </c>
      <c r="CR379" s="406">
        <f>IFERROR(Table1[[#This Row],[Progres MOS
(%)]]*Table1[[#This Row],[Nilai RAB Jaringan
(file pa aji)]],0)</f>
        <v>0</v>
      </c>
      <c r="CS379" s="406">
        <f>IFERROR(Table1[[#This Row],[Progres Pemasangan
(%)]]*Table1[[#This Row],[Nilai RAB Jaringan
(file pa aji)]],0)</f>
        <v>0</v>
      </c>
      <c r="CT379" s="406">
        <f>IFERROR(Table1[[#This Row],[Progres Perizinan
(%)]]*Table1[[#This Row],[Nilai RAB Jaringan
(file pa aji)]],0)</f>
        <v>0</v>
      </c>
      <c r="CU379" s="789">
        <v>0</v>
      </c>
      <c r="CV379" s="299">
        <v>0</v>
      </c>
      <c r="CW379" s="481">
        <v>0</v>
      </c>
      <c r="CX379" s="789">
        <f>_xlfn.XLOOKUP(Table1[[#This Row],[Kode Program]],'[1]Breakdown VOWD Greenfield'!$E:$E,'[1]Breakdown VOWD Greenfield'!$AT:$AT)</f>
        <v>0</v>
      </c>
      <c r="CY379" s="42"/>
      <c r="CZ379" s="301">
        <v>45957</v>
      </c>
      <c r="DA379" s="301">
        <v>45984</v>
      </c>
      <c r="DB379" s="301">
        <v>45973</v>
      </c>
      <c r="DC379" s="485" t="s">
        <v>3026</v>
      </c>
      <c r="DD379" s="478">
        <v>4905244495</v>
      </c>
      <c r="DE37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79" s="301">
        <v>46055</v>
      </c>
      <c r="DG379" s="286" t="s">
        <v>3027</v>
      </c>
      <c r="DH379" s="484">
        <f>4879384495+25860000</f>
        <v>4905244495</v>
      </c>
      <c r="DI37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79" s="301">
        <v>45985</v>
      </c>
      <c r="DK379" s="301">
        <v>46047</v>
      </c>
      <c r="DL379" s="301">
        <v>46062</v>
      </c>
      <c r="DM379" s="286" t="s">
        <v>3028</v>
      </c>
      <c r="DN37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79" s="301">
        <v>46091</v>
      </c>
      <c r="DP379" s="286" t="s">
        <v>3029</v>
      </c>
      <c r="DQ379" s="308" t="s">
        <v>479</v>
      </c>
      <c r="DR37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79" s="301">
        <v>45985</v>
      </c>
      <c r="DT379" s="301">
        <v>46164</v>
      </c>
      <c r="DU379" s="301">
        <v>46026</v>
      </c>
      <c r="DV379" s="301">
        <v>46178</v>
      </c>
      <c r="DW379" s="301">
        <v>46062</v>
      </c>
      <c r="DX379" s="396" t="s">
        <v>3030</v>
      </c>
      <c r="DY379" s="304">
        <v>115</v>
      </c>
      <c r="DZ379" s="304">
        <v>115</v>
      </c>
      <c r="EA37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79" s="301"/>
      <c r="EC379" s="302">
        <v>107</v>
      </c>
      <c r="ED379" s="302">
        <v>107</v>
      </c>
      <c r="EE379" s="100"/>
      <c r="EF379" s="307">
        <v>0.93043478260869561</v>
      </c>
      <c r="EG379" s="307">
        <f>Table1[[#This Row],[Line PO]]/Table1[[#This Row],[Line PR]]</f>
        <v>0.93043478260869561</v>
      </c>
      <c r="EH379" s="286" t="str">
        <f>IF(Table1[[#This Row],[PO Material Aktual 
(%)]]&gt;=100%,"Selesai PO = 100%",IF(Table1[[#This Row],[PO Material Aktual 
(%)]]&gt;=50%,"Proses PO &gt; 100%",IF(Table1[[#This Row],[PO Material Aktual 
(%)]]&gt;0%,"Proses PO &gt; 50%",IF(Table1[[#This Row],[PO Material Aktual 
(%)]]=0,"Belum PO = 0%"))))</f>
        <v>Proses PO &gt; 100%</v>
      </c>
      <c r="EI37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79" s="301">
        <v>46027</v>
      </c>
      <c r="EK379" s="301">
        <v>46178</v>
      </c>
      <c r="EL379" s="301">
        <v>46124</v>
      </c>
      <c r="EM379" s="301">
        <v>46203</v>
      </c>
      <c r="EN379" s="301"/>
      <c r="EO379" s="302">
        <v>69</v>
      </c>
      <c r="EP379" s="302">
        <v>69</v>
      </c>
      <c r="EQ379" s="307">
        <v>0.6</v>
      </c>
      <c r="ER379" s="307">
        <f>Table1[[#This Row],[Line MOS (kolom bantu)]]/Table1[[#This Row],[Line PR]]</f>
        <v>0.6</v>
      </c>
      <c r="ES379" s="286" t="str">
        <f>IF(Table1[[#This Row],[Progres MOS]]&gt;=100%,"Selesai MOS = 100%",IF(Table1[[#This Row],[Progres MOS]]&gt;=50%,"Proses MOS &gt; 100%",IF(Table1[[#This Row],[Progres MOS]]&gt;0%,"Proses MOS &gt; 50%",IF(Table1[[#This Row],[Progres MOS]]=0,"Belum MOS = 0%"))))</f>
        <v>Proses MOS &gt; 100%</v>
      </c>
      <c r="ET37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79" s="42"/>
      <c r="EV379" s="301">
        <v>45985</v>
      </c>
      <c r="EW379" s="301">
        <v>46164</v>
      </c>
      <c r="EX379" s="301">
        <v>46075</v>
      </c>
      <c r="EY379" s="301">
        <v>46194</v>
      </c>
      <c r="EZ379" s="322" t="s">
        <v>2769</v>
      </c>
      <c r="FA379" s="379" t="s">
        <v>2769</v>
      </c>
      <c r="FB379" s="300"/>
      <c r="FC379" s="300">
        <v>46036</v>
      </c>
      <c r="FD379" s="300" t="s">
        <v>260</v>
      </c>
      <c r="FE379" s="300"/>
      <c r="FF379" s="300"/>
      <c r="FG379" s="300"/>
      <c r="FH379" s="300"/>
      <c r="FI379" s="300"/>
      <c r="FJ379" s="300"/>
      <c r="FK379" s="300"/>
      <c r="FL379" s="306" t="s">
        <v>2827</v>
      </c>
      <c r="FM379" s="322"/>
      <c r="FN379" s="308" t="str">
        <f>IF(Table1[[#This Row],[Tanggal Pengajuan Dokumen]]="","",Table1[[#This Row],[PLAN PERMIT
start]]-Table1[[#This Row],[Tanggal Pengajuan Dokumen]])</f>
        <v/>
      </c>
      <c r="FO379" s="322"/>
      <c r="FP379" s="286"/>
      <c r="FQ379" s="308"/>
      <c r="FR379" s="301"/>
      <c r="FS379" s="308"/>
      <c r="FT37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79" s="314">
        <f ca="1">IF(Table1[[#This Row],[Status Izin]]="Selesai",Table1[[#This Row],[PLAN PERMIT
finish]]-Table1[[#This Row],[Tanggal Terbit/ Target Izin Terbit]],ROUNDUP(Table1[[#This Row],[PLAN PERMIT
finish]]-NOW(),0))</f>
        <v>-129</v>
      </c>
      <c r="FV37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79" s="314"/>
      <c r="FX379" s="42"/>
      <c r="FY379" s="483">
        <v>46034</v>
      </c>
      <c r="FZ379" s="483">
        <v>46049</v>
      </c>
      <c r="GA37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79" s="301">
        <v>46048</v>
      </c>
      <c r="GC379" s="322">
        <f>Table1[[#This Row],[Tanggal Aktual Kick Off]]</f>
        <v>46112</v>
      </c>
      <c r="GD37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79" s="301">
        <v>46055</v>
      </c>
      <c r="GF379" s="322">
        <v>46112</v>
      </c>
      <c r="GG37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79" s="301">
        <v>46062</v>
      </c>
      <c r="GI379" s="301">
        <v>46068</v>
      </c>
      <c r="GJ379" s="322">
        <v>46120</v>
      </c>
      <c r="GK37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79" s="301">
        <v>46076</v>
      </c>
      <c r="GM379" s="301">
        <v>46206</v>
      </c>
      <c r="GN379" s="301">
        <v>46138</v>
      </c>
      <c r="GO379" s="300">
        <v>46273</v>
      </c>
      <c r="GP379" s="286"/>
      <c r="GQ37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79" s="301"/>
      <c r="GS379" s="301"/>
      <c r="GT379" s="324"/>
      <c r="GU379" s="314" t="str">
        <f>IF(Table1[[#This Row],[Hydro Tes Actual
(tanggal)]]&lt;&gt;"","Sudah","Belum")</f>
        <v>Belum</v>
      </c>
      <c r="GV379" s="300"/>
      <c r="GW379" s="300"/>
      <c r="GX379" s="301"/>
      <c r="GY379" s="314" t="str">
        <f>IF(Table1[[#This Row],[Interkoneksi Actual
(tanggal)]]&lt;&gt;"","Sudah","Belum")</f>
        <v>Belum</v>
      </c>
      <c r="GZ379" s="300"/>
      <c r="HA379" s="300"/>
      <c r="HB379" s="301"/>
      <c r="HC379" s="314" t="str">
        <f>IF(Table1[[#This Row],[Flushing Actual
(tanggal)]]&lt;&gt;"","Sudah","Belum")</f>
        <v>Belum</v>
      </c>
      <c r="HD379" s="301">
        <v>46141</v>
      </c>
      <c r="HE379" s="301">
        <v>46274</v>
      </c>
      <c r="HF379" s="301">
        <v>46146</v>
      </c>
      <c r="HG379" s="322"/>
      <c r="HH37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79" s="300"/>
      <c r="HJ379" s="300"/>
      <c r="HK379" s="301"/>
      <c r="HL379" s="301"/>
      <c r="HM379" s="301">
        <v>46163</v>
      </c>
      <c r="HN379" s="301">
        <v>46163</v>
      </c>
      <c r="HO379" s="300">
        <v>46291</v>
      </c>
      <c r="HP379" s="300"/>
      <c r="HQ379" s="301"/>
      <c r="HR37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79" s="301">
        <v>46171</v>
      </c>
      <c r="HT379" s="301"/>
      <c r="HU379" s="301">
        <v>46171</v>
      </c>
      <c r="HV379" s="390">
        <v>46296</v>
      </c>
      <c r="HW379" s="365"/>
      <c r="HX37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79" s="42"/>
      <c r="HZ379" s="322"/>
      <c r="IA379" s="306"/>
      <c r="IB379" s="67"/>
      <c r="IC379" s="585">
        <f>IFERROR(ROUND((Table1[[#This Row],[PLAN TC
finish]]-Table1[[#This Row],[PLAN MC-0
start]])/30,2),"")</f>
        <v>2.8</v>
      </c>
      <c r="ID379">
        <f>DATEDIF(Table1[[#This Row],[PLAN MC-0
start]],Table1[[#This Row],[PLAN TC
finish]],"m")</f>
        <v>2</v>
      </c>
      <c r="IE379" s="6"/>
      <c r="IF379" s="6"/>
      <c r="IG379" s="67"/>
      <c r="II379" s="6"/>
      <c r="IJ379" s="4"/>
      <c r="IK379" s="4"/>
      <c r="IL379" s="6"/>
      <c r="IM379" s="6"/>
      <c r="IN379" s="6"/>
      <c r="IO379" s="6"/>
      <c r="IP379" s="6"/>
      <c r="IR379" s="6"/>
      <c r="IS379" s="6"/>
      <c r="IT379" s="6"/>
      <c r="IU379" s="6"/>
      <c r="IX379" s="6"/>
      <c r="IY379" s="6"/>
      <c r="JA379" s="6"/>
      <c r="JB379" s="6"/>
    </row>
    <row r="380" spans="2:262" ht="15" customHeight="1" x14ac:dyDescent="0.25">
      <c r="B380" s="281">
        <f>SUBTOTAL(3,$D$5:D380)</f>
        <v>376</v>
      </c>
      <c r="C380" s="286">
        <v>376</v>
      </c>
      <c r="D380" s="285" t="s">
        <v>244</v>
      </c>
      <c r="E380" s="308" t="s">
        <v>3031</v>
      </c>
      <c r="F380" s="308" t="s">
        <v>3032</v>
      </c>
      <c r="G380" s="319">
        <v>46300</v>
      </c>
      <c r="H380" s="308" t="s">
        <v>681</v>
      </c>
      <c r="I380" s="308" t="s">
        <v>278</v>
      </c>
      <c r="J380" s="450"/>
      <c r="K380" s="308"/>
      <c r="L380" s="286"/>
      <c r="M380" s="325" t="s">
        <v>269</v>
      </c>
      <c r="N380" s="477">
        <v>76</v>
      </c>
      <c r="O380" s="477" t="s">
        <v>252</v>
      </c>
      <c r="P38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0" s="35">
        <v>1</v>
      </c>
      <c r="S380" s="297">
        <f>_xlfn.XLOOKUP(Table1[[#This Row],[Nama Program]],'[2]Summary Plan'!$E:$E,'[2]Summary Plan'!$M:$M)</f>
        <v>1</v>
      </c>
      <c r="T380" s="128">
        <f>Table1[[#This Row],[Progres Total Aktual
(%)]]</f>
        <v>0.10452059456185249</v>
      </c>
      <c r="U380" s="103">
        <f>Table1[[#This Row],[Progres Aktual
(%)]]-Table1[[#This Row],[Target Progres
(%)]]</f>
        <v>-0.89547940543814752</v>
      </c>
      <c r="V380" s="75">
        <f>Table1[[#This Row],["Volume
BA MC-0"]]</f>
        <v>0</v>
      </c>
      <c r="W380" s="75">
        <f>Table1[[#This Row],[Total Panjang Pipa Aktual
(Sum-&gt;)3]]</f>
        <v>0</v>
      </c>
      <c r="X380" s="99"/>
      <c r="Y380" s="62" t="s">
        <v>3033</v>
      </c>
      <c r="Z380" s="62">
        <v>144117900</v>
      </c>
      <c r="AA380" s="479">
        <f>ROUND((Table1[[#This Row],[Nilai RAB Jaringan
(Exclude Ppn)]]-Table1[[#This Row],[RAB Perizinan]])*1.11+Table1[[#This Row],[RAB Perizinan]],0)</f>
        <v>144117900</v>
      </c>
      <c r="AB380" s="406">
        <f>SUM(Table1[[#This Row],[RAB Kegiatan Umum]:[RAB Perizinan]])</f>
        <v>129911261</v>
      </c>
      <c r="AC380" s="406">
        <v>8575895</v>
      </c>
      <c r="AD380" s="406">
        <v>85758950</v>
      </c>
      <c r="AE380" s="406">
        <v>34816416</v>
      </c>
      <c r="AF380" s="406">
        <v>760000</v>
      </c>
      <c r="AG380" s="406"/>
      <c r="AH380" s="480">
        <f>SUM(Table1[[#This Row],[Bobot Keg Umum]:[Bobot Perizinan]])</f>
        <v>1</v>
      </c>
      <c r="AI380" s="480">
        <f>Table1[[#This Row],[RAB Kegiatan Umum]]/Table1[[#This Row],[Nilai RAB Jaringan
(Exclude Ppn)]]</f>
        <v>6.6013484389163157E-2</v>
      </c>
      <c r="AJ380" s="480">
        <f>Table1[[#This Row],[RAB Pemasangan]]/Table1[[#This Row],[Nilai RAB Jaringan
(Exclude Ppn)]]</f>
        <v>0.66013484389163157</v>
      </c>
      <c r="AK380" s="111">
        <f>Table1[[#This Row],[RAB Pengadaan]]/Table1[[#This Row],[Nilai RAB Jaringan
(Exclude Ppn)]]</f>
        <v>0.26800152451757048</v>
      </c>
      <c r="AL380" s="112">
        <f>Table1[[#This Row],[RAB Perizinan]]/Table1[[#This Row],[Nilai RAB Jaringan
(Exclude Ppn)]]</f>
        <v>5.8501472016348147E-3</v>
      </c>
      <c r="AM380" s="42"/>
      <c r="AN380" s="256"/>
      <c r="AO380" s="256">
        <f>SUM(Table1[[#This Row],[Pipa 63 mm]:[Pipa 1,800 mm]])</f>
        <v>104</v>
      </c>
      <c r="AP380" s="256">
        <v>104</v>
      </c>
      <c r="AQ380" s="256"/>
      <c r="AR380" s="256"/>
      <c r="AS380" s="256"/>
      <c r="AT380" s="256"/>
      <c r="AU380" s="256"/>
      <c r="AV380" s="256"/>
      <c r="AW380" s="256"/>
      <c r="AX380" s="256"/>
      <c r="AY380" s="256"/>
      <c r="AZ380" s="256"/>
      <c r="BA380" s="256"/>
      <c r="BB380" s="256"/>
      <c r="BC380" s="256"/>
      <c r="BD380" s="256"/>
      <c r="BE380" s="256"/>
      <c r="BF380" s="256"/>
      <c r="BG380" s="256"/>
      <c r="BH380" s="256"/>
      <c r="BI380" s="256"/>
      <c r="BJ380" s="36">
        <f>SUM(Table1[[#This Row],[Pipa 63 mm2]:[Pipa 1,800 mm21]])</f>
        <v>0</v>
      </c>
      <c r="BK380" s="32"/>
      <c r="BL380" s="32"/>
      <c r="BM380" s="32"/>
      <c r="BN380" s="32"/>
      <c r="BO380" s="32"/>
      <c r="BP380" s="32"/>
      <c r="BQ380" s="32"/>
      <c r="BR380" s="32"/>
      <c r="BS380" s="32"/>
      <c r="BT380" s="32"/>
      <c r="BU380" s="32"/>
      <c r="BV380" s="32"/>
      <c r="BW380" s="32"/>
      <c r="BX380" s="32"/>
      <c r="BY380" s="32"/>
      <c r="BZ380" s="32"/>
      <c r="CA380" s="32"/>
      <c r="CB380" s="32"/>
      <c r="CC380" s="32"/>
      <c r="CD380" s="32"/>
      <c r="CE380" s="32"/>
      <c r="CF380" s="32"/>
      <c r="CG380" s="32"/>
      <c r="CH380" s="32"/>
      <c r="CI380" s="32"/>
      <c r="CJ380" s="32">
        <f>IF((Table1[[#This Row],["Volume
BA MC-0"]]-Table1[[#This Row],[Total Panjang Pipa Aktual
(Sum-&gt;)3]]-Table1[[#This Row],[Total Volume
tidak dapat dipasang]])&gt;=0,Table1[[#This Row],["Volume
BA MC-0"]]-Table1[[#This Row],[Total Panjang Pipa Aktual
(Sum-&gt;)3]]-Table1[[#This Row],[Total Volume
tidak dapat dipasang]],0)</f>
        <v>0</v>
      </c>
      <c r="CK380" s="42"/>
      <c r="CL380" s="113"/>
      <c r="CM380" s="307"/>
      <c r="CN380" s="113"/>
      <c r="CO380" s="113"/>
      <c r="CP38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0.10452059456185249</v>
      </c>
      <c r="CQ380" s="406">
        <f>IFERROR(Table1[[#This Row],[Progres Keg. Umum
(%)]]*Table1[[#This Row],[Nilai RAB Jaringan
(file pa aji)]],0)</f>
        <v>0</v>
      </c>
      <c r="CR380" s="406">
        <f>IFERROR(Table1[[#This Row],[Progres MOS
(%)]]*Table1[[#This Row],[Nilai RAB Jaringan
(file pa aji)]],0)</f>
        <v>0</v>
      </c>
      <c r="CS380" s="406">
        <f>IFERROR(Table1[[#This Row],[Progres Pemasangan
(%)]]*Table1[[#This Row],[Nilai RAB Jaringan
(file pa aji)]],0)</f>
        <v>0</v>
      </c>
      <c r="CT380" s="406">
        <f>IFERROR(Table1[[#This Row],[Progres Perizinan
(%)]]*Table1[[#This Row],[Nilai RAB Jaringan
(file pa aji)]],0)</f>
        <v>0</v>
      </c>
      <c r="CU380" s="789">
        <v>0</v>
      </c>
      <c r="CV380" s="299">
        <v>0</v>
      </c>
      <c r="CW380" s="481">
        <v>0</v>
      </c>
      <c r="CX380" s="789">
        <f>_xlfn.XLOOKUP(Table1[[#This Row],[Kode Program]],'[1]Breakdown VOWD Greenfield'!$E:$E,'[1]Breakdown VOWD Greenfield'!$AT:$AT)</f>
        <v>0</v>
      </c>
      <c r="CY380" s="42"/>
      <c r="CZ380" s="301">
        <v>45957</v>
      </c>
      <c r="DA380" s="301">
        <v>45984</v>
      </c>
      <c r="DB380" s="301">
        <v>45973</v>
      </c>
      <c r="DC380" s="485" t="s">
        <v>3034</v>
      </c>
      <c r="DD380" s="478">
        <v>144117900</v>
      </c>
      <c r="DE38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0" s="301">
        <v>45989</v>
      </c>
      <c r="DG380" s="486" t="s">
        <v>3035</v>
      </c>
      <c r="DH380" s="478">
        <v>144117900</v>
      </c>
      <c r="DI38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0" s="301">
        <v>45985</v>
      </c>
      <c r="DK380" s="301">
        <v>46047</v>
      </c>
      <c r="DL380" s="301">
        <v>46049</v>
      </c>
      <c r="DM380" s="286" t="s">
        <v>3036</v>
      </c>
      <c r="DN38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0" s="301">
        <v>46087</v>
      </c>
      <c r="DP380" s="286" t="s">
        <v>3037</v>
      </c>
      <c r="DQ380" s="308" t="s">
        <v>560</v>
      </c>
      <c r="DR38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0" s="301">
        <v>45985</v>
      </c>
      <c r="DT380" s="301">
        <v>46164</v>
      </c>
      <c r="DU380" s="301">
        <v>46026</v>
      </c>
      <c r="DV380" s="301">
        <v>46178</v>
      </c>
      <c r="DW380" s="301">
        <v>46049</v>
      </c>
      <c r="DX380" s="301" t="s">
        <v>3038</v>
      </c>
      <c r="DY380" s="304">
        <v>20</v>
      </c>
      <c r="DZ380" s="304">
        <v>20</v>
      </c>
      <c r="EA38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0" s="301"/>
      <c r="EC380" s="302">
        <v>18</v>
      </c>
      <c r="ED380" s="302">
        <v>18</v>
      </c>
      <c r="EE380" s="100"/>
      <c r="EF380" s="307">
        <v>0.9</v>
      </c>
      <c r="EG380" s="307">
        <f>Table1[[#This Row],[Line PO]]/Table1[[#This Row],[Line PR]]</f>
        <v>0.9</v>
      </c>
      <c r="EH380" s="286" t="str">
        <f>IF(Table1[[#This Row],[PO Material Aktual 
(%)]]&gt;=100%,"Selesai PO = 100%",IF(Table1[[#This Row],[PO Material Aktual 
(%)]]&gt;=50%,"Proses PO &gt; 100%",IF(Table1[[#This Row],[PO Material Aktual 
(%)]]&gt;0%,"Proses PO &gt; 50%",IF(Table1[[#This Row],[PO Material Aktual 
(%)]]=0,"Belum PO = 0%"))))</f>
        <v>Proses PO &gt; 100%</v>
      </c>
      <c r="EI38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0" s="301">
        <v>46027</v>
      </c>
      <c r="EK380" s="301">
        <v>46178</v>
      </c>
      <c r="EL380" s="301">
        <v>46103</v>
      </c>
      <c r="EM380" s="301">
        <v>46183</v>
      </c>
      <c r="EN380" s="301"/>
      <c r="EO380" s="302">
        <v>13</v>
      </c>
      <c r="EP380" s="302">
        <v>13</v>
      </c>
      <c r="EQ380" s="307">
        <v>0.65</v>
      </c>
      <c r="ER380" s="307">
        <f>Table1[[#This Row],[Line MOS (kolom bantu)]]/Table1[[#This Row],[Line PR]]</f>
        <v>0.65</v>
      </c>
      <c r="ES380" s="286" t="str">
        <f>IF(Table1[[#This Row],[Progres MOS]]&gt;=100%,"Selesai MOS = 100%",IF(Table1[[#This Row],[Progres MOS]]&gt;=50%,"Proses MOS &gt; 100%",IF(Table1[[#This Row],[Progres MOS]]&gt;0%,"Proses MOS &gt; 50%",IF(Table1[[#This Row],[Progres MOS]]=0,"Belum MOS = 0%"))))</f>
        <v>Proses MOS &gt; 100%</v>
      </c>
      <c r="ET38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0" s="42"/>
      <c r="EV380" s="301">
        <v>45985</v>
      </c>
      <c r="EW380" s="301">
        <v>46156</v>
      </c>
      <c r="EX380" s="301">
        <v>46075</v>
      </c>
      <c r="EY380" s="301">
        <v>46186</v>
      </c>
      <c r="EZ380" s="322" t="s">
        <v>2976</v>
      </c>
      <c r="FA380" s="379" t="s">
        <v>2976</v>
      </c>
      <c r="FB380" s="300"/>
      <c r="FC380" s="300">
        <v>46010</v>
      </c>
      <c r="FD380" s="300" t="s">
        <v>260</v>
      </c>
      <c r="FE380" s="300"/>
      <c r="FF380" s="300"/>
      <c r="FG380" s="300"/>
      <c r="FH380" s="300"/>
      <c r="FI380" s="300"/>
      <c r="FJ380" s="300"/>
      <c r="FK380" s="300"/>
      <c r="FL380" s="306" t="s">
        <v>2827</v>
      </c>
      <c r="FM380" s="322"/>
      <c r="FN380" s="308" t="str">
        <f>IF(Table1[[#This Row],[Tanggal Pengajuan Dokumen]]="","",Table1[[#This Row],[PLAN PERMIT
start]]-Table1[[#This Row],[Tanggal Pengajuan Dokumen]])</f>
        <v/>
      </c>
      <c r="FO380" s="322"/>
      <c r="FP380" s="286"/>
      <c r="FQ380" s="308"/>
      <c r="FR380" s="301"/>
      <c r="FS380" s="308"/>
      <c r="FT38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0" s="314">
        <f ca="1">IF(Table1[[#This Row],[Status Izin]]="Selesai",Table1[[#This Row],[PLAN PERMIT
finish]]-Table1[[#This Row],[Tanggal Terbit/ Target Izin Terbit]],ROUNDUP(Table1[[#This Row],[PLAN PERMIT
finish]]-NOW(),0))</f>
        <v>-129</v>
      </c>
      <c r="FV38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0" s="314"/>
      <c r="FX380" s="42"/>
      <c r="FY380" s="483">
        <v>46034</v>
      </c>
      <c r="FZ380" s="483">
        <v>46049</v>
      </c>
      <c r="GA38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0" s="301">
        <v>46048</v>
      </c>
      <c r="GC380" s="322">
        <v>46141</v>
      </c>
      <c r="GD38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0" s="301">
        <v>46055</v>
      </c>
      <c r="GF380" s="322">
        <v>46141</v>
      </c>
      <c r="GG38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0" s="301">
        <v>46062</v>
      </c>
      <c r="GI380" s="301">
        <v>46068</v>
      </c>
      <c r="GJ380" s="322">
        <v>46148</v>
      </c>
      <c r="GK38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0" s="301">
        <v>46076</v>
      </c>
      <c r="GM380" s="301">
        <v>46193</v>
      </c>
      <c r="GN380" s="301">
        <v>46103</v>
      </c>
      <c r="GO380" s="300">
        <v>46241</v>
      </c>
      <c r="GP380" s="286"/>
      <c r="GQ38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0" s="301"/>
      <c r="GS380" s="301"/>
      <c r="GT380" s="324"/>
      <c r="GU380" s="314" t="str">
        <f>IF(Table1[[#This Row],[Hydro Tes Actual
(tanggal)]]&lt;&gt;"","Sudah","Belum")</f>
        <v>Belum</v>
      </c>
      <c r="GV380" s="300"/>
      <c r="GW380" s="300"/>
      <c r="GX380" s="301"/>
      <c r="GY380" s="314" t="str">
        <f>IF(Table1[[#This Row],[Interkoneksi Actual
(tanggal)]]&lt;&gt;"","Sudah","Belum")</f>
        <v>Belum</v>
      </c>
      <c r="GZ380" s="300"/>
      <c r="HA380" s="300"/>
      <c r="HB380" s="301"/>
      <c r="HC380" s="314" t="str">
        <f>IF(Table1[[#This Row],[Flushing Actual
(tanggal)]]&lt;&gt;"","Sudah","Belum")</f>
        <v>Belum</v>
      </c>
      <c r="HD380" s="301">
        <v>46106</v>
      </c>
      <c r="HE380" s="301">
        <v>46242</v>
      </c>
      <c r="HF380" s="301">
        <v>46111</v>
      </c>
      <c r="HG380" s="322"/>
      <c r="HH38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0" s="300"/>
      <c r="HJ380" s="300"/>
      <c r="HK380" s="301"/>
      <c r="HL380" s="301"/>
      <c r="HM380" s="301">
        <v>46128</v>
      </c>
      <c r="HN380" s="301">
        <v>46128</v>
      </c>
      <c r="HO380" s="300">
        <v>46259</v>
      </c>
      <c r="HP380" s="300"/>
      <c r="HQ380" s="301"/>
      <c r="HR38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0" s="301">
        <v>46136</v>
      </c>
      <c r="HT380" s="301"/>
      <c r="HU380" s="301">
        <v>46136</v>
      </c>
      <c r="HV380" s="390">
        <v>46264</v>
      </c>
      <c r="HW380" s="365"/>
      <c r="HX38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0" s="42"/>
      <c r="HZ380" s="322"/>
      <c r="IA380" s="306"/>
      <c r="IB380" s="67"/>
      <c r="IC380" s="585">
        <f>IFERROR(ROUND((Table1[[#This Row],[PLAN TC
finish]]-Table1[[#This Row],[PLAN MC-0
start]])/30,2),"")</f>
        <v>1.63</v>
      </c>
      <c r="ID380">
        <f>DATEDIF(Table1[[#This Row],[PLAN MC-0
start]],Table1[[#This Row],[PLAN TC
finish]],"m")</f>
        <v>1</v>
      </c>
      <c r="IE380" s="6"/>
      <c r="IF380" s="6"/>
      <c r="IG380" s="67"/>
      <c r="II380" s="6"/>
      <c r="IJ380" s="4"/>
      <c r="IK380" s="4"/>
      <c r="IL380" s="6"/>
      <c r="IM380" s="6"/>
      <c r="IN380" s="6"/>
      <c r="IO380" s="6"/>
      <c r="IP380" s="6"/>
      <c r="IR380" s="6"/>
      <c r="IS380" s="6"/>
      <c r="IT380" s="6"/>
      <c r="IU380" s="6"/>
      <c r="IX380" s="6"/>
      <c r="IY380" s="6"/>
      <c r="JA380" s="6"/>
      <c r="JB380" s="6"/>
    </row>
    <row r="381" spans="2:262" ht="15" customHeight="1" x14ac:dyDescent="0.25">
      <c r="B381" s="281">
        <f>SUBTOTAL(3,$D$5:D381)</f>
        <v>377</v>
      </c>
      <c r="C381" s="286">
        <v>377</v>
      </c>
      <c r="D381" s="285" t="s">
        <v>244</v>
      </c>
      <c r="E381" s="308" t="s">
        <v>3039</v>
      </c>
      <c r="F381" s="308" t="s">
        <v>3040</v>
      </c>
      <c r="G381" s="319">
        <v>46300</v>
      </c>
      <c r="H381" s="308" t="s">
        <v>681</v>
      </c>
      <c r="I381" s="308" t="s">
        <v>278</v>
      </c>
      <c r="J381" s="450"/>
      <c r="K381" s="308"/>
      <c r="L381" s="286"/>
      <c r="M381" s="325" t="s">
        <v>269</v>
      </c>
      <c r="N381" s="477">
        <v>299</v>
      </c>
      <c r="O381" s="477" t="s">
        <v>252</v>
      </c>
      <c r="P38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1" s="35">
        <v>1</v>
      </c>
      <c r="S381" s="297">
        <f>_xlfn.XLOOKUP(Table1[[#This Row],[Nama Program]],'[2]Summary Plan'!$E:$E,'[2]Summary Plan'!$M:$M)</f>
        <v>1</v>
      </c>
      <c r="T381" s="128">
        <f>Table1[[#This Row],[Progres Total Aktual
(%)]]</f>
        <v>7.6005965760590002E-2</v>
      </c>
      <c r="U381" s="103">
        <f>Table1[[#This Row],[Progres Aktual
(%)]]-Table1[[#This Row],[Target Progres
(%)]]</f>
        <v>-0.92399403423940996</v>
      </c>
      <c r="V381" s="75">
        <f>Table1[[#This Row],["Volume
BA MC-0"]]</f>
        <v>0</v>
      </c>
      <c r="W381" s="75">
        <f>Table1[[#This Row],[Total Panjang Pipa Aktual
(Sum-&gt;)3]]</f>
        <v>0</v>
      </c>
      <c r="X381" s="99"/>
      <c r="Y381" s="62" t="s">
        <v>3041</v>
      </c>
      <c r="Z381" s="62">
        <v>397410146</v>
      </c>
      <c r="AA381" s="479">
        <f>ROUND((Table1[[#This Row],[Nilai RAB Jaringan
(Exclude Ppn)]]-Table1[[#This Row],[RAB Perizinan]])*1.11+Table1[[#This Row],[RAB Perizinan]],0)</f>
        <v>397410145</v>
      </c>
      <c r="AB381" s="406">
        <f>SUM(Table1[[#This Row],[RAB Kegiatan Umum]:[RAB Perizinan]])</f>
        <v>358323464</v>
      </c>
      <c r="AC381" s="406">
        <v>26234700</v>
      </c>
      <c r="AD381" s="406">
        <v>262346997</v>
      </c>
      <c r="AE381" s="406">
        <v>66751767</v>
      </c>
      <c r="AF381" s="406">
        <v>2990000</v>
      </c>
      <c r="AG381" s="406"/>
      <c r="AH381" s="480">
        <f>SUM(Table1[[#This Row],[Bobot Keg Umum]:[Bobot Perizinan]])</f>
        <v>0.99999999999999989</v>
      </c>
      <c r="AI381" s="480">
        <f>Table1[[#This Row],[RAB Kegiatan Umum]]/Table1[[#This Row],[Nilai RAB Jaringan
(Exclude Ppn)]]</f>
        <v>7.3215132794094667E-2</v>
      </c>
      <c r="AJ381" s="480">
        <f>Table1[[#This Row],[RAB Pemasangan]]/Table1[[#This Row],[Nilai RAB Jaringan
(Exclude Ppn)]]</f>
        <v>0.732151319568623</v>
      </c>
      <c r="AK381" s="111">
        <f>Table1[[#This Row],[RAB Pengadaan]]/Table1[[#This Row],[Nilai RAB Jaringan
(Exclude Ppn)]]</f>
        <v>0.18628913176615194</v>
      </c>
      <c r="AL381" s="112">
        <f>Table1[[#This Row],[RAB Perizinan]]/Table1[[#This Row],[Nilai RAB Jaringan
(Exclude Ppn)]]</f>
        <v>8.3444158711303371E-3</v>
      </c>
      <c r="AM381" s="42"/>
      <c r="AN381" s="256"/>
      <c r="AO381" s="256">
        <f>SUM(Table1[[#This Row],[Pipa 63 mm]:[Pipa 1,800 mm]])</f>
        <v>310</v>
      </c>
      <c r="AP381" s="256"/>
      <c r="AQ381" s="256">
        <v>310</v>
      </c>
      <c r="AR381" s="256"/>
      <c r="AS381" s="256"/>
      <c r="AT381" s="256"/>
      <c r="AU381" s="256"/>
      <c r="AV381" s="256"/>
      <c r="AW381" s="256"/>
      <c r="AX381" s="256"/>
      <c r="AY381" s="256"/>
      <c r="AZ381" s="256"/>
      <c r="BA381" s="256"/>
      <c r="BB381" s="256"/>
      <c r="BC381" s="256"/>
      <c r="BD381" s="256"/>
      <c r="BE381" s="256"/>
      <c r="BF381" s="256"/>
      <c r="BG381" s="256"/>
      <c r="BH381" s="256"/>
      <c r="BI381" s="256"/>
      <c r="BJ381" s="36">
        <f>SUM(Table1[[#This Row],[Pipa 63 mm2]:[Pipa 1,800 mm21]])</f>
        <v>0</v>
      </c>
      <c r="BK381" s="32"/>
      <c r="BL381" s="32"/>
      <c r="BM381" s="32"/>
      <c r="BN381" s="32"/>
      <c r="BO381" s="32"/>
      <c r="BP381" s="32"/>
      <c r="BQ381" s="32"/>
      <c r="BR381" s="32"/>
      <c r="BS381" s="32"/>
      <c r="BT381" s="32"/>
      <c r="BU381" s="32"/>
      <c r="BV381" s="32"/>
      <c r="BW381" s="32"/>
      <c r="BX381" s="32"/>
      <c r="BY381" s="32"/>
      <c r="BZ381" s="32"/>
      <c r="CA381" s="32"/>
      <c r="CB381" s="32"/>
      <c r="CC381" s="32"/>
      <c r="CD381" s="32"/>
      <c r="CE381" s="32"/>
      <c r="CF381" s="32"/>
      <c r="CG381" s="32"/>
      <c r="CH381" s="32"/>
      <c r="CI381" s="32"/>
      <c r="CJ381" s="32">
        <f>IF((Table1[[#This Row],["Volume
BA MC-0"]]-Table1[[#This Row],[Total Panjang Pipa Aktual
(Sum-&gt;)3]]-Table1[[#This Row],[Total Volume
tidak dapat dipasang]])&gt;=0,Table1[[#This Row],["Volume
BA MC-0"]]-Table1[[#This Row],[Total Panjang Pipa Aktual
(Sum-&gt;)3]]-Table1[[#This Row],[Total Volume
tidak dapat dipasang]],0)</f>
        <v>0</v>
      </c>
      <c r="CK381" s="42"/>
      <c r="CL381" s="113"/>
      <c r="CM381" s="307"/>
      <c r="CN381" s="113"/>
      <c r="CO381" s="113"/>
      <c r="CP38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7.6005965760590002E-2</v>
      </c>
      <c r="CQ381" s="406">
        <f>IFERROR(Table1[[#This Row],[Progres Keg. Umum
(%)]]*Table1[[#This Row],[Nilai RAB Jaringan
(file pa aji)]],0)</f>
        <v>0</v>
      </c>
      <c r="CR381" s="406">
        <f>IFERROR(Table1[[#This Row],[Progres MOS
(%)]]*Table1[[#This Row],[Nilai RAB Jaringan
(file pa aji)]],0)</f>
        <v>0</v>
      </c>
      <c r="CS381" s="406">
        <f>IFERROR(Table1[[#This Row],[Progres Pemasangan
(%)]]*Table1[[#This Row],[Nilai RAB Jaringan
(file pa aji)]],0)</f>
        <v>0</v>
      </c>
      <c r="CT381" s="406">
        <f>IFERROR(Table1[[#This Row],[Progres Perizinan
(%)]]*Table1[[#This Row],[Nilai RAB Jaringan
(file pa aji)]],0)</f>
        <v>0</v>
      </c>
      <c r="CU381" s="789">
        <v>0</v>
      </c>
      <c r="CV381" s="299">
        <v>0</v>
      </c>
      <c r="CW381" s="481">
        <v>0</v>
      </c>
      <c r="CX381" s="789">
        <f>_xlfn.XLOOKUP(Table1[[#This Row],[Kode Program]],'[1]Breakdown VOWD Greenfield'!$E:$E,'[1]Breakdown VOWD Greenfield'!$AT:$AT)</f>
        <v>0</v>
      </c>
      <c r="CY381" s="42"/>
      <c r="CZ381" s="301">
        <v>45957</v>
      </c>
      <c r="DA381" s="301">
        <v>45984</v>
      </c>
      <c r="DB381" s="301">
        <v>45973</v>
      </c>
      <c r="DC381" s="485" t="s">
        <v>3042</v>
      </c>
      <c r="DD381" s="478">
        <v>397410146</v>
      </c>
      <c r="DE38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1" s="301">
        <v>45999</v>
      </c>
      <c r="DG381" s="486" t="s">
        <v>3043</v>
      </c>
      <c r="DH381" s="478">
        <v>397410146</v>
      </c>
      <c r="DI38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1" s="301">
        <v>45985</v>
      </c>
      <c r="DK381" s="301">
        <v>46047</v>
      </c>
      <c r="DL381" s="301">
        <v>46049</v>
      </c>
      <c r="DM381" s="286" t="s">
        <v>3044</v>
      </c>
      <c r="DN38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1" s="301">
        <v>46087</v>
      </c>
      <c r="DP381" s="286"/>
      <c r="DQ381" s="308" t="s">
        <v>371</v>
      </c>
      <c r="DR38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1" s="301">
        <v>45985</v>
      </c>
      <c r="DT381" s="301">
        <v>46164</v>
      </c>
      <c r="DU381" s="301">
        <v>46026</v>
      </c>
      <c r="DV381" s="301">
        <v>46178</v>
      </c>
      <c r="DW381" s="301">
        <v>46049</v>
      </c>
      <c r="DX381" s="301" t="s">
        <v>3045</v>
      </c>
      <c r="DY381" s="304">
        <v>25</v>
      </c>
      <c r="DZ381" s="304">
        <v>25</v>
      </c>
      <c r="EA38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1" s="301"/>
      <c r="EC381" s="302">
        <v>23</v>
      </c>
      <c r="ED381" s="302">
        <v>23</v>
      </c>
      <c r="EE381" s="100"/>
      <c r="EF381" s="307">
        <v>0.92</v>
      </c>
      <c r="EG381" s="307">
        <f>Table1[[#This Row],[Line PO]]/Table1[[#This Row],[Line PR]]</f>
        <v>0.92</v>
      </c>
      <c r="EH381" s="286" t="str">
        <f>IF(Table1[[#This Row],[PO Material Aktual 
(%)]]&gt;=100%,"Selesai PO = 100%",IF(Table1[[#This Row],[PO Material Aktual 
(%)]]&gt;=50%,"Proses PO &gt; 100%",IF(Table1[[#This Row],[PO Material Aktual 
(%)]]&gt;0%,"Proses PO &gt; 50%",IF(Table1[[#This Row],[PO Material Aktual 
(%)]]=0,"Belum PO = 0%"))))</f>
        <v>Proses PO &gt; 100%</v>
      </c>
      <c r="EI38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1" s="301">
        <v>46027</v>
      </c>
      <c r="EK381" s="301">
        <v>46178</v>
      </c>
      <c r="EL381" s="301">
        <v>46103</v>
      </c>
      <c r="EM381" s="301">
        <v>46183</v>
      </c>
      <c r="EN381" s="301"/>
      <c r="EO381" s="302">
        <v>17</v>
      </c>
      <c r="EP381" s="302">
        <v>17</v>
      </c>
      <c r="EQ381" s="307">
        <v>0.68</v>
      </c>
      <c r="ER381" s="307">
        <f>Table1[[#This Row],[Line MOS (kolom bantu)]]/Table1[[#This Row],[Line PR]]</f>
        <v>0.68</v>
      </c>
      <c r="ES381" s="286" t="str">
        <f>IF(Table1[[#This Row],[Progres MOS]]&gt;=100%,"Selesai MOS = 100%",IF(Table1[[#This Row],[Progres MOS]]&gt;=50%,"Proses MOS &gt; 100%",IF(Table1[[#This Row],[Progres MOS]]&gt;0%,"Proses MOS &gt; 50%",IF(Table1[[#This Row],[Progres MOS]]=0,"Belum MOS = 0%"))))</f>
        <v>Proses MOS &gt; 100%</v>
      </c>
      <c r="ET38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1" s="42"/>
      <c r="EV381" s="301">
        <v>45985</v>
      </c>
      <c r="EW381" s="301">
        <v>46156</v>
      </c>
      <c r="EX381" s="301">
        <v>46075</v>
      </c>
      <c r="EY381" s="301">
        <v>46186</v>
      </c>
      <c r="EZ381" s="322" t="s">
        <v>2976</v>
      </c>
      <c r="FA381" s="379" t="s">
        <v>2976</v>
      </c>
      <c r="FB381" s="300"/>
      <c r="FC381" s="300">
        <v>46010</v>
      </c>
      <c r="FD381" s="300" t="s">
        <v>260</v>
      </c>
      <c r="FE381" s="300"/>
      <c r="FF381" s="300"/>
      <c r="FG381" s="300"/>
      <c r="FH381" s="300"/>
      <c r="FI381" s="300"/>
      <c r="FJ381" s="300"/>
      <c r="FK381" s="300"/>
      <c r="FL381" s="306" t="s">
        <v>2827</v>
      </c>
      <c r="FM381" s="322"/>
      <c r="FN381" s="308" t="str">
        <f>IF(Table1[[#This Row],[Tanggal Pengajuan Dokumen]]="","",Table1[[#This Row],[PLAN PERMIT
start]]-Table1[[#This Row],[Tanggal Pengajuan Dokumen]])</f>
        <v/>
      </c>
      <c r="FO381" s="322"/>
      <c r="FP381" s="286"/>
      <c r="FQ381" s="308"/>
      <c r="FR381" s="301"/>
      <c r="FS381" s="308"/>
      <c r="FT38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1" s="314">
        <f ca="1">IF(Table1[[#This Row],[Status Izin]]="Selesai",Table1[[#This Row],[PLAN PERMIT
finish]]-Table1[[#This Row],[Tanggal Terbit/ Target Izin Terbit]],ROUNDUP(Table1[[#This Row],[PLAN PERMIT
finish]]-NOW(),0))</f>
        <v>-129</v>
      </c>
      <c r="FV38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1" s="314"/>
      <c r="FX381" s="42"/>
      <c r="FY381" s="483">
        <v>46034</v>
      </c>
      <c r="FZ381" s="483">
        <v>46049</v>
      </c>
      <c r="GA38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1" s="301">
        <v>46048</v>
      </c>
      <c r="GC381" s="322">
        <v>46141</v>
      </c>
      <c r="GD38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1" s="301">
        <v>46055</v>
      </c>
      <c r="GF381" s="322">
        <v>46141</v>
      </c>
      <c r="GG38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1" s="301">
        <v>46062</v>
      </c>
      <c r="GI381" s="301">
        <v>46068</v>
      </c>
      <c r="GJ381" s="322">
        <v>46148</v>
      </c>
      <c r="GK38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1" s="301">
        <v>46076</v>
      </c>
      <c r="GM381" s="301">
        <v>46193</v>
      </c>
      <c r="GN381" s="301">
        <v>46103</v>
      </c>
      <c r="GO381" s="300">
        <v>46241</v>
      </c>
      <c r="GP381" s="286"/>
      <c r="GQ38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1" s="301"/>
      <c r="GS381" s="301"/>
      <c r="GT381" s="324"/>
      <c r="GU381" s="314" t="str">
        <f>IF(Table1[[#This Row],[Hydro Tes Actual
(tanggal)]]&lt;&gt;"","Sudah","Belum")</f>
        <v>Belum</v>
      </c>
      <c r="GV381" s="300"/>
      <c r="GW381" s="300"/>
      <c r="GX381" s="301"/>
      <c r="GY381" s="314" t="str">
        <f>IF(Table1[[#This Row],[Interkoneksi Actual
(tanggal)]]&lt;&gt;"","Sudah","Belum")</f>
        <v>Belum</v>
      </c>
      <c r="GZ381" s="300"/>
      <c r="HA381" s="300"/>
      <c r="HB381" s="301"/>
      <c r="HC381" s="314" t="str">
        <f>IF(Table1[[#This Row],[Flushing Actual
(tanggal)]]&lt;&gt;"","Sudah","Belum")</f>
        <v>Belum</v>
      </c>
      <c r="HD381" s="301">
        <v>46106</v>
      </c>
      <c r="HE381" s="301">
        <v>46242</v>
      </c>
      <c r="HF381" s="301">
        <v>46111</v>
      </c>
      <c r="HG381" s="322"/>
      <c r="HH38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1" s="300"/>
      <c r="HJ381" s="300"/>
      <c r="HK381" s="301"/>
      <c r="HL381" s="301"/>
      <c r="HM381" s="301">
        <v>46128</v>
      </c>
      <c r="HN381" s="301">
        <v>46128</v>
      </c>
      <c r="HO381" s="300">
        <v>46259</v>
      </c>
      <c r="HP381" s="300"/>
      <c r="HQ381" s="301"/>
      <c r="HR38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1" s="301">
        <v>46136</v>
      </c>
      <c r="HT381" s="301"/>
      <c r="HU381" s="301">
        <v>46136</v>
      </c>
      <c r="HV381" s="390">
        <v>46264</v>
      </c>
      <c r="HW381" s="365"/>
      <c r="HX38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1" s="42"/>
      <c r="HZ381" s="322"/>
      <c r="IA381" s="306"/>
      <c r="IB381" s="67"/>
      <c r="IC381" s="585">
        <f>IFERROR(ROUND((Table1[[#This Row],[PLAN TC
finish]]-Table1[[#This Row],[PLAN MC-0
start]])/30,2),"")</f>
        <v>1.63</v>
      </c>
      <c r="ID381">
        <f>DATEDIF(Table1[[#This Row],[PLAN MC-0
start]],Table1[[#This Row],[PLAN TC
finish]],"m")</f>
        <v>1</v>
      </c>
      <c r="IE381" s="6"/>
      <c r="IF381" s="6"/>
      <c r="IG381" s="67"/>
      <c r="II381" s="6"/>
      <c r="IJ381" s="4"/>
      <c r="IK381" s="4"/>
      <c r="IL381" s="6"/>
      <c r="IM381" s="6"/>
      <c r="IN381" s="6"/>
      <c r="IO381" s="6"/>
      <c r="IP381" s="6"/>
      <c r="IR381" s="6"/>
      <c r="IS381" s="6"/>
      <c r="IT381" s="6"/>
      <c r="IU381" s="6"/>
      <c r="IX381" s="6"/>
      <c r="IY381" s="6"/>
      <c r="JA381" s="6"/>
      <c r="JB381" s="6"/>
    </row>
    <row r="382" spans="2:262" ht="15" customHeight="1" x14ac:dyDescent="0.25">
      <c r="B382" s="281">
        <f>SUBTOTAL(3,$D$5:D382)</f>
        <v>378</v>
      </c>
      <c r="C382" s="286">
        <v>378</v>
      </c>
      <c r="D382" s="285" t="s">
        <v>244</v>
      </c>
      <c r="E382" s="308" t="s">
        <v>3046</v>
      </c>
      <c r="F382" s="308" t="s">
        <v>3047</v>
      </c>
      <c r="G382" s="319">
        <v>46300</v>
      </c>
      <c r="H382" s="308" t="s">
        <v>681</v>
      </c>
      <c r="I382" s="308" t="s">
        <v>278</v>
      </c>
      <c r="J382" s="450"/>
      <c r="K382" s="308"/>
      <c r="L382" s="286"/>
      <c r="M382" s="325" t="s">
        <v>269</v>
      </c>
      <c r="N382" s="477">
        <v>308</v>
      </c>
      <c r="O382" s="477" t="s">
        <v>252</v>
      </c>
      <c r="P38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2" s="35">
        <v>1</v>
      </c>
      <c r="S382" s="297">
        <f>_xlfn.XLOOKUP(Table1[[#This Row],[Nama Program]],'[2]Summary Plan'!$E:$E,'[2]Summary Plan'!$M:$M)</f>
        <v>1</v>
      </c>
      <c r="T382" s="128">
        <f>Table1[[#This Row],[Progres Total Aktual
(%)]]</f>
        <v>9.0644075795125387E-2</v>
      </c>
      <c r="U382" s="103">
        <f>Table1[[#This Row],[Progres Aktual
(%)]]-Table1[[#This Row],[Target Progres
(%)]]</f>
        <v>-0.90935592420487465</v>
      </c>
      <c r="V382" s="75">
        <f>Table1[[#This Row],["Volume
BA MC-0"]]</f>
        <v>0</v>
      </c>
      <c r="W382" s="75">
        <f>Table1[[#This Row],[Total Panjang Pipa Aktual
(Sum-&gt;)3]]</f>
        <v>0</v>
      </c>
      <c r="X382" s="99"/>
      <c r="Y382" s="62" t="s">
        <v>3048</v>
      </c>
      <c r="Z382" s="62">
        <v>439784117</v>
      </c>
      <c r="AA382" s="479">
        <f>ROUND((Table1[[#This Row],[Nilai RAB Jaringan
(Exclude Ppn)]]-Table1[[#This Row],[RAB Perizinan]])*1.11+Table1[[#This Row],[RAB Perizinan]],0)</f>
        <v>439784117</v>
      </c>
      <c r="AB382" s="406">
        <f>SUM(Table1[[#This Row],[RAB Kegiatan Umum]:[RAB Perizinan]])</f>
        <v>396507132</v>
      </c>
      <c r="AC382" s="406">
        <v>28375633</v>
      </c>
      <c r="AD382" s="406">
        <v>283756329</v>
      </c>
      <c r="AE382" s="406">
        <v>81295170</v>
      </c>
      <c r="AF382" s="406">
        <v>3080000</v>
      </c>
      <c r="AG382" s="406"/>
      <c r="AH382" s="480">
        <f>SUM(Table1[[#This Row],[Bobot Keg Umum]:[Bobot Perizinan]])</f>
        <v>1</v>
      </c>
      <c r="AI382" s="480">
        <f>Table1[[#This Row],[RAB Kegiatan Umum]]/Table1[[#This Row],[Nilai RAB Jaringan
(Exclude Ppn)]]</f>
        <v>7.156399143912498E-2</v>
      </c>
      <c r="AJ382" s="480">
        <f>Table1[[#This Row],[RAB Pemasangan]]/Table1[[#This Row],[Nilai RAB Jaringan
(Exclude Ppn)]]</f>
        <v>0.71563991186922715</v>
      </c>
      <c r="AK382" s="111">
        <f>Table1[[#This Row],[RAB Pengadaan]]/Table1[[#This Row],[Nilai RAB Jaringan
(Exclude Ppn)]]</f>
        <v>0.20502826667945029</v>
      </c>
      <c r="AL382" s="112">
        <f>Table1[[#This Row],[RAB Perizinan]]/Table1[[#This Row],[Nilai RAB Jaringan
(Exclude Ppn)]]</f>
        <v>7.7678300121976117E-3</v>
      </c>
      <c r="AM382" s="42"/>
      <c r="AN382" s="256"/>
      <c r="AO382" s="256">
        <f>SUM(Table1[[#This Row],[Pipa 63 mm]:[Pipa 1,800 mm]])</f>
        <v>0</v>
      </c>
      <c r="AP382" s="256"/>
      <c r="AQ382" s="256"/>
      <c r="AR382" s="256"/>
      <c r="AS382" s="256"/>
      <c r="AT382" s="256"/>
      <c r="AU382" s="256"/>
      <c r="AV382" s="256"/>
      <c r="AW382" s="256"/>
      <c r="AX382" s="256"/>
      <c r="AY382" s="256"/>
      <c r="AZ382" s="256"/>
      <c r="BA382" s="256"/>
      <c r="BB382" s="256"/>
      <c r="BC382" s="256"/>
      <c r="BD382" s="256"/>
      <c r="BE382" s="256"/>
      <c r="BF382" s="256"/>
      <c r="BG382" s="256"/>
      <c r="BH382" s="256"/>
      <c r="BI382" s="256"/>
      <c r="BJ382" s="36">
        <f>SUM(Table1[[#This Row],[Pipa 63 mm2]:[Pipa 1,800 mm21]])</f>
        <v>0</v>
      </c>
      <c r="BK382" s="32"/>
      <c r="BL382" s="32"/>
      <c r="BM382" s="32"/>
      <c r="BN382" s="32"/>
      <c r="BO382" s="32"/>
      <c r="BP382" s="32"/>
      <c r="BQ382" s="32"/>
      <c r="BR382" s="32"/>
      <c r="BS382" s="32"/>
      <c r="BT382" s="32"/>
      <c r="BU382" s="32"/>
      <c r="BV382" s="32"/>
      <c r="BW382" s="32"/>
      <c r="BX382" s="32"/>
      <c r="BY382" s="32"/>
      <c r="BZ382" s="32"/>
      <c r="CA382" s="32"/>
      <c r="CB382" s="32"/>
      <c r="CC382" s="32"/>
      <c r="CD382" s="32"/>
      <c r="CE382" s="32"/>
      <c r="CF382" s="32"/>
      <c r="CG382" s="32"/>
      <c r="CH382" s="32"/>
      <c r="CI382" s="32"/>
      <c r="CJ382" s="32">
        <f>IF((Table1[[#This Row],["Volume
BA MC-0"]]-Table1[[#This Row],[Total Panjang Pipa Aktual
(Sum-&gt;)3]]-Table1[[#This Row],[Total Volume
tidak dapat dipasang]])&gt;=0,Table1[[#This Row],["Volume
BA MC-0"]]-Table1[[#This Row],[Total Panjang Pipa Aktual
(Sum-&gt;)3]]-Table1[[#This Row],[Total Volume
tidak dapat dipasang]],0)</f>
        <v>0</v>
      </c>
      <c r="CK382" s="42"/>
      <c r="CL382" s="113"/>
      <c r="CM382" s="307"/>
      <c r="CN382" s="113"/>
      <c r="CO382" s="113"/>
      <c r="CP38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9.0644075795125387E-2</v>
      </c>
      <c r="CQ382" s="406">
        <f>IFERROR(Table1[[#This Row],[Progres Keg. Umum
(%)]]*Table1[[#This Row],[Nilai RAB Jaringan
(file pa aji)]],0)</f>
        <v>0</v>
      </c>
      <c r="CR382" s="406">
        <f>IFERROR(Table1[[#This Row],[Progres MOS
(%)]]*Table1[[#This Row],[Nilai RAB Jaringan
(file pa aji)]],0)</f>
        <v>0</v>
      </c>
      <c r="CS382" s="406">
        <f>IFERROR(Table1[[#This Row],[Progres Pemasangan
(%)]]*Table1[[#This Row],[Nilai RAB Jaringan
(file pa aji)]],0)</f>
        <v>0</v>
      </c>
      <c r="CT382" s="406">
        <f>IFERROR(Table1[[#This Row],[Progres Perizinan
(%)]]*Table1[[#This Row],[Nilai RAB Jaringan
(file pa aji)]],0)</f>
        <v>0</v>
      </c>
      <c r="CU382" s="789">
        <v>0</v>
      </c>
      <c r="CV382" s="299">
        <v>0</v>
      </c>
      <c r="CW382" s="481">
        <v>0</v>
      </c>
      <c r="CX382" s="789">
        <f>_xlfn.XLOOKUP(Table1[[#This Row],[Kode Program]],'[1]Breakdown VOWD Greenfield'!$E:$E,'[1]Breakdown VOWD Greenfield'!$AT:$AT)</f>
        <v>0</v>
      </c>
      <c r="CY382" s="42"/>
      <c r="CZ382" s="301">
        <v>45957</v>
      </c>
      <c r="DA382" s="301">
        <v>45984</v>
      </c>
      <c r="DB382" s="301">
        <v>45973</v>
      </c>
      <c r="DC382" s="286" t="s">
        <v>3049</v>
      </c>
      <c r="DD382" s="478">
        <v>439784117</v>
      </c>
      <c r="DE38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2" s="301">
        <v>45999</v>
      </c>
      <c r="DG382" s="486" t="s">
        <v>3050</v>
      </c>
      <c r="DH382" s="478">
        <v>439784117</v>
      </c>
      <c r="DI38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82" s="301">
        <v>45985</v>
      </c>
      <c r="DK382" s="301">
        <v>46047</v>
      </c>
      <c r="DL382" s="301">
        <v>46049</v>
      </c>
      <c r="DM382" s="286" t="s">
        <v>3051</v>
      </c>
      <c r="DN38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382" s="301">
        <v>46087</v>
      </c>
      <c r="DP382" s="286" t="s">
        <v>3052</v>
      </c>
      <c r="DQ382" s="308" t="s">
        <v>560</v>
      </c>
      <c r="DR38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2" s="301">
        <v>45985</v>
      </c>
      <c r="DT382" s="301">
        <v>46164</v>
      </c>
      <c r="DU382" s="301">
        <v>46026</v>
      </c>
      <c r="DV382" s="301">
        <v>46178</v>
      </c>
      <c r="DW382" s="301">
        <v>46049</v>
      </c>
      <c r="DX382" s="301" t="s">
        <v>3053</v>
      </c>
      <c r="DY382" s="304">
        <v>19</v>
      </c>
      <c r="DZ382" s="304">
        <v>19</v>
      </c>
      <c r="EA38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82" s="301"/>
      <c r="EC382" s="302">
        <v>18</v>
      </c>
      <c r="ED382" s="302">
        <v>18</v>
      </c>
      <c r="EE382" s="100"/>
      <c r="EF382" s="307">
        <v>0.94736842105263153</v>
      </c>
      <c r="EG382" s="307">
        <f>Table1[[#This Row],[Line PO]]/Table1[[#This Row],[Line PR]]</f>
        <v>0.94736842105263153</v>
      </c>
      <c r="EH382" s="286" t="str">
        <f>IF(Table1[[#This Row],[PO Material Aktual 
(%)]]&gt;=100%,"Selesai PO = 100%",IF(Table1[[#This Row],[PO Material Aktual 
(%)]]&gt;=50%,"Proses PO &gt; 100%",IF(Table1[[#This Row],[PO Material Aktual 
(%)]]&gt;0%,"Proses PO &gt; 50%",IF(Table1[[#This Row],[PO Material Aktual 
(%)]]=0,"Belum PO = 0%"))))</f>
        <v>Proses PO &gt; 100%</v>
      </c>
      <c r="EI38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2" s="301">
        <v>46027</v>
      </c>
      <c r="EK382" s="301">
        <v>46178</v>
      </c>
      <c r="EL382" s="301">
        <v>46103</v>
      </c>
      <c r="EM382" s="301">
        <v>46183</v>
      </c>
      <c r="EN382" s="301"/>
      <c r="EO382" s="302">
        <v>14</v>
      </c>
      <c r="EP382" s="302">
        <v>14</v>
      </c>
      <c r="EQ382" s="307">
        <v>0.73684210526315785</v>
      </c>
      <c r="ER382" s="307">
        <f>Table1[[#This Row],[Line MOS (kolom bantu)]]/Table1[[#This Row],[Line PR]]</f>
        <v>0.73684210526315785</v>
      </c>
      <c r="ES382" s="286" t="str">
        <f>IF(Table1[[#This Row],[Progres MOS]]&gt;=100%,"Selesai MOS = 100%",IF(Table1[[#This Row],[Progres MOS]]&gt;=50%,"Proses MOS &gt; 100%",IF(Table1[[#This Row],[Progres MOS]]&gt;0%,"Proses MOS &gt; 50%",IF(Table1[[#This Row],[Progres MOS]]=0,"Belum MOS = 0%"))))</f>
        <v>Proses MOS &gt; 100%</v>
      </c>
      <c r="ET38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2" s="42"/>
      <c r="EV382" s="301">
        <v>45985</v>
      </c>
      <c r="EW382" s="301">
        <v>46156</v>
      </c>
      <c r="EX382" s="301">
        <v>46075</v>
      </c>
      <c r="EY382" s="301">
        <v>46186</v>
      </c>
      <c r="EZ382" s="322" t="s">
        <v>2976</v>
      </c>
      <c r="FA382" s="379" t="s">
        <v>2976</v>
      </c>
      <c r="FB382" s="300"/>
      <c r="FC382" s="300">
        <v>46010</v>
      </c>
      <c r="FD382" s="300" t="s">
        <v>260</v>
      </c>
      <c r="FE382" s="300"/>
      <c r="FF382" s="300"/>
      <c r="FG382" s="300"/>
      <c r="FH382" s="300"/>
      <c r="FI382" s="300"/>
      <c r="FJ382" s="300"/>
      <c r="FK382" s="300"/>
      <c r="FL382" s="306" t="s">
        <v>2827</v>
      </c>
      <c r="FM382" s="322"/>
      <c r="FN382" s="308" t="str">
        <f>IF(Table1[[#This Row],[Tanggal Pengajuan Dokumen]]="","",Table1[[#This Row],[PLAN PERMIT
start]]-Table1[[#This Row],[Tanggal Pengajuan Dokumen]])</f>
        <v/>
      </c>
      <c r="FO382" s="322"/>
      <c r="FP382" s="286"/>
      <c r="FQ382" s="308"/>
      <c r="FR382" s="301"/>
      <c r="FS382" s="308"/>
      <c r="FT38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2" s="314">
        <f ca="1">IF(Table1[[#This Row],[Status Izin]]="Selesai",Table1[[#This Row],[PLAN PERMIT
finish]]-Table1[[#This Row],[Tanggal Terbit/ Target Izin Terbit]],ROUNDUP(Table1[[#This Row],[PLAN PERMIT
finish]]-NOW(),0))</f>
        <v>-129</v>
      </c>
      <c r="FV38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2" s="314"/>
      <c r="FX382" s="42"/>
      <c r="FY382" s="483">
        <v>46034</v>
      </c>
      <c r="FZ382" s="483">
        <v>46049</v>
      </c>
      <c r="GA38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2" s="301">
        <v>46048</v>
      </c>
      <c r="GC382" s="322">
        <v>46141</v>
      </c>
      <c r="GD38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2" s="301">
        <v>46055</v>
      </c>
      <c r="GF382" s="322">
        <v>46141</v>
      </c>
      <c r="GG38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2" s="301">
        <v>46062</v>
      </c>
      <c r="GI382" s="301">
        <v>46068</v>
      </c>
      <c r="GJ382" s="322">
        <v>46148</v>
      </c>
      <c r="GK38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2" s="301">
        <v>46076</v>
      </c>
      <c r="GM382" s="301">
        <v>46193</v>
      </c>
      <c r="GN382" s="301">
        <v>46103</v>
      </c>
      <c r="GO382" s="300">
        <v>46241</v>
      </c>
      <c r="GP382" s="286"/>
      <c r="GQ38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2" s="301"/>
      <c r="GS382" s="301"/>
      <c r="GT382" s="324"/>
      <c r="GU382" s="314" t="str">
        <f>IF(Table1[[#This Row],[Hydro Tes Actual
(tanggal)]]&lt;&gt;"","Sudah","Belum")</f>
        <v>Belum</v>
      </c>
      <c r="GV382" s="300"/>
      <c r="GW382" s="300"/>
      <c r="GX382" s="301"/>
      <c r="GY382" s="314" t="str">
        <f>IF(Table1[[#This Row],[Interkoneksi Actual
(tanggal)]]&lt;&gt;"","Sudah","Belum")</f>
        <v>Belum</v>
      </c>
      <c r="GZ382" s="300"/>
      <c r="HA382" s="300"/>
      <c r="HB382" s="301"/>
      <c r="HC382" s="314" t="str">
        <f>IF(Table1[[#This Row],[Flushing Actual
(tanggal)]]&lt;&gt;"","Sudah","Belum")</f>
        <v>Belum</v>
      </c>
      <c r="HD382" s="301">
        <v>46106</v>
      </c>
      <c r="HE382" s="301">
        <v>46242</v>
      </c>
      <c r="HF382" s="301">
        <v>46111</v>
      </c>
      <c r="HG382" s="322"/>
      <c r="HH38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2" s="300"/>
      <c r="HJ382" s="300"/>
      <c r="HK382" s="301"/>
      <c r="HL382" s="301"/>
      <c r="HM382" s="301">
        <v>46128</v>
      </c>
      <c r="HN382" s="301">
        <v>46128</v>
      </c>
      <c r="HO382" s="300">
        <v>46259</v>
      </c>
      <c r="HP382" s="300"/>
      <c r="HQ382" s="301"/>
      <c r="HR38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2" s="301">
        <v>46136</v>
      </c>
      <c r="HT382" s="301"/>
      <c r="HU382" s="301">
        <v>46136</v>
      </c>
      <c r="HV382" s="390">
        <v>46264</v>
      </c>
      <c r="HW382" s="365"/>
      <c r="HX38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2" s="42"/>
      <c r="HZ382" s="322"/>
      <c r="IA382" s="306"/>
      <c r="IB382" s="67"/>
      <c r="IC382" s="585">
        <f>IFERROR(ROUND((Table1[[#This Row],[PLAN TC
finish]]-Table1[[#This Row],[PLAN MC-0
start]])/30,2),"")</f>
        <v>1.63</v>
      </c>
      <c r="ID382">
        <f>DATEDIF(Table1[[#This Row],[PLAN MC-0
start]],Table1[[#This Row],[PLAN TC
finish]],"m")</f>
        <v>1</v>
      </c>
      <c r="IE382" s="6"/>
      <c r="IF382" s="6"/>
      <c r="IG382" s="67"/>
      <c r="II382" s="6"/>
      <c r="IJ382" s="4"/>
      <c r="IK382" s="4"/>
      <c r="IL382" s="6"/>
      <c r="IM382" s="6"/>
      <c r="IN382" s="6"/>
      <c r="IO382" s="6"/>
      <c r="IP382" s="6"/>
      <c r="IR382" s="6"/>
      <c r="IS382" s="6"/>
      <c r="IT382" s="6"/>
      <c r="IU382" s="6"/>
      <c r="IX382" s="6"/>
      <c r="IY382" s="6"/>
      <c r="JA382" s="6"/>
      <c r="JB382" s="6"/>
    </row>
    <row r="383" spans="2:262" ht="15" customHeight="1" x14ac:dyDescent="0.25">
      <c r="B383" s="558">
        <f>SUBTOTAL(3,$D$5:D383)</f>
        <v>379</v>
      </c>
      <c r="C383" s="286">
        <v>379</v>
      </c>
      <c r="D383" s="553" t="s">
        <v>244</v>
      </c>
      <c r="E383" s="554" t="s">
        <v>3054</v>
      </c>
      <c r="F383" s="554" t="s">
        <v>3055</v>
      </c>
      <c r="G383" s="555">
        <v>46300</v>
      </c>
      <c r="H383" s="554" t="s">
        <v>681</v>
      </c>
      <c r="I383" s="308" t="s">
        <v>278</v>
      </c>
      <c r="J383" s="591" t="str">
        <f>Table1[[#This Row],[Status Aktual]]</f>
        <v>BATAL / CANCEL</v>
      </c>
      <c r="K383" s="308"/>
      <c r="L383" s="286"/>
      <c r="M383" s="325" t="s">
        <v>269</v>
      </c>
      <c r="N383" s="556">
        <v>50</v>
      </c>
      <c r="O383" s="556" t="s">
        <v>252</v>
      </c>
      <c r="P38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3" s="290" t="s">
        <v>389</v>
      </c>
      <c r="R383" s="35">
        <v>0.99999999999999989</v>
      </c>
      <c r="S383" s="297">
        <f>_xlfn.XLOOKUP(Table1[[#This Row],[Nama Program]],'[2]Summary Plan'!$E:$E,'[2]Summary Plan'!$M:$M)</f>
        <v>0.99999999999999989</v>
      </c>
      <c r="T383" s="128">
        <f>Table1[[#This Row],[Progres Total Aktual
(%)]]</f>
        <v>0.12692614428095797</v>
      </c>
      <c r="U383" s="103">
        <f>Table1[[#This Row],[Progres Aktual
(%)]]-Table1[[#This Row],[Target Progres
(%)]]</f>
        <v>-0.87307385571904195</v>
      </c>
      <c r="V383" s="75">
        <f>Table1[[#This Row],["Volume
BA MC-0"]]</f>
        <v>0</v>
      </c>
      <c r="W383" s="75">
        <f>Table1[[#This Row],[Total Panjang Pipa Aktual
(Sum-&gt;)3]]</f>
        <v>0</v>
      </c>
      <c r="X383" s="99"/>
      <c r="Y383" s="62" t="s">
        <v>3056</v>
      </c>
      <c r="Z383" s="62">
        <v>92727468</v>
      </c>
      <c r="AA383" s="479">
        <f>ROUND((Table1[[#This Row],[Nilai RAB Jaringan
(Exclude Ppn)]]-Table1[[#This Row],[RAB Perizinan]])*1.11+Table1[[#This Row],[RAB Perizinan]],0)</f>
        <v>92727468</v>
      </c>
      <c r="AB383" s="406">
        <f>SUM(Table1[[#This Row],[RAB Kegiatan Umum]:[RAB Perizinan]])</f>
        <v>83587809</v>
      </c>
      <c r="AC383" s="406">
        <v>5204019</v>
      </c>
      <c r="AD383" s="406">
        <v>52040189</v>
      </c>
      <c r="AE383" s="406">
        <v>25843601</v>
      </c>
      <c r="AF383" s="406">
        <v>500000</v>
      </c>
      <c r="AG383" s="406"/>
      <c r="AH383" s="480">
        <f>SUM(Table1[[#This Row],[Bobot Keg Umum]:[Bobot Perizinan]])</f>
        <v>1</v>
      </c>
      <c r="AI383" s="480">
        <f>Table1[[#This Row],[RAB Kegiatan Umum]]/Table1[[#This Row],[Nilai RAB Jaringan
(Exclude Ppn)]]</f>
        <v>6.2258109911697772E-2</v>
      </c>
      <c r="AJ383" s="480">
        <f>Table1[[#This Row],[RAB Pemasangan]]/Table1[[#This Row],[Nilai RAB Jaringan
(Exclude Ppn)]]</f>
        <v>0.62258108715351068</v>
      </c>
      <c r="AK383" s="111">
        <f>Table1[[#This Row],[RAB Pengadaan]]/Table1[[#This Row],[Nilai RAB Jaringan
(Exclude Ppn)]]</f>
        <v>0.30917906940233353</v>
      </c>
      <c r="AL383" s="112">
        <f>Table1[[#This Row],[RAB Perizinan]]/Table1[[#This Row],[Nilai RAB Jaringan
(Exclude Ppn)]]</f>
        <v>5.981733532458065E-3</v>
      </c>
      <c r="AM383" s="42"/>
      <c r="AN383" s="256"/>
      <c r="AO383" s="256">
        <f>SUM(Table1[[#This Row],[Pipa 63 mm]:[Pipa 1,800 mm]])</f>
        <v>0</v>
      </c>
      <c r="AP383" s="256"/>
      <c r="AQ383" s="256"/>
      <c r="AR383" s="256"/>
      <c r="AS383" s="256"/>
      <c r="AT383" s="256"/>
      <c r="AU383" s="256"/>
      <c r="AV383" s="256"/>
      <c r="AW383" s="256"/>
      <c r="AX383" s="256"/>
      <c r="AY383" s="256"/>
      <c r="AZ383" s="256"/>
      <c r="BA383" s="256"/>
      <c r="BB383" s="256"/>
      <c r="BC383" s="256"/>
      <c r="BD383" s="256"/>
      <c r="BE383" s="256"/>
      <c r="BF383" s="256"/>
      <c r="BG383" s="256"/>
      <c r="BH383" s="256"/>
      <c r="BI383" s="256"/>
      <c r="BJ383" s="36">
        <f>SUM(Table1[[#This Row],[Pipa 63 mm2]:[Pipa 1,800 mm21]])</f>
        <v>0</v>
      </c>
      <c r="BK383" s="32"/>
      <c r="BL383" s="32"/>
      <c r="BM383" s="32"/>
      <c r="BN383" s="32"/>
      <c r="BO383" s="32"/>
      <c r="BP383" s="32"/>
      <c r="BQ383" s="32"/>
      <c r="BR383" s="32"/>
      <c r="BS383" s="32"/>
      <c r="BT383" s="32"/>
      <c r="BU383" s="32"/>
      <c r="BV383" s="32"/>
      <c r="BW383" s="32"/>
      <c r="BX383" s="32"/>
      <c r="BY383" s="32"/>
      <c r="BZ383" s="32"/>
      <c r="CA383" s="32"/>
      <c r="CB383" s="32"/>
      <c r="CC383" s="32"/>
      <c r="CD383" s="32"/>
      <c r="CE383" s="32"/>
      <c r="CF383" s="32"/>
      <c r="CG383" s="32"/>
      <c r="CH383" s="32"/>
      <c r="CI383" s="32"/>
      <c r="CJ383" s="32">
        <f>IF((Table1[[#This Row],["Volume
BA MC-0"]]-Table1[[#This Row],[Total Panjang Pipa Aktual
(Sum-&gt;)3]]-Table1[[#This Row],[Total Volume
tidak dapat dipasang]])&gt;=0,Table1[[#This Row],["Volume
BA MC-0"]]-Table1[[#This Row],[Total Panjang Pipa Aktual
(Sum-&gt;)3]]-Table1[[#This Row],[Total Volume
tidak dapat dipasang]],0)</f>
        <v>0</v>
      </c>
      <c r="CK383" s="42"/>
      <c r="CL383" s="113"/>
      <c r="CM383" s="307"/>
      <c r="CN383" s="113"/>
      <c r="CO383" s="113"/>
      <c r="CP38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0.12692614428095797</v>
      </c>
      <c r="CQ383" s="406">
        <f>IFERROR(Table1[[#This Row],[Progres Keg. Umum
(%)]]*Table1[[#This Row],[Nilai RAB Jaringan
(file pa aji)]],0)</f>
        <v>0</v>
      </c>
      <c r="CR383" s="406">
        <f>IFERROR(Table1[[#This Row],[Progres MOS
(%)]]*Table1[[#This Row],[Nilai RAB Jaringan
(file pa aji)]],0)</f>
        <v>0</v>
      </c>
      <c r="CS383" s="406">
        <f>IFERROR(Table1[[#This Row],[Progres Pemasangan
(%)]]*Table1[[#This Row],[Nilai RAB Jaringan
(file pa aji)]],0)</f>
        <v>0</v>
      </c>
      <c r="CT383" s="406">
        <f>IFERROR(Table1[[#This Row],[Progres Perizinan
(%)]]*Table1[[#This Row],[Nilai RAB Jaringan
(file pa aji)]],0)</f>
        <v>0</v>
      </c>
      <c r="CU383" s="789">
        <v>0</v>
      </c>
      <c r="CV383" s="299">
        <v>0</v>
      </c>
      <c r="CW383" s="481">
        <v>0</v>
      </c>
      <c r="CX383" s="789">
        <f>_xlfn.XLOOKUP(Table1[[#This Row],[Kode Program]],'[1]Breakdown VOWD Greenfield'!$E:$E,'[1]Breakdown VOWD Greenfield'!$AT:$AT)</f>
        <v>0</v>
      </c>
      <c r="CY383" s="42"/>
      <c r="CZ383" s="301">
        <v>45992</v>
      </c>
      <c r="DA383" s="301">
        <v>46019</v>
      </c>
      <c r="DB383" s="301">
        <v>45987</v>
      </c>
      <c r="DC383" s="485" t="s">
        <v>3057</v>
      </c>
      <c r="DD383" s="478">
        <v>92727468</v>
      </c>
      <c r="DE38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3" s="301">
        <v>45999</v>
      </c>
      <c r="DG383" s="486" t="s">
        <v>3058</v>
      </c>
      <c r="DH383" s="484">
        <v>92727468</v>
      </c>
      <c r="DI38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3" s="301">
        <v>46020</v>
      </c>
      <c r="DK383" s="301">
        <v>46082</v>
      </c>
      <c r="DL383" s="301">
        <v>46049</v>
      </c>
      <c r="DM383" s="286" t="s">
        <v>3059</v>
      </c>
      <c r="DN38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3" s="301">
        <v>46114</v>
      </c>
      <c r="DP383" s="286" t="s">
        <v>2767</v>
      </c>
      <c r="DQ383" s="308" t="s">
        <v>365</v>
      </c>
      <c r="DR38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3" s="301">
        <v>46020</v>
      </c>
      <c r="DT383" s="301">
        <v>46164</v>
      </c>
      <c r="DU383" s="301">
        <v>46061</v>
      </c>
      <c r="DV383" s="301">
        <v>46178</v>
      </c>
      <c r="DW383" s="301">
        <v>46049</v>
      </c>
      <c r="DX383" s="301" t="s">
        <v>3060</v>
      </c>
      <c r="DY383" s="304">
        <v>19</v>
      </c>
      <c r="DZ383" s="304">
        <v>19</v>
      </c>
      <c r="EA38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3" s="301"/>
      <c r="EC383" s="302">
        <v>17</v>
      </c>
      <c r="ED383" s="302">
        <v>17</v>
      </c>
      <c r="EE383" s="100"/>
      <c r="EF383" s="307">
        <v>0.89473684210526316</v>
      </c>
      <c r="EG383" s="307">
        <f>Table1[[#This Row],[Line PO]]/Table1[[#This Row],[Line PR]]</f>
        <v>0.89473684210526316</v>
      </c>
      <c r="EH383" s="286" t="str">
        <f>IF(Table1[[#This Row],[PO Material Aktual 
(%)]]&gt;=100%,"Selesai PO = 100%",IF(Table1[[#This Row],[PO Material Aktual 
(%)]]&gt;=50%,"Proses PO &gt; 100%",IF(Table1[[#This Row],[PO Material Aktual 
(%)]]&gt;0%,"Proses PO &gt; 50%",IF(Table1[[#This Row],[PO Material Aktual 
(%)]]=0,"Belum PO = 0%"))))</f>
        <v>Proses PO &gt; 100%</v>
      </c>
      <c r="EI38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3" s="301">
        <v>46062</v>
      </c>
      <c r="EK383" s="301">
        <v>46178</v>
      </c>
      <c r="EL383" s="301">
        <v>46131</v>
      </c>
      <c r="EM383" s="301">
        <v>46183</v>
      </c>
      <c r="EN383" s="301"/>
      <c r="EO383" s="302">
        <v>13</v>
      </c>
      <c r="EP383" s="302">
        <v>13</v>
      </c>
      <c r="EQ383" s="307">
        <v>0.68421052631578949</v>
      </c>
      <c r="ER383" s="307">
        <f>Table1[[#This Row],[Line MOS (kolom bantu)]]/Table1[[#This Row],[Line PR]]</f>
        <v>0.68421052631578949</v>
      </c>
      <c r="ES383" s="286" t="str">
        <f>IF(Table1[[#This Row],[Progres MOS]]&gt;=100%,"Selesai MOS = 100%",IF(Table1[[#This Row],[Progres MOS]]&gt;=50%,"Proses MOS &gt; 100%",IF(Table1[[#This Row],[Progres MOS]]&gt;0%,"Proses MOS &gt; 50%",IF(Table1[[#This Row],[Progres MOS]]=0,"Belum MOS = 0%"))))</f>
        <v>Proses MOS &gt; 100%</v>
      </c>
      <c r="ET38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3" s="42"/>
      <c r="EV383" s="301">
        <v>46020</v>
      </c>
      <c r="EW383" s="301">
        <v>46156</v>
      </c>
      <c r="EX383" s="301">
        <v>46110</v>
      </c>
      <c r="EY383" s="301">
        <v>46186</v>
      </c>
      <c r="EZ383" s="322" t="s">
        <v>2769</v>
      </c>
      <c r="FA383" s="379" t="s">
        <v>2769</v>
      </c>
      <c r="FB383" s="300" t="e">
        <v>#N/A</v>
      </c>
      <c r="FC383" s="300" t="e">
        <v>#N/A</v>
      </c>
      <c r="FD383" s="300" t="e">
        <v>#N/A</v>
      </c>
      <c r="FE383" s="300" t="e">
        <v>#N/A</v>
      </c>
      <c r="FF383" s="300" t="e">
        <v>#N/A</v>
      </c>
      <c r="FG383" s="300" t="e">
        <v>#N/A</v>
      </c>
      <c r="FH383" s="300" t="e">
        <v>#N/A</v>
      </c>
      <c r="FI383" s="300" t="e">
        <v>#N/A</v>
      </c>
      <c r="FJ383" s="300" t="e">
        <v>#N/A</v>
      </c>
      <c r="FK383" s="300" t="e">
        <v>#N/A</v>
      </c>
      <c r="FL383" s="306" t="s">
        <v>2827</v>
      </c>
      <c r="FM383" s="322"/>
      <c r="FN383" s="308" t="str">
        <f>IF(Table1[[#This Row],[Tanggal Pengajuan Dokumen]]="","",Table1[[#This Row],[PLAN PERMIT
start]]-Table1[[#This Row],[Tanggal Pengajuan Dokumen]])</f>
        <v/>
      </c>
      <c r="FO383" s="322"/>
      <c r="FP383" s="286"/>
      <c r="FQ383" s="308"/>
      <c r="FR383" s="301"/>
      <c r="FS383" s="308"/>
      <c r="FT38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3" s="314">
        <f ca="1">IF(Table1[[#This Row],[Status Izin]]="Selesai",Table1[[#This Row],[PLAN PERMIT
finish]]-Table1[[#This Row],[Tanggal Terbit/ Target Izin Terbit]],ROUNDUP(Table1[[#This Row],[PLAN PERMIT
finish]]-NOW(),0))</f>
        <v>-94</v>
      </c>
      <c r="FV38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3" s="314"/>
      <c r="FX383" s="42"/>
      <c r="FY383" s="483">
        <v>46069</v>
      </c>
      <c r="FZ383" s="483">
        <v>46122</v>
      </c>
      <c r="GA38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3" s="301">
        <v>46083</v>
      </c>
      <c r="GC383" s="322">
        <v>46141</v>
      </c>
      <c r="GD38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3" s="301">
        <v>46090</v>
      </c>
      <c r="GF383" s="322">
        <v>46141</v>
      </c>
      <c r="GG38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3" s="301">
        <v>46097</v>
      </c>
      <c r="GI383" s="301">
        <v>46103</v>
      </c>
      <c r="GJ383" s="322">
        <v>46154</v>
      </c>
      <c r="GK38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3" s="301">
        <v>46111</v>
      </c>
      <c r="GM383" s="301">
        <v>46193</v>
      </c>
      <c r="GN383" s="301">
        <v>46138</v>
      </c>
      <c r="GO383" s="300">
        <v>46241</v>
      </c>
      <c r="GP383" s="286"/>
      <c r="GQ38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3" s="301"/>
      <c r="GS383" s="301"/>
      <c r="GT383" s="324"/>
      <c r="GU383" s="314" t="str">
        <f>IF(Table1[[#This Row],[Hydro Tes Actual
(tanggal)]]&lt;&gt;"","Sudah","Belum")</f>
        <v>Belum</v>
      </c>
      <c r="GV383" s="300"/>
      <c r="GW383" s="300"/>
      <c r="GX383" s="301"/>
      <c r="GY383" s="314" t="str">
        <f>IF(Table1[[#This Row],[Interkoneksi Actual
(tanggal)]]&lt;&gt;"","Sudah","Belum")</f>
        <v>Belum</v>
      </c>
      <c r="GZ383" s="300"/>
      <c r="HA383" s="300"/>
      <c r="HB383" s="301"/>
      <c r="HC383" s="314" t="str">
        <f>IF(Table1[[#This Row],[Flushing Actual
(tanggal)]]&lt;&gt;"","Sudah","Belum")</f>
        <v>Belum</v>
      </c>
      <c r="HD383" s="301">
        <v>46141</v>
      </c>
      <c r="HE383" s="301">
        <v>46242</v>
      </c>
      <c r="HF383" s="301">
        <v>46146</v>
      </c>
      <c r="HG383" s="322"/>
      <c r="HH38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3" s="300"/>
      <c r="HJ383" s="300"/>
      <c r="HK383" s="301"/>
      <c r="HL383" s="301"/>
      <c r="HM383" s="301">
        <v>46163</v>
      </c>
      <c r="HN383" s="301">
        <v>46163</v>
      </c>
      <c r="HO383" s="300">
        <v>46259</v>
      </c>
      <c r="HP383" s="300"/>
      <c r="HQ383" s="301"/>
      <c r="HR38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3" s="301">
        <v>46171</v>
      </c>
      <c r="HT383" s="301"/>
      <c r="HU383" s="301">
        <v>46171</v>
      </c>
      <c r="HV383" s="390"/>
      <c r="HW383" s="365"/>
      <c r="HX38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3" s="42"/>
      <c r="HZ383" s="322"/>
      <c r="IA383" s="306"/>
      <c r="IB383" s="67"/>
      <c r="IC383" s="585">
        <f>IFERROR(ROUND((Table1[[#This Row],[PLAN TC
finish]]-Table1[[#This Row],[PLAN MC-0
start]])/30,2),"")</f>
        <v>1.63</v>
      </c>
      <c r="ID383">
        <f>DATEDIF(Table1[[#This Row],[PLAN MC-0
start]],Table1[[#This Row],[PLAN TC
finish]],"m")</f>
        <v>1</v>
      </c>
      <c r="IE383" s="6"/>
      <c r="IF383" s="6"/>
      <c r="IG383" s="67"/>
      <c r="II383" s="6"/>
      <c r="IJ383" s="4"/>
      <c r="IK383" s="4"/>
      <c r="IL383" s="6"/>
      <c r="IM383" s="6"/>
      <c r="IN383" s="6"/>
      <c r="IO383" s="6"/>
      <c r="IP383" s="6"/>
      <c r="IR383" s="6"/>
      <c r="IS383" s="6"/>
      <c r="IT383" s="6"/>
      <c r="IU383" s="6"/>
      <c r="IX383" s="6"/>
      <c r="IY383" s="6"/>
      <c r="JA383" s="6"/>
      <c r="JB383" s="6"/>
    </row>
    <row r="384" spans="2:262" ht="15" customHeight="1" x14ac:dyDescent="0.25">
      <c r="B384" s="281">
        <f>SUBTOTAL(3,$D$5:D384)</f>
        <v>380</v>
      </c>
      <c r="C384" s="286">
        <v>380</v>
      </c>
      <c r="D384" s="285" t="s">
        <v>244</v>
      </c>
      <c r="E384" s="308" t="s">
        <v>3061</v>
      </c>
      <c r="F384" s="308" t="s">
        <v>3062</v>
      </c>
      <c r="G384" s="319">
        <v>46300</v>
      </c>
      <c r="H384" s="308" t="s">
        <v>681</v>
      </c>
      <c r="I384" s="308" t="s">
        <v>278</v>
      </c>
      <c r="J384" s="450"/>
      <c r="K384" s="308"/>
      <c r="L384" s="286"/>
      <c r="M384" s="325" t="s">
        <v>269</v>
      </c>
      <c r="N384" s="477">
        <v>2739</v>
      </c>
      <c r="O384" s="477" t="s">
        <v>252</v>
      </c>
      <c r="P38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8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4" s="35">
        <v>0.87505496233568669</v>
      </c>
      <c r="S384" s="297">
        <f>_xlfn.XLOOKUP(Table1[[#This Row],[Nama Program]],'[2]Summary Plan'!$E:$E,'[2]Summary Plan'!$M:$M)</f>
        <v>0.91592916780806033</v>
      </c>
      <c r="T384" s="128">
        <f>Table1[[#This Row],[Progres Total Aktual
(%)]]</f>
        <v>6.3539904682468479E-2</v>
      </c>
      <c r="U384" s="103">
        <f>Table1[[#This Row],[Progres Aktual
(%)]]-Table1[[#This Row],[Target Progres
(%)]]</f>
        <v>-0.85238926312559182</v>
      </c>
      <c r="V384" s="75">
        <f>Table1[[#This Row],["Volume
BA MC-0"]]</f>
        <v>0</v>
      </c>
      <c r="W384" s="75">
        <f>Table1[[#This Row],[Total Panjang Pipa Aktual
(Sum-&gt;)3]]</f>
        <v>0</v>
      </c>
      <c r="X384" s="99"/>
      <c r="Y384" s="62" t="s">
        <v>3063</v>
      </c>
      <c r="Z384" s="62">
        <v>3977952179</v>
      </c>
      <c r="AA384" s="479">
        <f>ROUND((Table1[[#This Row],[Nilai RAB Jaringan
(Exclude Ppn)]]-Table1[[#This Row],[RAB Perizinan]])*1.11+Table1[[#This Row],[RAB Perizinan]],0)</f>
        <v>3977952179</v>
      </c>
      <c r="AB384" s="406">
        <f>SUM(Table1[[#This Row],[RAB Kegiatan Umum]:[RAB Perizinan]])</f>
        <v>3586455026</v>
      </c>
      <c r="AC384" s="406">
        <v>231477423</v>
      </c>
      <c r="AD384" s="406">
        <v>2314774223</v>
      </c>
      <c r="AE384" s="406">
        <v>1012813380</v>
      </c>
      <c r="AF384" s="406">
        <v>27390000</v>
      </c>
      <c r="AG384" s="406"/>
      <c r="AH384" s="480">
        <f>SUM(Table1[[#This Row],[Bobot Keg Umum]:[Bobot Perizinan]])</f>
        <v>1</v>
      </c>
      <c r="AI384" s="480">
        <f>Table1[[#This Row],[RAB Kegiatan Umum]]/Table1[[#This Row],[Nilai RAB Jaringan
(Exclude Ppn)]]</f>
        <v>6.454212343997201E-2</v>
      </c>
      <c r="AJ384" s="480">
        <f>Table1[[#This Row],[RAB Pemasangan]]/Table1[[#This Row],[Nilai RAB Jaringan
(Exclude Ppn)]]</f>
        <v>0.64542123244793204</v>
      </c>
      <c r="AK384" s="111">
        <f>Table1[[#This Row],[RAB Pengadaan]]/Table1[[#This Row],[Nilai RAB Jaringan
(Exclude Ppn)]]</f>
        <v>0.28239957636652657</v>
      </c>
      <c r="AL384" s="112">
        <f>Table1[[#This Row],[RAB Perizinan]]/Table1[[#This Row],[Nilai RAB Jaringan
(Exclude Ppn)]]</f>
        <v>7.6370677455694378E-3</v>
      </c>
      <c r="AM384" s="42"/>
      <c r="AN384" s="256"/>
      <c r="AO384" s="256">
        <f>SUM(Table1[[#This Row],[Pipa 63 mm]:[Pipa 1,800 mm]])</f>
        <v>0</v>
      </c>
      <c r="AP384" s="256"/>
      <c r="AQ384" s="256"/>
      <c r="AR384" s="256"/>
      <c r="AS384" s="256"/>
      <c r="AT384" s="256"/>
      <c r="AU384" s="256"/>
      <c r="AV384" s="256"/>
      <c r="AW384" s="256"/>
      <c r="AX384" s="256"/>
      <c r="AY384" s="256"/>
      <c r="AZ384" s="256"/>
      <c r="BA384" s="256"/>
      <c r="BB384" s="256"/>
      <c r="BC384" s="256"/>
      <c r="BD384" s="256"/>
      <c r="BE384" s="256"/>
      <c r="BF384" s="256"/>
      <c r="BG384" s="256"/>
      <c r="BH384" s="256"/>
      <c r="BI384" s="256"/>
      <c r="BJ384" s="36">
        <f>SUM(Table1[[#This Row],[Pipa 63 mm2]:[Pipa 1,800 mm21]])</f>
        <v>0</v>
      </c>
      <c r="BK384" s="32"/>
      <c r="BL384" s="32"/>
      <c r="BM384" s="32"/>
      <c r="BN384" s="32"/>
      <c r="BO384" s="32"/>
      <c r="BP384" s="32"/>
      <c r="BQ384" s="32"/>
      <c r="BR384" s="32"/>
      <c r="BS384" s="32"/>
      <c r="BT384" s="32"/>
      <c r="BU384" s="32"/>
      <c r="BV384" s="32"/>
      <c r="BW384" s="32"/>
      <c r="BX384" s="32"/>
      <c r="BY384" s="32"/>
      <c r="BZ384" s="32"/>
      <c r="CA384" s="32"/>
      <c r="CB384" s="32"/>
      <c r="CC384" s="32"/>
      <c r="CD384" s="32"/>
      <c r="CE384" s="32"/>
      <c r="CF384" s="32"/>
      <c r="CG384" s="32"/>
      <c r="CH384" s="32"/>
      <c r="CI384" s="32"/>
      <c r="CJ384" s="32">
        <f>IF((Table1[[#This Row],["Volume
BA MC-0"]]-Table1[[#This Row],[Total Panjang Pipa Aktual
(Sum-&gt;)3]]-Table1[[#This Row],[Total Volume
tidak dapat dipasang]])&gt;=0,Table1[[#This Row],["Volume
BA MC-0"]]-Table1[[#This Row],[Total Panjang Pipa Aktual
(Sum-&gt;)3]]-Table1[[#This Row],[Total Volume
tidak dapat dipasang]],0)</f>
        <v>0</v>
      </c>
      <c r="CK384" s="42"/>
      <c r="CL384" s="113"/>
      <c r="CM384" s="307"/>
      <c r="CN384" s="113"/>
      <c r="CO384" s="113"/>
      <c r="CP38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6.3539904682468479E-2</v>
      </c>
      <c r="CQ384" s="406">
        <f>IFERROR(Table1[[#This Row],[Progres Keg. Umum
(%)]]*Table1[[#This Row],[Nilai RAB Jaringan
(file pa aji)]],0)</f>
        <v>0</v>
      </c>
      <c r="CR384" s="406">
        <f>IFERROR(Table1[[#This Row],[Progres MOS
(%)]]*Table1[[#This Row],[Nilai RAB Jaringan
(file pa aji)]],0)</f>
        <v>0</v>
      </c>
      <c r="CS384" s="406">
        <f>IFERROR(Table1[[#This Row],[Progres Pemasangan
(%)]]*Table1[[#This Row],[Nilai RAB Jaringan
(file pa aji)]],0)</f>
        <v>0</v>
      </c>
      <c r="CT384" s="406">
        <f>IFERROR(Table1[[#This Row],[Progres Perizinan
(%)]]*Table1[[#This Row],[Nilai RAB Jaringan
(file pa aji)]],0)</f>
        <v>0</v>
      </c>
      <c r="CU384" s="789">
        <v>0</v>
      </c>
      <c r="CV384" s="299">
        <v>0</v>
      </c>
      <c r="CW384" s="481">
        <v>0</v>
      </c>
      <c r="CX384" s="789">
        <f>_xlfn.XLOOKUP(Table1[[#This Row],[Kode Program]],'[1]Breakdown VOWD Greenfield'!$E:$E,'[1]Breakdown VOWD Greenfield'!$AT:$AT)</f>
        <v>0</v>
      </c>
      <c r="CY384" s="42"/>
      <c r="CZ384" s="301">
        <v>45992</v>
      </c>
      <c r="DA384" s="301">
        <v>46019</v>
      </c>
      <c r="DB384" s="301">
        <v>45986</v>
      </c>
      <c r="DC384" s="286" t="s">
        <v>3064</v>
      </c>
      <c r="DD384" s="478">
        <v>3977952179</v>
      </c>
      <c r="DE38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4" s="301">
        <v>45999</v>
      </c>
      <c r="DG384" s="486" t="s">
        <v>3065</v>
      </c>
      <c r="DH384" s="478">
        <v>3977952179</v>
      </c>
      <c r="DI38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4" s="301">
        <v>46020</v>
      </c>
      <c r="DK384" s="301">
        <v>46082</v>
      </c>
      <c r="DL384" s="301">
        <v>46049</v>
      </c>
      <c r="DM384" s="286" t="s">
        <v>3066</v>
      </c>
      <c r="DN38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4" s="301">
        <v>46085</v>
      </c>
      <c r="DP384" s="286"/>
      <c r="DQ384" s="308" t="s">
        <v>275</v>
      </c>
      <c r="DR38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4" s="301">
        <v>46020</v>
      </c>
      <c r="DT384" s="301">
        <v>46158</v>
      </c>
      <c r="DU384" s="301">
        <v>46061</v>
      </c>
      <c r="DV384" s="301">
        <v>46172</v>
      </c>
      <c r="DW384" s="301">
        <v>46049</v>
      </c>
      <c r="DX384" s="301" t="s">
        <v>3067</v>
      </c>
      <c r="DY384" s="304">
        <v>56</v>
      </c>
      <c r="DZ384" s="304">
        <v>56</v>
      </c>
      <c r="EA38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4" s="301"/>
      <c r="EC384" s="302">
        <v>52</v>
      </c>
      <c r="ED384" s="302">
        <v>52</v>
      </c>
      <c r="EE384" s="100"/>
      <c r="EF384" s="307">
        <v>0.9285714285714286</v>
      </c>
      <c r="EG384" s="307">
        <f>Table1[[#This Row],[Line PO]]/Table1[[#This Row],[Line PR]]</f>
        <v>0.9285714285714286</v>
      </c>
      <c r="EH384" s="286" t="str">
        <f>IF(Table1[[#This Row],[PO Material Aktual 
(%)]]&gt;=100%,"Selesai PO = 100%",IF(Table1[[#This Row],[PO Material Aktual 
(%)]]&gt;=50%,"Proses PO &gt; 100%",IF(Table1[[#This Row],[PO Material Aktual 
(%)]]&gt;0%,"Proses PO &gt; 50%",IF(Table1[[#This Row],[PO Material Aktual 
(%)]]=0,"Belum PO = 0%"))))</f>
        <v>Proses PO &gt; 100%</v>
      </c>
      <c r="EI38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4" s="301">
        <v>46062</v>
      </c>
      <c r="EK384" s="301">
        <v>46172</v>
      </c>
      <c r="EL384" s="301">
        <v>46159</v>
      </c>
      <c r="EM384" s="301">
        <v>46187</v>
      </c>
      <c r="EN384" s="301"/>
      <c r="EO384" s="302">
        <v>21</v>
      </c>
      <c r="EP384" s="302">
        <v>21</v>
      </c>
      <c r="EQ384" s="307">
        <v>0.375</v>
      </c>
      <c r="ER384" s="307">
        <f>Table1[[#This Row],[Line MOS (kolom bantu)]]/Table1[[#This Row],[Line PR]]</f>
        <v>0.375</v>
      </c>
      <c r="ES384" s="286" t="str">
        <f>IF(Table1[[#This Row],[Progres MOS]]&gt;=100%,"Selesai MOS = 100%",IF(Table1[[#This Row],[Progres MOS]]&gt;=50%,"Proses MOS &gt; 100%",IF(Table1[[#This Row],[Progres MOS]]&gt;0%,"Proses MOS &gt; 50%",IF(Table1[[#This Row],[Progres MOS]]=0,"Belum MOS = 0%"))))</f>
        <v>Proses MOS &gt; 50%</v>
      </c>
      <c r="ET38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4" s="42"/>
      <c r="EV384" s="301">
        <v>46020</v>
      </c>
      <c r="EW384" s="301">
        <v>46153</v>
      </c>
      <c r="EX384" s="301">
        <v>46110</v>
      </c>
      <c r="EY384" s="301">
        <v>46183</v>
      </c>
      <c r="EZ384" s="322" t="s">
        <v>2976</v>
      </c>
      <c r="FA384" s="379" t="s">
        <v>2976</v>
      </c>
      <c r="FB384" s="300" t="e">
        <v>#N/A</v>
      </c>
      <c r="FC384" s="300" t="e">
        <v>#N/A</v>
      </c>
      <c r="FD384" s="300" t="e">
        <v>#N/A</v>
      </c>
      <c r="FE384" s="300" t="e">
        <v>#N/A</v>
      </c>
      <c r="FF384" s="300" t="e">
        <v>#N/A</v>
      </c>
      <c r="FG384" s="300" t="e">
        <v>#N/A</v>
      </c>
      <c r="FH384" s="300" t="e">
        <v>#N/A</v>
      </c>
      <c r="FI384" s="300" t="e">
        <v>#N/A</v>
      </c>
      <c r="FJ384" s="300" t="e">
        <v>#N/A</v>
      </c>
      <c r="FK384" s="300" t="e">
        <v>#N/A</v>
      </c>
      <c r="FL384" s="306" t="s">
        <v>2827</v>
      </c>
      <c r="FM384" s="322"/>
      <c r="FN384" s="308" t="str">
        <f>IF(Table1[[#This Row],[Tanggal Pengajuan Dokumen]]="","",Table1[[#This Row],[PLAN PERMIT
start]]-Table1[[#This Row],[Tanggal Pengajuan Dokumen]])</f>
        <v/>
      </c>
      <c r="FO384" s="322"/>
      <c r="FP384" s="286"/>
      <c r="FQ384" s="308"/>
      <c r="FR384" s="301"/>
      <c r="FS384" s="308"/>
      <c r="FT38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4" s="314">
        <f ca="1">IF(Table1[[#This Row],[Status Izin]]="Selesai",Table1[[#This Row],[PLAN PERMIT
finish]]-Table1[[#This Row],[Tanggal Terbit/ Target Izin Terbit]],ROUNDUP(Table1[[#This Row],[PLAN PERMIT
finish]]-NOW(),0))</f>
        <v>-94</v>
      </c>
      <c r="FV38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4" s="314"/>
      <c r="FX384" s="42"/>
      <c r="FY384" s="483">
        <v>46069</v>
      </c>
      <c r="FZ384" s="483">
        <v>46122</v>
      </c>
      <c r="GA38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4" s="301">
        <v>46083</v>
      </c>
      <c r="GC384" s="322">
        <v>46113</v>
      </c>
      <c r="GD38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4" s="301">
        <v>46090</v>
      </c>
      <c r="GF384" s="322">
        <v>46113</v>
      </c>
      <c r="GG38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4" s="301">
        <v>46097</v>
      </c>
      <c r="GI384" s="301">
        <v>46103</v>
      </c>
      <c r="GJ384" s="322">
        <v>46126</v>
      </c>
      <c r="GK38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4" s="301">
        <v>46111</v>
      </c>
      <c r="GM384" s="301">
        <v>46190</v>
      </c>
      <c r="GN384" s="301">
        <v>46201</v>
      </c>
      <c r="GO384" s="300">
        <v>46255</v>
      </c>
      <c r="GP384" s="286"/>
      <c r="GQ38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4" s="301"/>
      <c r="GS384" s="301"/>
      <c r="GT384" s="324"/>
      <c r="GU384" s="314" t="str">
        <f>IF(Table1[[#This Row],[Hydro Tes Actual
(tanggal)]]&lt;&gt;"","Sudah","Belum")</f>
        <v>Belum</v>
      </c>
      <c r="GV384" s="300"/>
      <c r="GW384" s="300"/>
      <c r="GX384" s="301"/>
      <c r="GY384" s="314" t="str">
        <f>IF(Table1[[#This Row],[Interkoneksi Actual
(tanggal)]]&lt;&gt;"","Sudah","Belum")</f>
        <v>Belum</v>
      </c>
      <c r="GZ384" s="300"/>
      <c r="HA384" s="300"/>
      <c r="HB384" s="301"/>
      <c r="HC384" s="314" t="str">
        <f>IF(Table1[[#This Row],[Flushing Actual
(tanggal)]]&lt;&gt;"","Sudah","Belum")</f>
        <v>Belum</v>
      </c>
      <c r="HD384" s="301">
        <v>46204</v>
      </c>
      <c r="HE384" s="301">
        <v>46256</v>
      </c>
      <c r="HF384" s="301">
        <v>46209</v>
      </c>
      <c r="HG384" s="322"/>
      <c r="HH38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4" s="300"/>
      <c r="HJ384" s="300"/>
      <c r="HK384" s="301"/>
      <c r="HL384" s="301"/>
      <c r="HM384" s="301">
        <v>46226</v>
      </c>
      <c r="HN384" s="301">
        <v>46226</v>
      </c>
      <c r="HO384" s="300">
        <v>46273</v>
      </c>
      <c r="HP384" s="300"/>
      <c r="HQ384" s="301"/>
      <c r="HR38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4" s="301">
        <v>46234</v>
      </c>
      <c r="HT384" s="301"/>
      <c r="HU384" s="301">
        <v>46234</v>
      </c>
      <c r="HV384" s="390">
        <v>46216</v>
      </c>
      <c r="HW384" s="365"/>
      <c r="HX38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4" s="42"/>
      <c r="HZ384" s="322"/>
      <c r="IA384" s="306"/>
      <c r="IB384" s="67"/>
      <c r="IC384" s="585">
        <f>IFERROR(ROUND((Table1[[#This Row],[PLAN TC
finish]]-Table1[[#This Row],[PLAN MC-0
start]])/30,2),"")</f>
        <v>3.73</v>
      </c>
      <c r="ID384">
        <f>DATEDIF(Table1[[#This Row],[PLAN MC-0
start]],Table1[[#This Row],[PLAN TC
finish]],"m")</f>
        <v>3</v>
      </c>
      <c r="IE384" s="6"/>
      <c r="IF384" s="6"/>
      <c r="IG384" s="67"/>
      <c r="II384" s="6"/>
      <c r="IJ384" s="4"/>
      <c r="IK384" s="4"/>
      <c r="IL384" s="6"/>
      <c r="IM384" s="6"/>
      <c r="IN384" s="6"/>
      <c r="IO384" s="6"/>
      <c r="IP384" s="6"/>
      <c r="IR384" s="6"/>
      <c r="IS384" s="6"/>
      <c r="IT384" s="6"/>
      <c r="IU384" s="6"/>
      <c r="IX384" s="6"/>
      <c r="IY384" s="6"/>
      <c r="JA384" s="6"/>
      <c r="JB384" s="6"/>
    </row>
    <row r="385" spans="2:262" ht="15" customHeight="1" x14ac:dyDescent="0.25">
      <c r="B385" s="281">
        <f>SUBTOTAL(3,$D$5:D385)</f>
        <v>381</v>
      </c>
      <c r="C385" s="286">
        <v>381</v>
      </c>
      <c r="D385" s="285" t="s">
        <v>244</v>
      </c>
      <c r="E385" s="308" t="s">
        <v>3068</v>
      </c>
      <c r="F385" s="308" t="s">
        <v>3069</v>
      </c>
      <c r="G385" s="319">
        <v>46300</v>
      </c>
      <c r="H385" s="308" t="s">
        <v>681</v>
      </c>
      <c r="I385" s="308" t="s">
        <v>278</v>
      </c>
      <c r="J385" s="450"/>
      <c r="K385" s="308"/>
      <c r="L385" s="286"/>
      <c r="M385" s="325" t="s">
        <v>269</v>
      </c>
      <c r="N385" s="477">
        <v>40</v>
      </c>
      <c r="O385" s="477" t="s">
        <v>252</v>
      </c>
      <c r="P38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85" s="35">
        <v>1</v>
      </c>
      <c r="S385" s="297">
        <f>_xlfn.XLOOKUP(Table1[[#This Row],[Nama Program]],'[2]Summary Plan'!$E:$E,'[2]Summary Plan'!$M:$M)</f>
        <v>1</v>
      </c>
      <c r="T385" s="128">
        <f>Table1[[#This Row],[Progres Total Aktual
(%)]]</f>
        <v>1</v>
      </c>
      <c r="U385" s="103">
        <f>Table1[[#This Row],[Progres Aktual
(%)]]-Table1[[#This Row],[Target Progres
(%)]]</f>
        <v>0</v>
      </c>
      <c r="V385" s="75">
        <f>Table1[[#This Row],["Volume
BA MC-0"]]</f>
        <v>40</v>
      </c>
      <c r="W385" s="75">
        <f>Table1[[#This Row],[Total Panjang Pipa Aktual
(Sum-&gt;)3]]</f>
        <v>40</v>
      </c>
      <c r="X385" s="99"/>
      <c r="Y385" s="62" t="s">
        <v>3070</v>
      </c>
      <c r="Z385" s="62">
        <v>83966978</v>
      </c>
      <c r="AA385" s="479">
        <f>ROUND((Table1[[#This Row],[Nilai RAB Jaringan
(Exclude Ppn)]]-Table1[[#This Row],[RAB Perizinan]])*1.11+Table1[[#This Row],[RAB Perizinan]],0)</f>
        <v>83966977</v>
      </c>
      <c r="AB385" s="406">
        <f>SUM(Table1[[#This Row],[RAB Kegiatan Umum]:[RAB Perizinan]])</f>
        <v>75685565</v>
      </c>
      <c r="AC385" s="406">
        <v>4511117</v>
      </c>
      <c r="AD385" s="406">
        <v>45111170</v>
      </c>
      <c r="AE385" s="406">
        <v>25663278</v>
      </c>
      <c r="AF385" s="406">
        <v>400000</v>
      </c>
      <c r="AG385" s="406"/>
      <c r="AH385" s="480">
        <f>SUM(Table1[[#This Row],[Bobot Keg Umum]:[Bobot Perizinan]])</f>
        <v>1</v>
      </c>
      <c r="AI385" s="480">
        <f>Table1[[#This Row],[RAB Kegiatan Umum]]/Table1[[#This Row],[Nilai RAB Jaringan
(Exclude Ppn)]]</f>
        <v>5.9603399934980997E-2</v>
      </c>
      <c r="AJ385" s="480">
        <f>Table1[[#This Row],[RAB Pemasangan]]/Table1[[#This Row],[Nilai RAB Jaringan
(Exclude Ppn)]]</f>
        <v>0.59603399934980994</v>
      </c>
      <c r="AK385" s="111">
        <f>Table1[[#This Row],[RAB Pengadaan]]/Table1[[#This Row],[Nilai RAB Jaringan
(Exclude Ppn)]]</f>
        <v>0.33907757707827113</v>
      </c>
      <c r="AL385" s="112">
        <f>Table1[[#This Row],[RAB Perizinan]]/Table1[[#This Row],[Nilai RAB Jaringan
(Exclude Ppn)]]</f>
        <v>5.2850236369379024E-3</v>
      </c>
      <c r="AM385" s="42"/>
      <c r="AN385" s="256">
        <v>40</v>
      </c>
      <c r="AO385" s="256">
        <f>SUM(Table1[[#This Row],[Pipa 63 mm]:[Pipa 1,800 mm]])</f>
        <v>40</v>
      </c>
      <c r="AP385" s="256">
        <v>40</v>
      </c>
      <c r="AQ385" s="256"/>
      <c r="AR385" s="256"/>
      <c r="AS385" s="256"/>
      <c r="AT385" s="256"/>
      <c r="AU385" s="256"/>
      <c r="AV385" s="256"/>
      <c r="AW385" s="256"/>
      <c r="AX385" s="256"/>
      <c r="AY385" s="256"/>
      <c r="AZ385" s="256"/>
      <c r="BA385" s="256"/>
      <c r="BB385" s="256"/>
      <c r="BC385" s="256"/>
      <c r="BD385" s="256"/>
      <c r="BE385" s="256"/>
      <c r="BF385" s="256"/>
      <c r="BG385" s="256"/>
      <c r="BH385" s="256"/>
      <c r="BI385" s="256"/>
      <c r="BJ385" s="36">
        <f>SUM(Table1[[#This Row],[Pipa 63 mm2]:[Pipa 1,800 mm21]])</f>
        <v>40</v>
      </c>
      <c r="BK385" s="32">
        <v>40</v>
      </c>
      <c r="BL385" s="32"/>
      <c r="BM385" s="32"/>
      <c r="BN385" s="32"/>
      <c r="BO385" s="32"/>
      <c r="BP385" s="32"/>
      <c r="BQ385" s="32"/>
      <c r="BR385" s="32"/>
      <c r="BS385" s="32"/>
      <c r="BT385" s="32"/>
      <c r="BU385" s="32"/>
      <c r="BV385" s="32"/>
      <c r="BW385" s="32"/>
      <c r="BX385" s="32"/>
      <c r="BY385" s="32"/>
      <c r="BZ385" s="32"/>
      <c r="CA385" s="32"/>
      <c r="CB385" s="32"/>
      <c r="CC385" s="32"/>
      <c r="CD385" s="32"/>
      <c r="CE385" s="32"/>
      <c r="CF385" s="32"/>
      <c r="CG385" s="32"/>
      <c r="CH385" s="32"/>
      <c r="CI385" s="32"/>
      <c r="CJ385" s="32">
        <f>IF((Table1[[#This Row],["Volume
BA MC-0"]]-Table1[[#This Row],[Total Panjang Pipa Aktual
(Sum-&gt;)3]]-Table1[[#This Row],[Total Volume
tidak dapat dipasang]])&gt;=0,Table1[[#This Row],["Volume
BA MC-0"]]-Table1[[#This Row],[Total Panjang Pipa Aktual
(Sum-&gt;)3]]-Table1[[#This Row],[Total Volume
tidak dapat dipasang]],0)</f>
        <v>0</v>
      </c>
      <c r="CK385" s="42"/>
      <c r="CL385" s="113"/>
      <c r="CM385" s="307"/>
      <c r="CN385" s="113"/>
      <c r="CO385" s="113"/>
      <c r="CP38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85" s="406">
        <f>IFERROR(Table1[[#This Row],[Progres Keg. Umum
(%)]]*Table1[[#This Row],[Nilai RAB Jaringan
(file pa aji)]],0)</f>
        <v>0</v>
      </c>
      <c r="CR385" s="406">
        <f>IFERROR(Table1[[#This Row],[Progres MOS
(%)]]*Table1[[#This Row],[Nilai RAB Jaringan
(file pa aji)]],0)</f>
        <v>0</v>
      </c>
      <c r="CS385" s="406">
        <f>IFERROR(Table1[[#This Row],[Progres Pemasangan
(%)]]*Table1[[#This Row],[Nilai RAB Jaringan
(file pa aji)]],0)</f>
        <v>0</v>
      </c>
      <c r="CT385" s="406">
        <f>IFERROR(Table1[[#This Row],[Progres Perizinan
(%)]]*Table1[[#This Row],[Nilai RAB Jaringan
(file pa aji)]],0)</f>
        <v>0</v>
      </c>
      <c r="CU385" s="789">
        <v>85679898</v>
      </c>
      <c r="CV385" s="299">
        <v>85679898</v>
      </c>
      <c r="CW385" s="481">
        <v>85679898</v>
      </c>
      <c r="CX385" s="789">
        <f>_xlfn.XLOOKUP(Table1[[#This Row],[Kode Program]],'[1]Breakdown VOWD Greenfield'!$E:$E,'[1]Breakdown VOWD Greenfield'!$AT:$AT)</f>
        <v>85679898</v>
      </c>
      <c r="CY385" s="42"/>
      <c r="CZ385" s="301">
        <v>45992</v>
      </c>
      <c r="DA385" s="301">
        <v>46019</v>
      </c>
      <c r="DB385" s="301">
        <v>45986</v>
      </c>
      <c r="DC385" s="485" t="s">
        <v>3071</v>
      </c>
      <c r="DD385" s="478">
        <v>83966978</v>
      </c>
      <c r="DE38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5" s="301">
        <v>45999</v>
      </c>
      <c r="DG385" s="486" t="s">
        <v>3072</v>
      </c>
      <c r="DH385" s="484">
        <v>83966978</v>
      </c>
      <c r="DI38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5" s="301">
        <v>46020</v>
      </c>
      <c r="DK385" s="301">
        <v>46082</v>
      </c>
      <c r="DL385" s="301">
        <v>46049</v>
      </c>
      <c r="DM385" s="286" t="s">
        <v>3073</v>
      </c>
      <c r="DN38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5" s="301">
        <v>46083</v>
      </c>
      <c r="DP385" s="286"/>
      <c r="DQ385" s="308" t="s">
        <v>365</v>
      </c>
      <c r="DR38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5" s="301">
        <v>46020</v>
      </c>
      <c r="DT385" s="301">
        <v>46164</v>
      </c>
      <c r="DU385" s="301">
        <v>46061</v>
      </c>
      <c r="DV385" s="301">
        <v>46178</v>
      </c>
      <c r="DW385" s="301">
        <v>46049</v>
      </c>
      <c r="DX385" s="301" t="s">
        <v>3074</v>
      </c>
      <c r="DY385" s="304">
        <v>17</v>
      </c>
      <c r="DZ385" s="304">
        <v>17</v>
      </c>
      <c r="EA38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5" s="301"/>
      <c r="EC385" s="302">
        <v>15</v>
      </c>
      <c r="ED385" s="302">
        <v>15</v>
      </c>
      <c r="EE385" s="100"/>
      <c r="EF385" s="307">
        <v>0.88235294117647056</v>
      </c>
      <c r="EG385" s="307">
        <f>Table1[[#This Row],[Line PO]]/Table1[[#This Row],[Line PR]]</f>
        <v>0.88235294117647056</v>
      </c>
      <c r="EH385" s="286" t="str">
        <f>IF(Table1[[#This Row],[PO Material Aktual 
(%)]]&gt;=100%,"Selesai PO = 100%",IF(Table1[[#This Row],[PO Material Aktual 
(%)]]&gt;=50%,"Proses PO &gt; 100%",IF(Table1[[#This Row],[PO Material Aktual 
(%)]]&gt;0%,"Proses PO &gt; 50%",IF(Table1[[#This Row],[PO Material Aktual 
(%)]]=0,"Belum PO = 0%"))))</f>
        <v>Proses PO &gt; 100%</v>
      </c>
      <c r="EI38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5" s="301">
        <v>46062</v>
      </c>
      <c r="EK385" s="301">
        <v>46178</v>
      </c>
      <c r="EL385" s="301">
        <v>46131</v>
      </c>
      <c r="EM385" s="301">
        <v>46203</v>
      </c>
      <c r="EN385" s="301"/>
      <c r="EO385" s="302">
        <v>10</v>
      </c>
      <c r="EP385" s="302">
        <v>10</v>
      </c>
      <c r="EQ385" s="307">
        <v>0.58823529411764708</v>
      </c>
      <c r="ER385" s="307">
        <f>Table1[[#This Row],[Line MOS (kolom bantu)]]/Table1[[#This Row],[Line PR]]</f>
        <v>0.58823529411764708</v>
      </c>
      <c r="ES385" s="286" t="str">
        <f>IF(Table1[[#This Row],[Progres MOS]]&gt;=100%,"Selesai MOS = 100%",IF(Table1[[#This Row],[Progres MOS]]&gt;=50%,"Proses MOS &gt; 100%",IF(Table1[[#This Row],[Progres MOS]]&gt;0%,"Proses MOS &gt; 50%",IF(Table1[[#This Row],[Progres MOS]]=0,"Belum MOS = 0%"))))</f>
        <v>Proses MOS &gt; 100%</v>
      </c>
      <c r="ET38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5" s="42"/>
      <c r="EV385" s="301">
        <v>46020</v>
      </c>
      <c r="EW385" s="301">
        <v>46164</v>
      </c>
      <c r="EX385" s="301">
        <v>46110</v>
      </c>
      <c r="EY385" s="301">
        <v>46194</v>
      </c>
      <c r="EZ385" s="322" t="s">
        <v>2769</v>
      </c>
      <c r="FA385" s="379" t="s">
        <v>2769</v>
      </c>
      <c r="FB385" s="300" t="e">
        <v>#N/A</v>
      </c>
      <c r="FC385" s="300" t="e">
        <v>#N/A</v>
      </c>
      <c r="FD385" s="300" t="e">
        <v>#N/A</v>
      </c>
      <c r="FE385" s="300" t="e">
        <v>#N/A</v>
      </c>
      <c r="FF385" s="300" t="e">
        <v>#N/A</v>
      </c>
      <c r="FG385" s="300" t="e">
        <v>#N/A</v>
      </c>
      <c r="FH385" s="300" t="e">
        <v>#N/A</v>
      </c>
      <c r="FI385" s="300" t="e">
        <v>#N/A</v>
      </c>
      <c r="FJ385" s="300" t="e">
        <v>#N/A</v>
      </c>
      <c r="FK385" s="300" t="e">
        <v>#N/A</v>
      </c>
      <c r="FL385" s="306" t="s">
        <v>2827</v>
      </c>
      <c r="FM385" s="322"/>
      <c r="FN385" s="308" t="str">
        <f>IF(Table1[[#This Row],[Tanggal Pengajuan Dokumen]]="","",Table1[[#This Row],[PLAN PERMIT
start]]-Table1[[#This Row],[Tanggal Pengajuan Dokumen]])</f>
        <v/>
      </c>
      <c r="FO385" s="322"/>
      <c r="FP385" s="286"/>
      <c r="FQ385" s="308"/>
      <c r="FR385" s="301"/>
      <c r="FS385" s="308"/>
      <c r="FT38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5" s="314">
        <f ca="1">IF(Table1[[#This Row],[Status Izin]]="Selesai",Table1[[#This Row],[PLAN PERMIT
finish]]-Table1[[#This Row],[Tanggal Terbit/ Target Izin Terbit]],ROUNDUP(Table1[[#This Row],[PLAN PERMIT
finish]]-NOW(),0))</f>
        <v>-94</v>
      </c>
      <c r="FV38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5" s="314"/>
      <c r="FX385" s="42"/>
      <c r="FY385" s="483">
        <v>46069</v>
      </c>
      <c r="FZ385" s="483">
        <v>46122</v>
      </c>
      <c r="GA38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5" s="301">
        <v>46083</v>
      </c>
      <c r="GC385" s="322">
        <v>46066</v>
      </c>
      <c r="GD38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5" s="301">
        <v>46090</v>
      </c>
      <c r="GF385" s="322">
        <v>46064</v>
      </c>
      <c r="GG38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5" s="301">
        <v>46097</v>
      </c>
      <c r="GI385" s="301">
        <v>46103</v>
      </c>
      <c r="GJ385" s="447">
        <v>46066</v>
      </c>
      <c r="GK38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5" s="301">
        <v>46111</v>
      </c>
      <c r="GM385" s="301">
        <v>46206</v>
      </c>
      <c r="GN385" s="301">
        <v>46138</v>
      </c>
      <c r="GO385" s="300">
        <v>46249</v>
      </c>
      <c r="GP385" s="286"/>
      <c r="GQ38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5" s="301"/>
      <c r="GS385" s="301"/>
      <c r="GT385" s="324">
        <v>45970</v>
      </c>
      <c r="GU385" s="314" t="str">
        <f>IF(Table1[[#This Row],[Hydro Tes Actual
(tanggal)]]&lt;&gt;"","Sudah","Belum")</f>
        <v>Sudah</v>
      </c>
      <c r="GV385" s="300"/>
      <c r="GW385" s="300"/>
      <c r="GX385" s="301">
        <v>45970</v>
      </c>
      <c r="GY385" s="314" t="str">
        <f>IF(Table1[[#This Row],[Interkoneksi Actual
(tanggal)]]&lt;&gt;"","Sudah","Belum")</f>
        <v>Sudah</v>
      </c>
      <c r="GZ385" s="300"/>
      <c r="HA385" s="300"/>
      <c r="HB385" s="301">
        <v>45970</v>
      </c>
      <c r="HC385" s="314" t="str">
        <f>IF(Table1[[#This Row],[Flushing Actual
(tanggal)]]&lt;&gt;"","Sudah","Belum")</f>
        <v>Sudah</v>
      </c>
      <c r="HD385" s="301">
        <v>46141</v>
      </c>
      <c r="HE385" s="301">
        <v>46250</v>
      </c>
      <c r="HF385" s="301">
        <v>46146</v>
      </c>
      <c r="HG385" s="322">
        <v>46094</v>
      </c>
      <c r="HH38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85" s="300"/>
      <c r="HJ385" s="300"/>
      <c r="HK385" s="301"/>
      <c r="HL385" s="301"/>
      <c r="HM385" s="301">
        <v>46163</v>
      </c>
      <c r="HN385" s="301">
        <v>46163</v>
      </c>
      <c r="HO385" s="300">
        <v>46267</v>
      </c>
      <c r="HP385" s="300"/>
      <c r="HQ385" s="301">
        <v>46108</v>
      </c>
      <c r="HR38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85" s="301">
        <v>46171</v>
      </c>
      <c r="HT385" s="301"/>
      <c r="HU385" s="301">
        <v>46171</v>
      </c>
      <c r="HV385" s="390"/>
      <c r="HW385" s="365">
        <v>46118</v>
      </c>
      <c r="HX38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85" s="42"/>
      <c r="HZ385" s="322"/>
      <c r="IA385" s="306"/>
      <c r="IB385" s="67"/>
      <c r="IC385" s="585">
        <f>IFERROR(ROUND((Table1[[#This Row],[PLAN TC
finish]]-Table1[[#This Row],[PLAN MC-0
start]])/30,2),"")</f>
        <v>1.63</v>
      </c>
      <c r="ID385">
        <f>DATEDIF(Table1[[#This Row],[PLAN MC-0
start]],Table1[[#This Row],[PLAN TC
finish]],"m")</f>
        <v>1</v>
      </c>
      <c r="IE385" s="6"/>
      <c r="IF385" s="6"/>
      <c r="IG385" s="67"/>
      <c r="II385" s="6"/>
      <c r="IJ385" s="4"/>
      <c r="IK385" s="4"/>
      <c r="IL385" s="6"/>
      <c r="IM385" s="6"/>
      <c r="IN385" s="6"/>
      <c r="IO385" s="6"/>
      <c r="IP385" s="6"/>
      <c r="IR385" s="6"/>
      <c r="IS385" s="6"/>
      <c r="IT385" s="6"/>
      <c r="IU385" s="6"/>
      <c r="IX385" s="6"/>
      <c r="IY385" s="6"/>
      <c r="JA385" s="6"/>
      <c r="JB385" s="6"/>
    </row>
    <row r="386" spans="2:262" ht="15" customHeight="1" x14ac:dyDescent="0.25">
      <c r="B386" s="281">
        <f>SUBTOTAL(3,$D$5:D386)</f>
        <v>382</v>
      </c>
      <c r="C386" s="286">
        <v>382</v>
      </c>
      <c r="D386" s="285" t="s">
        <v>244</v>
      </c>
      <c r="E386" s="308" t="s">
        <v>3075</v>
      </c>
      <c r="F386" s="308" t="s">
        <v>3076</v>
      </c>
      <c r="G386" s="319">
        <v>46300</v>
      </c>
      <c r="H386" s="308" t="s">
        <v>681</v>
      </c>
      <c r="I386" s="308" t="s">
        <v>278</v>
      </c>
      <c r="J386" s="450"/>
      <c r="K386" s="308"/>
      <c r="L386" s="286"/>
      <c r="M386" s="325" t="s">
        <v>269</v>
      </c>
      <c r="N386" s="477">
        <v>139</v>
      </c>
      <c r="O386" s="477" t="s">
        <v>252</v>
      </c>
      <c r="P38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38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6" s="35">
        <v>1</v>
      </c>
      <c r="S386" s="297">
        <f>_xlfn.XLOOKUP(Table1[[#This Row],[Nama Program]],'[2]Summary Plan'!$E:$E,'[2]Summary Plan'!$M:$M)</f>
        <v>1</v>
      </c>
      <c r="T386" s="128">
        <f>Table1[[#This Row],[Progres Total Aktual
(%)]]</f>
        <v>6.8207598620464951E-2</v>
      </c>
      <c r="U386" s="103">
        <f>Table1[[#This Row],[Progres Aktual
(%)]]-Table1[[#This Row],[Target Progres
(%)]]</f>
        <v>-0.93179240137953501</v>
      </c>
      <c r="V386" s="75">
        <f>Table1[[#This Row],["Volume
BA MC-0"]]</f>
        <v>0</v>
      </c>
      <c r="W386" s="75">
        <f>Table1[[#This Row],[Total Panjang Pipa Aktual
(Sum-&gt;)3]]</f>
        <v>0</v>
      </c>
      <c r="X386" s="99"/>
      <c r="Y386" s="62" t="s">
        <v>3077</v>
      </c>
      <c r="Z386" s="62">
        <v>175616747</v>
      </c>
      <c r="AA386" s="479">
        <f>ROUND((Table1[[#This Row],[Nilai RAB Jaringan
(Exclude Ppn)]]-Table1[[#This Row],[RAB Perizinan]])*1.11+Table1[[#This Row],[RAB Perizinan]],0)</f>
        <v>175616747</v>
      </c>
      <c r="AB386" s="406">
        <f>SUM(Table1[[#This Row],[RAB Kegiatan Umum]:[RAB Perizinan]])</f>
        <v>158351033</v>
      </c>
      <c r="AC386" s="406">
        <v>10996233</v>
      </c>
      <c r="AD386" s="406">
        <v>109962321</v>
      </c>
      <c r="AE386" s="406">
        <v>36002479</v>
      </c>
      <c r="AF386" s="406">
        <v>1390000</v>
      </c>
      <c r="AG386" s="406"/>
      <c r="AH386" s="480">
        <f>SUM(Table1[[#This Row],[Bobot Keg Umum]:[Bobot Perizinan]])</f>
        <v>1</v>
      </c>
      <c r="AI386" s="480">
        <f>Table1[[#This Row],[RAB Kegiatan Umum]]/Table1[[#This Row],[Nilai RAB Jaringan
(Exclude Ppn)]]</f>
        <v>6.9442129878622263E-2</v>
      </c>
      <c r="AJ386" s="480">
        <f>Table1[[#This Row],[RAB Pemasangan]]/Table1[[#This Row],[Nilai RAB Jaringan
(Exclude Ppn)]]</f>
        <v>0.69442124195047084</v>
      </c>
      <c r="AK386" s="111">
        <f>Table1[[#This Row],[RAB Pengadaan]]/Table1[[#This Row],[Nilai RAB Jaringan
(Exclude Ppn)]]</f>
        <v>0.2273586620682165</v>
      </c>
      <c r="AL386" s="112">
        <f>Table1[[#This Row],[RAB Perizinan]]/Table1[[#This Row],[Nilai RAB Jaringan
(Exclude Ppn)]]</f>
        <v>8.777966102690344E-3</v>
      </c>
      <c r="AM386" s="42"/>
      <c r="AN386" s="256"/>
      <c r="AO386" s="256">
        <f>SUM(Table1[[#This Row],[Pipa 63 mm]:[Pipa 1,800 mm]])</f>
        <v>139</v>
      </c>
      <c r="AP386" s="256">
        <v>139</v>
      </c>
      <c r="AQ386" s="256"/>
      <c r="AR386" s="256"/>
      <c r="AS386" s="256"/>
      <c r="AT386" s="256"/>
      <c r="AU386" s="256"/>
      <c r="AV386" s="256"/>
      <c r="AW386" s="256"/>
      <c r="AX386" s="256"/>
      <c r="AY386" s="256"/>
      <c r="AZ386" s="256"/>
      <c r="BA386" s="256"/>
      <c r="BB386" s="256"/>
      <c r="BC386" s="256"/>
      <c r="BD386" s="256"/>
      <c r="BE386" s="256"/>
      <c r="BF386" s="256"/>
      <c r="BG386" s="256"/>
      <c r="BH386" s="256"/>
      <c r="BI386" s="256"/>
      <c r="BJ386" s="36">
        <f>SUM(Table1[[#This Row],[Pipa 63 mm2]:[Pipa 1,800 mm21]])</f>
        <v>0</v>
      </c>
      <c r="BK386" s="32"/>
      <c r="BL386" s="32"/>
      <c r="BM386" s="32"/>
      <c r="BN386" s="32"/>
      <c r="BO386" s="32"/>
      <c r="BP386" s="32"/>
      <c r="BQ386" s="32"/>
      <c r="BR386" s="32"/>
      <c r="BS386" s="32"/>
      <c r="BT386" s="32"/>
      <c r="BU386" s="32"/>
      <c r="BV386" s="32"/>
      <c r="BW386" s="32"/>
      <c r="BX386" s="32"/>
      <c r="BY386" s="32"/>
      <c r="BZ386" s="32"/>
      <c r="CA386" s="32"/>
      <c r="CB386" s="32"/>
      <c r="CC386" s="32"/>
      <c r="CD386" s="32"/>
      <c r="CE386" s="32"/>
      <c r="CF386" s="32"/>
      <c r="CG386" s="32"/>
      <c r="CH386" s="32"/>
      <c r="CI386" s="32"/>
      <c r="CJ386" s="32">
        <f>IF((Table1[[#This Row],["Volume
BA MC-0"]]-Table1[[#This Row],[Total Panjang Pipa Aktual
(Sum-&gt;)3]]-Table1[[#This Row],[Total Volume
tidak dapat dipasang]])&gt;=0,Table1[[#This Row],["Volume
BA MC-0"]]-Table1[[#This Row],[Total Panjang Pipa Aktual
(Sum-&gt;)3]]-Table1[[#This Row],[Total Volume
tidak dapat dipasang]],0)</f>
        <v>0</v>
      </c>
      <c r="CK386" s="42"/>
      <c r="CL386" s="113"/>
      <c r="CM386" s="307"/>
      <c r="CN386" s="113"/>
      <c r="CO386" s="113"/>
      <c r="CP38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6.8207598620464951E-2</v>
      </c>
      <c r="CQ386" s="406">
        <f>IFERROR(Table1[[#This Row],[Progres Keg. Umum
(%)]]*Table1[[#This Row],[Nilai RAB Jaringan
(file pa aji)]],0)</f>
        <v>0</v>
      </c>
      <c r="CR386" s="406">
        <f>IFERROR(Table1[[#This Row],[Progres MOS
(%)]]*Table1[[#This Row],[Nilai RAB Jaringan
(file pa aji)]],0)</f>
        <v>0</v>
      </c>
      <c r="CS386" s="406">
        <f>IFERROR(Table1[[#This Row],[Progres Pemasangan
(%)]]*Table1[[#This Row],[Nilai RAB Jaringan
(file pa aji)]],0)</f>
        <v>0</v>
      </c>
      <c r="CT386" s="406">
        <f>IFERROR(Table1[[#This Row],[Progres Perizinan
(%)]]*Table1[[#This Row],[Nilai RAB Jaringan
(file pa aji)]],0)</f>
        <v>0</v>
      </c>
      <c r="CU386" s="789">
        <v>0</v>
      </c>
      <c r="CV386" s="299">
        <v>0</v>
      </c>
      <c r="CW386" s="481">
        <v>0</v>
      </c>
      <c r="CX386" s="789">
        <f>_xlfn.XLOOKUP(Table1[[#This Row],[Kode Program]],'[1]Breakdown VOWD Greenfield'!$E:$E,'[1]Breakdown VOWD Greenfield'!$AT:$AT)</f>
        <v>0</v>
      </c>
      <c r="CY386" s="42"/>
      <c r="CZ386" s="301">
        <v>45992</v>
      </c>
      <c r="DA386" s="301">
        <v>46019</v>
      </c>
      <c r="DB386" s="301">
        <v>45989</v>
      </c>
      <c r="DC386" s="485" t="s">
        <v>3078</v>
      </c>
      <c r="DD386" s="478">
        <v>175616747</v>
      </c>
      <c r="DE38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6" s="301">
        <v>46013</v>
      </c>
      <c r="DG386" s="486" t="s">
        <v>3079</v>
      </c>
      <c r="DH386" s="484">
        <v>175616747</v>
      </c>
      <c r="DI38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6" s="301">
        <v>46020</v>
      </c>
      <c r="DK386" s="301">
        <v>46082</v>
      </c>
      <c r="DL386" s="301">
        <v>46049</v>
      </c>
      <c r="DM386" s="286" t="s">
        <v>3080</v>
      </c>
      <c r="DN38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6" s="301">
        <v>46083</v>
      </c>
      <c r="DP386" s="286"/>
      <c r="DQ386" s="308" t="s">
        <v>365</v>
      </c>
      <c r="DR38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86" s="301">
        <v>46020</v>
      </c>
      <c r="DT386" s="301">
        <v>46164</v>
      </c>
      <c r="DU386" s="301">
        <v>46061</v>
      </c>
      <c r="DV386" s="301">
        <v>46178</v>
      </c>
      <c r="DW386" s="301">
        <v>46049</v>
      </c>
      <c r="DX386" s="301" t="s">
        <v>3081</v>
      </c>
      <c r="DY386" s="304">
        <v>18</v>
      </c>
      <c r="DZ386" s="304">
        <v>18</v>
      </c>
      <c r="EA38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6" s="301"/>
      <c r="EC386" s="302">
        <v>16</v>
      </c>
      <c r="ED386" s="302">
        <v>16</v>
      </c>
      <c r="EE386" s="100"/>
      <c r="EF386" s="307">
        <v>0.88888888888888884</v>
      </c>
      <c r="EG386" s="307">
        <f>Table1[[#This Row],[Line PO]]/Table1[[#This Row],[Line PR]]</f>
        <v>0.88888888888888884</v>
      </c>
      <c r="EH386" s="286" t="str">
        <f>IF(Table1[[#This Row],[PO Material Aktual 
(%)]]&gt;=100%,"Selesai PO = 100%",IF(Table1[[#This Row],[PO Material Aktual 
(%)]]&gt;=50%,"Proses PO &gt; 100%",IF(Table1[[#This Row],[PO Material Aktual 
(%)]]&gt;0%,"Proses PO &gt; 50%",IF(Table1[[#This Row],[PO Material Aktual 
(%)]]=0,"Belum PO = 0%"))))</f>
        <v>Proses PO &gt; 100%</v>
      </c>
      <c r="EI38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6" s="301">
        <v>46062</v>
      </c>
      <c r="EK386" s="301">
        <v>46178</v>
      </c>
      <c r="EL386" s="301">
        <v>46131</v>
      </c>
      <c r="EM386" s="301">
        <v>46183</v>
      </c>
      <c r="EN386" s="301"/>
      <c r="EO386" s="302">
        <v>9</v>
      </c>
      <c r="EP386" s="302">
        <v>9</v>
      </c>
      <c r="EQ386" s="307">
        <v>0.5</v>
      </c>
      <c r="ER386" s="307">
        <f>Table1[[#This Row],[Line MOS (kolom bantu)]]/Table1[[#This Row],[Line PR]]</f>
        <v>0.5</v>
      </c>
      <c r="ES386" s="286" t="str">
        <f>IF(Table1[[#This Row],[Progres MOS]]&gt;=100%,"Selesai MOS = 100%",IF(Table1[[#This Row],[Progres MOS]]&gt;=50%,"Proses MOS &gt; 100%",IF(Table1[[#This Row],[Progres MOS]]&gt;0%,"Proses MOS &gt; 50%",IF(Table1[[#This Row],[Progres MOS]]=0,"Belum MOS = 0%"))))</f>
        <v>Proses MOS &gt; 100%</v>
      </c>
      <c r="ET38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6" s="42"/>
      <c r="EV386" s="301">
        <v>46020</v>
      </c>
      <c r="EW386" s="301">
        <v>46156</v>
      </c>
      <c r="EX386" s="301">
        <v>46110</v>
      </c>
      <c r="EY386" s="301">
        <v>46186</v>
      </c>
      <c r="EZ386" s="322" t="s">
        <v>2769</v>
      </c>
      <c r="FA386" s="379" t="s">
        <v>2769</v>
      </c>
      <c r="FB386" s="300" t="e">
        <v>#N/A</v>
      </c>
      <c r="FC386" s="300" t="e">
        <v>#N/A</v>
      </c>
      <c r="FD386" s="300" t="e">
        <v>#N/A</v>
      </c>
      <c r="FE386" s="300" t="e">
        <v>#N/A</v>
      </c>
      <c r="FF386" s="300" t="e">
        <v>#N/A</v>
      </c>
      <c r="FG386" s="300" t="e">
        <v>#N/A</v>
      </c>
      <c r="FH386" s="300" t="e">
        <v>#N/A</v>
      </c>
      <c r="FI386" s="300" t="e">
        <v>#N/A</v>
      </c>
      <c r="FJ386" s="300" t="e">
        <v>#N/A</v>
      </c>
      <c r="FK386" s="300" t="e">
        <v>#N/A</v>
      </c>
      <c r="FL386" s="306" t="s">
        <v>2827</v>
      </c>
      <c r="FM386" s="322"/>
      <c r="FN386" s="308" t="str">
        <f>IF(Table1[[#This Row],[Tanggal Pengajuan Dokumen]]="","",Table1[[#This Row],[PLAN PERMIT
start]]-Table1[[#This Row],[Tanggal Pengajuan Dokumen]])</f>
        <v/>
      </c>
      <c r="FO386" s="322"/>
      <c r="FP386" s="286"/>
      <c r="FQ386" s="308"/>
      <c r="FR386" s="301"/>
      <c r="FS386" s="308"/>
      <c r="FT38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6" s="314">
        <f ca="1">IF(Table1[[#This Row],[Status Izin]]="Selesai",Table1[[#This Row],[PLAN PERMIT
finish]]-Table1[[#This Row],[Tanggal Terbit/ Target Izin Terbit]],ROUNDUP(Table1[[#This Row],[PLAN PERMIT
finish]]-NOW(),0))</f>
        <v>-94</v>
      </c>
      <c r="FV38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6" s="314"/>
      <c r="FX386" s="42"/>
      <c r="FY386" s="483">
        <v>46069</v>
      </c>
      <c r="FZ386" s="483">
        <v>46122</v>
      </c>
      <c r="GA38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386" s="301">
        <v>46083</v>
      </c>
      <c r="GC386" s="322">
        <v>46141</v>
      </c>
      <c r="GD38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386" s="301">
        <v>46090</v>
      </c>
      <c r="GF386" s="322">
        <v>46141</v>
      </c>
      <c r="GG38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386" s="301">
        <v>46097</v>
      </c>
      <c r="GI386" s="301">
        <v>46103</v>
      </c>
      <c r="GJ386" s="322">
        <v>46146</v>
      </c>
      <c r="GK38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386" s="301">
        <v>46111</v>
      </c>
      <c r="GM386" s="301">
        <v>46193</v>
      </c>
      <c r="GN386" s="301">
        <v>46138</v>
      </c>
      <c r="GO386" s="300">
        <v>46241</v>
      </c>
      <c r="GP386" s="286"/>
      <c r="GQ38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6" s="301"/>
      <c r="GS386" s="301"/>
      <c r="GT386" s="324"/>
      <c r="GU386" s="314" t="str">
        <f>IF(Table1[[#This Row],[Hydro Tes Actual
(tanggal)]]&lt;&gt;"","Sudah","Belum")</f>
        <v>Belum</v>
      </c>
      <c r="GV386" s="300"/>
      <c r="GW386" s="300"/>
      <c r="GX386" s="301"/>
      <c r="GY386" s="314" t="str">
        <f>IF(Table1[[#This Row],[Interkoneksi Actual
(tanggal)]]&lt;&gt;"","Sudah","Belum")</f>
        <v>Belum</v>
      </c>
      <c r="GZ386" s="300"/>
      <c r="HA386" s="300"/>
      <c r="HB386" s="301"/>
      <c r="HC386" s="314" t="str">
        <f>IF(Table1[[#This Row],[Flushing Actual
(tanggal)]]&lt;&gt;"","Sudah","Belum")</f>
        <v>Belum</v>
      </c>
      <c r="HD386" s="301">
        <v>46141</v>
      </c>
      <c r="HE386" s="301">
        <v>46242</v>
      </c>
      <c r="HF386" s="301">
        <v>46146</v>
      </c>
      <c r="HG386" s="322"/>
      <c r="HH38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386" s="300"/>
      <c r="HJ386" s="300"/>
      <c r="HK386" s="301"/>
      <c r="HL386" s="301"/>
      <c r="HM386" s="301">
        <v>46163</v>
      </c>
      <c r="HN386" s="301">
        <v>46163</v>
      </c>
      <c r="HO386" s="300">
        <v>46259</v>
      </c>
      <c r="HP386" s="300"/>
      <c r="HQ386" s="301"/>
      <c r="HR38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386" s="301">
        <v>46171</v>
      </c>
      <c r="HT386" s="301"/>
      <c r="HU386" s="301">
        <v>46171</v>
      </c>
      <c r="HV386" s="390">
        <v>46210</v>
      </c>
      <c r="HW386" s="365"/>
      <c r="HX38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386" s="42"/>
      <c r="HZ386" s="322"/>
      <c r="IA386" s="306"/>
      <c r="IB386" s="67"/>
      <c r="IC386" s="585">
        <f>IFERROR(ROUND((Table1[[#This Row],[PLAN TC
finish]]-Table1[[#This Row],[PLAN MC-0
start]])/30,2),"")</f>
        <v>1.63</v>
      </c>
      <c r="ID386">
        <f>DATEDIF(Table1[[#This Row],[PLAN MC-0
start]],Table1[[#This Row],[PLAN TC
finish]],"m")</f>
        <v>1</v>
      </c>
      <c r="IE386" s="6"/>
      <c r="IF386" s="6"/>
      <c r="IG386" s="67"/>
      <c r="II386" s="6"/>
      <c r="IJ386" s="4"/>
      <c r="IK386" s="4"/>
      <c r="IL386" s="6"/>
      <c r="IM386" s="6"/>
      <c r="IN386" s="6"/>
      <c r="IO386" s="6"/>
      <c r="IP386" s="6"/>
      <c r="IR386" s="6"/>
      <c r="IS386" s="6"/>
      <c r="IT386" s="6"/>
      <c r="IU386" s="6"/>
      <c r="IX386" s="6"/>
      <c r="IY386" s="6"/>
      <c r="JA386" s="6"/>
      <c r="JB386" s="6"/>
    </row>
    <row r="387" spans="2:262" ht="15" customHeight="1" x14ac:dyDescent="0.25">
      <c r="B387" s="281">
        <f>SUBTOTAL(3,$D$5:D387)</f>
        <v>383</v>
      </c>
      <c r="C387" s="286">
        <v>383</v>
      </c>
      <c r="D387" s="285" t="s">
        <v>244</v>
      </c>
      <c r="E387" s="308" t="s">
        <v>3082</v>
      </c>
      <c r="F387" s="308" t="s">
        <v>3083</v>
      </c>
      <c r="G387" s="319">
        <v>46300</v>
      </c>
      <c r="H387" s="308" t="s">
        <v>681</v>
      </c>
      <c r="I387" s="308" t="s">
        <v>278</v>
      </c>
      <c r="J387" s="450"/>
      <c r="K387" s="308"/>
      <c r="L387" s="286"/>
      <c r="M387" s="325" t="s">
        <v>269</v>
      </c>
      <c r="N387" s="477">
        <v>3239</v>
      </c>
      <c r="O387" s="477" t="s">
        <v>252</v>
      </c>
      <c r="P38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7" s="35">
        <v>0.19826229925783631</v>
      </c>
      <c r="S387" s="297">
        <f>_xlfn.XLOOKUP(Table1[[#This Row],[Nama Program]],'[2]Summary Plan'!$E:$E,'[2]Summary Plan'!$M:$M)</f>
        <v>0.29377548772810586</v>
      </c>
      <c r="T387" s="128">
        <f>Table1[[#This Row],[Progres Total Aktual
(%)]]</f>
        <v>7.456646092727473E-2</v>
      </c>
      <c r="U387" s="103">
        <f>Table1[[#This Row],[Progres Aktual
(%)]]-Table1[[#This Row],[Target Progres
(%)]]</f>
        <v>-0.21920902680083112</v>
      </c>
      <c r="V387" s="75">
        <f>Table1[[#This Row],["Volume
BA MC-0"]]</f>
        <v>3221</v>
      </c>
      <c r="W387" s="75">
        <f>Table1[[#This Row],[Total Panjang Pipa Aktual
(Sum-&gt;)3]]</f>
        <v>0</v>
      </c>
      <c r="X387" s="99"/>
      <c r="Y387" s="62" t="s">
        <v>3084</v>
      </c>
      <c r="Z387" s="62">
        <v>5348596655</v>
      </c>
      <c r="AA387" s="479">
        <f>ROUND((Table1[[#This Row],[Nilai RAB Jaringan
(Exclude Ppn)]]-Table1[[#This Row],[RAB Perizinan]])*1.11+Table1[[#This Row],[RAB Perizinan]],0)</f>
        <v>5348596654</v>
      </c>
      <c r="AB387" s="406">
        <f>SUM(Table1[[#This Row],[RAB Kegiatan Umum]:[RAB Perizinan]])</f>
        <v>4822459058</v>
      </c>
      <c r="AC387" s="406">
        <v>335893178</v>
      </c>
      <c r="AD387" s="406">
        <v>3358931773</v>
      </c>
      <c r="AE387" s="406">
        <v>1088244107</v>
      </c>
      <c r="AF387" s="406">
        <v>39390000</v>
      </c>
      <c r="AG387" s="406"/>
      <c r="AH387" s="480">
        <f>SUM(Table1[[#This Row],[Bobot Keg Umum]:[Bobot Perizinan]])</f>
        <v>1</v>
      </c>
      <c r="AI387" s="480">
        <f>Table1[[#This Row],[RAB Kegiatan Umum]]/Table1[[#This Row],[Nilai RAB Jaringan
(Exclude Ppn)]]</f>
        <v>6.9651846487485514E-2</v>
      </c>
      <c r="AJ387" s="480">
        <f>Table1[[#This Row],[RAB Pemasangan]]/Table1[[#This Row],[Nilai RAB Jaringan
(Exclude Ppn)]]</f>
        <v>0.69651846342331347</v>
      </c>
      <c r="AK387" s="111">
        <f>Table1[[#This Row],[RAB Pengadaan]]/Table1[[#This Row],[Nilai RAB Jaringan
(Exclude Ppn)]]</f>
        <v>0.22566165806938407</v>
      </c>
      <c r="AL387" s="112">
        <f>Table1[[#This Row],[RAB Perizinan]]/Table1[[#This Row],[Nilai RAB Jaringan
(Exclude Ppn)]]</f>
        <v>8.1680320198168899E-3</v>
      </c>
      <c r="AM387" s="42"/>
      <c r="AN387" s="256">
        <v>3221</v>
      </c>
      <c r="AO387" s="256">
        <f>SUM(Table1[[#This Row],[Pipa 63 mm]:[Pipa 1,800 mm]])</f>
        <v>3221</v>
      </c>
      <c r="AP387" s="256">
        <v>1844.3</v>
      </c>
      <c r="AQ387" s="256">
        <v>3</v>
      </c>
      <c r="AR387" s="256">
        <v>69</v>
      </c>
      <c r="AS387" s="256">
        <v>1304.7</v>
      </c>
      <c r="AT387" s="256"/>
      <c r="AU387" s="256"/>
      <c r="AV387" s="256"/>
      <c r="AW387" s="256"/>
      <c r="AX387" s="256"/>
      <c r="AY387" s="256"/>
      <c r="AZ387" s="256"/>
      <c r="BA387" s="256"/>
      <c r="BB387" s="256"/>
      <c r="BC387" s="256"/>
      <c r="BD387" s="256"/>
      <c r="BE387" s="256"/>
      <c r="BF387" s="256"/>
      <c r="BG387" s="256"/>
      <c r="BH387" s="256"/>
      <c r="BI387" s="256"/>
      <c r="BJ387" s="36">
        <f>SUM(Table1[[#This Row],[Pipa 63 mm2]:[Pipa 1,800 mm21]])</f>
        <v>0</v>
      </c>
      <c r="BK387" s="32"/>
      <c r="BL387" s="32"/>
      <c r="BM387" s="32"/>
      <c r="BN387" s="32"/>
      <c r="BO387" s="32"/>
      <c r="BP387" s="32"/>
      <c r="BQ387" s="32"/>
      <c r="BR387" s="32"/>
      <c r="BS387" s="32"/>
      <c r="BT387" s="32"/>
      <c r="BU387" s="32"/>
      <c r="BV387" s="32"/>
      <c r="BW387" s="32"/>
      <c r="BX387" s="32"/>
      <c r="BY387" s="32"/>
      <c r="BZ387" s="32"/>
      <c r="CA387" s="32"/>
      <c r="CB387" s="32"/>
      <c r="CC387" s="32"/>
      <c r="CD387" s="32"/>
      <c r="CE387" s="32"/>
      <c r="CF387" s="32"/>
      <c r="CG387" s="32"/>
      <c r="CH387" s="32"/>
      <c r="CI387" s="32"/>
      <c r="CJ387" s="32">
        <f>IF((Table1[[#This Row],["Volume
BA MC-0"]]-Table1[[#This Row],[Total Panjang Pipa Aktual
(Sum-&gt;)3]]-Table1[[#This Row],[Total Volume
tidak dapat dipasang]])&gt;=0,Table1[[#This Row],["Volume
BA MC-0"]]-Table1[[#This Row],[Total Panjang Pipa Aktual
(Sum-&gt;)3]]-Table1[[#This Row],[Total Volume
tidak dapat dipasang]],0)</f>
        <v>3221</v>
      </c>
      <c r="CK387" s="42"/>
      <c r="CL387" s="113"/>
      <c r="CM387" s="307"/>
      <c r="CN387" s="113"/>
      <c r="CO387" s="113"/>
      <c r="CP38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7.456646092727473E-2</v>
      </c>
      <c r="CQ387" s="406">
        <f>IFERROR(Table1[[#This Row],[Progres Keg. Umum
(%)]]*Table1[[#This Row],[Nilai RAB Jaringan
(file pa aji)]],0)</f>
        <v>0</v>
      </c>
      <c r="CR387" s="406">
        <f>IFERROR(Table1[[#This Row],[Progres MOS
(%)]]*Table1[[#This Row],[Nilai RAB Jaringan
(file pa aji)]],0)</f>
        <v>0</v>
      </c>
      <c r="CS387" s="406">
        <f>IFERROR(Table1[[#This Row],[Progres Pemasangan
(%)]]*Table1[[#This Row],[Nilai RAB Jaringan
(file pa aji)]],0)</f>
        <v>0</v>
      </c>
      <c r="CT387" s="406">
        <f>IFERROR(Table1[[#This Row],[Progres Perizinan
(%)]]*Table1[[#This Row],[Nilai RAB Jaringan
(file pa aji)]],0)</f>
        <v>0</v>
      </c>
      <c r="CU387" s="789">
        <v>0</v>
      </c>
      <c r="CV387" s="299">
        <v>0</v>
      </c>
      <c r="CW387" s="481">
        <v>0</v>
      </c>
      <c r="CX387" s="789">
        <f>_xlfn.XLOOKUP(Table1[[#This Row],[Kode Program]],'[1]Breakdown VOWD Greenfield'!$E:$E,'[1]Breakdown VOWD Greenfield'!$AT:$AT)</f>
        <v>0</v>
      </c>
      <c r="CY387" s="42"/>
      <c r="CZ387" s="301">
        <v>46020</v>
      </c>
      <c r="DA387" s="301">
        <v>46047</v>
      </c>
      <c r="DB387" s="301">
        <v>46003</v>
      </c>
      <c r="DC387" s="485" t="s">
        <v>3085</v>
      </c>
      <c r="DD387" s="478">
        <v>5348596655</v>
      </c>
      <c r="DE38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7" s="301">
        <v>46028</v>
      </c>
      <c r="DG387" s="486" t="s">
        <v>3086</v>
      </c>
      <c r="DH387" s="484">
        <v>5309206655</v>
      </c>
      <c r="DI38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7" s="301">
        <v>46048</v>
      </c>
      <c r="DK387" s="301">
        <v>46145</v>
      </c>
      <c r="DL387" s="301">
        <v>46063</v>
      </c>
      <c r="DM387" s="286" t="s">
        <v>3087</v>
      </c>
      <c r="DN38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7" s="301">
        <v>46093</v>
      </c>
      <c r="DP387" s="286" t="s">
        <v>3088</v>
      </c>
      <c r="DQ387" s="308" t="s">
        <v>479</v>
      </c>
      <c r="DR38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7" s="301">
        <v>46048</v>
      </c>
      <c r="DT387" s="301">
        <v>46158</v>
      </c>
      <c r="DU387" s="301">
        <v>46089</v>
      </c>
      <c r="DV387" s="301">
        <v>46172</v>
      </c>
      <c r="DW387" s="301">
        <v>46063</v>
      </c>
      <c r="DX387" s="286" t="s">
        <v>3089</v>
      </c>
      <c r="DY387" s="304">
        <v>69</v>
      </c>
      <c r="DZ387" s="304">
        <v>69</v>
      </c>
      <c r="EA38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7" s="301"/>
      <c r="EC387" s="302">
        <v>66</v>
      </c>
      <c r="ED387" s="302">
        <v>66</v>
      </c>
      <c r="EE387" s="100"/>
      <c r="EF387" s="307">
        <v>0.95652173913043481</v>
      </c>
      <c r="EG387" s="307">
        <f>Table1[[#This Row],[Line PO]]/Table1[[#This Row],[Line PR]]</f>
        <v>0.95652173913043481</v>
      </c>
      <c r="EH387" s="286" t="str">
        <f>IF(Table1[[#This Row],[PO Material Aktual 
(%)]]&gt;=100%,"Selesai PO = 100%",IF(Table1[[#This Row],[PO Material Aktual 
(%)]]&gt;=50%,"Proses PO &gt; 100%",IF(Table1[[#This Row],[PO Material Aktual 
(%)]]&gt;0%,"Proses PO &gt; 50%",IF(Table1[[#This Row],[PO Material Aktual 
(%)]]=0,"Belum PO = 0%"))))</f>
        <v>Proses PO &gt; 100%</v>
      </c>
      <c r="EI38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7" s="301">
        <v>46090</v>
      </c>
      <c r="EK387" s="301">
        <v>46172</v>
      </c>
      <c r="EL387" s="301">
        <v>46222</v>
      </c>
      <c r="EM387" s="301">
        <v>46187</v>
      </c>
      <c r="EN387" s="301"/>
      <c r="EO387" s="302">
        <v>38</v>
      </c>
      <c r="EP387" s="302">
        <v>38</v>
      </c>
      <c r="EQ387" s="307">
        <v>0.55072463768115942</v>
      </c>
      <c r="ER387" s="307">
        <f>Table1[[#This Row],[Line MOS (kolom bantu)]]/Table1[[#This Row],[Line PR]]</f>
        <v>0.55072463768115942</v>
      </c>
      <c r="ES387" s="286" t="str">
        <f>IF(Table1[[#This Row],[Progres MOS]]&gt;=100%,"Selesai MOS = 100%",IF(Table1[[#This Row],[Progres MOS]]&gt;=50%,"Proses MOS &gt; 100%",IF(Table1[[#This Row],[Progres MOS]]&gt;0%,"Proses MOS &gt; 50%",IF(Table1[[#This Row],[Progres MOS]]=0,"Belum MOS = 0%"))))</f>
        <v>Proses MOS &gt; 100%</v>
      </c>
      <c r="ET38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7" s="42"/>
      <c r="EV387" s="301">
        <v>46048</v>
      </c>
      <c r="EW387" s="301">
        <v>46153</v>
      </c>
      <c r="EX387" s="301">
        <v>46173</v>
      </c>
      <c r="EY387" s="301">
        <v>46183</v>
      </c>
      <c r="EZ387" s="322" t="s">
        <v>2976</v>
      </c>
      <c r="FA387" s="379" t="s">
        <v>2976</v>
      </c>
      <c r="FB387" s="300" t="e">
        <v>#N/A</v>
      </c>
      <c r="FC387" s="300" t="e">
        <v>#N/A</v>
      </c>
      <c r="FD387" s="300" t="e">
        <v>#N/A</v>
      </c>
      <c r="FE387" s="300" t="e">
        <v>#N/A</v>
      </c>
      <c r="FF387" s="300" t="e">
        <v>#N/A</v>
      </c>
      <c r="FG387" s="300" t="e">
        <v>#N/A</v>
      </c>
      <c r="FH387" s="300" t="e">
        <v>#N/A</v>
      </c>
      <c r="FI387" s="300" t="e">
        <v>#N/A</v>
      </c>
      <c r="FJ387" s="300" t="e">
        <v>#N/A</v>
      </c>
      <c r="FK387" s="300" t="e">
        <v>#N/A</v>
      </c>
      <c r="FL387" s="306" t="s">
        <v>2827</v>
      </c>
      <c r="FM387" s="322"/>
      <c r="FN387" s="308" t="str">
        <f>IF(Table1[[#This Row],[Tanggal Pengajuan Dokumen]]="","",Table1[[#This Row],[PLAN PERMIT
start]]-Table1[[#This Row],[Tanggal Pengajuan Dokumen]])</f>
        <v/>
      </c>
      <c r="FO387" s="322"/>
      <c r="FP387" s="286"/>
      <c r="FQ387" s="308"/>
      <c r="FR387" s="301"/>
      <c r="FS387" s="308"/>
      <c r="FT38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7" s="314">
        <f ca="1">IF(Table1[[#This Row],[Status Izin]]="Selesai",Table1[[#This Row],[PLAN PERMIT
finish]]-Table1[[#This Row],[Tanggal Terbit/ Target Izin Terbit]],ROUNDUP(Table1[[#This Row],[PLAN PERMIT
finish]]-NOW(),0))</f>
        <v>-31</v>
      </c>
      <c r="FV38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7" s="314"/>
      <c r="FX387" s="42"/>
      <c r="FY387" s="483">
        <v>46132</v>
      </c>
      <c r="FZ387" s="483">
        <v>46051</v>
      </c>
      <c r="GA38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7" s="301">
        <v>46146</v>
      </c>
      <c r="GC387" s="322">
        <f>Table1[[#This Row],[Tanggal Aktual Kick Off]]</f>
        <v>46112</v>
      </c>
      <c r="GD38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7" s="301">
        <v>46153</v>
      </c>
      <c r="GF387" s="322">
        <v>46112</v>
      </c>
      <c r="GG38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7" s="301">
        <v>46160</v>
      </c>
      <c r="GI387" s="301">
        <v>46166</v>
      </c>
      <c r="GJ387" s="322">
        <v>46113</v>
      </c>
      <c r="GK38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7" s="301">
        <v>46174</v>
      </c>
      <c r="GM387" s="301">
        <v>46190</v>
      </c>
      <c r="GN387" s="301">
        <v>46222</v>
      </c>
      <c r="GO387" s="300">
        <v>46255</v>
      </c>
      <c r="GP387" s="286"/>
      <c r="GQ38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7" s="301"/>
      <c r="GS387" s="301"/>
      <c r="GT387" s="324"/>
      <c r="GU387" s="314" t="str">
        <f>IF(Table1[[#This Row],[Hydro Tes Actual
(tanggal)]]&lt;&gt;"","Sudah","Belum")</f>
        <v>Belum</v>
      </c>
      <c r="GV387" s="300"/>
      <c r="GW387" s="300"/>
      <c r="GX387" s="301"/>
      <c r="GY387" s="314" t="str">
        <f>IF(Table1[[#This Row],[Interkoneksi Actual
(tanggal)]]&lt;&gt;"","Sudah","Belum")</f>
        <v>Belum</v>
      </c>
      <c r="GZ387" s="300"/>
      <c r="HA387" s="300"/>
      <c r="HB387" s="301"/>
      <c r="HC387" s="314" t="str">
        <f>IF(Table1[[#This Row],[Flushing Actual
(tanggal)]]&lt;&gt;"","Sudah","Belum")</f>
        <v>Belum</v>
      </c>
      <c r="HD387" s="301">
        <v>46225</v>
      </c>
      <c r="HE387" s="301">
        <v>46256</v>
      </c>
      <c r="HF387" s="301">
        <v>46230</v>
      </c>
      <c r="HG387" s="322"/>
      <c r="HH38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7" s="300"/>
      <c r="HJ387" s="300"/>
      <c r="HK387" s="301"/>
      <c r="HL387" s="301"/>
      <c r="HM387" s="301">
        <v>46247</v>
      </c>
      <c r="HN387" s="301">
        <v>46247</v>
      </c>
      <c r="HO387" s="300">
        <v>46273</v>
      </c>
      <c r="HP387" s="300"/>
      <c r="HQ387" s="301"/>
      <c r="HR38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7" s="301">
        <v>46255</v>
      </c>
      <c r="HT387" s="301"/>
      <c r="HU387" s="301">
        <v>46255</v>
      </c>
      <c r="HV387" s="390">
        <v>46264</v>
      </c>
      <c r="HW387" s="365"/>
      <c r="HX38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7" s="42"/>
      <c r="HZ387" s="322"/>
      <c r="IA387" s="306"/>
      <c r="IB387" s="67"/>
      <c r="IC387" s="585">
        <f>IFERROR(ROUND((Table1[[#This Row],[PLAN TC
finish]]-Table1[[#This Row],[PLAN MC-0
start]])/30,2),"")</f>
        <v>2.33</v>
      </c>
      <c r="ID387">
        <f>DATEDIF(Table1[[#This Row],[PLAN MC-0
start]],Table1[[#This Row],[PLAN TC
finish]],"m")</f>
        <v>2</v>
      </c>
      <c r="IE387" s="6"/>
      <c r="IF387" s="6"/>
      <c r="IG387" s="67"/>
      <c r="II387" s="6"/>
      <c r="IJ387" s="4"/>
      <c r="IK387" s="4"/>
      <c r="IL387" s="6"/>
      <c r="IM387" s="6"/>
      <c r="IN387" s="6"/>
      <c r="IO387" s="6"/>
      <c r="IP387" s="6"/>
      <c r="IR387" s="6"/>
      <c r="IS387" s="6"/>
      <c r="IT387" s="6"/>
      <c r="IU387" s="6"/>
      <c r="IX387" s="6"/>
      <c r="IY387" s="6"/>
      <c r="JA387" s="6"/>
      <c r="JB387" s="6"/>
    </row>
    <row r="388" spans="2:262" ht="15" customHeight="1" x14ac:dyDescent="0.25">
      <c r="B388" s="281">
        <f>SUBTOTAL(3,$D$5:D388)</f>
        <v>384</v>
      </c>
      <c r="C388" s="286">
        <v>384</v>
      </c>
      <c r="D388" s="285" t="s">
        <v>244</v>
      </c>
      <c r="E388" s="308" t="s">
        <v>3090</v>
      </c>
      <c r="F388" s="308" t="s">
        <v>3091</v>
      </c>
      <c r="G388" s="319">
        <v>46300</v>
      </c>
      <c r="H388" s="308" t="s">
        <v>681</v>
      </c>
      <c r="I388" s="308" t="s">
        <v>278</v>
      </c>
      <c r="J388" s="450"/>
      <c r="K388" s="308"/>
      <c r="L388" s="286"/>
      <c r="M388" s="325" t="s">
        <v>269</v>
      </c>
      <c r="N388" s="477">
        <v>21</v>
      </c>
      <c r="O388" s="477" t="s">
        <v>252</v>
      </c>
      <c r="P38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8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88" s="35">
        <v>0.51243746333205742</v>
      </c>
      <c r="S388" s="297">
        <f>_xlfn.XLOOKUP(Table1[[#This Row],[Nama Program]],'[2]Summary Plan'!$E:$E,'[2]Summary Plan'!$M:$M)</f>
        <v>0.75871387558524539</v>
      </c>
      <c r="T388" s="128">
        <f>Table1[[#This Row],[Progres Total Aktual
(%)]]</f>
        <v>0.16592110491955969</v>
      </c>
      <c r="U388" s="103">
        <f>Table1[[#This Row],[Progres Aktual
(%)]]-Table1[[#This Row],[Target Progres
(%)]]</f>
        <v>-0.5927927706656857</v>
      </c>
      <c r="V388" s="75">
        <f>Table1[[#This Row],["Volume
BA MC-0"]]</f>
        <v>0</v>
      </c>
      <c r="W388" s="75">
        <f>Table1[[#This Row],[Total Panjang Pipa Aktual
(Sum-&gt;)3]]</f>
        <v>0</v>
      </c>
      <c r="X388" s="99"/>
      <c r="Y388" s="62" t="s">
        <v>3092</v>
      </c>
      <c r="Z388" s="62">
        <v>52865951</v>
      </c>
      <c r="AA388" s="479">
        <f>ROUND((Table1[[#This Row],[Nilai RAB Jaringan
(Exclude Ppn)]]-Table1[[#This Row],[RAB Perizinan]])*1.11+Table1[[#This Row],[RAB Perizinan]],0)</f>
        <v>52865950</v>
      </c>
      <c r="AB388" s="406">
        <f>SUM(Table1[[#This Row],[RAB Kegiatan Umum]:[RAB Perizinan]])</f>
        <v>47647793</v>
      </c>
      <c r="AC388" s="406">
        <v>2582307</v>
      </c>
      <c r="AD388" s="406">
        <v>25823066</v>
      </c>
      <c r="AE388" s="406">
        <v>19032420</v>
      </c>
      <c r="AF388" s="406">
        <v>210000</v>
      </c>
      <c r="AG388" s="406"/>
      <c r="AH388" s="480">
        <f>SUM(Table1[[#This Row],[Bobot Keg Umum]:[Bobot Perizinan]])</f>
        <v>1</v>
      </c>
      <c r="AI388" s="480">
        <f>Table1[[#This Row],[RAB Kegiatan Umum]]/Table1[[#This Row],[Nilai RAB Jaringan
(Exclude Ppn)]]</f>
        <v>5.4195731584042096E-2</v>
      </c>
      <c r="AJ388" s="480">
        <f>Table1[[#This Row],[RAB Pemasangan]]/Table1[[#This Row],[Nilai RAB Jaringan
(Exclude Ppn)]]</f>
        <v>0.54195723189109724</v>
      </c>
      <c r="AK388" s="111">
        <f>Table1[[#This Row],[RAB Pengadaan]]/Table1[[#This Row],[Nilai RAB Jaringan
(Exclude Ppn)]]</f>
        <v>0.39943969702856963</v>
      </c>
      <c r="AL388" s="112">
        <f>Table1[[#This Row],[RAB Perizinan]]/Table1[[#This Row],[Nilai RAB Jaringan
(Exclude Ppn)]]</f>
        <v>4.4073394962910453E-3</v>
      </c>
      <c r="AM388" s="42"/>
      <c r="AN388" s="256"/>
      <c r="AO388" s="256">
        <f>SUM(Table1[[#This Row],[Pipa 63 mm]:[Pipa 1,800 mm]])</f>
        <v>0</v>
      </c>
      <c r="AP388" s="256"/>
      <c r="AQ388" s="256"/>
      <c r="AR388" s="256"/>
      <c r="AS388" s="256"/>
      <c r="AT388" s="256"/>
      <c r="AU388" s="256"/>
      <c r="AV388" s="256"/>
      <c r="AW388" s="256"/>
      <c r="AX388" s="256"/>
      <c r="AY388" s="256"/>
      <c r="AZ388" s="256"/>
      <c r="BA388" s="256"/>
      <c r="BB388" s="256"/>
      <c r="BC388" s="256"/>
      <c r="BD388" s="256"/>
      <c r="BE388" s="256"/>
      <c r="BF388" s="256"/>
      <c r="BG388" s="256"/>
      <c r="BH388" s="256"/>
      <c r="BI388" s="256"/>
      <c r="BJ388" s="36">
        <f>SUM(Table1[[#This Row],[Pipa 63 mm2]:[Pipa 1,800 mm21]])</f>
        <v>0</v>
      </c>
      <c r="BK388" s="32"/>
      <c r="BL388" s="32"/>
      <c r="BM388" s="32"/>
      <c r="BN388" s="32"/>
      <c r="BO388" s="32"/>
      <c r="BP388" s="32"/>
      <c r="BQ388" s="32"/>
      <c r="BR388" s="32"/>
      <c r="BS388" s="32"/>
      <c r="BT388" s="32"/>
      <c r="BU388" s="32"/>
      <c r="BV388" s="32"/>
      <c r="BW388" s="32"/>
      <c r="BX388" s="32"/>
      <c r="BY388" s="32"/>
      <c r="BZ388" s="32"/>
      <c r="CA388" s="32"/>
      <c r="CB388" s="32"/>
      <c r="CC388" s="32"/>
      <c r="CD388" s="32"/>
      <c r="CE388" s="32"/>
      <c r="CF388" s="32"/>
      <c r="CG388" s="32"/>
      <c r="CH388" s="32"/>
      <c r="CI388" s="32"/>
      <c r="CJ388" s="32">
        <f>IF((Table1[[#This Row],["Volume
BA MC-0"]]-Table1[[#This Row],[Total Panjang Pipa Aktual
(Sum-&gt;)3]]-Table1[[#This Row],[Total Volume
tidak dapat dipasang]])&gt;=0,Table1[[#This Row],["Volume
BA MC-0"]]-Table1[[#This Row],[Total Panjang Pipa Aktual
(Sum-&gt;)3]]-Table1[[#This Row],[Total Volume
tidak dapat dipasang]],0)</f>
        <v>0</v>
      </c>
      <c r="CK388" s="42"/>
      <c r="CL388" s="113"/>
      <c r="CM388" s="307"/>
      <c r="CN388" s="113"/>
      <c r="CO388" s="113"/>
      <c r="CP38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0.16592110491955969</v>
      </c>
      <c r="CQ388" s="406">
        <f>IFERROR(Table1[[#This Row],[Progres Keg. Umum
(%)]]*Table1[[#This Row],[Nilai RAB Jaringan
(file pa aji)]],0)</f>
        <v>0</v>
      </c>
      <c r="CR388" s="406">
        <f>IFERROR(Table1[[#This Row],[Progres MOS
(%)]]*Table1[[#This Row],[Nilai RAB Jaringan
(file pa aji)]],0)</f>
        <v>0</v>
      </c>
      <c r="CS388" s="406">
        <f>IFERROR(Table1[[#This Row],[Progres Pemasangan
(%)]]*Table1[[#This Row],[Nilai RAB Jaringan
(file pa aji)]],0)</f>
        <v>0</v>
      </c>
      <c r="CT388" s="406">
        <f>IFERROR(Table1[[#This Row],[Progres Perizinan
(%)]]*Table1[[#This Row],[Nilai RAB Jaringan
(file pa aji)]],0)</f>
        <v>0</v>
      </c>
      <c r="CU388" s="789">
        <v>0</v>
      </c>
      <c r="CV388" s="299">
        <v>0</v>
      </c>
      <c r="CW388" s="481">
        <v>0</v>
      </c>
      <c r="CX388" s="789">
        <f>_xlfn.XLOOKUP(Table1[[#This Row],[Kode Program]],'[1]Breakdown VOWD Greenfield'!$E:$E,'[1]Breakdown VOWD Greenfield'!$AT:$AT)</f>
        <v>0</v>
      </c>
      <c r="CY388" s="42"/>
      <c r="CZ388" s="301">
        <v>46020</v>
      </c>
      <c r="DA388" s="301">
        <v>46047</v>
      </c>
      <c r="DB388" s="301">
        <v>46027</v>
      </c>
      <c r="DC388" s="485" t="s">
        <v>3093</v>
      </c>
      <c r="DD388" s="478">
        <v>52865951</v>
      </c>
      <c r="DE38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8" s="301">
        <v>46042</v>
      </c>
      <c r="DG388" s="486" t="s">
        <v>3094</v>
      </c>
      <c r="DH388" s="478">
        <v>52865951</v>
      </c>
      <c r="DI38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8" s="301">
        <v>46048</v>
      </c>
      <c r="DK388" s="301">
        <v>46145</v>
      </c>
      <c r="DL388" s="301">
        <v>46056</v>
      </c>
      <c r="DM388" s="286" t="s">
        <v>3095</v>
      </c>
      <c r="DN38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8" s="301">
        <v>46083</v>
      </c>
      <c r="DP388" s="286"/>
      <c r="DQ388" s="308" t="s">
        <v>365</v>
      </c>
      <c r="DR38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8" s="301">
        <v>46048</v>
      </c>
      <c r="DT388" s="301">
        <v>46164</v>
      </c>
      <c r="DU388" s="301">
        <v>46089</v>
      </c>
      <c r="DV388" s="301">
        <v>46178</v>
      </c>
      <c r="DW388" s="301">
        <v>46056</v>
      </c>
      <c r="DX388" s="286" t="s">
        <v>3096</v>
      </c>
      <c r="DY388" s="304">
        <v>13</v>
      </c>
      <c r="DZ388" s="304">
        <v>13</v>
      </c>
      <c r="EA38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8" s="301"/>
      <c r="EC388" s="302">
        <v>12</v>
      </c>
      <c r="ED388" s="302">
        <v>12</v>
      </c>
      <c r="EE388" s="100"/>
      <c r="EF388" s="307">
        <v>0.92307692307692313</v>
      </c>
      <c r="EG388" s="307">
        <f>Table1[[#This Row],[Line PO]]/Table1[[#This Row],[Line PR]]</f>
        <v>0.92307692307692313</v>
      </c>
      <c r="EH388" s="286" t="str">
        <f>IF(Table1[[#This Row],[PO Material Aktual 
(%)]]&gt;=100%,"Selesai PO = 100%",IF(Table1[[#This Row],[PO Material Aktual 
(%)]]&gt;=50%,"Proses PO &gt; 100%",IF(Table1[[#This Row],[PO Material Aktual 
(%)]]&gt;0%,"Proses PO &gt; 50%",IF(Table1[[#This Row],[PO Material Aktual 
(%)]]=0,"Belum PO = 0%"))))</f>
        <v>Proses PO &gt; 100%</v>
      </c>
      <c r="EI38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88" s="301">
        <v>46090</v>
      </c>
      <c r="EK388" s="301">
        <v>46178</v>
      </c>
      <c r="EL388" s="301">
        <v>46173</v>
      </c>
      <c r="EM388" s="301">
        <v>46183</v>
      </c>
      <c r="EN388" s="301"/>
      <c r="EO388" s="302">
        <v>9</v>
      </c>
      <c r="EP388" s="302">
        <v>9</v>
      </c>
      <c r="EQ388" s="307">
        <v>0.69230769230769229</v>
      </c>
      <c r="ER388" s="307">
        <f>Table1[[#This Row],[Line MOS (kolom bantu)]]/Table1[[#This Row],[Line PR]]</f>
        <v>0.69230769230769229</v>
      </c>
      <c r="ES388" s="286" t="str">
        <f>IF(Table1[[#This Row],[Progres MOS]]&gt;=100%,"Selesai MOS = 100%",IF(Table1[[#This Row],[Progres MOS]]&gt;=50%,"Proses MOS &gt; 100%",IF(Table1[[#This Row],[Progres MOS]]&gt;0%,"Proses MOS &gt; 50%",IF(Table1[[#This Row],[Progres MOS]]=0,"Belum MOS = 0%"))))</f>
        <v>Proses MOS &gt; 100%</v>
      </c>
      <c r="ET38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88" s="42"/>
      <c r="EV388" s="301">
        <v>46048</v>
      </c>
      <c r="EW388" s="301">
        <v>46156</v>
      </c>
      <c r="EX388" s="301">
        <v>46173</v>
      </c>
      <c r="EY388" s="301">
        <v>46186</v>
      </c>
      <c r="EZ388" s="322" t="s">
        <v>1592</v>
      </c>
      <c r="FA388" s="379" t="s">
        <v>1592</v>
      </c>
      <c r="FB388" s="300" t="e">
        <v>#N/A</v>
      </c>
      <c r="FC388" s="300" t="e">
        <v>#N/A</v>
      </c>
      <c r="FD388" s="300" t="e">
        <v>#N/A</v>
      </c>
      <c r="FE388" s="300" t="e">
        <v>#N/A</v>
      </c>
      <c r="FF388" s="300" t="e">
        <v>#N/A</v>
      </c>
      <c r="FG388" s="300" t="e">
        <v>#N/A</v>
      </c>
      <c r="FH388" s="300" t="e">
        <v>#N/A</v>
      </c>
      <c r="FI388" s="300" t="e">
        <v>#N/A</v>
      </c>
      <c r="FJ388" s="300" t="e">
        <v>#N/A</v>
      </c>
      <c r="FK388" s="300" t="e">
        <v>#N/A</v>
      </c>
      <c r="FL388" s="306" t="s">
        <v>2827</v>
      </c>
      <c r="FM388" s="322"/>
      <c r="FN388" s="308" t="str">
        <f>IF(Table1[[#This Row],[Tanggal Pengajuan Dokumen]]="","",Table1[[#This Row],[PLAN PERMIT
start]]-Table1[[#This Row],[Tanggal Pengajuan Dokumen]])</f>
        <v/>
      </c>
      <c r="FO388" s="322"/>
      <c r="FP388" s="286"/>
      <c r="FQ388" s="308"/>
      <c r="FR388" s="301"/>
      <c r="FS388" s="308"/>
      <c r="FT38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8" s="314">
        <f ca="1">IF(Table1[[#This Row],[Status Izin]]="Selesai",Table1[[#This Row],[PLAN PERMIT
finish]]-Table1[[#This Row],[Tanggal Terbit/ Target Izin Terbit]],ROUNDUP(Table1[[#This Row],[PLAN PERMIT
finish]]-NOW(),0))</f>
        <v>-31</v>
      </c>
      <c r="FV38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8" s="314"/>
      <c r="FX388" s="42"/>
      <c r="FY388" s="483">
        <v>46132</v>
      </c>
      <c r="FZ388" s="483">
        <v>46122</v>
      </c>
      <c r="GA38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8" s="301">
        <v>46146</v>
      </c>
      <c r="GC388" s="322">
        <v>46141</v>
      </c>
      <c r="GD38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8" s="301">
        <v>46153</v>
      </c>
      <c r="GF388" s="322">
        <v>46141</v>
      </c>
      <c r="GG38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8" s="301">
        <v>46160</v>
      </c>
      <c r="GI388" s="301">
        <v>46166</v>
      </c>
      <c r="GJ388" s="322">
        <v>46154</v>
      </c>
      <c r="GK38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8" s="301">
        <v>46174</v>
      </c>
      <c r="GM388" s="301">
        <v>46193</v>
      </c>
      <c r="GN388" s="301">
        <v>46201</v>
      </c>
      <c r="GO388" s="300">
        <v>46234</v>
      </c>
      <c r="GP388" s="286"/>
      <c r="GQ38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88" s="301"/>
      <c r="GS388" s="301"/>
      <c r="GT388" s="324"/>
      <c r="GU388" s="314" t="str">
        <f>IF(Table1[[#This Row],[Hydro Tes Actual
(tanggal)]]&lt;&gt;"","Sudah","Belum")</f>
        <v>Belum</v>
      </c>
      <c r="GV388" s="300"/>
      <c r="GW388" s="300"/>
      <c r="GX388" s="301"/>
      <c r="GY388" s="314" t="str">
        <f>IF(Table1[[#This Row],[Interkoneksi Actual
(tanggal)]]&lt;&gt;"","Sudah","Belum")</f>
        <v>Belum</v>
      </c>
      <c r="GZ388" s="300"/>
      <c r="HA388" s="300"/>
      <c r="HB388" s="301"/>
      <c r="HC388" s="314" t="str">
        <f>IF(Table1[[#This Row],[Flushing Actual
(tanggal)]]&lt;&gt;"","Sudah","Belum")</f>
        <v>Belum</v>
      </c>
      <c r="HD388" s="301">
        <v>46204</v>
      </c>
      <c r="HE388" s="301">
        <v>46235</v>
      </c>
      <c r="HF388" s="301">
        <v>46209</v>
      </c>
      <c r="HG388" s="322"/>
      <c r="HH38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8" s="300"/>
      <c r="HJ388" s="300"/>
      <c r="HK388" s="301"/>
      <c r="HL388" s="301"/>
      <c r="HM388" s="301">
        <v>46226</v>
      </c>
      <c r="HN388" s="301">
        <v>46226</v>
      </c>
      <c r="HO388" s="300">
        <v>46252</v>
      </c>
      <c r="HP388" s="300"/>
      <c r="HQ388" s="301"/>
      <c r="HR38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8" s="301">
        <v>46234</v>
      </c>
      <c r="HT388" s="301"/>
      <c r="HU388" s="301">
        <v>46234</v>
      </c>
      <c r="HV388" s="390"/>
      <c r="HW388" s="365"/>
      <c r="HX38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8" s="42"/>
      <c r="HZ388" s="322"/>
      <c r="IA388" s="306"/>
      <c r="IB388" s="67"/>
      <c r="IC388" s="585">
        <f>IFERROR(ROUND((Table1[[#This Row],[PLAN TC
finish]]-Table1[[#This Row],[PLAN MC-0
start]])/30,2),"")</f>
        <v>1.63</v>
      </c>
      <c r="ID388">
        <f>DATEDIF(Table1[[#This Row],[PLAN MC-0
start]],Table1[[#This Row],[PLAN TC
finish]],"m")</f>
        <v>1</v>
      </c>
      <c r="IE388" s="6"/>
      <c r="IF388" s="6"/>
      <c r="IG388" s="67"/>
      <c r="II388" s="6"/>
      <c r="IJ388" s="4"/>
      <c r="IK388" s="4"/>
      <c r="IL388" s="6"/>
      <c r="IM388" s="6"/>
      <c r="IN388" s="6"/>
      <c r="IO388" s="6"/>
      <c r="IP388" s="6"/>
      <c r="IR388" s="6"/>
      <c r="IS388" s="6"/>
      <c r="IT388" s="6"/>
      <c r="IU388" s="6"/>
      <c r="IX388" s="6"/>
      <c r="IY388" s="6"/>
      <c r="JA388" s="6"/>
      <c r="JB388" s="6"/>
    </row>
    <row r="389" spans="2:262" ht="15" customHeight="1" x14ac:dyDescent="0.25">
      <c r="B389" s="281">
        <f>SUBTOTAL(3,$D$5:D389)</f>
        <v>385</v>
      </c>
      <c r="C389" s="286">
        <v>385</v>
      </c>
      <c r="D389" s="285" t="s">
        <v>244</v>
      </c>
      <c r="E389" s="308" t="s">
        <v>3097</v>
      </c>
      <c r="F389" s="308" t="s">
        <v>3098</v>
      </c>
      <c r="G389" s="319">
        <v>46300</v>
      </c>
      <c r="H389" s="308" t="s">
        <v>681</v>
      </c>
      <c r="I389" s="308" t="s">
        <v>278</v>
      </c>
      <c r="J389" s="450"/>
      <c r="K389" s="308"/>
      <c r="L389" s="286"/>
      <c r="M389" s="325" t="s">
        <v>269</v>
      </c>
      <c r="N389" s="477">
        <v>906</v>
      </c>
      <c r="O389" s="477" t="s">
        <v>252</v>
      </c>
      <c r="P38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8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89" s="35">
        <v>0.21954614250677357</v>
      </c>
      <c r="S389" s="297">
        <f>_xlfn.XLOOKUP(Table1[[#This Row],[Nama Program]],'[2]Summary Plan'!$E:$E,'[2]Summary Plan'!$M:$M)</f>
        <v>0.31480955891038254</v>
      </c>
      <c r="T389" s="128">
        <f>Table1[[#This Row],[Progres Total Aktual
(%)]]</f>
        <v>7.0217485883365294E-2</v>
      </c>
      <c r="U389" s="103">
        <f>Table1[[#This Row],[Progres Aktual
(%)]]-Table1[[#This Row],[Target Progres
(%)]]</f>
        <v>-0.24459207302701724</v>
      </c>
      <c r="V389" s="75">
        <f>Table1[[#This Row],["Volume
BA MC-0"]]</f>
        <v>904</v>
      </c>
      <c r="W389" s="75">
        <f>Table1[[#This Row],[Total Panjang Pipa Aktual
(Sum-&gt;)3]]</f>
        <v>878</v>
      </c>
      <c r="X389" s="99"/>
      <c r="Y389" s="62" t="s">
        <v>1430</v>
      </c>
      <c r="Z389" s="62">
        <v>813837557</v>
      </c>
      <c r="AA389" s="479">
        <f>ROUND((Table1[[#This Row],[Nilai RAB Jaringan
(Exclude Ppn)]]-Table1[[#This Row],[RAB Perizinan]])*1.11+Table1[[#This Row],[RAB Perizinan]],0)</f>
        <v>813837557</v>
      </c>
      <c r="AB389" s="406">
        <f>SUM(Table1[[#This Row],[RAB Kegiatan Umum]:[RAB Perizinan]])</f>
        <v>734084826</v>
      </c>
      <c r="AC389" s="406">
        <v>50253675</v>
      </c>
      <c r="AD389" s="406">
        <v>502536750</v>
      </c>
      <c r="AE389" s="406">
        <v>172234401</v>
      </c>
      <c r="AF389" s="406">
        <v>9060000</v>
      </c>
      <c r="AG389" s="406"/>
      <c r="AH389" s="480">
        <f>SUM(Table1[[#This Row],[Bobot Keg Umum]:[Bobot Perizinan]])</f>
        <v>1</v>
      </c>
      <c r="AI389" s="480">
        <f>Table1[[#This Row],[RAB Kegiatan Umum]]/Table1[[#This Row],[Nilai RAB Jaringan
(Exclude Ppn)]]</f>
        <v>6.8457585853981401E-2</v>
      </c>
      <c r="AJ389" s="480">
        <f>Table1[[#This Row],[RAB Pemasangan]]/Table1[[#This Row],[Nilai RAB Jaringan
(Exclude Ppn)]]</f>
        <v>0.68457585853981406</v>
      </c>
      <c r="AK389" s="111">
        <f>Table1[[#This Row],[RAB Pengadaan]]/Table1[[#This Row],[Nilai RAB Jaringan
(Exclude Ppn)]]</f>
        <v>0.23462465766864932</v>
      </c>
      <c r="AL389" s="112">
        <f>Table1[[#This Row],[RAB Perizinan]]/Table1[[#This Row],[Nilai RAB Jaringan
(Exclude Ppn)]]</f>
        <v>1.2341897937555244E-2</v>
      </c>
      <c r="AM389" s="42"/>
      <c r="AN389" s="256">
        <v>904</v>
      </c>
      <c r="AO389" s="256">
        <f>SUM(Table1[[#This Row],[Pipa 63 mm]:[Pipa 1,800 mm]])</f>
        <v>904</v>
      </c>
      <c r="AP389" s="256">
        <v>904</v>
      </c>
      <c r="AQ389" s="256"/>
      <c r="AR389" s="256"/>
      <c r="AS389" s="256"/>
      <c r="AT389" s="256"/>
      <c r="AU389" s="256"/>
      <c r="AV389" s="256"/>
      <c r="AW389" s="256"/>
      <c r="AX389" s="256"/>
      <c r="AY389" s="256"/>
      <c r="AZ389" s="256"/>
      <c r="BA389" s="256"/>
      <c r="BB389" s="256"/>
      <c r="BC389" s="256"/>
      <c r="BD389" s="256"/>
      <c r="BE389" s="256"/>
      <c r="BF389" s="256"/>
      <c r="BG389" s="256"/>
      <c r="BH389" s="256"/>
      <c r="BI389" s="256"/>
      <c r="BJ389" s="36">
        <f>SUM(Table1[[#This Row],[Pipa 63 mm2]:[Pipa 1,800 mm21]])</f>
        <v>878</v>
      </c>
      <c r="BK389" s="32">
        <v>878</v>
      </c>
      <c r="BL389" s="32"/>
      <c r="BM389" s="32"/>
      <c r="BN389" s="32"/>
      <c r="BO389" s="32"/>
      <c r="BP389" s="32"/>
      <c r="BQ389" s="32"/>
      <c r="BR389" s="32"/>
      <c r="BS389" s="32"/>
      <c r="BT389" s="32"/>
      <c r="BU389" s="32"/>
      <c r="BV389" s="32"/>
      <c r="BW389" s="32"/>
      <c r="BX389" s="32"/>
      <c r="BY389" s="32"/>
      <c r="BZ389" s="32"/>
      <c r="CA389" s="32"/>
      <c r="CB389" s="32"/>
      <c r="CC389" s="32"/>
      <c r="CD389" s="32"/>
      <c r="CE389" s="32"/>
      <c r="CF389" s="32"/>
      <c r="CG389" s="32"/>
      <c r="CH389" s="32"/>
      <c r="CI389" s="32"/>
      <c r="CJ389" s="32">
        <f>IF((Table1[[#This Row],["Volume
BA MC-0"]]-Table1[[#This Row],[Total Panjang Pipa Aktual
(Sum-&gt;)3]]-Table1[[#This Row],[Total Volume
tidak dapat dipasang]])&gt;=0,Table1[[#This Row],["Volume
BA MC-0"]]-Table1[[#This Row],[Total Panjang Pipa Aktual
(Sum-&gt;)3]]-Table1[[#This Row],[Total Volume
tidak dapat dipasang]],0)</f>
        <v>26</v>
      </c>
      <c r="CK389" s="42"/>
      <c r="CL389" s="113"/>
      <c r="CM389" s="307"/>
      <c r="CN389" s="113"/>
      <c r="CO389" s="113"/>
      <c r="CP38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7.0217485883365294E-2</v>
      </c>
      <c r="CQ389" s="406">
        <f>IFERROR(Table1[[#This Row],[Progres Keg. Umum
(%)]]*Table1[[#This Row],[Nilai RAB Jaringan
(file pa aji)]],0)</f>
        <v>0</v>
      </c>
      <c r="CR389" s="406">
        <f>IFERROR(Table1[[#This Row],[Progres MOS
(%)]]*Table1[[#This Row],[Nilai RAB Jaringan
(file pa aji)]],0)</f>
        <v>0</v>
      </c>
      <c r="CS389" s="406">
        <f>IFERROR(Table1[[#This Row],[Progres Pemasangan
(%)]]*Table1[[#This Row],[Nilai RAB Jaringan
(file pa aji)]],0)</f>
        <v>0</v>
      </c>
      <c r="CT389" s="406">
        <f>IFERROR(Table1[[#This Row],[Progres Perizinan
(%)]]*Table1[[#This Row],[Nilai RAB Jaringan
(file pa aji)]],0)</f>
        <v>0</v>
      </c>
      <c r="CU389" s="789">
        <v>57145627.170000002</v>
      </c>
      <c r="CV389" s="299">
        <v>57145627.170000002</v>
      </c>
      <c r="CW389" s="481">
        <v>0</v>
      </c>
      <c r="CX389" s="789">
        <f>_xlfn.XLOOKUP(Table1[[#This Row],[Kode Program]],'[1]Breakdown VOWD Greenfield'!$E:$E,'[1]Breakdown VOWD Greenfield'!$AT:$AT)</f>
        <v>0</v>
      </c>
      <c r="CY389" s="42"/>
      <c r="CZ389" s="301">
        <v>46020</v>
      </c>
      <c r="DA389" s="301">
        <v>46047</v>
      </c>
      <c r="DB389" s="301">
        <v>46028</v>
      </c>
      <c r="DC389" s="485" t="s">
        <v>3099</v>
      </c>
      <c r="DD389" s="478">
        <v>813837557</v>
      </c>
      <c r="DE38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89" s="301">
        <v>46034</v>
      </c>
      <c r="DG389" s="486" t="s">
        <v>3100</v>
      </c>
      <c r="DH389" s="478">
        <v>813837557</v>
      </c>
      <c r="DI38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89" s="301">
        <v>46048</v>
      </c>
      <c r="DK389" s="301">
        <v>46145</v>
      </c>
      <c r="DL389" s="301">
        <v>46056</v>
      </c>
      <c r="DM389" s="286" t="s">
        <v>3101</v>
      </c>
      <c r="DN38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89" s="301">
        <v>46087</v>
      </c>
      <c r="DP389" s="286"/>
      <c r="DQ389" s="308" t="s">
        <v>560</v>
      </c>
      <c r="DR38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89" s="301">
        <v>46048</v>
      </c>
      <c r="DT389" s="301">
        <v>46164</v>
      </c>
      <c r="DU389" s="301">
        <v>46089</v>
      </c>
      <c r="DV389" s="301">
        <v>46178</v>
      </c>
      <c r="DW389" s="301">
        <v>46056</v>
      </c>
      <c r="DX389" s="286" t="s">
        <v>3102</v>
      </c>
      <c r="DY389" s="304">
        <v>16</v>
      </c>
      <c r="DZ389" s="304">
        <v>16</v>
      </c>
      <c r="EA38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89" s="301">
        <v>46164</v>
      </c>
      <c r="EC389" s="302">
        <v>16</v>
      </c>
      <c r="ED389" s="302">
        <v>16</v>
      </c>
      <c r="EE389" s="395" t="s">
        <v>3103</v>
      </c>
      <c r="EF389" s="307">
        <v>1</v>
      </c>
      <c r="EG389" s="307">
        <f>Table1[[#This Row],[Line PO]]/Table1[[#This Row],[Line PR]]</f>
        <v>1</v>
      </c>
      <c r="EH389" s="286" t="str">
        <f>IF(Table1[[#This Row],[PO Material Aktual 
(%)]]&gt;=100%,"Selesai PO = 100%",IF(Table1[[#This Row],[PO Material Aktual 
(%)]]&gt;=50%,"Proses PO &gt; 100%",IF(Table1[[#This Row],[PO Material Aktual 
(%)]]&gt;0%,"Proses PO &gt; 50%",IF(Table1[[#This Row],[PO Material Aktual 
(%)]]=0,"Belum PO = 0%"))))</f>
        <v>Selesai PO = 100%</v>
      </c>
      <c r="EI38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89" s="301">
        <v>46090</v>
      </c>
      <c r="EK389" s="301">
        <v>46178</v>
      </c>
      <c r="EL389" s="301">
        <v>46215</v>
      </c>
      <c r="EM389" s="301">
        <v>46190</v>
      </c>
      <c r="EN389" s="301"/>
      <c r="EO389" s="302">
        <v>9</v>
      </c>
      <c r="EP389" s="302">
        <v>9</v>
      </c>
      <c r="EQ389" s="307">
        <v>0.5625</v>
      </c>
      <c r="ER389" s="307">
        <f>Table1[[#This Row],[Line MOS (kolom bantu)]]/Table1[[#This Row],[Line PR]]</f>
        <v>0.5625</v>
      </c>
      <c r="ES389" s="286" t="str">
        <f>IF(Table1[[#This Row],[Progres MOS]]&gt;=100%,"Selesai MOS = 100%",IF(Table1[[#This Row],[Progres MOS]]&gt;=50%,"Proses MOS &gt; 100%",IF(Table1[[#This Row],[Progres MOS]]&gt;0%,"Proses MOS &gt; 50%",IF(Table1[[#This Row],[Progres MOS]]=0,"Belum MOS = 0%"))))</f>
        <v>Proses MOS &gt; 100%</v>
      </c>
      <c r="ET38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89" s="42"/>
      <c r="EV389" s="301">
        <v>46048</v>
      </c>
      <c r="EW389" s="301">
        <v>46156</v>
      </c>
      <c r="EX389" s="301">
        <v>46173</v>
      </c>
      <c r="EY389" s="301">
        <v>46186</v>
      </c>
      <c r="EZ389" s="322" t="s">
        <v>2769</v>
      </c>
      <c r="FA389" s="379" t="s">
        <v>2769</v>
      </c>
      <c r="FB389" s="300" t="e">
        <v>#N/A</v>
      </c>
      <c r="FC389" s="300" t="e">
        <v>#N/A</v>
      </c>
      <c r="FD389" s="300" t="e">
        <v>#N/A</v>
      </c>
      <c r="FE389" s="300" t="e">
        <v>#N/A</v>
      </c>
      <c r="FF389" s="300" t="e">
        <v>#N/A</v>
      </c>
      <c r="FG389" s="300" t="e">
        <v>#N/A</v>
      </c>
      <c r="FH389" s="300" t="e">
        <v>#N/A</v>
      </c>
      <c r="FI389" s="300" t="e">
        <v>#N/A</v>
      </c>
      <c r="FJ389" s="300" t="e">
        <v>#N/A</v>
      </c>
      <c r="FK389" s="300" t="e">
        <v>#N/A</v>
      </c>
      <c r="FL389" s="306" t="s">
        <v>2827</v>
      </c>
      <c r="FM389" s="322"/>
      <c r="FN389" s="308" t="str">
        <f>IF(Table1[[#This Row],[Tanggal Pengajuan Dokumen]]="","",Table1[[#This Row],[PLAN PERMIT
start]]-Table1[[#This Row],[Tanggal Pengajuan Dokumen]])</f>
        <v/>
      </c>
      <c r="FO389" s="322"/>
      <c r="FP389" s="286"/>
      <c r="FQ389" s="308"/>
      <c r="FR389" s="301"/>
      <c r="FS389" s="308"/>
      <c r="FT38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89" s="314">
        <f ca="1">IF(Table1[[#This Row],[Status Izin]]="Selesai",Table1[[#This Row],[PLAN PERMIT
finish]]-Table1[[#This Row],[Tanggal Terbit/ Target Izin Terbit]],ROUNDUP(Table1[[#This Row],[PLAN PERMIT
finish]]-NOW(),0))</f>
        <v>-31</v>
      </c>
      <c r="FV38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89" s="314"/>
      <c r="FX389" s="42"/>
      <c r="FY389" s="483">
        <v>46132</v>
      </c>
      <c r="FZ389" s="483">
        <v>46122</v>
      </c>
      <c r="GA38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89" s="301">
        <v>46146</v>
      </c>
      <c r="GC389" s="322">
        <v>46113</v>
      </c>
      <c r="GD38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89" s="301">
        <v>46153</v>
      </c>
      <c r="GF389" s="322">
        <v>46113</v>
      </c>
      <c r="GG38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89" s="301">
        <v>46160</v>
      </c>
      <c r="GI389" s="301">
        <v>46166</v>
      </c>
      <c r="GJ389" s="322">
        <v>46121</v>
      </c>
      <c r="GK38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89" s="301">
        <v>46174</v>
      </c>
      <c r="GM389" s="301">
        <v>46193</v>
      </c>
      <c r="GN389" s="301">
        <v>46222</v>
      </c>
      <c r="GO389" s="300">
        <v>46269</v>
      </c>
      <c r="GP389" s="286"/>
      <c r="GQ38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89" s="301"/>
      <c r="GS389" s="301"/>
      <c r="GT389" s="324"/>
      <c r="GU389" s="314" t="str">
        <f>IF(Table1[[#This Row],[Hydro Tes Actual
(tanggal)]]&lt;&gt;"","Sudah","Belum")</f>
        <v>Belum</v>
      </c>
      <c r="GV389" s="300"/>
      <c r="GW389" s="300"/>
      <c r="GX389" s="301"/>
      <c r="GY389" s="314" t="str">
        <f>IF(Table1[[#This Row],[Interkoneksi Actual
(tanggal)]]&lt;&gt;"","Sudah","Belum")</f>
        <v>Belum</v>
      </c>
      <c r="GZ389" s="300"/>
      <c r="HA389" s="300"/>
      <c r="HB389" s="301"/>
      <c r="HC389" s="314" t="str">
        <f>IF(Table1[[#This Row],[Flushing Actual
(tanggal)]]&lt;&gt;"","Sudah","Belum")</f>
        <v>Belum</v>
      </c>
      <c r="HD389" s="301">
        <v>46225</v>
      </c>
      <c r="HE389" s="301">
        <v>46270</v>
      </c>
      <c r="HF389" s="301">
        <v>46230</v>
      </c>
      <c r="HG389" s="322"/>
      <c r="HH38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89" s="300"/>
      <c r="HJ389" s="300"/>
      <c r="HK389" s="301"/>
      <c r="HL389" s="301"/>
      <c r="HM389" s="301">
        <v>46247</v>
      </c>
      <c r="HN389" s="301">
        <v>46247</v>
      </c>
      <c r="HO389" s="300">
        <v>46287</v>
      </c>
      <c r="HP389" s="300"/>
      <c r="HQ389" s="301"/>
      <c r="HR38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89" s="301">
        <v>46255</v>
      </c>
      <c r="HT389" s="301"/>
      <c r="HU389" s="301">
        <v>46255</v>
      </c>
      <c r="HV389" s="390"/>
      <c r="HW389" s="365"/>
      <c r="HX38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89" s="42"/>
      <c r="HZ389" s="322"/>
      <c r="IA389" s="306"/>
      <c r="IB389" s="67"/>
      <c r="IC389" s="585">
        <f>IFERROR(ROUND((Table1[[#This Row],[PLAN TC
finish]]-Table1[[#This Row],[PLAN MC-0
start]])/30,2),"")</f>
        <v>2.33</v>
      </c>
      <c r="ID389">
        <f>DATEDIF(Table1[[#This Row],[PLAN MC-0
start]],Table1[[#This Row],[PLAN TC
finish]],"m")</f>
        <v>2</v>
      </c>
      <c r="IE389" s="6"/>
      <c r="IF389" s="6"/>
      <c r="IG389" s="67"/>
      <c r="II389" s="6"/>
      <c r="IJ389" s="4"/>
      <c r="IK389" s="4"/>
      <c r="IL389" s="6"/>
      <c r="IM389" s="6"/>
      <c r="IN389" s="6"/>
      <c r="IO389" s="6"/>
      <c r="IP389" s="6"/>
      <c r="IR389" s="6"/>
      <c r="IS389" s="6"/>
      <c r="IT389" s="6"/>
      <c r="IU389" s="6"/>
      <c r="IX389" s="6"/>
      <c r="IY389" s="6"/>
      <c r="JA389" s="6"/>
      <c r="JB389" s="6"/>
    </row>
    <row r="390" spans="2:262" ht="15" customHeight="1" x14ac:dyDescent="0.25">
      <c r="B390" s="281">
        <f>SUBTOTAL(3,$D$5:D390)</f>
        <v>386</v>
      </c>
      <c r="C390" s="286">
        <v>386</v>
      </c>
      <c r="D390" s="285" t="s">
        <v>244</v>
      </c>
      <c r="E390" s="308" t="s">
        <v>3104</v>
      </c>
      <c r="F390" s="308" t="s">
        <v>3105</v>
      </c>
      <c r="G390" s="319">
        <v>46300</v>
      </c>
      <c r="H390" s="308" t="s">
        <v>681</v>
      </c>
      <c r="I390" s="308" t="s">
        <v>278</v>
      </c>
      <c r="J390" s="450"/>
      <c r="K390" s="308"/>
      <c r="L390" s="286"/>
      <c r="M390" s="325" t="s">
        <v>269</v>
      </c>
      <c r="N390" s="477">
        <v>131</v>
      </c>
      <c r="O390" s="477" t="s">
        <v>252</v>
      </c>
      <c r="P39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9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390" s="35">
        <v>0.44285136201760023</v>
      </c>
      <c r="S390" s="297">
        <f>_xlfn.XLOOKUP(Table1[[#This Row],[Nama Program]],'[2]Summary Plan'!$E:$E,'[2]Summary Plan'!$M:$M)</f>
        <v>0.72815325712542989</v>
      </c>
      <c r="T390" s="128">
        <f>Table1[[#This Row],[Progres Total Aktual
(%)]]</f>
        <v>1</v>
      </c>
      <c r="U390" s="103">
        <f>Table1[[#This Row],[Progres Aktual
(%)]]-Table1[[#This Row],[Target Progres
(%)]]</f>
        <v>0.27184674287457011</v>
      </c>
      <c r="V390" s="75">
        <f>Table1[[#This Row],["Volume
BA MC-0"]]</f>
        <v>125.7</v>
      </c>
      <c r="W390" s="75">
        <f>Table1[[#This Row],[Total Panjang Pipa Aktual
(Sum-&gt;)3]]</f>
        <v>125.7</v>
      </c>
      <c r="X390" s="99"/>
      <c r="Y390" s="62" t="s">
        <v>3106</v>
      </c>
      <c r="Z390" s="62">
        <v>197913041</v>
      </c>
      <c r="AA390" s="479">
        <f>ROUND((Table1[[#This Row],[Nilai RAB Jaringan
(Exclude Ppn)]]-Table1[[#This Row],[RAB Perizinan]])*1.11+Table1[[#This Row],[RAB Perizinan]],0)</f>
        <v>197913040</v>
      </c>
      <c r="AB390" s="406">
        <f>SUM(Table1[[#This Row],[RAB Kegiatan Umum]:[RAB Perizinan]])</f>
        <v>178429856</v>
      </c>
      <c r="AC390" s="406">
        <v>11698299</v>
      </c>
      <c r="AD390" s="406">
        <v>116982985</v>
      </c>
      <c r="AE390" s="406">
        <v>48438572</v>
      </c>
      <c r="AF390" s="406">
        <v>1310000</v>
      </c>
      <c r="AG390" s="406"/>
      <c r="AH390" s="480">
        <f>SUM(Table1[[#This Row],[Bobot Keg Umum]:[Bobot Perizinan]])</f>
        <v>1</v>
      </c>
      <c r="AI390" s="480">
        <f>Table1[[#This Row],[RAB Kegiatan Umum]]/Table1[[#This Row],[Nilai RAB Jaringan
(Exclude Ppn)]]</f>
        <v>6.5562452732125728E-2</v>
      </c>
      <c r="AJ390" s="480">
        <f>Table1[[#This Row],[RAB Pemasangan]]/Table1[[#This Row],[Nilai RAB Jaringan
(Exclude Ppn)]]</f>
        <v>0.6556244992990411</v>
      </c>
      <c r="AK390" s="111">
        <f>Table1[[#This Row],[RAB Pengadaan]]/Table1[[#This Row],[Nilai RAB Jaringan
(Exclude Ppn)]]</f>
        <v>0.27147122732644025</v>
      </c>
      <c r="AL390" s="112">
        <f>Table1[[#This Row],[RAB Perizinan]]/Table1[[#This Row],[Nilai RAB Jaringan
(Exclude Ppn)]]</f>
        <v>7.3418206423929416E-3</v>
      </c>
      <c r="AM390" s="42"/>
      <c r="AN390" s="256">
        <v>125.7</v>
      </c>
      <c r="AO390" s="256">
        <f>SUM(Table1[[#This Row],[Pipa 63 mm]:[Pipa 1,800 mm]])</f>
        <v>130</v>
      </c>
      <c r="AP390" s="256">
        <v>130</v>
      </c>
      <c r="AQ390" s="256"/>
      <c r="AR390" s="256"/>
      <c r="AS390" s="256"/>
      <c r="AT390" s="256"/>
      <c r="AU390" s="256"/>
      <c r="AV390" s="256"/>
      <c r="AW390" s="256"/>
      <c r="AX390" s="256"/>
      <c r="AY390" s="256"/>
      <c r="AZ390" s="256"/>
      <c r="BA390" s="256"/>
      <c r="BB390" s="256"/>
      <c r="BC390" s="256"/>
      <c r="BD390" s="256"/>
      <c r="BE390" s="256"/>
      <c r="BF390" s="256"/>
      <c r="BG390" s="256"/>
      <c r="BH390" s="256"/>
      <c r="BI390" s="256"/>
      <c r="BJ390" s="36">
        <f>SUM(Table1[[#This Row],[Pipa 63 mm2]:[Pipa 1,800 mm21]])</f>
        <v>125.7</v>
      </c>
      <c r="BK390" s="32">
        <v>125.7</v>
      </c>
      <c r="BL390" s="32"/>
      <c r="BM390" s="32"/>
      <c r="BN390" s="32"/>
      <c r="BO390" s="32"/>
      <c r="BP390" s="32"/>
      <c r="BQ390" s="32"/>
      <c r="BR390" s="32"/>
      <c r="BS390" s="32"/>
      <c r="BT390" s="32"/>
      <c r="BU390" s="32"/>
      <c r="BV390" s="32"/>
      <c r="BW390" s="32"/>
      <c r="BX390" s="32"/>
      <c r="BY390" s="32"/>
      <c r="BZ390" s="32"/>
      <c r="CA390" s="32"/>
      <c r="CB390" s="32"/>
      <c r="CC390" s="32"/>
      <c r="CD390" s="32"/>
      <c r="CE390" s="32"/>
      <c r="CF390" s="32"/>
      <c r="CG390" s="32"/>
      <c r="CH390" s="32"/>
      <c r="CI390" s="32"/>
      <c r="CJ390" s="32">
        <f>IF((Table1[[#This Row],["Volume
BA MC-0"]]-Table1[[#This Row],[Total Panjang Pipa Aktual
(Sum-&gt;)3]]-Table1[[#This Row],[Total Volume
tidak dapat dipasang]])&gt;=0,Table1[[#This Row],["Volume
BA MC-0"]]-Table1[[#This Row],[Total Panjang Pipa Aktual
(Sum-&gt;)3]]-Table1[[#This Row],[Total Volume
tidak dapat dipasang]],0)</f>
        <v>0</v>
      </c>
      <c r="CK390" s="42"/>
      <c r="CL390" s="113"/>
      <c r="CM390" s="307"/>
      <c r="CN390" s="113"/>
      <c r="CO390" s="113"/>
      <c r="CP39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390" s="406">
        <f>IFERROR(Table1[[#This Row],[Progres Keg. Umum
(%)]]*Table1[[#This Row],[Nilai RAB Jaringan
(file pa aji)]],0)</f>
        <v>0</v>
      </c>
      <c r="CR390" s="406">
        <f>IFERROR(Table1[[#This Row],[Progres MOS
(%)]]*Table1[[#This Row],[Nilai RAB Jaringan
(file pa aji)]],0)</f>
        <v>0</v>
      </c>
      <c r="CS390" s="406">
        <f>IFERROR(Table1[[#This Row],[Progres Pemasangan
(%)]]*Table1[[#This Row],[Nilai RAB Jaringan
(file pa aji)]],0)</f>
        <v>0</v>
      </c>
      <c r="CT390" s="406">
        <f>IFERROR(Table1[[#This Row],[Progres Perizinan
(%)]]*Table1[[#This Row],[Nilai RAB Jaringan
(file pa aji)]],0)</f>
        <v>0</v>
      </c>
      <c r="CU390" s="789">
        <v>161079816</v>
      </c>
      <c r="CV390" s="299">
        <v>161079816</v>
      </c>
      <c r="CW390" s="481">
        <v>161079816</v>
      </c>
      <c r="CX390" s="789">
        <f>_xlfn.XLOOKUP(Table1[[#This Row],[Kode Program]],'[1]Breakdown VOWD Greenfield'!$E:$E,'[1]Breakdown VOWD Greenfield'!$AT:$AT)</f>
        <v>161079816</v>
      </c>
      <c r="CY390" s="42"/>
      <c r="CZ390" s="301">
        <v>46020</v>
      </c>
      <c r="DA390" s="301">
        <v>46047</v>
      </c>
      <c r="DB390" s="301">
        <v>46028</v>
      </c>
      <c r="DC390" s="485" t="s">
        <v>3107</v>
      </c>
      <c r="DD390" s="478">
        <v>197913041</v>
      </c>
      <c r="DE39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0" s="301">
        <v>46042</v>
      </c>
      <c r="DG390" s="486" t="s">
        <v>3108</v>
      </c>
      <c r="DH390" s="478">
        <v>197913041</v>
      </c>
      <c r="DI39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0" s="301">
        <v>46048</v>
      </c>
      <c r="DK390" s="301">
        <v>46145</v>
      </c>
      <c r="DL390" s="301">
        <v>46056</v>
      </c>
      <c r="DM390" s="286" t="s">
        <v>3109</v>
      </c>
      <c r="DN39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0" s="301">
        <v>46062</v>
      </c>
      <c r="DP390" s="286" t="s">
        <v>3110</v>
      </c>
      <c r="DQ390" t="s">
        <v>365</v>
      </c>
      <c r="DR39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0" s="301">
        <v>46048</v>
      </c>
      <c r="DT390" s="301">
        <v>46164</v>
      </c>
      <c r="DU390" s="301">
        <v>46089</v>
      </c>
      <c r="DV390" s="301">
        <v>46178</v>
      </c>
      <c r="DW390" s="301">
        <v>46056</v>
      </c>
      <c r="DX390" s="286" t="s">
        <v>3111</v>
      </c>
      <c r="DY390" s="304">
        <v>20</v>
      </c>
      <c r="DZ390" s="304">
        <v>20</v>
      </c>
      <c r="EA39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0" s="301"/>
      <c r="EC390" s="302">
        <v>19</v>
      </c>
      <c r="ED390" s="302">
        <v>19</v>
      </c>
      <c r="EE390" s="100"/>
      <c r="EF390" s="307">
        <v>0.95</v>
      </c>
      <c r="EG390" s="307">
        <f>Table1[[#This Row],[Line PO]]/Table1[[#This Row],[Line PR]]</f>
        <v>0.95</v>
      </c>
      <c r="EH390" s="286" t="str">
        <f>IF(Table1[[#This Row],[PO Material Aktual 
(%)]]&gt;=100%,"Selesai PO = 100%",IF(Table1[[#This Row],[PO Material Aktual 
(%)]]&gt;=50%,"Proses PO &gt; 100%",IF(Table1[[#This Row],[PO Material Aktual 
(%)]]&gt;0%,"Proses PO &gt; 50%",IF(Table1[[#This Row],[PO Material Aktual 
(%)]]=0,"Belum PO = 0%"))))</f>
        <v>Proses PO &gt; 100%</v>
      </c>
      <c r="EI39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0" s="301">
        <v>46090</v>
      </c>
      <c r="EK390" s="301">
        <v>46178</v>
      </c>
      <c r="EL390" s="301">
        <v>46173</v>
      </c>
      <c r="EM390" s="301">
        <v>46203</v>
      </c>
      <c r="EN390" s="301"/>
      <c r="EO390" s="302">
        <v>14</v>
      </c>
      <c r="EP390" s="302">
        <v>14</v>
      </c>
      <c r="EQ390" s="307">
        <v>0.7</v>
      </c>
      <c r="ER390" s="307">
        <f>Table1[[#This Row],[Line MOS (kolom bantu)]]/Table1[[#This Row],[Line PR]]</f>
        <v>0.7</v>
      </c>
      <c r="ES390" s="286" t="str">
        <f>IF(Table1[[#This Row],[Progres MOS]]&gt;=100%,"Selesai MOS = 100%",IF(Table1[[#This Row],[Progres MOS]]&gt;=50%,"Proses MOS &gt; 100%",IF(Table1[[#This Row],[Progres MOS]]&gt;0%,"Proses MOS &gt; 50%",IF(Table1[[#This Row],[Progres MOS]]=0,"Belum MOS = 0%"))))</f>
        <v>Proses MOS &gt; 100%</v>
      </c>
      <c r="ET39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0" s="42"/>
      <c r="EV390" s="301">
        <v>46048</v>
      </c>
      <c r="EW390" s="301">
        <v>46164</v>
      </c>
      <c r="EX390" s="301">
        <v>46173</v>
      </c>
      <c r="EY390" s="301">
        <v>46194</v>
      </c>
      <c r="EZ390" s="322" t="s">
        <v>2976</v>
      </c>
      <c r="FA390" s="379" t="s">
        <v>2976</v>
      </c>
      <c r="FB390" s="300" t="e">
        <v>#N/A</v>
      </c>
      <c r="FC390" s="300" t="e">
        <v>#N/A</v>
      </c>
      <c r="FD390" s="300" t="e">
        <v>#N/A</v>
      </c>
      <c r="FE390" s="300" t="e">
        <v>#N/A</v>
      </c>
      <c r="FF390" s="300" t="e">
        <v>#N/A</v>
      </c>
      <c r="FG390" s="300" t="e">
        <v>#N/A</v>
      </c>
      <c r="FH390" s="300" t="e">
        <v>#N/A</v>
      </c>
      <c r="FI390" s="300" t="e">
        <v>#N/A</v>
      </c>
      <c r="FJ390" s="300" t="e">
        <v>#N/A</v>
      </c>
      <c r="FK390" s="300" t="e">
        <v>#N/A</v>
      </c>
      <c r="FL390" s="306" t="s">
        <v>2827</v>
      </c>
      <c r="FM390" s="322"/>
      <c r="FN390" s="308" t="str">
        <f>IF(Table1[[#This Row],[Tanggal Pengajuan Dokumen]]="","",Table1[[#This Row],[PLAN PERMIT
start]]-Table1[[#This Row],[Tanggal Pengajuan Dokumen]])</f>
        <v/>
      </c>
      <c r="FO390" s="322"/>
      <c r="FP390" s="286"/>
      <c r="FQ390" s="308"/>
      <c r="FR390" s="301"/>
      <c r="FS390" s="308"/>
      <c r="FT39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0" s="314">
        <f ca="1">IF(Table1[[#This Row],[Status Izin]]="Selesai",Table1[[#This Row],[PLAN PERMIT
finish]]-Table1[[#This Row],[Tanggal Terbit/ Target Izin Terbit]],ROUNDUP(Table1[[#This Row],[PLAN PERMIT
finish]]-NOW(),0))</f>
        <v>-31</v>
      </c>
      <c r="FV39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0" s="314"/>
      <c r="FX390" s="42"/>
      <c r="FY390" s="483">
        <v>46132</v>
      </c>
      <c r="FZ390" s="483">
        <v>46051</v>
      </c>
      <c r="GA39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0" s="301">
        <v>46146</v>
      </c>
      <c r="GC390" s="322">
        <v>46066</v>
      </c>
      <c r="GD39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0" s="301">
        <v>46153</v>
      </c>
      <c r="GF390" s="322">
        <v>46064</v>
      </c>
      <c r="GG39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0" s="301">
        <v>46160</v>
      </c>
      <c r="GI390" s="301">
        <v>46166</v>
      </c>
      <c r="GJ390" s="447">
        <v>46066</v>
      </c>
      <c r="GK39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0" s="301">
        <v>46174</v>
      </c>
      <c r="GM390" s="301">
        <v>46206</v>
      </c>
      <c r="GN390" s="301">
        <v>46201</v>
      </c>
      <c r="GO390" s="300">
        <v>46242</v>
      </c>
      <c r="GP390" s="286"/>
      <c r="GQ39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90" s="301"/>
      <c r="GS390" s="301"/>
      <c r="GT390" s="324">
        <v>46070</v>
      </c>
      <c r="GU390" s="314" t="str">
        <f>IF(Table1[[#This Row],[Hydro Tes Actual
(tanggal)]]&lt;&gt;"","Sudah","Belum")</f>
        <v>Sudah</v>
      </c>
      <c r="GV390" s="300"/>
      <c r="GW390" s="300"/>
      <c r="GX390" s="301">
        <v>46068</v>
      </c>
      <c r="GY390" s="314" t="str">
        <f>IF(Table1[[#This Row],[Interkoneksi Actual
(tanggal)]]&lt;&gt;"","Sudah","Belum")</f>
        <v>Sudah</v>
      </c>
      <c r="GZ390" s="300"/>
      <c r="HA390" s="300"/>
      <c r="HB390" s="301">
        <v>46070</v>
      </c>
      <c r="HC390" s="314" t="str">
        <f>IF(Table1[[#This Row],[Flushing Actual
(tanggal)]]&lt;&gt;"","Sudah","Belum")</f>
        <v>Sudah</v>
      </c>
      <c r="HD390" s="301">
        <v>46204</v>
      </c>
      <c r="HE390" s="301">
        <v>46243</v>
      </c>
      <c r="HF390" s="301">
        <v>46209</v>
      </c>
      <c r="HG390" s="322">
        <v>46094</v>
      </c>
      <c r="HH39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0" s="300"/>
      <c r="HJ390" s="300"/>
      <c r="HK390" s="301"/>
      <c r="HL390" s="301"/>
      <c r="HM390" s="301">
        <v>46226</v>
      </c>
      <c r="HN390" s="301">
        <v>46226</v>
      </c>
      <c r="HO390" s="300">
        <v>46260</v>
      </c>
      <c r="HP390" s="300"/>
      <c r="HQ390" s="301">
        <v>46106</v>
      </c>
      <c r="HR39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OnSchedule</v>
      </c>
      <c r="HS390" s="301">
        <v>46234</v>
      </c>
      <c r="HT390" s="301"/>
      <c r="HU390" s="301">
        <v>46234</v>
      </c>
      <c r="HV390" s="390"/>
      <c r="HW390" s="365">
        <v>46120</v>
      </c>
      <c r="HX39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OnSchedule</v>
      </c>
      <c r="HY390" s="42"/>
      <c r="HZ390" s="322"/>
      <c r="IA390" s="306"/>
      <c r="IB390" s="67"/>
      <c r="IC390" s="585">
        <f>IFERROR(ROUND((Table1[[#This Row],[PLAN TC
finish]]-Table1[[#This Row],[PLAN MC-0
start]])/30,2),"")</f>
        <v>1.63</v>
      </c>
      <c r="ID390">
        <f>DATEDIF(Table1[[#This Row],[PLAN MC-0
start]],Table1[[#This Row],[PLAN TC
finish]],"m")</f>
        <v>1</v>
      </c>
      <c r="IE390" s="6"/>
      <c r="IF390" s="6"/>
      <c r="IG390" s="67"/>
      <c r="II390" s="6"/>
      <c r="IJ390" s="4"/>
      <c r="IK390" s="4"/>
      <c r="IL390" s="6"/>
      <c r="IM390" s="6"/>
      <c r="IN390" s="6"/>
      <c r="IO390" s="6"/>
      <c r="IP390" s="6"/>
      <c r="IR390" s="6"/>
      <c r="IS390" s="6"/>
      <c r="IT390" s="6"/>
      <c r="IU390" s="6"/>
      <c r="IX390" s="6"/>
      <c r="IY390" s="6"/>
      <c r="JA390" s="6"/>
      <c r="JB390" s="6"/>
    </row>
    <row r="391" spans="2:262" ht="15" customHeight="1" x14ac:dyDescent="0.25">
      <c r="B391" s="281">
        <f>SUBTOTAL(3,$D$5:D391)</f>
        <v>387</v>
      </c>
      <c r="C391" s="286">
        <v>387</v>
      </c>
      <c r="D391" s="285" t="s">
        <v>244</v>
      </c>
      <c r="E391" s="431" t="s">
        <v>3112</v>
      </c>
      <c r="F391" s="308" t="s">
        <v>3113</v>
      </c>
      <c r="G391" s="319">
        <v>46300</v>
      </c>
      <c r="H391" s="308" t="s">
        <v>681</v>
      </c>
      <c r="I391" s="308" t="s">
        <v>278</v>
      </c>
      <c r="J391" s="488"/>
      <c r="K391" s="431"/>
      <c r="L391" s="304"/>
      <c r="M391" s="325" t="s">
        <v>269</v>
      </c>
      <c r="N391" s="477">
        <v>726</v>
      </c>
      <c r="O391" s="477" t="s">
        <v>252</v>
      </c>
      <c r="P39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39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1" s="35">
        <v>0.42428530594750768</v>
      </c>
      <c r="S391" s="297">
        <f>_xlfn.XLOOKUP(Table1[[#This Row],[Nama Program]],'[2]Summary Plan'!$E:$E,'[2]Summary Plan'!$M:$M)</f>
        <v>0.7199961445955364</v>
      </c>
      <c r="T391" s="129">
        <f>Table1[[#This Row],[Progres Total Aktual
(%)]]</f>
        <v>0.80543103783815784</v>
      </c>
      <c r="U391" s="104">
        <f>Table1[[#This Row],[Progres Aktual
(%)]]-Table1[[#This Row],[Target Progres
(%)]]</f>
        <v>8.5434893242621435E-2</v>
      </c>
      <c r="V391" s="101">
        <f>Table1[[#This Row],["Volume
BA MC-0"]]</f>
        <v>561</v>
      </c>
      <c r="W391" s="101">
        <f>Table1[[#This Row],[Total Panjang Pipa Aktual
(Sum-&gt;)3]]</f>
        <v>424</v>
      </c>
      <c r="X391" s="102"/>
      <c r="Y391" s="62" t="s">
        <v>3114</v>
      </c>
      <c r="Z391" s="62">
        <v>1008199980</v>
      </c>
      <c r="AA391" s="489">
        <f>ROUND((Table1[[#This Row],[Nilai RAB Jaringan
(Exclude Ppn)]]-Table1[[#This Row],[RAB Perizinan]])*1.11+Table1[[#This Row],[RAB Perizinan]],0)</f>
        <v>1008199979</v>
      </c>
      <c r="AB391" s="435">
        <f>SUM(Table1[[#This Row],[RAB Kegiatan Umum]:[RAB Perizinan]])</f>
        <v>909007729</v>
      </c>
      <c r="AC391" s="435">
        <v>62350530</v>
      </c>
      <c r="AD391" s="435">
        <v>623505297</v>
      </c>
      <c r="AE391" s="435">
        <v>215891902</v>
      </c>
      <c r="AF391" s="435">
        <v>7260000</v>
      </c>
      <c r="AG391" s="435"/>
      <c r="AH391" s="490">
        <f>SUM(Table1[[#This Row],[Bobot Keg Umum]:[Bobot Perizinan]])</f>
        <v>1</v>
      </c>
      <c r="AI391" s="490">
        <f>Table1[[#This Row],[RAB Kegiatan Umum]]/Table1[[#This Row],[Nilai RAB Jaringan
(Exclude Ppn)]]</f>
        <v>6.8591859024776242E-2</v>
      </c>
      <c r="AJ391" s="490">
        <f>Table1[[#This Row],[RAB Pemasangan]]/Table1[[#This Row],[Nilai RAB Jaringan
(Exclude Ppn)]]</f>
        <v>0.68591858694746033</v>
      </c>
      <c r="AK391" s="491">
        <f>Table1[[#This Row],[RAB Pengadaan]]/Table1[[#This Row],[Nilai RAB Jaringan
(Exclude Ppn)]]</f>
        <v>0.23750282325707267</v>
      </c>
      <c r="AL391" s="492">
        <f>Table1[[#This Row],[RAB Perizinan]]/Table1[[#This Row],[Nilai RAB Jaringan
(Exclude Ppn)]]</f>
        <v>7.9867307706907292E-3</v>
      </c>
      <c r="AM391" s="42"/>
      <c r="AN391" s="440">
        <v>561</v>
      </c>
      <c r="AO391" s="440">
        <f>SUM(Table1[[#This Row],[Pipa 63 mm]:[Pipa 1,800 mm]])</f>
        <v>561</v>
      </c>
      <c r="AP391" s="440">
        <v>561</v>
      </c>
      <c r="AQ391" s="440"/>
      <c r="AR391" s="440"/>
      <c r="AS391" s="440"/>
      <c r="AT391" s="440"/>
      <c r="AU391" s="440"/>
      <c r="AV391" s="440"/>
      <c r="AW391" s="440"/>
      <c r="AX391" s="440"/>
      <c r="AY391" s="440"/>
      <c r="AZ391" s="440"/>
      <c r="BA391" s="440"/>
      <c r="BB391" s="440"/>
      <c r="BC391" s="440"/>
      <c r="BD391" s="440"/>
      <c r="BE391" s="440"/>
      <c r="BF391" s="440"/>
      <c r="BG391" s="440"/>
      <c r="BH391" s="440"/>
      <c r="BI391" s="440"/>
      <c r="BJ391" s="493">
        <f>SUM(Table1[[#This Row],[Pipa 63 mm2]:[Pipa 1,800 mm21]])</f>
        <v>424</v>
      </c>
      <c r="BK391" s="441">
        <v>424</v>
      </c>
      <c r="BL391" s="441"/>
      <c r="BM391" s="441"/>
      <c r="BN391" s="441"/>
      <c r="BO391" s="441"/>
      <c r="BP391" s="441"/>
      <c r="BQ391" s="441"/>
      <c r="BR391" s="441"/>
      <c r="BS391" s="441"/>
      <c r="BT391" s="441"/>
      <c r="BU391" s="441"/>
      <c r="BV391" s="441"/>
      <c r="BW391" s="441"/>
      <c r="BX391" s="441"/>
      <c r="BY391" s="441"/>
      <c r="BZ391" s="441"/>
      <c r="CA391" s="441"/>
      <c r="CB391" s="441"/>
      <c r="CC391" s="441"/>
      <c r="CD391" s="441"/>
      <c r="CE391" s="441"/>
      <c r="CF391" s="441"/>
      <c r="CG391" s="441"/>
      <c r="CH391" s="441"/>
      <c r="CI391" s="441"/>
      <c r="CJ391" s="441">
        <f>IF((Table1[[#This Row],["Volume
BA MC-0"]]-Table1[[#This Row],[Total Panjang Pipa Aktual
(Sum-&gt;)3]]-Table1[[#This Row],[Total Volume
tidak dapat dipasang]])&gt;=0,Table1[[#This Row],["Volume
BA MC-0"]]-Table1[[#This Row],[Total Panjang Pipa Aktual
(Sum-&gt;)3]]-Table1[[#This Row],[Total Volume
tidak dapat dipasang]],0)</f>
        <v>137</v>
      </c>
      <c r="CK391" s="42"/>
      <c r="CL391" s="442"/>
      <c r="CM391" s="445"/>
      <c r="CN391" s="442"/>
      <c r="CO391" s="442"/>
      <c r="CP39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0.80543103783815784</v>
      </c>
      <c r="CQ391" s="435">
        <f>IFERROR(Table1[[#This Row],[Progres Keg. Umum
(%)]]*Table1[[#This Row],[Nilai RAB Jaringan
(file pa aji)]],0)</f>
        <v>0</v>
      </c>
      <c r="CR391" s="435">
        <f>IFERROR(Table1[[#This Row],[Progres MOS
(%)]]*Table1[[#This Row],[Nilai RAB Jaringan
(file pa aji)]],0)</f>
        <v>0</v>
      </c>
      <c r="CS391" s="435">
        <f>IFERROR(Table1[[#This Row],[Progres Pemasangan
(%)]]*Table1[[#This Row],[Nilai RAB Jaringan
(file pa aji)]],0)</f>
        <v>0</v>
      </c>
      <c r="CT391" s="435">
        <f>IFERROR(Table1[[#This Row],[Progres Perizinan
(%)]]*Table1[[#This Row],[Nilai RAB Jaringan
(file pa aji)]],0)</f>
        <v>0</v>
      </c>
      <c r="CU391" s="789">
        <v>812035555.43437898</v>
      </c>
      <c r="CV391" s="299">
        <v>812035555.43437898</v>
      </c>
      <c r="CW391" s="494">
        <v>0</v>
      </c>
      <c r="CX391" s="789">
        <f>_xlfn.XLOOKUP(Table1[[#This Row],[Kode Program]],'[1]Breakdown VOWD Greenfield'!$E:$E,'[1]Breakdown VOWD Greenfield'!$AT:$AT)</f>
        <v>0</v>
      </c>
      <c r="CY391" s="42"/>
      <c r="CZ391" s="301">
        <v>46020</v>
      </c>
      <c r="DA391" s="301">
        <v>46047</v>
      </c>
      <c r="DB391" s="301">
        <v>46035</v>
      </c>
      <c r="DC391" s="485" t="s">
        <v>3115</v>
      </c>
      <c r="DD391" s="495">
        <v>1008199980</v>
      </c>
      <c r="DE39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1" s="301">
        <v>46050</v>
      </c>
      <c r="DG391" s="486" t="s">
        <v>3116</v>
      </c>
      <c r="DH391" s="484" t="s">
        <v>3117</v>
      </c>
      <c r="DI39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1" s="301">
        <v>46048</v>
      </c>
      <c r="DK391" s="301">
        <v>46145</v>
      </c>
      <c r="DL391" s="301">
        <v>46059</v>
      </c>
      <c r="DM391" s="304" t="s">
        <v>3118</v>
      </c>
      <c r="DN39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1" s="301">
        <v>46083</v>
      </c>
      <c r="DP391" s="304"/>
      <c r="DQ391" s="308" t="s">
        <v>365</v>
      </c>
      <c r="DR39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1" s="301">
        <v>46048</v>
      </c>
      <c r="DT391" s="301">
        <v>46164</v>
      </c>
      <c r="DU391" s="301">
        <v>46089</v>
      </c>
      <c r="DV391" s="301">
        <v>46178</v>
      </c>
      <c r="DW391" s="301">
        <v>46059</v>
      </c>
      <c r="DX391" s="396" t="s">
        <v>3119</v>
      </c>
      <c r="DY391" s="304">
        <v>27</v>
      </c>
      <c r="DZ391" s="304">
        <v>27</v>
      </c>
      <c r="EA39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1" s="390"/>
      <c r="EC391" s="305">
        <v>25</v>
      </c>
      <c r="ED391" s="305">
        <v>25</v>
      </c>
      <c r="EE391" s="496"/>
      <c r="EF391" s="445">
        <v>0.92592592592592593</v>
      </c>
      <c r="EG391" s="307">
        <f>Table1[[#This Row],[Line PO]]/Table1[[#This Row],[Line PR]]</f>
        <v>0.92592592592592593</v>
      </c>
      <c r="EH391" s="286" t="str">
        <f>IF(Table1[[#This Row],[PO Material Aktual 
(%)]]&gt;=100%,"Selesai PO = 100%",IF(Table1[[#This Row],[PO Material Aktual 
(%)]]&gt;=50%,"Proses PO &gt; 100%",IF(Table1[[#This Row],[PO Material Aktual 
(%)]]&gt;0%,"Proses PO &gt; 50%",IF(Table1[[#This Row],[PO Material Aktual 
(%)]]=0,"Belum PO = 0%"))))</f>
        <v>Proses PO &gt; 100%</v>
      </c>
      <c r="EI39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1" s="301">
        <v>46090</v>
      </c>
      <c r="EK391" s="301">
        <v>46178</v>
      </c>
      <c r="EL391" s="301">
        <v>46173</v>
      </c>
      <c r="EM391" s="390">
        <v>46183</v>
      </c>
      <c r="EN391" s="390"/>
      <c r="EO391" s="302">
        <v>17</v>
      </c>
      <c r="EP391" s="302">
        <v>17</v>
      </c>
      <c r="EQ391" s="307">
        <v>0.62962962962962965</v>
      </c>
      <c r="ER391" s="307">
        <f>Table1[[#This Row],[Line MOS (kolom bantu)]]/Table1[[#This Row],[Line PR]]</f>
        <v>0.62962962962962965</v>
      </c>
      <c r="ES391" s="286" t="str">
        <f>IF(Table1[[#This Row],[Progres MOS]]&gt;=100%,"Selesai MOS = 100%",IF(Table1[[#This Row],[Progres MOS]]&gt;=50%,"Proses MOS &gt; 100%",IF(Table1[[#This Row],[Progres MOS]]&gt;0%,"Proses MOS &gt; 50%",IF(Table1[[#This Row],[Progres MOS]]=0,"Belum MOS = 0%"))))</f>
        <v>Proses MOS &gt; 100%</v>
      </c>
      <c r="ET39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1" s="42"/>
      <c r="EV391" s="301">
        <v>46048</v>
      </c>
      <c r="EW391" s="301">
        <v>46156</v>
      </c>
      <c r="EX391" s="301">
        <v>46173</v>
      </c>
      <c r="EY391" s="390">
        <v>46186</v>
      </c>
      <c r="EZ391" s="447" t="s">
        <v>2976</v>
      </c>
      <c r="FA391" s="379" t="s">
        <v>2976</v>
      </c>
      <c r="FB391" s="497" t="e">
        <v>#N/A</v>
      </c>
      <c r="FC391" s="300" t="e">
        <v>#N/A</v>
      </c>
      <c r="FD391" s="497" t="e">
        <v>#N/A</v>
      </c>
      <c r="FE391" s="497" t="e">
        <v>#N/A</v>
      </c>
      <c r="FF391" s="497" t="e">
        <v>#N/A</v>
      </c>
      <c r="FG391" s="497" t="e">
        <v>#N/A</v>
      </c>
      <c r="FH391" s="497" t="e">
        <v>#N/A</v>
      </c>
      <c r="FI391" s="497" t="e">
        <v>#N/A</v>
      </c>
      <c r="FJ391" s="497" t="e">
        <v>#N/A</v>
      </c>
      <c r="FK391" s="497" t="e">
        <v>#N/A</v>
      </c>
      <c r="FL391" s="306" t="s">
        <v>2827</v>
      </c>
      <c r="FM391" s="447"/>
      <c r="FN391" s="431" t="str">
        <f>IF(Table1[[#This Row],[Tanggal Pengajuan Dokumen]]="","",Table1[[#This Row],[PLAN PERMIT
start]]-Table1[[#This Row],[Tanggal Pengajuan Dokumen]])</f>
        <v/>
      </c>
      <c r="FO391" s="447"/>
      <c r="FP391" s="304"/>
      <c r="FQ391" s="431"/>
      <c r="FR391" s="390"/>
      <c r="FS391" s="431"/>
      <c r="FT39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1" s="446">
        <f ca="1">IF(Table1[[#This Row],[Status Izin]]="Selesai",Table1[[#This Row],[PLAN PERMIT
finish]]-Table1[[#This Row],[Tanggal Terbit/ Target Izin Terbit]],ROUNDUP(Table1[[#This Row],[PLAN PERMIT
finish]]-NOW(),0))</f>
        <v>-31</v>
      </c>
      <c r="FV39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1" s="446"/>
      <c r="FX391" s="42"/>
      <c r="FY391" s="483">
        <v>46132</v>
      </c>
      <c r="FZ391" s="483">
        <v>46122</v>
      </c>
      <c r="GA39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1" s="301">
        <v>46146</v>
      </c>
      <c r="GC391" s="322">
        <f>Table1[[#This Row],[Tanggal Aktual Kick Off]]</f>
        <v>46112</v>
      </c>
      <c r="GD39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1" s="301">
        <v>46153</v>
      </c>
      <c r="GF391" s="447">
        <v>46112</v>
      </c>
      <c r="GG39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1" s="301">
        <v>46160</v>
      </c>
      <c r="GI391" s="301">
        <v>46166</v>
      </c>
      <c r="GJ391" s="447">
        <v>46113</v>
      </c>
      <c r="GK39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1" s="301">
        <v>46174</v>
      </c>
      <c r="GM391" s="301">
        <v>46193</v>
      </c>
      <c r="GN391" s="301">
        <v>46201</v>
      </c>
      <c r="GO391" s="300">
        <v>46234</v>
      </c>
      <c r="GP391" s="304"/>
      <c r="GQ39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391" s="390"/>
      <c r="GS391" s="390"/>
      <c r="GT391" s="389">
        <v>46118</v>
      </c>
      <c r="GU391" s="446" t="str">
        <f>IF(Table1[[#This Row],[Hydro Tes Actual
(tanggal)]]&lt;&gt;"","Sudah","Belum")</f>
        <v>Sudah</v>
      </c>
      <c r="GV391" s="497"/>
      <c r="GW391" s="497"/>
      <c r="GX391" s="390"/>
      <c r="GY391" s="446" t="str">
        <f>IF(Table1[[#This Row],[Interkoneksi Actual
(tanggal)]]&lt;&gt;"","Sudah","Belum")</f>
        <v>Belum</v>
      </c>
      <c r="GZ391" s="497"/>
      <c r="HA391" s="497"/>
      <c r="HB391" s="390"/>
      <c r="HC391" s="446" t="str">
        <f>IF(Table1[[#This Row],[Flushing Actual
(tanggal)]]&lt;&gt;"","Sudah","Belum")</f>
        <v>Belum</v>
      </c>
      <c r="HD391" s="301">
        <v>46204</v>
      </c>
      <c r="HE391" s="301">
        <v>46235</v>
      </c>
      <c r="HF391" s="301">
        <v>46209</v>
      </c>
      <c r="HG391" s="447">
        <v>46133</v>
      </c>
      <c r="HH39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1" s="497"/>
      <c r="HJ391" s="497"/>
      <c r="HK391" s="390"/>
      <c r="HL391" s="390"/>
      <c r="HM391" s="301">
        <v>46226</v>
      </c>
      <c r="HN391" s="301">
        <v>46226</v>
      </c>
      <c r="HO391" s="300">
        <v>46252</v>
      </c>
      <c r="HP391" s="497"/>
      <c r="HQ391" s="390"/>
      <c r="HR39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1" s="301">
        <v>46234</v>
      </c>
      <c r="HT391" s="301"/>
      <c r="HU391" s="301">
        <v>46234</v>
      </c>
      <c r="HV391" s="390"/>
      <c r="HW391" s="317"/>
      <c r="HX39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1" s="42"/>
      <c r="HZ391" s="447"/>
      <c r="IA391" s="306"/>
      <c r="IB391" s="67"/>
      <c r="IC391" s="585">
        <f>IFERROR(ROUND((Table1[[#This Row],[PLAN TC
finish]]-Table1[[#This Row],[PLAN MC-0
start]])/30,2),"")</f>
        <v>1.63</v>
      </c>
      <c r="ID391">
        <f>DATEDIF(Table1[[#This Row],[PLAN MC-0
start]],Table1[[#This Row],[PLAN TC
finish]],"m")</f>
        <v>1</v>
      </c>
      <c r="IE391" s="6"/>
      <c r="IF391" s="6"/>
      <c r="IG391" s="67"/>
      <c r="II391" s="6"/>
      <c r="IJ391" s="4"/>
      <c r="IK391" s="4"/>
      <c r="IL391" s="6"/>
      <c r="IM391" s="6"/>
      <c r="IN391" s="6"/>
      <c r="IO391" s="6"/>
      <c r="IP391" s="6"/>
      <c r="IR391" s="6"/>
      <c r="IS391" s="6"/>
      <c r="IT391" s="6"/>
      <c r="IU391" s="6"/>
      <c r="IX391" s="6"/>
      <c r="IY391" s="6"/>
      <c r="JA391" s="6"/>
      <c r="JB391" s="6"/>
    </row>
    <row r="392" spans="2:262" ht="15" customHeight="1" x14ac:dyDescent="0.25">
      <c r="B392" s="281">
        <f>SUBTOTAL(3,$D$5:D392)</f>
        <v>388</v>
      </c>
      <c r="C392" s="286">
        <v>388</v>
      </c>
      <c r="D392" s="285" t="s">
        <v>244</v>
      </c>
      <c r="E392" s="431" t="s">
        <v>3120</v>
      </c>
      <c r="F392" s="308" t="s">
        <v>3121</v>
      </c>
      <c r="G392" s="319">
        <v>46300</v>
      </c>
      <c r="H392" s="308" t="s">
        <v>681</v>
      </c>
      <c r="I392" s="308" t="s">
        <v>278</v>
      </c>
      <c r="J392" s="488"/>
      <c r="K392" s="431"/>
      <c r="L392" s="304"/>
      <c r="M392" s="325" t="s">
        <v>269</v>
      </c>
      <c r="N392" s="477">
        <v>692</v>
      </c>
      <c r="O392" s="477" t="s">
        <v>252</v>
      </c>
      <c r="P392"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Tes Com</v>
      </c>
      <c r="R392" s="35">
        <v>0.18635450951195009</v>
      </c>
      <c r="S392" s="297">
        <f>_xlfn.XLOOKUP(Table1[[#This Row],[Nama Program]],'[2]Summary Plan'!$E:$E,'[2]Summary Plan'!$M:$M)</f>
        <v>0.20229552209675605</v>
      </c>
      <c r="T392" s="129">
        <f>Table1[[#This Row],[Progres Total Aktual
(%)]]</f>
        <v>0.64173716829218808</v>
      </c>
      <c r="U392" s="104">
        <f>Table1[[#This Row],[Progres Aktual
(%)]]-Table1[[#This Row],[Target Progres
(%)]]</f>
        <v>0.43944164619543202</v>
      </c>
      <c r="V392" s="101">
        <f>Table1[[#This Row],["Volume
BA MC-0"]]</f>
        <v>687.8</v>
      </c>
      <c r="W392" s="101">
        <f>Table1[[#This Row],[Total Panjang Pipa Aktual
(Sum-&gt;)3]]</f>
        <v>400</v>
      </c>
      <c r="X392" s="102"/>
      <c r="Y392" s="498" t="s">
        <v>3122</v>
      </c>
      <c r="Z392" s="499" t="s">
        <v>3123</v>
      </c>
      <c r="AA392" s="489">
        <f>ROUND((Table1[[#This Row],[Nilai RAB Jaringan
(Exclude Ppn)]]-Table1[[#This Row],[RAB Perizinan]])*1.11+Table1[[#This Row],[RAB Perizinan]],0)</f>
        <v>1011338356</v>
      </c>
      <c r="AB392" s="435">
        <f>SUM(Table1[[#This Row],[RAB Kegiatan Umum]:[RAB Perizinan]])</f>
        <v>911801402</v>
      </c>
      <c r="AC392" s="435">
        <v>61200306</v>
      </c>
      <c r="AD392" s="435">
        <v>612003056</v>
      </c>
      <c r="AE392" s="435">
        <v>231678040</v>
      </c>
      <c r="AF392" s="435">
        <v>6920000</v>
      </c>
      <c r="AG392" s="435"/>
      <c r="AH392" s="490">
        <f>SUM(Table1[[#This Row],[Bobot Keg Umum]:[Bobot Perizinan]])</f>
        <v>1</v>
      </c>
      <c r="AI392" s="490">
        <f>Table1[[#This Row],[RAB Kegiatan Umum]]/Table1[[#This Row],[Nilai RAB Jaringan
(Exclude Ppn)]]</f>
        <v>6.7120214846960721E-2</v>
      </c>
      <c r="AJ392" s="490">
        <f>Table1[[#This Row],[RAB Pemasangan]]/Table1[[#This Row],[Nilai RAB Jaringan
(Exclude Ppn)]]</f>
        <v>0.67120214408268697</v>
      </c>
      <c r="AK392" s="491">
        <f>Table1[[#This Row],[RAB Pengadaan]]/Table1[[#This Row],[Nilai RAB Jaringan
(Exclude Ppn)]]</f>
        <v>0.25408826910314403</v>
      </c>
      <c r="AL392" s="492">
        <f>Table1[[#This Row],[RAB Perizinan]]/Table1[[#This Row],[Nilai RAB Jaringan
(Exclude Ppn)]]</f>
        <v>7.5893719672082719E-3</v>
      </c>
      <c r="AM392" s="42"/>
      <c r="AN392" s="440">
        <v>687.8</v>
      </c>
      <c r="AO392" s="440">
        <f>SUM(Table1[[#This Row],[Pipa 63 mm]:[Pipa 1,800 mm]])</f>
        <v>687.8</v>
      </c>
      <c r="AP392" s="440">
        <v>675.8</v>
      </c>
      <c r="AQ392" s="440">
        <v>12</v>
      </c>
      <c r="AR392" s="440"/>
      <c r="AS392" s="440"/>
      <c r="AT392" s="440"/>
      <c r="AU392" s="440"/>
      <c r="AV392" s="440"/>
      <c r="AW392" s="440"/>
      <c r="AX392" s="440"/>
      <c r="AY392" s="440"/>
      <c r="AZ392" s="440"/>
      <c r="BA392" s="440"/>
      <c r="BB392" s="440"/>
      <c r="BC392" s="440"/>
      <c r="BD392" s="440"/>
      <c r="BE392" s="440"/>
      <c r="BF392" s="440"/>
      <c r="BG392" s="440"/>
      <c r="BH392" s="440"/>
      <c r="BI392" s="440"/>
      <c r="BJ392" s="493">
        <f>SUM(Table1[[#This Row],[Pipa 63 mm2]:[Pipa 1,800 mm21]])</f>
        <v>400</v>
      </c>
      <c r="BK392" s="441">
        <v>400</v>
      </c>
      <c r="BL392" s="441"/>
      <c r="BM392" s="441"/>
      <c r="BN392" s="441"/>
      <c r="BO392" s="441"/>
      <c r="BP392" s="441"/>
      <c r="BQ392" s="441"/>
      <c r="BR392" s="441"/>
      <c r="BS392" s="441"/>
      <c r="BT392" s="441"/>
      <c r="BU392" s="441"/>
      <c r="BV392" s="441"/>
      <c r="BW392" s="441"/>
      <c r="BX392" s="441"/>
      <c r="BY392" s="441"/>
      <c r="BZ392" s="441"/>
      <c r="CA392" s="441"/>
      <c r="CB392" s="441"/>
      <c r="CC392" s="441"/>
      <c r="CD392" s="441"/>
      <c r="CE392" s="441"/>
      <c r="CF392" s="441"/>
      <c r="CG392" s="441"/>
      <c r="CH392" s="441"/>
      <c r="CI392" s="441"/>
      <c r="CJ392" s="441">
        <f>IF((Table1[[#This Row],["Volume
BA MC-0"]]-Table1[[#This Row],[Total Panjang Pipa Aktual
(Sum-&gt;)3]]-Table1[[#This Row],[Total Volume
tidak dapat dipasang]])&gt;=0,Table1[[#This Row],["Volume
BA MC-0"]]-Table1[[#This Row],[Total Panjang Pipa Aktual
(Sum-&gt;)3]]-Table1[[#This Row],[Total Volume
tidak dapat dipasang]],0)</f>
        <v>287.79999999999995</v>
      </c>
      <c r="CK392" s="42"/>
      <c r="CL392" s="442"/>
      <c r="CM392" s="445"/>
      <c r="CN392" s="442"/>
      <c r="CO392" s="442"/>
      <c r="CP39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0.64173716829218808</v>
      </c>
      <c r="CQ392" s="435">
        <f>IFERROR(Table1[[#This Row],[Progres Keg. Umum
(%)]]*Table1[[#This Row],[Nilai RAB Jaringan
(file pa aji)]],0)</f>
        <v>0</v>
      </c>
      <c r="CR392" s="435">
        <f>IFERROR(Table1[[#This Row],[Progres MOS
(%)]]*Table1[[#This Row],[Nilai RAB Jaringan
(file pa aji)]],0)</f>
        <v>0</v>
      </c>
      <c r="CS392" s="435">
        <f>IFERROR(Table1[[#This Row],[Progres Pemasangan
(%)]]*Table1[[#This Row],[Nilai RAB Jaringan
(file pa aji)]],0)</f>
        <v>0</v>
      </c>
      <c r="CT392" s="435">
        <f>IFERROR(Table1[[#This Row],[Progres Perizinan
(%)]]*Table1[[#This Row],[Nilai RAB Jaringan
(file pa aji)]],0)</f>
        <v>0</v>
      </c>
      <c r="CU392" s="789">
        <v>649013412.76471686</v>
      </c>
      <c r="CV392" s="299">
        <v>649013412.76471686</v>
      </c>
      <c r="CW392" s="494">
        <v>0</v>
      </c>
      <c r="CX392" s="789">
        <f>_xlfn.XLOOKUP(Table1[[#This Row],[Kode Program]],'[1]Breakdown VOWD Greenfield'!$E:$E,'[1]Breakdown VOWD Greenfield'!$AT:$AT)</f>
        <v>0</v>
      </c>
      <c r="CY392" s="42"/>
      <c r="CZ392" s="301">
        <v>46048</v>
      </c>
      <c r="DA392" s="301">
        <v>46075</v>
      </c>
      <c r="DB392" s="301">
        <v>46049</v>
      </c>
      <c r="DC392" s="500" t="s">
        <v>3124</v>
      </c>
      <c r="DD392" s="495">
        <f>1004418357+6920000</f>
        <v>1011338357</v>
      </c>
      <c r="DE39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2" s="301">
        <v>46063</v>
      </c>
      <c r="DG392" s="500" t="s">
        <v>3125</v>
      </c>
      <c r="DH392" s="495">
        <f>1004418357+6920000</f>
        <v>1011338357</v>
      </c>
      <c r="DI392"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2" s="301">
        <v>46076</v>
      </c>
      <c r="DK392" s="301">
        <v>46173</v>
      </c>
      <c r="DL392" s="301">
        <v>46066</v>
      </c>
      <c r="DM392" s="304" t="s">
        <v>3126</v>
      </c>
      <c r="DN39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2" s="301">
        <v>46087</v>
      </c>
      <c r="DP392" s="286"/>
      <c r="DQ392" s="308" t="s">
        <v>560</v>
      </c>
      <c r="DR39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2" s="301">
        <v>46076</v>
      </c>
      <c r="DT392" s="301">
        <v>46164</v>
      </c>
      <c r="DU392" s="301">
        <v>46117</v>
      </c>
      <c r="DV392" s="301">
        <v>46178</v>
      </c>
      <c r="DW392" s="301">
        <v>46066</v>
      </c>
      <c r="DX392" s="304" t="s">
        <v>3127</v>
      </c>
      <c r="DY392" s="304">
        <v>45</v>
      </c>
      <c r="DZ392" s="304">
        <v>45</v>
      </c>
      <c r="EA39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2" s="390"/>
      <c r="EC392" s="304">
        <v>39</v>
      </c>
      <c r="ED392" s="304">
        <v>39</v>
      </c>
      <c r="EE392" s="496"/>
      <c r="EF392" s="445">
        <v>0.8666666666666667</v>
      </c>
      <c r="EG392" s="307">
        <f>Table1[[#This Row],[Line PO]]/Table1[[#This Row],[Line PR]]</f>
        <v>0.8666666666666667</v>
      </c>
      <c r="EH392" s="286" t="str">
        <f>IF(Table1[[#This Row],[PO Material Aktual 
(%)]]&gt;=100%,"Selesai PO = 100%",IF(Table1[[#This Row],[PO Material Aktual 
(%)]]&gt;=50%,"Proses PO &gt; 100%",IF(Table1[[#This Row],[PO Material Aktual 
(%)]]&gt;0%,"Proses PO &gt; 50%",IF(Table1[[#This Row],[PO Material Aktual 
(%)]]=0,"Belum PO = 0%"))))</f>
        <v>Proses PO &gt; 100%</v>
      </c>
      <c r="EI39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2" s="301">
        <v>46118</v>
      </c>
      <c r="EK392" s="301">
        <v>46178</v>
      </c>
      <c r="EL392" s="301">
        <v>46201</v>
      </c>
      <c r="EM392" s="390">
        <v>46183</v>
      </c>
      <c r="EN392" s="390"/>
      <c r="EO392" s="302">
        <v>15</v>
      </c>
      <c r="EP392" s="302">
        <v>15</v>
      </c>
      <c r="EQ392" s="307">
        <v>0.33333333333333331</v>
      </c>
      <c r="ER392" s="307">
        <f>Table1[[#This Row],[Line MOS (kolom bantu)]]/Table1[[#This Row],[Line PR]]</f>
        <v>0.33333333333333331</v>
      </c>
      <c r="ES392" s="286" t="str">
        <f>IF(Table1[[#This Row],[Progres MOS]]&gt;=100%,"Selesai MOS = 100%",IF(Table1[[#This Row],[Progres MOS]]&gt;=50%,"Proses MOS &gt; 100%",IF(Table1[[#This Row],[Progres MOS]]&gt;0%,"Proses MOS &gt; 50%",IF(Table1[[#This Row],[Progres MOS]]=0,"Belum MOS = 0%"))))</f>
        <v>Proses MOS &gt; 50%</v>
      </c>
      <c r="ET39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2" s="42"/>
      <c r="EV392" s="301"/>
      <c r="EW392" s="301">
        <v>46156</v>
      </c>
      <c r="EX392" s="301"/>
      <c r="EY392" s="390">
        <v>46186</v>
      </c>
      <c r="EZ392" s="447" t="s">
        <v>2769</v>
      </c>
      <c r="FA392" s="379" t="s">
        <v>2769</v>
      </c>
      <c r="FB392" s="390" t="e">
        <v>#N/A</v>
      </c>
      <c r="FC392" s="300" t="e">
        <v>#N/A</v>
      </c>
      <c r="FD392" s="390" t="e">
        <v>#N/A</v>
      </c>
      <c r="FE392" s="390" t="e">
        <v>#N/A</v>
      </c>
      <c r="FF392" s="390" t="e">
        <v>#N/A</v>
      </c>
      <c r="FG392" s="390" t="e">
        <v>#N/A</v>
      </c>
      <c r="FH392" s="390" t="e">
        <v>#N/A</v>
      </c>
      <c r="FI392" s="390" t="e">
        <v>#N/A</v>
      </c>
      <c r="FJ392" s="390" t="e">
        <v>#N/A</v>
      </c>
      <c r="FK392" s="390" t="e">
        <v>#N/A</v>
      </c>
      <c r="FL392" s="322"/>
      <c r="FM392" s="447"/>
      <c r="FN392" s="431" t="str">
        <f>IF(Table1[[#This Row],[Tanggal Pengajuan Dokumen]]="","",Table1[[#This Row],[PLAN PERMIT
start]]-Table1[[#This Row],[Tanggal Pengajuan Dokumen]])</f>
        <v/>
      </c>
      <c r="FO392" s="447"/>
      <c r="FP392" s="304"/>
      <c r="FQ392" s="431"/>
      <c r="FR392" s="390"/>
      <c r="FS392" s="431"/>
      <c r="FT392"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2" s="446">
        <f ca="1">IF(Table1[[#This Row],[Status Izin]]="Selesai",Table1[[#This Row],[PLAN PERMIT
finish]]-Table1[[#This Row],[Tanggal Terbit/ Target Izin Terbit]],ROUNDUP(Table1[[#This Row],[PLAN PERMIT
finish]]-NOW(),0))</f>
        <v>-46204</v>
      </c>
      <c r="FV392"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2" s="446"/>
      <c r="FX392" s="42"/>
      <c r="FY392" s="483">
        <v>46160</v>
      </c>
      <c r="FZ392" s="483">
        <v>46122</v>
      </c>
      <c r="GA39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2" s="301">
        <v>46174</v>
      </c>
      <c r="GC392" s="447">
        <v>46113</v>
      </c>
      <c r="GD392"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2" s="301">
        <v>46181</v>
      </c>
      <c r="GF392" s="447">
        <v>46113</v>
      </c>
      <c r="GG392"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2" s="301">
        <v>46188</v>
      </c>
      <c r="GI392" s="301">
        <v>46194</v>
      </c>
      <c r="GJ392" s="447">
        <v>46127</v>
      </c>
      <c r="GK392"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2" s="301">
        <v>46202</v>
      </c>
      <c r="GM392" s="301">
        <v>46193</v>
      </c>
      <c r="GN392" s="301">
        <v>46222</v>
      </c>
      <c r="GO392" s="300">
        <v>46241</v>
      </c>
      <c r="GP392" s="304"/>
      <c r="GQ392"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2" s="390"/>
      <c r="GS392" s="390"/>
      <c r="GT392" s="389">
        <v>46171</v>
      </c>
      <c r="GU392" s="446" t="str">
        <f>IF(Table1[[#This Row],[Hydro Tes Actual
(tanggal)]]&lt;&gt;"","Sudah","Belum")</f>
        <v>Sudah</v>
      </c>
      <c r="GV392" s="497"/>
      <c r="GW392" s="497"/>
      <c r="GX392" s="390">
        <v>46164</v>
      </c>
      <c r="GY392" s="446" t="str">
        <f>IF(Table1[[#This Row],[Interkoneksi Actual
(tanggal)]]&lt;&gt;"","Sudah","Belum")</f>
        <v>Sudah</v>
      </c>
      <c r="GZ392" s="497"/>
      <c r="HA392" s="497"/>
      <c r="HB392" s="390">
        <v>46178</v>
      </c>
      <c r="HC392" s="446" t="str">
        <f>IF(Table1[[#This Row],[Flushing Actual
(tanggal)]]&lt;&gt;"","Sudah","Belum")</f>
        <v>Sudah</v>
      </c>
      <c r="HD392" s="301">
        <v>46225</v>
      </c>
      <c r="HE392" s="301">
        <v>46242</v>
      </c>
      <c r="HF392" s="301">
        <v>46230</v>
      </c>
      <c r="HG392" s="447">
        <v>46190</v>
      </c>
      <c r="HH392"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392" s="497"/>
      <c r="HJ392" s="497"/>
      <c r="HK392" s="390"/>
      <c r="HL392" s="390"/>
      <c r="HM392" s="301">
        <v>46247</v>
      </c>
      <c r="HN392" s="301">
        <v>46247</v>
      </c>
      <c r="HO392" s="300">
        <v>46259</v>
      </c>
      <c r="HP392" s="497"/>
      <c r="HQ392" s="390"/>
      <c r="HR392"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2" s="301">
        <v>46255</v>
      </c>
      <c r="HT392" s="301"/>
      <c r="HU392" s="301">
        <v>46255</v>
      </c>
      <c r="HV392" s="390"/>
      <c r="HW392" s="317"/>
      <c r="HX392"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2" s="42"/>
      <c r="HZ392" s="447"/>
      <c r="IA392" s="306"/>
      <c r="IB392" s="67"/>
      <c r="IC392" s="585">
        <f>IFERROR(ROUND((Table1[[#This Row],[PLAN TC
finish]]-Table1[[#This Row],[PLAN MC-0
start]])/30,2),"")</f>
        <v>1.4</v>
      </c>
      <c r="ID392">
        <f>DATEDIF(Table1[[#This Row],[PLAN MC-0
start]],Table1[[#This Row],[PLAN TC
finish]],"m")</f>
        <v>1</v>
      </c>
      <c r="IE392" s="6"/>
      <c r="IF392" s="6"/>
      <c r="IG392" s="67"/>
      <c r="II392" s="6"/>
      <c r="IJ392" s="4"/>
      <c r="IK392" s="4"/>
      <c r="IL392" s="6"/>
      <c r="IM392" s="6"/>
      <c r="IN392" s="6"/>
      <c r="IO392" s="6"/>
      <c r="IP392" s="6"/>
      <c r="IR392" s="6"/>
      <c r="IS392" s="6"/>
      <c r="IT392" s="6"/>
      <c r="IU392" s="6"/>
      <c r="IX392" s="6"/>
      <c r="IY392" s="6"/>
      <c r="JA392" s="6"/>
      <c r="JB392" s="6"/>
    </row>
    <row r="393" spans="2:262" ht="15" customHeight="1" x14ac:dyDescent="0.25">
      <c r="B393" s="281">
        <f>SUBTOTAL(3,$D$5:D393)</f>
        <v>389</v>
      </c>
      <c r="C393" s="286">
        <v>389</v>
      </c>
      <c r="D393" s="285" t="s">
        <v>244</v>
      </c>
      <c r="E393" s="431" t="s">
        <v>3128</v>
      </c>
      <c r="F393" s="308" t="s">
        <v>3129</v>
      </c>
      <c r="G393" s="319">
        <v>46300</v>
      </c>
      <c r="H393" s="308" t="s">
        <v>681</v>
      </c>
      <c r="I393" s="308" t="s">
        <v>278</v>
      </c>
      <c r="J393" s="488"/>
      <c r="K393" s="431"/>
      <c r="L393" s="304"/>
      <c r="M393" s="325" t="s">
        <v>269</v>
      </c>
      <c r="N393" s="477">
        <v>144</v>
      </c>
      <c r="O393" s="477" t="s">
        <v>252</v>
      </c>
      <c r="P393"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3" s="35">
        <v>0.10751305532075416</v>
      </c>
      <c r="S393" s="297">
        <f>_xlfn.XLOOKUP(Table1[[#This Row],[Nama Program]],'[2]Summary Plan'!$E:$E,'[2]Summary Plan'!$M:$M)</f>
        <v>0.11688129987801157</v>
      </c>
      <c r="T393" s="129">
        <f>Table1[[#This Row],[Progres Total Aktual
(%)]]</f>
        <v>4.8741413770037087E-2</v>
      </c>
      <c r="U393" s="104">
        <f>Table1[[#This Row],[Progres Aktual
(%)]]-Table1[[#This Row],[Target Progres
(%)]]</f>
        <v>-6.8139886107974487E-2</v>
      </c>
      <c r="V393" s="101">
        <f>Table1[[#This Row],["Volume
BA MC-0"]]</f>
        <v>0</v>
      </c>
      <c r="W393" s="101">
        <f>Table1[[#This Row],[Total Panjang Pipa Aktual
(Sum-&gt;)3]]</f>
        <v>0</v>
      </c>
      <c r="X393" s="102"/>
      <c r="Y393" s="501" t="s">
        <v>3130</v>
      </c>
      <c r="Z393" s="499" t="s">
        <v>3131</v>
      </c>
      <c r="AA393" s="489">
        <f>ROUND((Table1[[#This Row],[Nilai RAB Jaringan
(Exclude Ppn)]]-Table1[[#This Row],[RAB Perizinan]])*1.11+Table1[[#This Row],[RAB Perizinan]],0)</f>
        <v>143518984</v>
      </c>
      <c r="AB393" s="435">
        <f>SUM(Table1[[#This Row],[RAB Kegiatan Umum]:[RAB Perizinan]])</f>
        <v>129439085</v>
      </c>
      <c r="AC393" s="435">
        <v>9997568</v>
      </c>
      <c r="AD393" s="435">
        <v>99975677</v>
      </c>
      <c r="AE393" s="435">
        <v>18025840</v>
      </c>
      <c r="AF393" s="435">
        <v>1440000</v>
      </c>
      <c r="AG393" s="435"/>
      <c r="AH393" s="490">
        <f>SUM(Table1[[#This Row],[Bobot Keg Umum]:[Bobot Perizinan]])</f>
        <v>1</v>
      </c>
      <c r="AI393" s="490">
        <f>Table1[[#This Row],[RAB Kegiatan Umum]]/Table1[[#This Row],[Nilai RAB Jaringan
(Exclude Ppn)]]</f>
        <v>7.7237628804313632E-2</v>
      </c>
      <c r="AJ393" s="490">
        <f>Table1[[#This Row],[RAB Pemasangan]]/Table1[[#This Row],[Nilai RAB Jaringan
(Exclude Ppn)]]</f>
        <v>0.77237626486621103</v>
      </c>
      <c r="AK393" s="491">
        <f>Table1[[#This Row],[RAB Pengadaan]]/Table1[[#This Row],[Nilai RAB Jaringan
(Exclude Ppn)]]</f>
        <v>0.13926118220010594</v>
      </c>
      <c r="AL393" s="492">
        <f>Table1[[#This Row],[RAB Perizinan]]/Table1[[#This Row],[Nilai RAB Jaringan
(Exclude Ppn)]]</f>
        <v>1.1124924129369424E-2</v>
      </c>
      <c r="AM393" s="42"/>
      <c r="AN393" s="440"/>
      <c r="AO393" s="440">
        <f>SUM(Table1[[#This Row],[Pipa 63 mm]:[Pipa 1,800 mm]])</f>
        <v>0</v>
      </c>
      <c r="AP393" s="440"/>
      <c r="AQ393" s="440"/>
      <c r="AR393" s="440"/>
      <c r="AS393" s="440"/>
      <c r="AT393" s="440"/>
      <c r="AU393" s="440"/>
      <c r="AV393" s="440"/>
      <c r="AW393" s="440"/>
      <c r="AX393" s="440"/>
      <c r="AY393" s="440"/>
      <c r="AZ393" s="440"/>
      <c r="BA393" s="440"/>
      <c r="BB393" s="440"/>
      <c r="BC393" s="440"/>
      <c r="BD393" s="440"/>
      <c r="BE393" s="440"/>
      <c r="BF393" s="440"/>
      <c r="BG393" s="440"/>
      <c r="BH393" s="440"/>
      <c r="BI393" s="440"/>
      <c r="BJ393" s="493">
        <f>SUM(Table1[[#This Row],[Pipa 63 mm2]:[Pipa 1,800 mm21]])</f>
        <v>0</v>
      </c>
      <c r="BK393" s="441"/>
      <c r="BL393" s="441"/>
      <c r="BM393" s="441"/>
      <c r="BN393" s="441"/>
      <c r="BO393" s="441"/>
      <c r="BP393" s="441"/>
      <c r="BQ393" s="441"/>
      <c r="BR393" s="441"/>
      <c r="BS393" s="441"/>
      <c r="BT393" s="441"/>
      <c r="BU393" s="441"/>
      <c r="BV393" s="441"/>
      <c r="BW393" s="441"/>
      <c r="BX393" s="441"/>
      <c r="BY393" s="441"/>
      <c r="BZ393" s="441"/>
      <c r="CA393" s="441"/>
      <c r="CB393" s="441"/>
      <c r="CC393" s="441"/>
      <c r="CD393" s="441"/>
      <c r="CE393" s="441"/>
      <c r="CF393" s="441"/>
      <c r="CG393" s="441"/>
      <c r="CH393" s="441"/>
      <c r="CI393" s="441"/>
      <c r="CJ393" s="441">
        <f>IF((Table1[[#This Row],["Volume
BA MC-0"]]-Table1[[#This Row],[Total Panjang Pipa Aktual
(Sum-&gt;)3]]-Table1[[#This Row],[Total Volume
tidak dapat dipasang]])&gt;=0,Table1[[#This Row],["Volume
BA MC-0"]]-Table1[[#This Row],[Total Panjang Pipa Aktual
(Sum-&gt;)3]]-Table1[[#This Row],[Total Volume
tidak dapat dipasang]],0)</f>
        <v>0</v>
      </c>
      <c r="CK393" s="42"/>
      <c r="CL393" s="442"/>
      <c r="CM393" s="445"/>
      <c r="CN393" s="442"/>
      <c r="CO393" s="442"/>
      <c r="CP39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4.8741413770037087E-2</v>
      </c>
      <c r="CQ393" s="435">
        <f>IFERROR(Table1[[#This Row],[Progres Keg. Umum
(%)]]*Table1[[#This Row],[Nilai RAB Jaringan
(file pa aji)]],0)</f>
        <v>0</v>
      </c>
      <c r="CR393" s="435">
        <f>IFERROR(Table1[[#This Row],[Progres MOS
(%)]]*Table1[[#This Row],[Nilai RAB Jaringan
(file pa aji)]],0)</f>
        <v>0</v>
      </c>
      <c r="CS393" s="435">
        <f>IFERROR(Table1[[#This Row],[Progres Pemasangan
(%)]]*Table1[[#This Row],[Nilai RAB Jaringan
(file pa aji)]],0)</f>
        <v>0</v>
      </c>
      <c r="CT393" s="435">
        <f>IFERROR(Table1[[#This Row],[Progres Perizinan
(%)]]*Table1[[#This Row],[Nilai RAB Jaringan
(file pa aji)]],0)</f>
        <v>0</v>
      </c>
      <c r="CU393" s="789">
        <v>0</v>
      </c>
      <c r="CV393" s="299">
        <v>0</v>
      </c>
      <c r="CW393" s="494">
        <v>0</v>
      </c>
      <c r="CX393" s="789">
        <f>_xlfn.XLOOKUP(Table1[[#This Row],[Kode Program]],'[1]Breakdown VOWD Greenfield'!$E:$E,'[1]Breakdown VOWD Greenfield'!$AT:$AT)</f>
        <v>0</v>
      </c>
      <c r="CY393" s="42"/>
      <c r="CZ393" s="301">
        <v>46048</v>
      </c>
      <c r="DA393" s="301">
        <v>46075</v>
      </c>
      <c r="DB393" s="301">
        <v>46049</v>
      </c>
      <c r="DC393" s="500" t="s">
        <v>3132</v>
      </c>
      <c r="DD393" s="495">
        <f>142078985+1440000</f>
        <v>143518985</v>
      </c>
      <c r="DE39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3" s="301">
        <v>46062</v>
      </c>
      <c r="DG393" s="500" t="s">
        <v>3133</v>
      </c>
      <c r="DH393" s="495">
        <f>142078985+1440000</f>
        <v>143518985</v>
      </c>
      <c r="DI393"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3" s="301">
        <v>46076</v>
      </c>
      <c r="DK393" s="301">
        <v>46173</v>
      </c>
      <c r="DL393" s="301">
        <v>46066</v>
      </c>
      <c r="DM393" s="304" t="s">
        <v>3134</v>
      </c>
      <c r="DN39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3" s="301">
        <v>46114</v>
      </c>
      <c r="DP393" s="286" t="s">
        <v>2767</v>
      </c>
      <c r="DQ393" s="308" t="s">
        <v>365</v>
      </c>
      <c r="DR39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3" s="301">
        <v>46076</v>
      </c>
      <c r="DT393" s="301">
        <v>46164</v>
      </c>
      <c r="DU393" s="301">
        <v>46117</v>
      </c>
      <c r="DV393" s="301">
        <v>46178</v>
      </c>
      <c r="DW393" s="301">
        <v>46066</v>
      </c>
      <c r="DX393" s="304" t="s">
        <v>3135</v>
      </c>
      <c r="DY393" s="304">
        <v>12</v>
      </c>
      <c r="DZ393" s="304">
        <v>12</v>
      </c>
      <c r="EA39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3" s="390">
        <v>46161.291666666664</v>
      </c>
      <c r="EC393" s="305">
        <v>12</v>
      </c>
      <c r="ED393" s="305">
        <v>12</v>
      </c>
      <c r="EE393" s="496" t="s">
        <v>3136</v>
      </c>
      <c r="EF393" s="445">
        <v>1</v>
      </c>
      <c r="EG393" s="307">
        <f>Table1[[#This Row],[Line PO]]/Table1[[#This Row],[Line PR]]</f>
        <v>1</v>
      </c>
      <c r="EH393" s="286" t="str">
        <f>IF(Table1[[#This Row],[PO Material Aktual 
(%)]]&gt;=100%,"Selesai PO = 100%",IF(Table1[[#This Row],[PO Material Aktual 
(%)]]&gt;=50%,"Proses PO &gt; 100%",IF(Table1[[#This Row],[PO Material Aktual 
(%)]]&gt;0%,"Proses PO &gt; 50%",IF(Table1[[#This Row],[PO Material Aktual 
(%)]]=0,"Belum PO = 0%"))))</f>
        <v>Selesai PO = 100%</v>
      </c>
      <c r="EI39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393" s="301">
        <v>46118</v>
      </c>
      <c r="EK393" s="301">
        <v>46178</v>
      </c>
      <c r="EL393" s="301">
        <v>46201</v>
      </c>
      <c r="EM393" s="390">
        <v>46183</v>
      </c>
      <c r="EN393" s="390"/>
      <c r="EO393" s="302">
        <v>7</v>
      </c>
      <c r="EP393" s="302">
        <v>7</v>
      </c>
      <c r="EQ393" s="307">
        <v>0.58333333333333337</v>
      </c>
      <c r="ER393" s="307">
        <f>Table1[[#This Row],[Line MOS (kolom bantu)]]/Table1[[#This Row],[Line PR]]</f>
        <v>0.58333333333333337</v>
      </c>
      <c r="ES393" s="286" t="str">
        <f>IF(Table1[[#This Row],[Progres MOS]]&gt;=100%,"Selesai MOS = 100%",IF(Table1[[#This Row],[Progres MOS]]&gt;=50%,"Proses MOS &gt; 100%",IF(Table1[[#This Row],[Progres MOS]]&gt;0%,"Proses MOS &gt; 50%",IF(Table1[[#This Row],[Progres MOS]]=0,"Belum MOS = 0%"))))</f>
        <v>Proses MOS &gt; 100%</v>
      </c>
      <c r="ET39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3" s="42"/>
      <c r="EV393" s="301"/>
      <c r="EW393" s="301">
        <v>46156</v>
      </c>
      <c r="EX393" s="301"/>
      <c r="EY393" s="390">
        <v>46186</v>
      </c>
      <c r="EZ393" s="447" t="s">
        <v>2769</v>
      </c>
      <c r="FA393" s="379" t="s">
        <v>2769</v>
      </c>
      <c r="FB393" s="390" t="e">
        <v>#N/A</v>
      </c>
      <c r="FC393" s="300" t="e">
        <v>#N/A</v>
      </c>
      <c r="FD393" s="390" t="e">
        <v>#N/A</v>
      </c>
      <c r="FE393" s="390" t="e">
        <v>#N/A</v>
      </c>
      <c r="FF393" s="390" t="e">
        <v>#N/A</v>
      </c>
      <c r="FG393" s="390" t="e">
        <v>#N/A</v>
      </c>
      <c r="FH393" s="390" t="e">
        <v>#N/A</v>
      </c>
      <c r="FI393" s="390" t="e">
        <v>#N/A</v>
      </c>
      <c r="FJ393" s="390" t="e">
        <v>#N/A</v>
      </c>
      <c r="FK393" s="390" t="e">
        <v>#N/A</v>
      </c>
      <c r="FL393" s="322"/>
      <c r="FM393" s="447"/>
      <c r="FN393" s="431" t="str">
        <f>IF(Table1[[#This Row],[Tanggal Pengajuan Dokumen]]="","",Table1[[#This Row],[PLAN PERMIT
start]]-Table1[[#This Row],[Tanggal Pengajuan Dokumen]])</f>
        <v/>
      </c>
      <c r="FO393" s="447"/>
      <c r="FP393" s="304"/>
      <c r="FQ393" s="431"/>
      <c r="FR393" s="390"/>
      <c r="FS393" s="431"/>
      <c r="FT393"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3" s="446">
        <f ca="1">IF(Table1[[#This Row],[Status Izin]]="Selesai",Table1[[#This Row],[PLAN PERMIT
finish]]-Table1[[#This Row],[Tanggal Terbit/ Target Izin Terbit]],ROUNDUP(Table1[[#This Row],[PLAN PERMIT
finish]]-NOW(),0))</f>
        <v>-46204</v>
      </c>
      <c r="FV393"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3" s="446"/>
      <c r="FX393" s="42"/>
      <c r="FY393" s="483">
        <v>46160</v>
      </c>
      <c r="FZ393" s="483">
        <v>46122</v>
      </c>
      <c r="GA39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3" s="301">
        <v>46174</v>
      </c>
      <c r="GC393" s="322">
        <v>46141</v>
      </c>
      <c r="GD393"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3" s="301">
        <v>46181</v>
      </c>
      <c r="GF393" s="322">
        <v>46141</v>
      </c>
      <c r="GG393"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3" s="301">
        <v>46188</v>
      </c>
      <c r="GI393" s="301">
        <v>46194</v>
      </c>
      <c r="GJ393" s="447">
        <v>46154</v>
      </c>
      <c r="GK393"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3" s="301">
        <v>46202</v>
      </c>
      <c r="GM393" s="301">
        <v>46193</v>
      </c>
      <c r="GN393" s="301">
        <v>46222</v>
      </c>
      <c r="GO393" s="300">
        <v>46241</v>
      </c>
      <c r="GP393" s="304"/>
      <c r="GQ393"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3" s="390"/>
      <c r="GS393" s="390"/>
      <c r="GT393" s="389"/>
      <c r="GU393" s="446" t="str">
        <f>IF(Table1[[#This Row],[Hydro Tes Actual
(tanggal)]]&lt;&gt;"","Sudah","Belum")</f>
        <v>Belum</v>
      </c>
      <c r="GV393" s="497"/>
      <c r="GW393" s="497"/>
      <c r="GX393" s="390"/>
      <c r="GY393" s="446" t="str">
        <f>IF(Table1[[#This Row],[Interkoneksi Actual
(tanggal)]]&lt;&gt;"","Sudah","Belum")</f>
        <v>Belum</v>
      </c>
      <c r="GZ393" s="497"/>
      <c r="HA393" s="497"/>
      <c r="HB393" s="390"/>
      <c r="HC393" s="446" t="str">
        <f>IF(Table1[[#This Row],[Flushing Actual
(tanggal)]]&lt;&gt;"","Sudah","Belum")</f>
        <v>Belum</v>
      </c>
      <c r="HD393" s="301">
        <v>46225</v>
      </c>
      <c r="HE393" s="301">
        <v>46242</v>
      </c>
      <c r="HF393" s="301">
        <v>46230</v>
      </c>
      <c r="HG393" s="447"/>
      <c r="HH393"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3" s="497"/>
      <c r="HJ393" s="497"/>
      <c r="HK393" s="390"/>
      <c r="HL393" s="390"/>
      <c r="HM393" s="301">
        <v>46247</v>
      </c>
      <c r="HN393" s="301">
        <v>46247</v>
      </c>
      <c r="HO393" s="300">
        <v>46259</v>
      </c>
      <c r="HP393" s="497"/>
      <c r="HQ393" s="390"/>
      <c r="HR393"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3" s="301">
        <v>46255</v>
      </c>
      <c r="HT393" s="301"/>
      <c r="HU393" s="301">
        <v>46255</v>
      </c>
      <c r="HV393" s="390"/>
      <c r="HW393" s="317"/>
      <c r="HX393"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3" s="42"/>
      <c r="HZ393" s="447"/>
      <c r="IA393" s="306"/>
      <c r="IB393" s="67"/>
      <c r="IC393" s="585">
        <f>IFERROR(ROUND((Table1[[#This Row],[PLAN TC
finish]]-Table1[[#This Row],[PLAN MC-0
start]])/30,2),"")</f>
        <v>1.4</v>
      </c>
      <c r="ID393">
        <f>DATEDIF(Table1[[#This Row],[PLAN MC-0
start]],Table1[[#This Row],[PLAN TC
finish]],"m")</f>
        <v>1</v>
      </c>
      <c r="IE393" s="6"/>
      <c r="IF393" s="6"/>
      <c r="IG393" s="67"/>
      <c r="II393" s="6"/>
      <c r="IJ393" s="4"/>
      <c r="IK393" s="4"/>
      <c r="IL393" s="6"/>
      <c r="IM393" s="6"/>
      <c r="IN393" s="6"/>
      <c r="IO393" s="6"/>
      <c r="IP393" s="6"/>
      <c r="IR393" s="6"/>
      <c r="IS393" s="6"/>
      <c r="IT393" s="6"/>
      <c r="IU393" s="6"/>
      <c r="IX393" s="6"/>
      <c r="IY393" s="6"/>
      <c r="JA393" s="6"/>
      <c r="JB393" s="6"/>
    </row>
    <row r="394" spans="2:262" ht="15" customHeight="1" x14ac:dyDescent="0.25">
      <c r="B394" s="281">
        <f>SUBTOTAL(3,$D$5:D394)</f>
        <v>390</v>
      </c>
      <c r="C394" s="286">
        <v>390</v>
      </c>
      <c r="D394" s="285" t="s">
        <v>244</v>
      </c>
      <c r="E394" s="431" t="s">
        <v>3137</v>
      </c>
      <c r="F394" s="308" t="s">
        <v>3138</v>
      </c>
      <c r="G394" s="319">
        <v>46300</v>
      </c>
      <c r="H394" s="308" t="s">
        <v>681</v>
      </c>
      <c r="I394" s="308" t="s">
        <v>278</v>
      </c>
      <c r="J394" s="488"/>
      <c r="K394" s="431"/>
      <c r="L394" s="304"/>
      <c r="M394" s="325" t="s">
        <v>269</v>
      </c>
      <c r="N394" s="477">
        <v>738</v>
      </c>
      <c r="O394" s="477" t="s">
        <v>252</v>
      </c>
      <c r="P39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394" s="35">
        <v>4.0828794881248756E-2</v>
      </c>
      <c r="S394" s="297">
        <f>_xlfn.XLOOKUP(Table1[[#This Row],[Nama Program]],'[2]Summary Plan'!$E:$E,'[2]Summary Plan'!$M:$M)</f>
        <v>4.7208686639228496E-2</v>
      </c>
      <c r="T394" s="129">
        <f>Table1[[#This Row],[Progres Total Aktual
(%)]]</f>
        <v>5.3345600964831534E-2</v>
      </c>
      <c r="U394" s="104">
        <f>Table1[[#This Row],[Progres Aktual
(%)]]-Table1[[#This Row],[Target Progres
(%)]]</f>
        <v>6.1369143256030378E-3</v>
      </c>
      <c r="V394" s="101">
        <f>Table1[[#This Row],["Volume
BA MC-0"]]</f>
        <v>561</v>
      </c>
      <c r="W394" s="101">
        <f>Table1[[#This Row],[Total Panjang Pipa Aktual
(Sum-&gt;)3]]</f>
        <v>575</v>
      </c>
      <c r="X394" s="102"/>
      <c r="Y394" s="501" t="s">
        <v>3139</v>
      </c>
      <c r="Z394" s="499" t="s">
        <v>3140</v>
      </c>
      <c r="AA394" s="489">
        <f>ROUND((Table1[[#This Row],[Nilai RAB Jaringan
(Exclude Ppn)]]-Table1[[#This Row],[RAB Perizinan]])*1.11+Table1[[#This Row],[RAB Perizinan]],0)</f>
        <v>7892230055</v>
      </c>
      <c r="AB394" s="435">
        <f>SUM(Table1[[#This Row],[RAB Kegiatan Umum]:[RAB Perizinan]])</f>
        <v>7111661131</v>
      </c>
      <c r="AC394" s="435">
        <v>582228236</v>
      </c>
      <c r="AD394" s="435">
        <v>5822282359</v>
      </c>
      <c r="AE394" s="502">
        <v>691570536</v>
      </c>
      <c r="AF394" s="435">
        <v>15580000</v>
      </c>
      <c r="AG394" s="435"/>
      <c r="AH394" s="490">
        <f>SUM(Table1[[#This Row],[Bobot Keg Umum]:[Bobot Perizinan]])</f>
        <v>1</v>
      </c>
      <c r="AI394" s="490">
        <f>Table1[[#This Row],[RAB Kegiatan Umum]]/Table1[[#This Row],[Nilai RAB Jaringan
(Exclude Ppn)]]</f>
        <v>8.186951336334701E-2</v>
      </c>
      <c r="AJ394" s="490">
        <f>Table1[[#This Row],[RAB Pemasangan]]/Table1[[#This Row],[Nilai RAB Jaringan
(Exclude Ppn)]]</f>
        <v>0.81869513349285594</v>
      </c>
      <c r="AK394" s="491">
        <f>Table1[[#This Row],[RAB Pengadaan]]/Table1[[#This Row],[Nilai RAB Jaringan
(Exclude Ppn)]]</f>
        <v>9.7244585092140831E-2</v>
      </c>
      <c r="AL394" s="492">
        <f>Table1[[#This Row],[RAB Perizinan]]/Table1[[#This Row],[Nilai RAB Jaringan
(Exclude Ppn)]]</f>
        <v>2.1907680516562002E-3</v>
      </c>
      <c r="AM394" s="42"/>
      <c r="AN394" s="440">
        <v>561</v>
      </c>
      <c r="AO394" s="440">
        <f>SUM(Table1[[#This Row],[Pipa 63 mm]:[Pipa 1,800 mm]])</f>
        <v>22</v>
      </c>
      <c r="AP394" s="440">
        <v>22</v>
      </c>
      <c r="AQ394" s="440"/>
      <c r="AR394" s="440"/>
      <c r="AS394" s="440"/>
      <c r="AT394" s="440"/>
      <c r="AU394" s="440"/>
      <c r="AV394" s="440"/>
      <c r="AW394" s="440"/>
      <c r="AX394" s="440"/>
      <c r="AY394" s="440"/>
      <c r="AZ394" s="440"/>
      <c r="BA394" s="440"/>
      <c r="BB394" s="440"/>
      <c r="BC394" s="440"/>
      <c r="BD394" s="440"/>
      <c r="BE394" s="440"/>
      <c r="BF394" s="440"/>
      <c r="BG394" s="440"/>
      <c r="BH394" s="440"/>
      <c r="BI394" s="440"/>
      <c r="BJ394" s="493">
        <f>SUM(Table1[[#This Row],[Pipa 63 mm2]:[Pipa 1,800 mm21]])</f>
        <v>575</v>
      </c>
      <c r="BK394" s="441">
        <v>575</v>
      </c>
      <c r="BL394" s="441"/>
      <c r="BM394" s="441"/>
      <c r="BN394" s="441"/>
      <c r="BO394" s="441"/>
      <c r="BP394" s="441"/>
      <c r="BQ394" s="441"/>
      <c r="BR394" s="441"/>
      <c r="BS394" s="441"/>
      <c r="BT394" s="441"/>
      <c r="BU394" s="441"/>
      <c r="BV394" s="441"/>
      <c r="BW394" s="441"/>
      <c r="BX394" s="441"/>
      <c r="BY394" s="441"/>
      <c r="BZ394" s="441"/>
      <c r="CA394" s="441"/>
      <c r="CB394" s="441"/>
      <c r="CC394" s="441"/>
      <c r="CD394" s="441"/>
      <c r="CE394" s="441"/>
      <c r="CF394" s="441"/>
      <c r="CG394" s="441"/>
      <c r="CH394" s="441"/>
      <c r="CI394" s="441"/>
      <c r="CJ394" s="441">
        <f>IF((Table1[[#This Row],["Volume
BA MC-0"]]-Table1[[#This Row],[Total Panjang Pipa Aktual
(Sum-&gt;)3]]-Table1[[#This Row],[Total Volume
tidak dapat dipasang]])&gt;=0,Table1[[#This Row],["Volume
BA MC-0"]]-Table1[[#This Row],[Total Panjang Pipa Aktual
(Sum-&gt;)3]]-Table1[[#This Row],[Total Volume
tidak dapat dipasang]],0)</f>
        <v>0</v>
      </c>
      <c r="CK394" s="42"/>
      <c r="CL394" s="442"/>
      <c r="CM394" s="445"/>
      <c r="CN394" s="442"/>
      <c r="CO394" s="442"/>
      <c r="CP39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5.3345600964831534E-2</v>
      </c>
      <c r="CQ394" s="435">
        <f>IFERROR(Table1[[#This Row],[Progres Keg. Umum
(%)]]*Table1[[#This Row],[Nilai RAB Jaringan
(file pa aji)]],0)</f>
        <v>0</v>
      </c>
      <c r="CR394" s="435">
        <f>IFERROR(Table1[[#This Row],[Progres MOS
(%)]]*Table1[[#This Row],[Nilai RAB Jaringan
(file pa aji)]],0)</f>
        <v>0</v>
      </c>
      <c r="CS394" s="435">
        <f>IFERROR(Table1[[#This Row],[Progres Pemasangan
(%)]]*Table1[[#This Row],[Nilai RAB Jaringan
(file pa aji)]],0)</f>
        <v>0</v>
      </c>
      <c r="CT394" s="435">
        <f>IFERROR(Table1[[#This Row],[Progres Perizinan
(%)]]*Table1[[#This Row],[Nilai RAB Jaringan
(file pa aji)]],0)</f>
        <v>0</v>
      </c>
      <c r="CU394" s="789">
        <v>0</v>
      </c>
      <c r="CV394" s="299">
        <v>0</v>
      </c>
      <c r="CW394" s="494">
        <v>0</v>
      </c>
      <c r="CX394" s="789">
        <f>_xlfn.XLOOKUP(Table1[[#This Row],[Kode Program]],'[1]Breakdown VOWD Greenfield'!$E:$E,'[1]Breakdown VOWD Greenfield'!$AT:$AT)</f>
        <v>0</v>
      </c>
      <c r="CY394" s="42"/>
      <c r="CZ394" s="301">
        <v>46048</v>
      </c>
      <c r="DA394" s="301">
        <v>46075</v>
      </c>
      <c r="DB394" s="301">
        <v>45996</v>
      </c>
      <c r="DC394" s="500" t="s">
        <v>3141</v>
      </c>
      <c r="DD394" s="495">
        <f>7380000+3774427025</f>
        <v>3781807025</v>
      </c>
      <c r="DE39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4" s="301">
        <v>46010</v>
      </c>
      <c r="DG394" s="500" t="s">
        <v>3142</v>
      </c>
      <c r="DH394" s="495">
        <f>7380000+3774427025</f>
        <v>3781807025</v>
      </c>
      <c r="DI39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4" s="301">
        <v>46076</v>
      </c>
      <c r="DK394" s="301">
        <v>46173</v>
      </c>
      <c r="DL394" s="301">
        <v>46062</v>
      </c>
      <c r="DM394" s="304" t="s">
        <v>3143</v>
      </c>
      <c r="DN39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4" s="301">
        <v>46086.291666666664</v>
      </c>
      <c r="DP394" s="304"/>
      <c r="DQ394" s="308" t="s">
        <v>312</v>
      </c>
      <c r="DR39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4" s="301">
        <v>46076</v>
      </c>
      <c r="DT394" s="301">
        <v>46164</v>
      </c>
      <c r="DU394" s="301">
        <v>46117</v>
      </c>
      <c r="DV394" s="301">
        <v>46178</v>
      </c>
      <c r="DW394" s="301">
        <v>46062</v>
      </c>
      <c r="DX394" s="304" t="s">
        <v>3144</v>
      </c>
      <c r="DY394" s="304">
        <v>35</v>
      </c>
      <c r="DZ394" s="304">
        <v>35</v>
      </c>
      <c r="EA39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4" s="390"/>
      <c r="EC394" s="305">
        <v>33</v>
      </c>
      <c r="ED394" s="305">
        <v>33</v>
      </c>
      <c r="EE394" s="496"/>
      <c r="EF394" s="445">
        <v>0.94285714285714284</v>
      </c>
      <c r="EG394" s="307">
        <f>Table1[[#This Row],[Line PO]]/Table1[[#This Row],[Line PR]]</f>
        <v>0.94285714285714284</v>
      </c>
      <c r="EH394" s="286" t="str">
        <f>IF(Table1[[#This Row],[PO Material Aktual 
(%)]]&gt;=100%,"Selesai PO = 100%",IF(Table1[[#This Row],[PO Material Aktual 
(%)]]&gt;=50%,"Proses PO &gt; 100%",IF(Table1[[#This Row],[PO Material Aktual 
(%)]]&gt;0%,"Proses PO &gt; 50%",IF(Table1[[#This Row],[PO Material Aktual 
(%)]]=0,"Belum PO = 0%"))))</f>
        <v>Proses PO &gt; 100%</v>
      </c>
      <c r="EI39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4" s="301">
        <v>46118</v>
      </c>
      <c r="EK394" s="301">
        <v>46178</v>
      </c>
      <c r="EL394" s="301">
        <v>46236</v>
      </c>
      <c r="EM394" s="390">
        <v>46190</v>
      </c>
      <c r="EN394" s="390"/>
      <c r="EO394" s="302">
        <v>32</v>
      </c>
      <c r="EP394" s="302">
        <v>32</v>
      </c>
      <c r="EQ394" s="307">
        <v>0.91428571428571426</v>
      </c>
      <c r="ER394" s="307">
        <f>Table1[[#This Row],[Line MOS (kolom bantu)]]/Table1[[#This Row],[Line PR]]</f>
        <v>0.91428571428571426</v>
      </c>
      <c r="ES394" s="286" t="str">
        <f>IF(Table1[[#This Row],[Progres MOS]]&gt;=100%,"Selesai MOS = 100%",IF(Table1[[#This Row],[Progres MOS]]&gt;=50%,"Proses MOS &gt; 100%",IF(Table1[[#This Row],[Progres MOS]]&gt;0%,"Proses MOS &gt; 50%",IF(Table1[[#This Row],[Progres MOS]]=0,"Belum MOS = 0%"))))</f>
        <v>Proses MOS &gt; 100%</v>
      </c>
      <c r="ET39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394" s="42"/>
      <c r="EV394" s="301"/>
      <c r="EW394" s="301">
        <v>46156</v>
      </c>
      <c r="EX394" s="301"/>
      <c r="EY394" s="390">
        <v>46186</v>
      </c>
      <c r="EZ394" s="447" t="s">
        <v>2779</v>
      </c>
      <c r="FA394" s="379" t="s">
        <v>2779</v>
      </c>
      <c r="FB394" s="390" t="e">
        <v>#N/A</v>
      </c>
      <c r="FC394" s="300" t="e">
        <v>#N/A</v>
      </c>
      <c r="FD394" s="390" t="e">
        <v>#N/A</v>
      </c>
      <c r="FE394" s="390" t="e">
        <v>#N/A</v>
      </c>
      <c r="FF394" s="390" t="e">
        <v>#N/A</v>
      </c>
      <c r="FG394" s="390" t="e">
        <v>#N/A</v>
      </c>
      <c r="FH394" s="390" t="e">
        <v>#N/A</v>
      </c>
      <c r="FI394" s="390" t="e">
        <v>#N/A</v>
      </c>
      <c r="FJ394" s="390" t="e">
        <v>#N/A</v>
      </c>
      <c r="FK394" s="390" t="e">
        <v>#N/A</v>
      </c>
      <c r="FL394" s="322"/>
      <c r="FM394" s="447"/>
      <c r="FN394" s="431" t="str">
        <f>IF(Table1[[#This Row],[Tanggal Pengajuan Dokumen]]="","",Table1[[#This Row],[PLAN PERMIT
start]]-Table1[[#This Row],[Tanggal Pengajuan Dokumen]])</f>
        <v/>
      </c>
      <c r="FO394" s="447"/>
      <c r="FP394" s="304"/>
      <c r="FQ394" s="431"/>
      <c r="FR394" s="390"/>
      <c r="FS394" s="431"/>
      <c r="FT39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4" s="446">
        <f ca="1">IF(Table1[[#This Row],[Status Izin]]="Selesai",Table1[[#This Row],[PLAN PERMIT
finish]]-Table1[[#This Row],[Tanggal Terbit/ Target Izin Terbit]],ROUNDUP(Table1[[#This Row],[PLAN PERMIT
finish]]-NOW(),0))</f>
        <v>-46204</v>
      </c>
      <c r="FV39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4" s="446"/>
      <c r="FX394" s="42"/>
      <c r="FY394" s="483">
        <v>46160</v>
      </c>
      <c r="FZ394" s="483">
        <v>46122</v>
      </c>
      <c r="GA39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4" s="301">
        <v>46174</v>
      </c>
      <c r="GC394" s="447">
        <v>46112</v>
      </c>
      <c r="GD39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4" s="301">
        <v>46181</v>
      </c>
      <c r="GF394" s="447">
        <v>46064</v>
      </c>
      <c r="GG39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4" s="301">
        <v>46188</v>
      </c>
      <c r="GI394" s="301">
        <v>46194</v>
      </c>
      <c r="GJ394" s="447">
        <v>46066</v>
      </c>
      <c r="GK39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4" s="301">
        <v>46202</v>
      </c>
      <c r="GM394" s="301">
        <v>46193</v>
      </c>
      <c r="GN394" s="301">
        <v>46222</v>
      </c>
      <c r="GO394" s="300">
        <v>46269</v>
      </c>
      <c r="GP394" s="304"/>
      <c r="GQ39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4" s="390"/>
      <c r="GS394" s="390"/>
      <c r="GT394" s="389"/>
      <c r="GU394" s="446" t="str">
        <f>IF(Table1[[#This Row],[Hydro Tes Actual
(tanggal)]]&lt;&gt;"","Sudah","Belum")</f>
        <v>Belum</v>
      </c>
      <c r="GV394" s="497"/>
      <c r="GW394" s="497"/>
      <c r="GX394" s="390"/>
      <c r="GY394" s="446" t="str">
        <f>IF(Table1[[#This Row],[Interkoneksi Actual
(tanggal)]]&lt;&gt;"","Sudah","Belum")</f>
        <v>Belum</v>
      </c>
      <c r="GZ394" s="497"/>
      <c r="HA394" s="497"/>
      <c r="HB394" s="390"/>
      <c r="HC394" s="446" t="str">
        <f>IF(Table1[[#This Row],[Flushing Actual
(tanggal)]]&lt;&gt;"","Sudah","Belum")</f>
        <v>Belum</v>
      </c>
      <c r="HD394" s="301">
        <v>46225</v>
      </c>
      <c r="HE394" s="301">
        <v>46270</v>
      </c>
      <c r="HF394" s="301">
        <v>46230</v>
      </c>
      <c r="HG394" s="447"/>
      <c r="HH39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4" s="497"/>
      <c r="HJ394" s="497"/>
      <c r="HK394" s="390"/>
      <c r="HL394" s="390"/>
      <c r="HM394" s="301">
        <v>46247</v>
      </c>
      <c r="HN394" s="301">
        <v>46247</v>
      </c>
      <c r="HO394" s="300">
        <v>46287</v>
      </c>
      <c r="HP394" s="497"/>
      <c r="HQ394" s="390"/>
      <c r="HR39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4" s="301">
        <v>46255</v>
      </c>
      <c r="HT394" s="301"/>
      <c r="HU394" s="301">
        <v>46255</v>
      </c>
      <c r="HV394" s="390"/>
      <c r="HW394" s="317"/>
      <c r="HX39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4" s="42"/>
      <c r="HZ394" s="447"/>
      <c r="IA394" s="306"/>
      <c r="IB394" s="67"/>
      <c r="IC394" s="585">
        <f>IFERROR(ROUND((Table1[[#This Row],[PLAN TC
finish]]-Table1[[#This Row],[PLAN MC-0
start]])/30,2),"")</f>
        <v>1.4</v>
      </c>
      <c r="ID394">
        <f>DATEDIF(Table1[[#This Row],[PLAN MC-0
start]],Table1[[#This Row],[PLAN TC
finish]],"m")</f>
        <v>1</v>
      </c>
      <c r="IE394" s="6"/>
      <c r="IF394" s="6"/>
      <c r="IG394" s="67"/>
      <c r="II394" s="6"/>
      <c r="IJ394" s="4"/>
      <c r="IK394" s="4"/>
      <c r="IL394" s="6"/>
      <c r="IM394" s="6"/>
      <c r="IN394" s="6"/>
      <c r="IO394" s="6"/>
      <c r="IP394" s="6"/>
      <c r="IR394" s="6"/>
      <c r="IS394" s="6"/>
      <c r="IT394" s="6"/>
      <c r="IU394" s="6"/>
      <c r="IX394" s="6"/>
      <c r="IY394" s="6"/>
      <c r="JA394" s="6"/>
      <c r="JB394" s="6"/>
    </row>
    <row r="395" spans="2:262" ht="15" customHeight="1" x14ac:dyDescent="0.25">
      <c r="B395" s="281">
        <f>SUBTOTAL(3,$D$5:D395)</f>
        <v>391</v>
      </c>
      <c r="C395" s="286">
        <v>391</v>
      </c>
      <c r="D395" s="285" t="s">
        <v>673</v>
      </c>
      <c r="E395" s="308" t="s">
        <v>3145</v>
      </c>
      <c r="F395" s="308" t="s">
        <v>3146</v>
      </c>
      <c r="G395" s="319">
        <v>46300</v>
      </c>
      <c r="H395" s="308" t="s">
        <v>247</v>
      </c>
      <c r="I395" s="308" t="s">
        <v>248</v>
      </c>
      <c r="J395" s="450"/>
      <c r="K395" s="308"/>
      <c r="L395" s="286"/>
      <c r="M395" s="325" t="s">
        <v>251</v>
      </c>
      <c r="N395" s="477">
        <v>2073</v>
      </c>
      <c r="O395" s="477" t="s">
        <v>252</v>
      </c>
      <c r="P39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5" s="35">
        <v>0.61056875393885957</v>
      </c>
      <c r="S395" s="297">
        <f>_xlfn.XLOOKUP(Table1[[#This Row],[Nama Program]],'[2]Summary Plan'!$E:$E,'[2]Summary Plan'!$M:$M)</f>
        <v>0.70953978539842522</v>
      </c>
      <c r="T395" s="128">
        <f>Table1[[#This Row],[Progres Total Aktual
(%)]]</f>
        <v>0.11418019935614879</v>
      </c>
      <c r="U395" s="103">
        <f>Table1[[#This Row],[Progres Aktual
(%)]]-Table1[[#This Row],[Target Progres
(%)]]</f>
        <v>-0.59535958604227646</v>
      </c>
      <c r="V395" s="75">
        <v>2085</v>
      </c>
      <c r="W395" s="75">
        <f>Table1[[#This Row],[Total Panjang Pipa Aktual
(Sum-&gt;)3]]</f>
        <v>0</v>
      </c>
      <c r="X395" s="99"/>
      <c r="Y395" s="478" t="s">
        <v>3147</v>
      </c>
      <c r="Z395" s="503">
        <v>7715694400</v>
      </c>
      <c r="AA395" s="479">
        <f>ROUNDUP((Table1[[#This Row],[Nilai RAB Jaringan
(Exclude Ppn)]]-Table1[[#This Row],[RAB Perizinan]])*1.11+Table1[[#This Row],[RAB Perizinan]],0)</f>
        <v>7715694400</v>
      </c>
      <c r="AB395" s="453">
        <f>SUM(Table1[[#This Row],[RAB Kegiatan Umum]:[RAB Perizinan]])</f>
        <v>6953341401</v>
      </c>
      <c r="AC395" s="406">
        <v>345477337</v>
      </c>
      <c r="AD395" s="406">
        <v>3454773370</v>
      </c>
      <c r="AE395" s="406">
        <v>3130231094</v>
      </c>
      <c r="AF395" s="406">
        <v>22859600</v>
      </c>
      <c r="AG395" s="504"/>
      <c r="AH395" s="480">
        <f>SUM(Table1[[#This Row],[Bobot Keg Umum]:[Bobot Perizinan]])</f>
        <v>1</v>
      </c>
      <c r="AI395" s="480">
        <f>Table1[[#This Row],[RAB Kegiatan Umum]]/Table1[[#This Row],[Nilai RAB Jaringan
(Exclude Ppn)]]</f>
        <v>4.9685081901819882E-2</v>
      </c>
      <c r="AJ395" s="480">
        <f>Table1[[#This Row],[RAB Pemasangan]]/Table1[[#This Row],[Nilai RAB Jaringan
(Exclude Ppn)]]</f>
        <v>0.49685081901819883</v>
      </c>
      <c r="AK395" s="111">
        <f>Table1[[#This Row],[RAB Pengadaan]]/Table1[[#This Row],[Nilai RAB Jaringan
(Exclude Ppn)]]</f>
        <v>0.45017652858952439</v>
      </c>
      <c r="AL395" s="112">
        <f>Table1[[#This Row],[RAB Perizinan]]/Table1[[#This Row],[Nilai RAB Jaringan
(Exclude Ppn)]]</f>
        <v>3.2875704904569234E-3</v>
      </c>
      <c r="AM395" s="42"/>
      <c r="AN395" s="256"/>
      <c r="AO395" s="256">
        <f>SUM(Table1[[#This Row],[Pipa 63 mm]:[Pipa 1,800 mm]])</f>
        <v>2085</v>
      </c>
      <c r="AP395" s="256"/>
      <c r="AQ395" s="256"/>
      <c r="AR395" s="256"/>
      <c r="AS395" s="256"/>
      <c r="AT395" s="256"/>
      <c r="AU395" s="256"/>
      <c r="AV395" s="256">
        <v>2085</v>
      </c>
      <c r="AW395" s="256"/>
      <c r="AX395" s="256"/>
      <c r="AY395" s="256"/>
      <c r="AZ395" s="256"/>
      <c r="BA395" s="256"/>
      <c r="BB395" s="256"/>
      <c r="BC395" s="256"/>
      <c r="BD395" s="256"/>
      <c r="BE395" s="256"/>
      <c r="BF395" s="256"/>
      <c r="BG395" s="256"/>
      <c r="BH395" s="256"/>
      <c r="BI395" s="256"/>
      <c r="BJ395" s="36">
        <f>SUM(Table1[[#This Row],[Pipa 63 mm2]:[Pipa 1,800 mm21]])</f>
        <v>0</v>
      </c>
      <c r="BK395" s="32"/>
      <c r="BL395" s="32"/>
      <c r="BM395" s="32"/>
      <c r="BN395" s="32"/>
      <c r="BO395" s="32"/>
      <c r="BP395" s="32"/>
      <c r="BQ395" s="32"/>
      <c r="BR395" s="32"/>
      <c r="BS395" s="32"/>
      <c r="BT395" s="32"/>
      <c r="BU395" s="32"/>
      <c r="BV395" s="32"/>
      <c r="BW395" s="32"/>
      <c r="BX395" s="32"/>
      <c r="BY395" s="32"/>
      <c r="BZ395" s="32"/>
      <c r="CA395" s="32"/>
      <c r="CB395" s="32"/>
      <c r="CC395" s="32"/>
      <c r="CD395" s="32"/>
      <c r="CE395" s="32"/>
      <c r="CF395" s="32"/>
      <c r="CG395" s="32"/>
      <c r="CH395" s="32"/>
      <c r="CI395" s="32"/>
      <c r="CJ395" s="32">
        <f>IF((Table1[[#This Row],["Volume
BA MC-0"]]-Table1[[#This Row],[Total Panjang Pipa Aktual
(Sum-&gt;)3]]-Table1[[#This Row],[Total Volume
tidak dapat dipasang]])&gt;=0,Table1[[#This Row],["Volume
BA MC-0"]]-Table1[[#This Row],[Total Panjang Pipa Aktual
(Sum-&gt;)3]]-Table1[[#This Row],[Total Volume
tidak dapat dipasang]],0)</f>
        <v>0</v>
      </c>
      <c r="CK395" s="42"/>
      <c r="CL395" s="113"/>
      <c r="CM395" s="307"/>
      <c r="CN395" s="113"/>
      <c r="CO395" s="113"/>
      <c r="CP39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0.11418019935614879</v>
      </c>
      <c r="CQ395" s="406">
        <f>IFERROR(Table1[[#This Row],[Progres Keg. Umum
(%)]]*Table1[[#This Row],[Nilai RAB Jaringan
(file pa aji)]],0)</f>
        <v>0</v>
      </c>
      <c r="CR395" s="406">
        <f>IFERROR(Table1[[#This Row],[Progres MOS
(%)]]*Table1[[#This Row],[Nilai RAB Jaringan
(file pa aji)]],0)</f>
        <v>0</v>
      </c>
      <c r="CS395" s="406">
        <f>IFERROR(Table1[[#This Row],[Progres Pemasangan
(%)]]*Table1[[#This Row],[Nilai RAB Jaringan
(file pa aji)]],0)</f>
        <v>0</v>
      </c>
      <c r="CT395" s="406">
        <f>IFERROR(Table1[[#This Row],[Progres Perizinan
(%)]]*Table1[[#This Row],[Nilai RAB Jaringan
(file pa aji)]],0)</f>
        <v>0</v>
      </c>
      <c r="CU395" s="789">
        <v>880979524.76312077</v>
      </c>
      <c r="CV395" s="299">
        <v>880979524.76312077</v>
      </c>
      <c r="CW395" s="481">
        <v>0</v>
      </c>
      <c r="CX395" s="789">
        <f>_xlfn.XLOOKUP(Table1[[#This Row],[Kode Program]],'[1]Breakdown VOWD Greenfield'!$E:$E,'[1]Breakdown VOWD Greenfield'!$AT:$AT)</f>
        <v>0</v>
      </c>
      <c r="CY395" s="42"/>
      <c r="CZ395" s="301">
        <v>45929</v>
      </c>
      <c r="DA395" s="301">
        <v>45963</v>
      </c>
      <c r="DB395" s="301">
        <v>45974</v>
      </c>
      <c r="DC395" s="505" t="s">
        <v>3148</v>
      </c>
      <c r="DD395" s="478">
        <f>7692834798+22859600</f>
        <v>7715694398</v>
      </c>
      <c r="DE39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395" s="301">
        <v>46000</v>
      </c>
      <c r="DG395" s="505" t="s">
        <v>3149</v>
      </c>
      <c r="DH395" s="478">
        <f>7692834798+22859600</f>
        <v>7715694398</v>
      </c>
      <c r="DI39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5" s="301">
        <v>45964</v>
      </c>
      <c r="DK395" s="301">
        <v>46082</v>
      </c>
      <c r="DL395" s="301">
        <v>46055</v>
      </c>
      <c r="DM395" s="286" t="s">
        <v>3150</v>
      </c>
      <c r="DN39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5" s="301">
        <v>46091</v>
      </c>
      <c r="DP395" s="286" t="s">
        <v>3151</v>
      </c>
      <c r="DQ395" s="308" t="s">
        <v>1542</v>
      </c>
      <c r="DR39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5" s="301">
        <v>45964</v>
      </c>
      <c r="DT395" s="301">
        <v>46157</v>
      </c>
      <c r="DU395" s="301">
        <v>46012</v>
      </c>
      <c r="DV395" s="301">
        <v>46171</v>
      </c>
      <c r="DW395" s="301">
        <v>46034</v>
      </c>
      <c r="DX395" t="s">
        <v>3152</v>
      </c>
      <c r="DY395" s="482">
        <v>56</v>
      </c>
      <c r="DZ395" s="482">
        <v>56</v>
      </c>
      <c r="EA39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5" s="301"/>
      <c r="EC395" s="304">
        <v>56</v>
      </c>
      <c r="ED395" s="304">
        <v>56</v>
      </c>
      <c r="EE395"/>
      <c r="EF395" s="307">
        <v>1</v>
      </c>
      <c r="EG395" s="307">
        <f>Table1[[#This Row],[Line PO]]/Table1[[#This Row],[Line PR]]</f>
        <v>1</v>
      </c>
      <c r="EH395" s="286" t="str">
        <f>IF(Table1[[#This Row],[PO Material Aktual 
(%)]]&gt;=100%,"Selesai PO = 100%",IF(Table1[[#This Row],[PO Material Aktual 
(%)]]&gt;=50%,"Proses PO &gt; 100%",IF(Table1[[#This Row],[PO Material Aktual 
(%)]]&gt;0%,"Proses PO &gt; 50%",IF(Table1[[#This Row],[PO Material Aktual 
(%)]]=0,"Belum PO = 0%"))))</f>
        <v>Selesai PO = 100%</v>
      </c>
      <c r="EI39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5" s="301">
        <v>46013</v>
      </c>
      <c r="EK395" s="301">
        <v>46171</v>
      </c>
      <c r="EL395" s="301">
        <v>46201</v>
      </c>
      <c r="EM395" s="301">
        <v>46203</v>
      </c>
      <c r="EN395" s="301"/>
      <c r="EO395" s="482">
        <v>36</v>
      </c>
      <c r="EP395" s="482">
        <v>36</v>
      </c>
      <c r="EQ395" s="307">
        <v>0.6428571428571429</v>
      </c>
      <c r="ER395" s="307">
        <f>Table1[[#This Row],[Line MOS]]/Table1[[#This Row],[Line PR]]</f>
        <v>0.6428571428571429</v>
      </c>
      <c r="ES395" s="286" t="str">
        <f>IF(Table1[[#This Row],[Progres MOS]]&gt;=100%,"Selesai MOS = 100%",IF(Table1[[#This Row],[Progres MOS]]&gt;=50%,"Proses MOS &gt; 100%",IF(Table1[[#This Row],[Progres MOS]]&gt;0%,"Proses MOS &gt; 50%",IF(Table1[[#This Row],[Progres MOS]]=0,"Belum MOS = 0%"))))</f>
        <v>Proses MOS &gt; 100%</v>
      </c>
      <c r="ET39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5" s="42"/>
      <c r="EV395" s="301">
        <v>45964</v>
      </c>
      <c r="EW395" s="301">
        <v>46150</v>
      </c>
      <c r="EX395" s="301">
        <v>46110</v>
      </c>
      <c r="EY395" s="301">
        <v>46180</v>
      </c>
      <c r="EZ395" s="322" t="s">
        <v>1592</v>
      </c>
      <c r="FA395" s="379" t="s">
        <v>1592</v>
      </c>
      <c r="FB395" s="301"/>
      <c r="FC395" s="300">
        <v>45989</v>
      </c>
      <c r="FD395" s="301" t="s">
        <v>260</v>
      </c>
      <c r="FE395" s="301">
        <v>46079</v>
      </c>
      <c r="FF395" s="301"/>
      <c r="FG395" s="301"/>
      <c r="FH395" s="301"/>
      <c r="FI395" s="301"/>
      <c r="FJ395" s="301"/>
      <c r="FK395" s="301"/>
      <c r="FL395" s="322" t="s">
        <v>2827</v>
      </c>
      <c r="FM395" s="322"/>
      <c r="FN395" s="308" t="str">
        <f>IF(Table1[[#This Row],[Tanggal Pengajuan Dokumen]]="","",Table1[[#This Row],[PLAN PERMIT
start]]-Table1[[#This Row],[Tanggal Pengajuan Dokumen]])</f>
        <v/>
      </c>
      <c r="FO395" s="322"/>
      <c r="FP395" s="286"/>
      <c r="FQ395" s="308"/>
      <c r="FR395" s="301"/>
      <c r="FS395" s="308"/>
      <c r="FT39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5" s="314">
        <f ca="1">IF(Table1[[#This Row],[Status Izin]]="Selesai",Table1[[#This Row],[PLAN PERMIT
finish]]-Table1[[#This Row],[Tanggal Terbit/ Target Izin Terbit]],ROUNDUP(Table1[[#This Row],[PLAN PERMIT
finish]]-NOW(),0))</f>
        <v>-94</v>
      </c>
      <c r="FV39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5" s="314"/>
      <c r="FX395" s="42"/>
      <c r="FY395" s="483">
        <v>46069</v>
      </c>
      <c r="FZ395" s="483">
        <v>46066</v>
      </c>
      <c r="GA39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5" s="301">
        <v>46083</v>
      </c>
      <c r="GC395" s="322">
        <v>46083</v>
      </c>
      <c r="GD39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5" s="301">
        <v>46090</v>
      </c>
      <c r="GF395" s="322">
        <v>46087</v>
      </c>
      <c r="GG39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5" s="301">
        <v>46097</v>
      </c>
      <c r="GI395" s="301">
        <v>46103</v>
      </c>
      <c r="GJ395" s="322">
        <v>46093</v>
      </c>
      <c r="GK39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5" s="301">
        <v>46111</v>
      </c>
      <c r="GM395" s="301">
        <v>46206</v>
      </c>
      <c r="GN395" s="301">
        <v>46222</v>
      </c>
      <c r="GO395" s="300">
        <v>46262</v>
      </c>
      <c r="GP395" s="286"/>
      <c r="GQ39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5" s="301"/>
      <c r="GS395" s="301"/>
      <c r="GT395" s="324"/>
      <c r="GU395" s="314" t="str">
        <f>IF(Table1[[#This Row],[Hydro Tes Actual
(tanggal)]]&lt;&gt;"","Sudah","Belum")</f>
        <v>Belum</v>
      </c>
      <c r="GV395" s="300"/>
      <c r="GW395" s="300"/>
      <c r="GX395" s="301"/>
      <c r="GY395" s="314" t="str">
        <f>IF(Table1[[#This Row],[Interkoneksi Actual
(tanggal)]]&lt;&gt;"","Sudah","Belum")</f>
        <v>Belum</v>
      </c>
      <c r="GZ395" s="300"/>
      <c r="HA395" s="300"/>
      <c r="HB395" s="301"/>
      <c r="HC395" s="314" t="str">
        <f>IF(Table1[[#This Row],[Flushing Actual
(tanggal)]]&lt;&gt;"","Sudah","Belum")</f>
        <v>Belum</v>
      </c>
      <c r="HD395" s="301">
        <v>46225</v>
      </c>
      <c r="HE395" s="301">
        <v>46263</v>
      </c>
      <c r="HF395" s="301">
        <v>46230</v>
      </c>
      <c r="HG395" s="322"/>
      <c r="HH39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5" s="300"/>
      <c r="HJ395" s="300"/>
      <c r="HK395" s="301"/>
      <c r="HL395" s="301"/>
      <c r="HM395" s="301">
        <v>46247</v>
      </c>
      <c r="HN395" s="301">
        <v>46247</v>
      </c>
      <c r="HO395" s="300">
        <v>46280</v>
      </c>
      <c r="HP395" s="300"/>
      <c r="HQ395" s="301"/>
      <c r="HR39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5" s="301">
        <v>46255</v>
      </c>
      <c r="HT395" s="301"/>
      <c r="HU395" s="301">
        <v>46255</v>
      </c>
      <c r="HV395" s="390"/>
      <c r="HW395" s="365"/>
      <c r="HX39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5" s="42"/>
      <c r="HZ395" s="322"/>
      <c r="IA395" s="306"/>
      <c r="IB395" s="67"/>
      <c r="IC395" s="585">
        <f>IFERROR(ROUND((Table1[[#This Row],[PLAN TC
finish]]-Table1[[#This Row],[PLAN MC-0
start]])/30,2),"")</f>
        <v>4.43</v>
      </c>
      <c r="ID395">
        <f>DATEDIF(Table1[[#This Row],[PLAN MC-0
start]],Table1[[#This Row],[PLAN TC
finish]],"m")</f>
        <v>4</v>
      </c>
      <c r="IE395" s="6"/>
      <c r="IF395" s="6"/>
      <c r="IG395" s="67"/>
      <c r="II395" s="6"/>
      <c r="IJ395" s="4"/>
      <c r="IK395" s="4"/>
      <c r="IL395" s="6"/>
      <c r="IM395" s="6"/>
      <c r="IN395" s="6"/>
      <c r="IO395" s="6"/>
      <c r="IP395" s="6"/>
      <c r="IR395" s="6"/>
      <c r="IS395" s="6"/>
      <c r="IT395" s="6"/>
      <c r="IU395" s="6"/>
      <c r="IX395" s="6"/>
      <c r="IY395" s="6"/>
      <c r="JA395" s="6"/>
      <c r="JB395" s="6"/>
    </row>
    <row r="396" spans="2:262" x14ac:dyDescent="0.25">
      <c r="B396" s="281">
        <f>SUBTOTAL(3,$D$5:D396)</f>
        <v>392</v>
      </c>
      <c r="C396" s="286">
        <v>392</v>
      </c>
      <c r="D396" s="285" t="s">
        <v>673</v>
      </c>
      <c r="E396" s="308" t="s">
        <v>3153</v>
      </c>
      <c r="F396" s="308" t="s">
        <v>3154</v>
      </c>
      <c r="G396" s="319">
        <v>46300</v>
      </c>
      <c r="H396" s="308" t="s">
        <v>247</v>
      </c>
      <c r="I396" s="308" t="s">
        <v>248</v>
      </c>
      <c r="J396" s="450"/>
      <c r="K396" s="308"/>
      <c r="L396" s="286"/>
      <c r="M396" s="325" t="s">
        <v>251</v>
      </c>
      <c r="N396" s="477">
        <v>2605</v>
      </c>
      <c r="O396" s="477" t="s">
        <v>252</v>
      </c>
      <c r="P39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6" s="35">
        <v>0.65793742567102798</v>
      </c>
      <c r="S396" s="297">
        <f>_xlfn.XLOOKUP(Table1[[#This Row],[Nama Program]],'[2]Summary Plan'!$E:$E,'[2]Summary Plan'!$M:$M)</f>
        <v>0.74720483504768054</v>
      </c>
      <c r="T396" s="128">
        <f>Table1[[#This Row],[Progres Total Aktual
(%)]]</f>
        <v>0.20256677257590314</v>
      </c>
      <c r="U396" s="103">
        <f>Table1[[#This Row],[Progres Aktual
(%)]]-Table1[[#This Row],[Target Progres
(%)]]</f>
        <v>-0.54463806247177737</v>
      </c>
      <c r="V396" s="75">
        <v>2605</v>
      </c>
      <c r="W396" s="75">
        <f>Table1[[#This Row],[Total Panjang Pipa Aktual
(Sum-&gt;)3]]</f>
        <v>0</v>
      </c>
      <c r="X396" s="99"/>
      <c r="Y396" s="478" t="s">
        <v>3155</v>
      </c>
      <c r="Z396" s="499">
        <v>14840782090</v>
      </c>
      <c r="AA396" s="479">
        <f>ROUND((Table1[[#This Row],[Nilai RAB Jaringan
(Exclude Ppn)]]-Table1[[#This Row],[RAB Perizinan]])*1.11+Table1[[#This Row],[RAB Perizinan]],0)</f>
        <v>14840782090</v>
      </c>
      <c r="AB396" s="453">
        <f>SUM(Table1[[#This Row],[RAB Kegiatan Umum]:[RAB Perizinan]])</f>
        <v>13375553580</v>
      </c>
      <c r="AC396" s="406">
        <v>274239223</v>
      </c>
      <c r="AD396" s="406">
        <v>5484784459</v>
      </c>
      <c r="AE396" s="406">
        <v>7561235498</v>
      </c>
      <c r="AF396" s="406">
        <v>55294400</v>
      </c>
      <c r="AG396" s="504"/>
      <c r="AH396" s="480">
        <f>SUM(Table1[[#This Row],[Bobot Keg Umum]:[Bobot Perizinan]])</f>
        <v>1</v>
      </c>
      <c r="AI396" s="480">
        <f>Table1[[#This Row],[RAB Kegiatan Umum]]/Table1[[#This Row],[Nilai RAB Jaringan
(Exclude Ppn)]]</f>
        <v>2.0503018537495178E-2</v>
      </c>
      <c r="AJ396" s="480">
        <f>Table1[[#This Row],[RAB Pemasangan]]/Table1[[#This Row],[Nilai RAB Jaringan
(Exclude Ppn)]]</f>
        <v>0.41006037067514028</v>
      </c>
      <c r="AK396" s="111">
        <f>Table1[[#This Row],[RAB Pengadaan]]/Table1[[#This Row],[Nilai RAB Jaringan
(Exclude Ppn)]]</f>
        <v>0.56530262114205521</v>
      </c>
      <c r="AL396" s="112">
        <f>Table1[[#This Row],[RAB Perizinan]]/Table1[[#This Row],[Nilai RAB Jaringan
(Exclude Ppn)]]</f>
        <v>4.1339896453093192E-3</v>
      </c>
      <c r="AM396" s="42"/>
      <c r="AN396" s="256"/>
      <c r="AO396" s="256">
        <f>SUM(Table1[[#This Row],[Pipa 63 mm]:[Pipa 1,800 mm]])</f>
        <v>2605</v>
      </c>
      <c r="AP396" s="256"/>
      <c r="AQ396" s="256"/>
      <c r="AR396" s="256"/>
      <c r="AS396" s="256"/>
      <c r="AT396" s="256"/>
      <c r="AU396" s="256"/>
      <c r="AV396" s="256"/>
      <c r="AW396" s="256"/>
      <c r="AX396" s="256">
        <v>2605</v>
      </c>
      <c r="AY396" s="256"/>
      <c r="AZ396" s="256"/>
      <c r="BA396" s="256"/>
      <c r="BB396" s="256"/>
      <c r="BC396" s="256"/>
      <c r="BD396" s="256"/>
      <c r="BE396" s="256"/>
      <c r="BF396" s="256"/>
      <c r="BG396" s="256"/>
      <c r="BH396" s="256"/>
      <c r="BI396" s="256"/>
      <c r="BJ396" s="36">
        <f>SUM(Table1[[#This Row],[Pipa 63 mm2]:[Pipa 1,800 mm21]])</f>
        <v>0</v>
      </c>
      <c r="BK396" s="32"/>
      <c r="BL396" s="32"/>
      <c r="BM396" s="32"/>
      <c r="BN396" s="32"/>
      <c r="BO396" s="32"/>
      <c r="BP396" s="32"/>
      <c r="BQ396" s="32"/>
      <c r="BR396" s="32"/>
      <c r="BS396" s="32"/>
      <c r="BT396" s="32"/>
      <c r="BU396" s="32"/>
      <c r="BV396" s="32"/>
      <c r="BW396" s="32"/>
      <c r="BX396" s="32"/>
      <c r="BY396" s="32"/>
      <c r="BZ396" s="32"/>
      <c r="CA396" s="32"/>
      <c r="CB396" s="32"/>
      <c r="CC396" s="32"/>
      <c r="CD396" s="32"/>
      <c r="CE396" s="32"/>
      <c r="CF396" s="32"/>
      <c r="CG396" s="32"/>
      <c r="CH396" s="32"/>
      <c r="CI396" s="32"/>
      <c r="CJ396" s="32">
        <f>IF((Table1[[#This Row],["Volume
BA MC-0"]]-Table1[[#This Row],[Total Panjang Pipa Aktual
(Sum-&gt;)3]]-Table1[[#This Row],[Total Volume
tidak dapat dipasang]])&gt;=0,Table1[[#This Row],["Volume
BA MC-0"]]-Table1[[#This Row],[Total Panjang Pipa Aktual
(Sum-&gt;)3]]-Table1[[#This Row],[Total Volume
tidak dapat dipasang]],0)</f>
        <v>0</v>
      </c>
      <c r="CK396" s="42"/>
      <c r="CL396" s="113"/>
      <c r="CM396" s="307"/>
      <c r="CN396" s="113"/>
      <c r="CO396" s="113"/>
      <c r="CP39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0.20256677257590314</v>
      </c>
      <c r="CQ396" s="406">
        <f>IFERROR(Table1[[#This Row],[Progres Keg. Umum
(%)]]*Table1[[#This Row],[Nilai RAB Jaringan
(file pa aji)]],0)</f>
        <v>0</v>
      </c>
      <c r="CR396" s="406">
        <f>IFERROR(Table1[[#This Row],[Progres MOS
(%)]]*Table1[[#This Row],[Nilai RAB Jaringan
(file pa aji)]],0)</f>
        <v>0</v>
      </c>
      <c r="CS396" s="406">
        <f>IFERROR(Table1[[#This Row],[Progres Pemasangan
(%)]]*Table1[[#This Row],[Nilai RAB Jaringan
(file pa aji)]],0)</f>
        <v>0</v>
      </c>
      <c r="CT396" s="406">
        <f>IFERROR(Table1[[#This Row],[Progres Perizinan
(%)]]*Table1[[#This Row],[Nilai RAB Jaringan
(file pa aji)]],0)</f>
        <v>0</v>
      </c>
      <c r="CU396" s="789">
        <v>0</v>
      </c>
      <c r="CV396" s="299">
        <v>0</v>
      </c>
      <c r="CW396" s="481">
        <v>0</v>
      </c>
      <c r="CX396" s="789">
        <f>_xlfn.XLOOKUP(Table1[[#This Row],[Kode Program]],'[1]Breakdown VOWD Greenfield'!$E:$E,'[1]Breakdown VOWD Greenfield'!$AT:$AT)</f>
        <v>0</v>
      </c>
      <c r="CY396" s="42"/>
      <c r="CZ396" s="301">
        <v>45929</v>
      </c>
      <c r="DA396" s="301">
        <v>45963</v>
      </c>
      <c r="DB396" s="301">
        <v>45954</v>
      </c>
      <c r="DC396" s="505" t="s">
        <v>3156</v>
      </c>
      <c r="DD396" s="478">
        <f>14785487689+55294400</f>
        <v>14840782089</v>
      </c>
      <c r="DE39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6" s="301">
        <v>46000</v>
      </c>
      <c r="DG396" s="505" t="s">
        <v>3157</v>
      </c>
      <c r="DH396" s="478">
        <f>14785487689+55294400</f>
        <v>14840782089</v>
      </c>
      <c r="DI39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6" s="301">
        <v>45964</v>
      </c>
      <c r="DK396" s="301">
        <v>46082</v>
      </c>
      <c r="DL396" s="301">
        <v>46055</v>
      </c>
      <c r="DM396" s="286" t="s">
        <v>3158</v>
      </c>
      <c r="DN39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6" s="301">
        <v>46084</v>
      </c>
      <c r="DP396" s="286"/>
      <c r="DQ396" s="308" t="s">
        <v>2943</v>
      </c>
      <c r="DR39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396" s="301">
        <v>45964</v>
      </c>
      <c r="DT396" s="301">
        <v>46157</v>
      </c>
      <c r="DU396" s="301">
        <v>46012</v>
      </c>
      <c r="DV396" s="301">
        <v>46171</v>
      </c>
      <c r="DW396" s="301">
        <v>45805</v>
      </c>
      <c r="DX396" s="396" t="s">
        <v>3159</v>
      </c>
      <c r="DY396" s="482">
        <v>96</v>
      </c>
      <c r="DZ396" s="482">
        <v>96</v>
      </c>
      <c r="EA39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396" s="301"/>
      <c r="EC396" s="304">
        <v>95</v>
      </c>
      <c r="ED396" s="304">
        <v>95</v>
      </c>
      <c r="EE396" s="100"/>
      <c r="EF396" s="307">
        <v>0.98958333333333337</v>
      </c>
      <c r="EG396" s="307">
        <f>Table1[[#This Row],[Line PO]]/Table1[[#This Row],[Line PR]]</f>
        <v>0.98958333333333337</v>
      </c>
      <c r="EH396" s="286" t="str">
        <f>IF(Table1[[#This Row],[PO Material Aktual 
(%)]]&gt;=100%,"Selesai PO = 100%",IF(Table1[[#This Row],[PO Material Aktual 
(%)]]&gt;=50%,"Proses PO &gt; 100%",IF(Table1[[#This Row],[PO Material Aktual 
(%)]]&gt;0%,"Proses PO &gt; 50%",IF(Table1[[#This Row],[PO Material Aktual 
(%)]]=0,"Belum PO = 0%"))))</f>
        <v>Proses PO &gt; 100%</v>
      </c>
      <c r="EI39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6" s="301">
        <v>46013</v>
      </c>
      <c r="EK396" s="301">
        <v>46171</v>
      </c>
      <c r="EL396" s="301">
        <v>46201</v>
      </c>
      <c r="EM396" s="301">
        <v>46203</v>
      </c>
      <c r="EN396" s="301"/>
      <c r="EO396" s="482">
        <v>43</v>
      </c>
      <c r="EP396" s="482">
        <v>43</v>
      </c>
      <c r="EQ396" s="307">
        <v>0.44791666666666669</v>
      </c>
      <c r="ER396" s="307">
        <f>Table1[[#This Row],[Line MOS]]/Table1[[#This Row],[Line PR]]</f>
        <v>0.44791666666666669</v>
      </c>
      <c r="ES396" s="286" t="str">
        <f>IF(Table1[[#This Row],[Progres MOS]]&gt;=100%,"Selesai MOS = 100%",IF(Table1[[#This Row],[Progres MOS]]&gt;=50%,"Proses MOS &gt; 100%",IF(Table1[[#This Row],[Progres MOS]]&gt;0%,"Proses MOS &gt; 50%",IF(Table1[[#This Row],[Progres MOS]]=0,"Belum MOS = 0%"))))</f>
        <v>Proses MOS &gt; 50%</v>
      </c>
      <c r="ET39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6" s="42"/>
      <c r="EV396" s="301">
        <v>45964</v>
      </c>
      <c r="EW396" s="301">
        <v>46150</v>
      </c>
      <c r="EX396" s="301">
        <v>46110</v>
      </c>
      <c r="EY396" s="301">
        <v>46180</v>
      </c>
      <c r="EZ396" s="322" t="s">
        <v>1592</v>
      </c>
      <c r="FA396" s="379" t="s">
        <v>1592</v>
      </c>
      <c r="FB396" s="301"/>
      <c r="FC396" s="300">
        <v>45989</v>
      </c>
      <c r="FD396" s="301" t="s">
        <v>260</v>
      </c>
      <c r="FE396" s="301">
        <v>46073</v>
      </c>
      <c r="FF396" s="301"/>
      <c r="FG396" s="301"/>
      <c r="FH396" s="301"/>
      <c r="FI396" s="301"/>
      <c r="FJ396" s="301"/>
      <c r="FK396" s="301"/>
      <c r="FL396" s="322" t="s">
        <v>2827</v>
      </c>
      <c r="FM396" s="322"/>
      <c r="FN396" s="308" t="str">
        <f>IF(Table1[[#This Row],[Tanggal Pengajuan Dokumen]]="","",Table1[[#This Row],[PLAN PERMIT
start]]-Table1[[#This Row],[Tanggal Pengajuan Dokumen]])</f>
        <v/>
      </c>
      <c r="FO396" s="322"/>
      <c r="FP396" s="286"/>
      <c r="FQ396" s="308"/>
      <c r="FR396" s="301"/>
      <c r="FS396" s="308"/>
      <c r="FT39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6" s="314">
        <f ca="1">IF(Table1[[#This Row],[Status Izin]]="Selesai",Table1[[#This Row],[PLAN PERMIT
finish]]-Table1[[#This Row],[Tanggal Terbit/ Target Izin Terbit]],ROUNDUP(Table1[[#This Row],[PLAN PERMIT
finish]]-NOW(),0))</f>
        <v>-94</v>
      </c>
      <c r="FV39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6" s="314"/>
      <c r="FX396" s="42"/>
      <c r="FY396" s="483">
        <v>46069</v>
      </c>
      <c r="FZ396" s="483">
        <v>46066</v>
      </c>
      <c r="GA39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6" s="301">
        <v>46083</v>
      </c>
      <c r="GC396" s="322">
        <v>46083</v>
      </c>
      <c r="GD39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6" s="301">
        <v>46090</v>
      </c>
      <c r="GF396" s="322">
        <v>46087</v>
      </c>
      <c r="GG39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6" s="301">
        <v>46097</v>
      </c>
      <c r="GI396" s="301">
        <v>46103</v>
      </c>
      <c r="GJ396" s="322">
        <v>46093</v>
      </c>
      <c r="GK39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6" s="301">
        <v>46111</v>
      </c>
      <c r="GM396" s="301">
        <v>46206</v>
      </c>
      <c r="GN396" s="301">
        <v>46222</v>
      </c>
      <c r="GO396" s="300">
        <v>46262</v>
      </c>
      <c r="GP396" s="286"/>
      <c r="GQ39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6" s="301"/>
      <c r="GS396" s="301"/>
      <c r="GT396" s="324"/>
      <c r="GU396" s="314" t="str">
        <f>IF(Table1[[#This Row],[Hydro Tes Actual
(tanggal)]]&lt;&gt;"","Sudah","Belum")</f>
        <v>Belum</v>
      </c>
      <c r="GV396" s="300"/>
      <c r="GW396" s="300"/>
      <c r="GX396" s="301"/>
      <c r="GY396" s="314" t="str">
        <f>IF(Table1[[#This Row],[Interkoneksi Actual
(tanggal)]]&lt;&gt;"","Sudah","Belum")</f>
        <v>Belum</v>
      </c>
      <c r="GZ396" s="300"/>
      <c r="HA396" s="300"/>
      <c r="HB396" s="301"/>
      <c r="HC396" s="314" t="str">
        <f>IF(Table1[[#This Row],[Flushing Actual
(tanggal)]]&lt;&gt;"","Sudah","Belum")</f>
        <v>Belum</v>
      </c>
      <c r="HD396" s="301">
        <v>46225</v>
      </c>
      <c r="HE396" s="301">
        <v>46263</v>
      </c>
      <c r="HF396" s="301">
        <v>46230</v>
      </c>
      <c r="HG396" s="322"/>
      <c r="HH39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6" s="300"/>
      <c r="HJ396" s="300"/>
      <c r="HK396" s="301"/>
      <c r="HL396" s="301"/>
      <c r="HM396" s="301">
        <v>46247</v>
      </c>
      <c r="HN396" s="301">
        <v>46247</v>
      </c>
      <c r="HO396" s="300">
        <v>46280</v>
      </c>
      <c r="HP396" s="300"/>
      <c r="HQ396" s="301"/>
      <c r="HR39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6" s="301">
        <v>46255</v>
      </c>
      <c r="HT396" s="301"/>
      <c r="HU396" s="301">
        <v>46255</v>
      </c>
      <c r="HV396" s="390"/>
      <c r="HW396" s="365"/>
      <c r="HX39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6" s="42"/>
      <c r="HZ396" s="322"/>
      <c r="IA396" s="306"/>
      <c r="IB396" s="67"/>
      <c r="IC396" s="585">
        <f>IFERROR(ROUND((Table1[[#This Row],[PLAN TC
finish]]-Table1[[#This Row],[PLAN MC-0
start]])/30,2),"")</f>
        <v>4.43</v>
      </c>
      <c r="ID396">
        <f>DATEDIF(Table1[[#This Row],[PLAN MC-0
start]],Table1[[#This Row],[PLAN TC
finish]],"m")</f>
        <v>4</v>
      </c>
      <c r="IE396" s="6"/>
      <c r="IF396" s="6"/>
      <c r="IG396" s="67"/>
      <c r="II396" s="6"/>
      <c r="IJ396" s="4"/>
      <c r="IK396" s="4"/>
      <c r="IL396" s="6"/>
      <c r="IM396" s="6"/>
      <c r="IN396" s="6"/>
      <c r="IO396" s="6"/>
      <c r="IP396" s="6"/>
      <c r="IR396" s="6"/>
      <c r="IS396" s="6"/>
      <c r="IT396" s="6"/>
      <c r="IU396" s="6"/>
      <c r="IX396" s="6"/>
      <c r="IY396" s="6"/>
      <c r="JA396" s="6"/>
      <c r="JB396" s="6"/>
    </row>
    <row r="397" spans="2:262" x14ac:dyDescent="0.25">
      <c r="B397" s="281">
        <f>SUBTOTAL(3,$D$5:D397)</f>
        <v>393</v>
      </c>
      <c r="C397" s="286">
        <v>393</v>
      </c>
      <c r="D397" s="285" t="s">
        <v>673</v>
      </c>
      <c r="E397" s="308" t="s">
        <v>3160</v>
      </c>
      <c r="F397" s="308" t="s">
        <v>3161</v>
      </c>
      <c r="G397" s="319">
        <v>46300</v>
      </c>
      <c r="H397" s="308" t="s">
        <v>247</v>
      </c>
      <c r="I397" s="308" t="s">
        <v>278</v>
      </c>
      <c r="J397" s="450"/>
      <c r="K397" s="308"/>
      <c r="L397" s="286"/>
      <c r="M397" s="325" t="s">
        <v>251</v>
      </c>
      <c r="N397" s="477">
        <v>9025</v>
      </c>
      <c r="O397" s="477" t="s">
        <v>252</v>
      </c>
      <c r="P39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7" s="35">
        <v>0.50452047565211389</v>
      </c>
      <c r="S397" s="297">
        <f>_xlfn.XLOOKUP(Table1[[#This Row],[Nama Program]],'[2]Summary Plan'!$E:$E,'[2]Summary Plan'!$M:$M)</f>
        <v>0.63012138061520273</v>
      </c>
      <c r="T397" s="128">
        <f>Table1[[#This Row],[Progres Total Aktual
(%)]]</f>
        <v>0.20858732582096615</v>
      </c>
      <c r="U397" s="103">
        <f>Table1[[#This Row],[Progres Aktual
(%)]]-Table1[[#This Row],[Target Progres
(%)]]</f>
        <v>-0.42153405479423656</v>
      </c>
      <c r="V397" s="75">
        <v>9769</v>
      </c>
      <c r="W397" s="75">
        <f>Table1[[#This Row],[Total Panjang Pipa Aktual
(Sum-&gt;)3]]</f>
        <v>0</v>
      </c>
      <c r="X397" s="99"/>
      <c r="Y397" s="478" t="s">
        <v>3162</v>
      </c>
      <c r="Z397" s="503">
        <v>12651074528</v>
      </c>
      <c r="AA397" s="479">
        <f>ROUND((Table1[[#This Row],[Nilai RAB Jaringan
(Exclude Ppn)]]-Table1[[#This Row],[RAB Perizinan]])*1.11+Table1[[#This Row],[RAB Perizinan]],0)</f>
        <v>12651074528</v>
      </c>
      <c r="AB397" s="453">
        <f>SUM(Table1[[#This Row],[RAB Kegiatan Umum]:[RAB Perizinan]])</f>
        <v>11406308133</v>
      </c>
      <c r="AC397" s="406">
        <v>855288224</v>
      </c>
      <c r="AD397" s="406">
        <v>8552882235</v>
      </c>
      <c r="AE397" s="406">
        <v>1907887674</v>
      </c>
      <c r="AF397" s="406">
        <v>90250000</v>
      </c>
      <c r="AG397" s="504"/>
      <c r="AH397" s="480">
        <f>SUM(Table1[[#This Row],[Bobot Keg Umum]:[Bobot Perizinan]])</f>
        <v>1</v>
      </c>
      <c r="AI397" s="480">
        <f>Table1[[#This Row],[RAB Kegiatan Umum]]/Table1[[#This Row],[Nilai RAB Jaringan
(Exclude Ppn)]]</f>
        <v>7.4983790901241298E-2</v>
      </c>
      <c r="AJ397" s="480">
        <f>Table1[[#This Row],[RAB Pemasangan]]/Table1[[#This Row],[Nilai RAB Jaringan
(Exclude Ppn)]]</f>
        <v>0.74983790857405908</v>
      </c>
      <c r="AK397" s="111">
        <f>Table1[[#This Row],[RAB Pengadaan]]/Table1[[#This Row],[Nilai RAB Jaringan
(Exclude Ppn)]]</f>
        <v>0.16726601208328062</v>
      </c>
      <c r="AL397" s="112">
        <f>Table1[[#This Row],[RAB Perizinan]]/Table1[[#This Row],[Nilai RAB Jaringan
(Exclude Ppn)]]</f>
        <v>7.9122884414190488E-3</v>
      </c>
      <c r="AM397" s="42"/>
      <c r="AN397" s="256"/>
      <c r="AO397" s="256">
        <f>SUM(Table1[[#This Row],[Pipa 63 mm]:[Pipa 1,800 mm]])</f>
        <v>9769</v>
      </c>
      <c r="AP397" s="256">
        <v>6633</v>
      </c>
      <c r="AQ397" s="256">
        <v>2124</v>
      </c>
      <c r="AR397" s="256">
        <v>496</v>
      </c>
      <c r="AS397" s="256">
        <v>510</v>
      </c>
      <c r="AT397" s="256">
        <v>6</v>
      </c>
      <c r="AU397" s="256"/>
      <c r="AV397" s="256"/>
      <c r="AW397" s="256"/>
      <c r="AX397" s="256"/>
      <c r="AY397" s="256"/>
      <c r="AZ397" s="256"/>
      <c r="BA397" s="256"/>
      <c r="BB397" s="256"/>
      <c r="BC397" s="256"/>
      <c r="BD397" s="256"/>
      <c r="BE397" s="256"/>
      <c r="BF397" s="256"/>
      <c r="BG397" s="256"/>
      <c r="BH397" s="256"/>
      <c r="BI397" s="256"/>
      <c r="BJ397" s="36">
        <f>SUM(Table1[[#This Row],[Pipa 63 mm2]:[Pipa 1,800 mm21]])</f>
        <v>0</v>
      </c>
      <c r="BK397" s="32"/>
      <c r="BL397" s="32"/>
      <c r="BM397" s="32"/>
      <c r="BN397" s="32"/>
      <c r="BO397" s="32"/>
      <c r="BP397" s="32"/>
      <c r="BQ397" s="32"/>
      <c r="BR397" s="32"/>
      <c r="BS397" s="32"/>
      <c r="BT397" s="32"/>
      <c r="BU397" s="32"/>
      <c r="BV397" s="32"/>
      <c r="BW397" s="32"/>
      <c r="BX397" s="32"/>
      <c r="BY397" s="32"/>
      <c r="BZ397" s="32"/>
      <c r="CA397" s="32"/>
      <c r="CB397" s="32"/>
      <c r="CC397" s="32"/>
      <c r="CD397" s="32"/>
      <c r="CE397" s="32"/>
      <c r="CF397" s="32"/>
      <c r="CG397" s="32"/>
      <c r="CH397" s="32"/>
      <c r="CI397" s="32"/>
      <c r="CJ397" s="32">
        <f>IF((Table1[[#This Row],["Volume
BA MC-0"]]-Table1[[#This Row],[Total Panjang Pipa Aktual
(Sum-&gt;)3]]-Table1[[#This Row],[Total Volume
tidak dapat dipasang]])&gt;=0,Table1[[#This Row],["Volume
BA MC-0"]]-Table1[[#This Row],[Total Panjang Pipa Aktual
(Sum-&gt;)3]]-Table1[[#This Row],[Total Volume
tidak dapat dipasang]],0)</f>
        <v>0</v>
      </c>
      <c r="CK397" s="42"/>
      <c r="CL397" s="113"/>
      <c r="CM397" s="307"/>
      <c r="CN397" s="113"/>
      <c r="CO397" s="113"/>
      <c r="CP397"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0.20858732582096615</v>
      </c>
      <c r="CQ397" s="406">
        <f>IFERROR(Table1[[#This Row],[Progres Keg. Umum
(%)]]*Table1[[#This Row],[Nilai RAB Jaringan
(file pa aji)]],0)</f>
        <v>0</v>
      </c>
      <c r="CR397" s="406">
        <f>IFERROR(Table1[[#This Row],[Progres MOS
(%)]]*Table1[[#This Row],[Nilai RAB Jaringan
(file pa aji)]],0)</f>
        <v>0</v>
      </c>
      <c r="CS397" s="406">
        <f>IFERROR(Table1[[#This Row],[Progres Pemasangan
(%)]]*Table1[[#This Row],[Nilai RAB Jaringan
(file pa aji)]],0)</f>
        <v>0</v>
      </c>
      <c r="CT397" s="406">
        <f>IFERROR(Table1[[#This Row],[Progres Perizinan
(%)]]*Table1[[#This Row],[Nilai RAB Jaringan
(file pa aji)]],0)</f>
        <v>0</v>
      </c>
      <c r="CU397" s="789">
        <v>2638853804.5572615</v>
      </c>
      <c r="CV397" s="299">
        <v>2638853804.5572615</v>
      </c>
      <c r="CW397" s="481">
        <v>0</v>
      </c>
      <c r="CX397" s="789">
        <f>_xlfn.XLOOKUP(Table1[[#This Row],[Kode Program]],'[1]Breakdown VOWD Greenfield'!$E:$E,'[1]Breakdown VOWD Greenfield'!$AT:$AT)</f>
        <v>0</v>
      </c>
      <c r="CY397" s="42"/>
      <c r="CZ397" s="301">
        <v>45929</v>
      </c>
      <c r="DA397" s="301">
        <v>45963</v>
      </c>
      <c r="DB397" s="301">
        <v>45950</v>
      </c>
      <c r="DC397" s="505" t="s">
        <v>3163</v>
      </c>
      <c r="DD397" s="506">
        <f>12560824527+90250000</f>
        <v>12651074527</v>
      </c>
      <c r="DE39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7" s="301">
        <v>45972</v>
      </c>
      <c r="DG397" s="505" t="s">
        <v>3164</v>
      </c>
      <c r="DH397" s="495">
        <v>12651074527</v>
      </c>
      <c r="DI39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397" s="301">
        <v>45964</v>
      </c>
      <c r="DK397" s="301">
        <v>46082</v>
      </c>
      <c r="DL397" s="301">
        <v>46056</v>
      </c>
      <c r="DM397" s="286" t="s">
        <v>3165</v>
      </c>
      <c r="DN39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7" s="301">
        <v>46062</v>
      </c>
      <c r="DP397" s="286" t="s">
        <v>3166</v>
      </c>
      <c r="DQ397" s="308" t="s">
        <v>1542</v>
      </c>
      <c r="DR39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7" s="301">
        <v>45964</v>
      </c>
      <c r="DT397" s="301">
        <v>46164</v>
      </c>
      <c r="DU397" s="301">
        <v>46012</v>
      </c>
      <c r="DV397" s="301">
        <v>46178</v>
      </c>
      <c r="DW397" s="301">
        <v>46056</v>
      </c>
      <c r="DX397" t="s">
        <v>3167</v>
      </c>
      <c r="DY397" s="482">
        <v>135</v>
      </c>
      <c r="DZ397" s="482">
        <v>135</v>
      </c>
      <c r="EA39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7" s="301"/>
      <c r="EC397" s="482">
        <v>135</v>
      </c>
      <c r="ED397" s="482">
        <v>135</v>
      </c>
      <c r="EE397" s="100"/>
      <c r="EF397" s="307">
        <v>1</v>
      </c>
      <c r="EG397" s="307">
        <f>Table1[[#This Row],[Line PO]]/Table1[[#This Row],[Line PR]]</f>
        <v>1</v>
      </c>
      <c r="EH397" s="286" t="str">
        <f>IF(Table1[[#This Row],[PO Material Aktual 
(%)]]&gt;=100%,"Selesai PO = 100%",IF(Table1[[#This Row],[PO Material Aktual 
(%)]]&gt;=50%,"Proses PO &gt; 100%",IF(Table1[[#This Row],[PO Material Aktual 
(%)]]&gt;0%,"Proses PO &gt; 50%",IF(Table1[[#This Row],[PO Material Aktual 
(%)]]=0,"Belum PO = 0%"))))</f>
        <v>Selesai PO = 100%</v>
      </c>
      <c r="EI39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7" s="301">
        <v>46013</v>
      </c>
      <c r="EK397" s="301">
        <v>46178</v>
      </c>
      <c r="EL397" s="301">
        <v>46201</v>
      </c>
      <c r="EM397" s="301">
        <v>46203</v>
      </c>
      <c r="EN397" s="301"/>
      <c r="EO397" s="482">
        <v>59</v>
      </c>
      <c r="EP397" s="482">
        <v>59</v>
      </c>
      <c r="EQ397" s="307">
        <v>0.43703703703703706</v>
      </c>
      <c r="ER397" s="307">
        <f>Table1[[#This Row],[Line MOS]]/Table1[[#This Row],[Line PR]]</f>
        <v>0.43703703703703706</v>
      </c>
      <c r="ES397" s="286" t="str">
        <f>IF(Table1[[#This Row],[Progres MOS]]&gt;=100%,"Selesai MOS = 100%",IF(Table1[[#This Row],[Progres MOS]]&gt;=50%,"Proses MOS &gt; 100%",IF(Table1[[#This Row],[Progres MOS]]&gt;0%,"Proses MOS &gt; 50%",IF(Table1[[#This Row],[Progres MOS]]=0,"Belum MOS = 0%"))))</f>
        <v>Proses MOS &gt; 50%</v>
      </c>
      <c r="ET39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7" s="42"/>
      <c r="EV397" s="301">
        <v>45964</v>
      </c>
      <c r="EW397" s="301">
        <v>46153</v>
      </c>
      <c r="EX397" s="301">
        <v>46110</v>
      </c>
      <c r="EY397" s="301">
        <v>46183</v>
      </c>
      <c r="EZ397" s="322" t="s">
        <v>2769</v>
      </c>
      <c r="FA397" s="379" t="s">
        <v>2769</v>
      </c>
      <c r="FB397" s="301"/>
      <c r="FC397" s="300">
        <v>45992</v>
      </c>
      <c r="FD397" s="301" t="s">
        <v>260</v>
      </c>
      <c r="FE397" s="301"/>
      <c r="FF397" s="301"/>
      <c r="FG397" s="301"/>
      <c r="FH397" s="301"/>
      <c r="FI397" s="301"/>
      <c r="FJ397" s="301"/>
      <c r="FK397" s="301"/>
      <c r="FL397" s="322" t="s">
        <v>2827</v>
      </c>
      <c r="FM397" s="322"/>
      <c r="FN397" s="308" t="str">
        <f>IF(Table1[[#This Row],[Tanggal Pengajuan Dokumen]]="","",Table1[[#This Row],[PLAN PERMIT
start]]-Table1[[#This Row],[Tanggal Pengajuan Dokumen]])</f>
        <v/>
      </c>
      <c r="FO397" s="322"/>
      <c r="FP397" s="286"/>
      <c r="FQ397" s="308"/>
      <c r="FR397" s="301"/>
      <c r="FS397" s="308"/>
      <c r="FT39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7" s="314">
        <f ca="1">IF(Table1[[#This Row],[Status Izin]]="Selesai",Table1[[#This Row],[PLAN PERMIT
finish]]-Table1[[#This Row],[Tanggal Terbit/ Target Izin Terbit]],ROUNDUP(Table1[[#This Row],[PLAN PERMIT
finish]]-NOW(),0))</f>
        <v>-94</v>
      </c>
      <c r="FV39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7" s="314"/>
      <c r="FX397" s="42"/>
      <c r="FY397" s="483">
        <v>46069</v>
      </c>
      <c r="FZ397" s="483">
        <v>46066</v>
      </c>
      <c r="GA39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7" s="301">
        <v>46083</v>
      </c>
      <c r="GC397" s="322">
        <v>46071</v>
      </c>
      <c r="GD39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7" s="301">
        <v>46090</v>
      </c>
      <c r="GF397" s="322">
        <v>46073</v>
      </c>
      <c r="GG39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7" s="301">
        <v>46097</v>
      </c>
      <c r="GI397" s="301">
        <v>46103</v>
      </c>
      <c r="GJ397" s="322">
        <v>46077</v>
      </c>
      <c r="GK39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7" s="301">
        <v>46111</v>
      </c>
      <c r="GM397" s="301">
        <v>46206</v>
      </c>
      <c r="GN397" s="301">
        <v>46222</v>
      </c>
      <c r="GO397" s="300">
        <v>46275</v>
      </c>
      <c r="GP397" s="286"/>
      <c r="GQ39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7" s="301"/>
      <c r="GS397" s="301"/>
      <c r="GT397" s="324"/>
      <c r="GU397" s="314" t="str">
        <f>IF(Table1[[#This Row],[Hydro Tes Actual
(tanggal)]]&lt;&gt;"","Sudah","Belum")</f>
        <v>Belum</v>
      </c>
      <c r="GV397" s="300"/>
      <c r="GW397" s="300"/>
      <c r="GX397" s="301"/>
      <c r="GY397" s="314" t="str">
        <f>IF(Table1[[#This Row],[Interkoneksi Actual
(tanggal)]]&lt;&gt;"","Sudah","Belum")</f>
        <v>Belum</v>
      </c>
      <c r="GZ397" s="300"/>
      <c r="HA397" s="300"/>
      <c r="HB397" s="301"/>
      <c r="HC397" s="314" t="str">
        <f>IF(Table1[[#This Row],[Flushing Actual
(tanggal)]]&lt;&gt;"","Sudah","Belum")</f>
        <v>Belum</v>
      </c>
      <c r="HD397" s="301">
        <v>46225</v>
      </c>
      <c r="HE397" s="301">
        <v>46276</v>
      </c>
      <c r="HF397" s="301">
        <v>46230</v>
      </c>
      <c r="HG397" s="322"/>
      <c r="HH39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7" s="300"/>
      <c r="HJ397" s="300"/>
      <c r="HK397" s="301"/>
      <c r="HL397" s="301"/>
      <c r="HM397" s="301">
        <v>46247</v>
      </c>
      <c r="HN397" s="301">
        <v>46247</v>
      </c>
      <c r="HO397" s="300">
        <v>46293</v>
      </c>
      <c r="HP397" s="300"/>
      <c r="HQ397" s="301"/>
      <c r="HR39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7" s="301">
        <v>46255</v>
      </c>
      <c r="HT397" s="301"/>
      <c r="HU397" s="301">
        <v>46255</v>
      </c>
      <c r="HV397" s="390"/>
      <c r="HW397" s="365"/>
      <c r="HX39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7" s="42"/>
      <c r="HZ397" s="322"/>
      <c r="IA397" s="306"/>
      <c r="IB397" s="67"/>
      <c r="IC397" s="585">
        <f>IFERROR(ROUND((Table1[[#This Row],[PLAN TC
finish]]-Table1[[#This Row],[PLAN MC-0
start]])/30,2),"")</f>
        <v>4.43</v>
      </c>
      <c r="ID397">
        <f>DATEDIF(Table1[[#This Row],[PLAN MC-0
start]],Table1[[#This Row],[PLAN TC
finish]],"m")</f>
        <v>4</v>
      </c>
      <c r="IE397" s="6"/>
      <c r="IF397" s="6"/>
      <c r="IG397" s="67"/>
      <c r="II397" s="6"/>
      <c r="IJ397" s="4"/>
      <c r="IK397" s="4"/>
      <c r="IL397" s="6"/>
      <c r="IM397" s="6"/>
      <c r="IN397" s="6"/>
      <c r="IO397" s="6"/>
      <c r="IP397" s="6"/>
      <c r="IR397" s="6"/>
      <c r="IS397" s="6"/>
      <c r="IT397" s="6"/>
      <c r="IU397" s="6"/>
      <c r="IX397" s="6"/>
      <c r="IY397" s="6"/>
      <c r="JA397" s="6"/>
      <c r="JB397" s="6"/>
    </row>
    <row r="398" spans="2:262" x14ac:dyDescent="0.25">
      <c r="B398" s="281">
        <f>SUBTOTAL(3,$D$5:D398)</f>
        <v>394</v>
      </c>
      <c r="C398" s="286">
        <v>394</v>
      </c>
      <c r="D398" s="285" t="s">
        <v>673</v>
      </c>
      <c r="E398" s="308" t="s">
        <v>3168</v>
      </c>
      <c r="F398" s="308" t="s">
        <v>3169</v>
      </c>
      <c r="G398" s="319">
        <v>46300</v>
      </c>
      <c r="H398" s="308" t="s">
        <v>247</v>
      </c>
      <c r="I398" s="308" t="s">
        <v>278</v>
      </c>
      <c r="J398" s="450"/>
      <c r="K398" s="308"/>
      <c r="L398" s="286"/>
      <c r="M398" s="325" t="s">
        <v>251</v>
      </c>
      <c r="N398" s="477">
        <v>7481</v>
      </c>
      <c r="O398" s="477" t="s">
        <v>252</v>
      </c>
      <c r="P39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8" s="35">
        <v>0.51075431215752309</v>
      </c>
      <c r="S398" s="297">
        <f>_xlfn.XLOOKUP(Table1[[#This Row],[Nama Program]],'[2]Summary Plan'!$E:$E,'[2]Summary Plan'!$M:$M)</f>
        <v>0.63478983103142173</v>
      </c>
      <c r="T398" s="128">
        <f>Table1[[#This Row],[Progres Total Aktual
(%)]]</f>
        <v>0.10194630717048642</v>
      </c>
      <c r="U398" s="103">
        <f>Table1[[#This Row],[Progres Aktual
(%)]]-Table1[[#This Row],[Target Progres
(%)]]</f>
        <v>-0.53284352386093525</v>
      </c>
      <c r="V398" s="75">
        <v>7894</v>
      </c>
      <c r="W398" s="75">
        <f>Table1[[#This Row],[Total Panjang Pipa Aktual
(Sum-&gt;)3]]</f>
        <v>0</v>
      </c>
      <c r="X398" s="99"/>
      <c r="Y398" s="478" t="s">
        <v>3162</v>
      </c>
      <c r="Z398" s="62">
        <v>10857149703</v>
      </c>
      <c r="AA398" s="479">
        <f>ROUND((Table1[[#This Row],[Nilai RAB Jaringan
(Exclude Ppn)]]-Table1[[#This Row],[RAB Perizinan]])*1.11+Table1[[#This Row],[RAB Perizinan]],0)</f>
        <v>10857149703</v>
      </c>
      <c r="AB398" s="453">
        <f>SUM(Table1[[#This Row],[RAB Kegiatan Umum]:[RAB Perizinan]])</f>
        <v>9788629552</v>
      </c>
      <c r="AC398" s="406">
        <v>719438438</v>
      </c>
      <c r="AD398" s="406">
        <v>7194384376</v>
      </c>
      <c r="AE398" s="406">
        <v>1799996738</v>
      </c>
      <c r="AF398" s="406">
        <v>74810000</v>
      </c>
      <c r="AG398" s="504"/>
      <c r="AH398" s="480">
        <f>SUM(Table1[[#This Row],[Bobot Keg Umum]:[Bobot Perizinan]])</f>
        <v>1</v>
      </c>
      <c r="AI398" s="480">
        <f>Table1[[#This Row],[RAB Kegiatan Umum]]/Table1[[#This Row],[Nilai RAB Jaringan
(Exclude Ppn)]]</f>
        <v>7.3497360808082196E-2</v>
      </c>
      <c r="AJ398" s="480">
        <f>Table1[[#This Row],[RAB Pemasangan]]/Table1[[#This Row],[Nilai RAB Jaringan
(Exclude Ppn)]]</f>
        <v>0.73497360767218456</v>
      </c>
      <c r="AK398" s="111">
        <f>Table1[[#This Row],[RAB Pengadaan]]/Table1[[#This Row],[Nilai RAB Jaringan
(Exclude Ppn)]]</f>
        <v>0.18388649079402816</v>
      </c>
      <c r="AL398" s="112">
        <f>Table1[[#This Row],[RAB Perizinan]]/Table1[[#This Row],[Nilai RAB Jaringan
(Exclude Ppn)]]</f>
        <v>7.6425407257050522E-3</v>
      </c>
      <c r="AM398" s="42"/>
      <c r="AN398" s="256"/>
      <c r="AO398" s="256">
        <f>SUM(Table1[[#This Row],[Pipa 63 mm]:[Pipa 1,800 mm]])</f>
        <v>7894</v>
      </c>
      <c r="AP398" s="256">
        <v>5471</v>
      </c>
      <c r="AQ398" s="256">
        <v>2103</v>
      </c>
      <c r="AR398" s="256">
        <v>90</v>
      </c>
      <c r="AS398" s="256">
        <v>182</v>
      </c>
      <c r="AT398" s="256">
        <v>48</v>
      </c>
      <c r="AU398" s="256"/>
      <c r="AV398" s="256"/>
      <c r="AW398" s="256"/>
      <c r="AX398" s="256"/>
      <c r="AY398" s="256"/>
      <c r="AZ398" s="256"/>
      <c r="BA398" s="256"/>
      <c r="BB398" s="256"/>
      <c r="BC398" s="256"/>
      <c r="BD398" s="256"/>
      <c r="BE398" s="256"/>
      <c r="BF398" s="256"/>
      <c r="BG398" s="256"/>
      <c r="BH398" s="256"/>
      <c r="BI398" s="256"/>
      <c r="BJ398" s="36">
        <f>SUM(Table1[[#This Row],[Pipa 63 mm2]:[Pipa 1,800 mm21]])</f>
        <v>0</v>
      </c>
      <c r="BK398" s="32"/>
      <c r="BL398" s="32"/>
      <c r="BM398" s="32"/>
      <c r="BN398" s="32"/>
      <c r="BO398" s="32"/>
      <c r="BP398" s="32"/>
      <c r="BQ398" s="32"/>
      <c r="BR398" s="32"/>
      <c r="BS398" s="32"/>
      <c r="BT398" s="32"/>
      <c r="BU398" s="32"/>
      <c r="BV398" s="32"/>
      <c r="BW398" s="32"/>
      <c r="BX398" s="32"/>
      <c r="BY398" s="32"/>
      <c r="BZ398" s="32"/>
      <c r="CA398" s="32"/>
      <c r="CB398" s="32"/>
      <c r="CC398" s="32"/>
      <c r="CD398" s="32"/>
      <c r="CE398" s="32"/>
      <c r="CF398" s="32"/>
      <c r="CG398" s="32"/>
      <c r="CH398" s="32"/>
      <c r="CI398" s="32"/>
      <c r="CJ398" s="32">
        <f>IF((Table1[[#This Row],["Volume
BA MC-0"]]-Table1[[#This Row],[Total Panjang Pipa Aktual
(Sum-&gt;)3]]-Table1[[#This Row],[Total Volume
tidak dapat dipasang]])&gt;=0,Table1[[#This Row],["Volume
BA MC-0"]]-Table1[[#This Row],[Total Panjang Pipa Aktual
(Sum-&gt;)3]]-Table1[[#This Row],[Total Volume
tidak dapat dipasang]],0)</f>
        <v>0</v>
      </c>
      <c r="CK398" s="42"/>
      <c r="CL398" s="113"/>
      <c r="CM398" s="307"/>
      <c r="CN398" s="113"/>
      <c r="CO398" s="113"/>
      <c r="CP398"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0.10194630717048642</v>
      </c>
      <c r="CQ398" s="406">
        <f>IFERROR(Table1[[#This Row],[Progres Keg. Umum
(%)]]*Table1[[#This Row],[Nilai RAB Jaringan
(file pa aji)]],0)</f>
        <v>0</v>
      </c>
      <c r="CR398" s="406">
        <f>IFERROR(Table1[[#This Row],[Progres MOS
(%)]]*Table1[[#This Row],[Nilai RAB Jaringan
(file pa aji)]],0)</f>
        <v>0</v>
      </c>
      <c r="CS398" s="406">
        <f>IFERROR(Table1[[#This Row],[Progres Pemasangan
(%)]]*Table1[[#This Row],[Nilai RAB Jaringan
(file pa aji)]],0)</f>
        <v>0</v>
      </c>
      <c r="CT398" s="406">
        <f>IFERROR(Table1[[#This Row],[Progres Perizinan
(%)]]*Table1[[#This Row],[Nilai RAB Jaringan
(file pa aji)]],0)</f>
        <v>0</v>
      </c>
      <c r="CU398" s="789">
        <v>1106846318.6179934</v>
      </c>
      <c r="CV398" s="299">
        <v>1106846318.6179934</v>
      </c>
      <c r="CW398" s="481">
        <v>0</v>
      </c>
      <c r="CX398" s="789">
        <f>_xlfn.XLOOKUP(Table1[[#This Row],[Kode Program]],'[1]Breakdown VOWD Greenfield'!$E:$E,'[1]Breakdown VOWD Greenfield'!$AT:$AT)</f>
        <v>0</v>
      </c>
      <c r="CY398" s="42"/>
      <c r="CZ398" s="301">
        <v>45929</v>
      </c>
      <c r="DA398" s="301">
        <v>45963</v>
      </c>
      <c r="DB398" s="301">
        <v>45950</v>
      </c>
      <c r="DC398" s="505" t="s">
        <v>3170</v>
      </c>
      <c r="DD398" s="478">
        <f>10782339702.72+74810000</f>
        <v>10857149702.719999</v>
      </c>
      <c r="DE39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8" s="301">
        <v>45957</v>
      </c>
      <c r="DG398" s="505" t="s">
        <v>3171</v>
      </c>
      <c r="DH398" s="478">
        <f>10782339702.72+74810000</f>
        <v>10857149702.719999</v>
      </c>
      <c r="DI39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8" s="301">
        <v>45964</v>
      </c>
      <c r="DK398" s="301">
        <v>46082</v>
      </c>
      <c r="DL398" s="301">
        <v>46056</v>
      </c>
      <c r="DM398" s="286" t="s">
        <v>3172</v>
      </c>
      <c r="DN39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8" s="301">
        <v>46062</v>
      </c>
      <c r="DP398" s="286" t="s">
        <v>3173</v>
      </c>
      <c r="DQ398" s="308" t="s">
        <v>1542</v>
      </c>
      <c r="DR39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8" s="301">
        <v>45964</v>
      </c>
      <c r="DT398" s="301">
        <v>46164</v>
      </c>
      <c r="DU398" s="301">
        <v>46012</v>
      </c>
      <c r="DV398" s="301">
        <v>46178</v>
      </c>
      <c r="DW398" s="301">
        <v>46058</v>
      </c>
      <c r="DX398" t="s">
        <v>3174</v>
      </c>
      <c r="DY398" s="482">
        <v>128</v>
      </c>
      <c r="DZ398" s="482">
        <v>128</v>
      </c>
      <c r="EA39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8" s="301"/>
      <c r="EC398" s="482">
        <v>128</v>
      </c>
      <c r="ED398" s="482">
        <v>128</v>
      </c>
      <c r="EE398" s="100"/>
      <c r="EF398" s="307">
        <v>1</v>
      </c>
      <c r="EG398" s="307">
        <f>Table1[[#This Row],[Line PO]]/Table1[[#This Row],[Line PR]]</f>
        <v>1</v>
      </c>
      <c r="EH398" s="286" t="str">
        <f>IF(Table1[[#This Row],[PO Material Aktual 
(%)]]&gt;=100%,"Selesai PO = 100%",IF(Table1[[#This Row],[PO Material Aktual 
(%)]]&gt;=50%,"Proses PO &gt; 100%",IF(Table1[[#This Row],[PO Material Aktual 
(%)]]&gt;0%,"Proses PO &gt; 50%",IF(Table1[[#This Row],[PO Material Aktual 
(%)]]=0,"Belum PO = 0%"))))</f>
        <v>Selesai PO = 100%</v>
      </c>
      <c r="EI39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8" s="301">
        <v>46013</v>
      </c>
      <c r="EK398" s="301">
        <v>46178</v>
      </c>
      <c r="EL398" s="301">
        <v>46201</v>
      </c>
      <c r="EM398" s="301">
        <v>46203</v>
      </c>
      <c r="EN398" s="301"/>
      <c r="EO398" s="482">
        <v>52</v>
      </c>
      <c r="EP398" s="482">
        <v>52</v>
      </c>
      <c r="EQ398" s="307">
        <v>0.40625</v>
      </c>
      <c r="ER398" s="307">
        <f>Table1[[#This Row],[Line MOS]]/Table1[[#This Row],[Line PR]]</f>
        <v>0.40625</v>
      </c>
      <c r="ES398" s="286" t="str">
        <f>IF(Table1[[#This Row],[Progres MOS]]&gt;=100%,"Selesai MOS = 100%",IF(Table1[[#This Row],[Progres MOS]]&gt;=50%,"Proses MOS &gt; 100%",IF(Table1[[#This Row],[Progres MOS]]&gt;0%,"Proses MOS &gt; 50%",IF(Table1[[#This Row],[Progres MOS]]=0,"Belum MOS = 0%"))))</f>
        <v>Proses MOS &gt; 50%</v>
      </c>
      <c r="ET39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8" s="42"/>
      <c r="EV398" s="301">
        <v>45964</v>
      </c>
      <c r="EW398" s="301">
        <v>46153</v>
      </c>
      <c r="EX398" s="301">
        <v>46110</v>
      </c>
      <c r="EY398" s="301">
        <v>46183</v>
      </c>
      <c r="EZ398" s="322" t="s">
        <v>2769</v>
      </c>
      <c r="FA398" s="379" t="s">
        <v>2769</v>
      </c>
      <c r="FB398" s="301"/>
      <c r="FC398" s="300">
        <v>45993</v>
      </c>
      <c r="FD398" s="301" t="s">
        <v>260</v>
      </c>
      <c r="FE398" s="301"/>
      <c r="FF398" s="301"/>
      <c r="FG398" s="301"/>
      <c r="FH398" s="301"/>
      <c r="FI398" s="301"/>
      <c r="FJ398" s="301"/>
      <c r="FK398" s="301"/>
      <c r="FL398" s="322" t="s">
        <v>2780</v>
      </c>
      <c r="FM398" s="322"/>
      <c r="FN398" s="308" t="str">
        <f>IF(Table1[[#This Row],[Tanggal Pengajuan Dokumen]]="","",Table1[[#This Row],[PLAN PERMIT
start]]-Table1[[#This Row],[Tanggal Pengajuan Dokumen]])</f>
        <v/>
      </c>
      <c r="FO398" s="322"/>
      <c r="FP398" s="286"/>
      <c r="FQ398" s="308"/>
      <c r="FR398" s="301"/>
      <c r="FS398" s="308"/>
      <c r="FT39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8" s="314">
        <f ca="1">IF(Table1[[#This Row],[Status Izin]]="Selesai",Table1[[#This Row],[PLAN PERMIT
finish]]-Table1[[#This Row],[Tanggal Terbit/ Target Izin Terbit]],ROUNDUP(Table1[[#This Row],[PLAN PERMIT
finish]]-NOW(),0))</f>
        <v>-94</v>
      </c>
      <c r="FV39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8" s="314"/>
      <c r="FX398" s="42"/>
      <c r="FY398" s="483">
        <v>46069</v>
      </c>
      <c r="FZ398" s="483">
        <v>46066</v>
      </c>
      <c r="GA39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8" s="301">
        <v>46083</v>
      </c>
      <c r="GC398" s="322">
        <v>46071</v>
      </c>
      <c r="GD39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8" s="301">
        <v>46090</v>
      </c>
      <c r="GF398" s="322">
        <v>46073</v>
      </c>
      <c r="GG39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8" s="301">
        <v>46097</v>
      </c>
      <c r="GI398" s="301">
        <v>46103</v>
      </c>
      <c r="GJ398" s="322">
        <v>46078</v>
      </c>
      <c r="GK39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8" s="301">
        <v>46111</v>
      </c>
      <c r="GM398" s="301">
        <v>46206</v>
      </c>
      <c r="GN398" s="301">
        <v>46222</v>
      </c>
      <c r="GO398" s="300">
        <v>46275</v>
      </c>
      <c r="GP398" s="286"/>
      <c r="GQ39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8" s="301"/>
      <c r="GS398" s="301"/>
      <c r="GT398" s="324"/>
      <c r="GU398" s="314" t="str">
        <f>IF(Table1[[#This Row],[Hydro Tes Actual
(tanggal)]]&lt;&gt;"","Sudah","Belum")</f>
        <v>Belum</v>
      </c>
      <c r="GV398" s="300"/>
      <c r="GW398" s="300"/>
      <c r="GX398" s="301"/>
      <c r="GY398" s="314" t="str">
        <f>IF(Table1[[#This Row],[Interkoneksi Actual
(tanggal)]]&lt;&gt;"","Sudah","Belum")</f>
        <v>Belum</v>
      </c>
      <c r="GZ398" s="300"/>
      <c r="HA398" s="300"/>
      <c r="HB398" s="301"/>
      <c r="HC398" s="314" t="str">
        <f>IF(Table1[[#This Row],[Flushing Actual
(tanggal)]]&lt;&gt;"","Sudah","Belum")</f>
        <v>Belum</v>
      </c>
      <c r="HD398" s="301">
        <v>46225</v>
      </c>
      <c r="HE398" s="301">
        <v>46276</v>
      </c>
      <c r="HF398" s="301">
        <v>46230</v>
      </c>
      <c r="HG398" s="322"/>
      <c r="HH39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8" s="300"/>
      <c r="HJ398" s="300"/>
      <c r="HK398" s="301"/>
      <c r="HL398" s="301"/>
      <c r="HM398" s="301">
        <v>46247</v>
      </c>
      <c r="HN398" s="301">
        <v>46247</v>
      </c>
      <c r="HO398" s="300">
        <v>46293</v>
      </c>
      <c r="HP398" s="300"/>
      <c r="HQ398" s="301"/>
      <c r="HR39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8" s="301">
        <v>46255</v>
      </c>
      <c r="HT398" s="301"/>
      <c r="HU398" s="301">
        <v>46255</v>
      </c>
      <c r="HV398" s="390"/>
      <c r="HW398" s="365"/>
      <c r="HX39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8" s="42"/>
      <c r="HZ398" s="322"/>
      <c r="IA398" s="306"/>
      <c r="IB398" s="67"/>
      <c r="IC398" s="585">
        <f>IFERROR(ROUND((Table1[[#This Row],[PLAN TC
finish]]-Table1[[#This Row],[PLAN MC-0
start]])/30,2),"")</f>
        <v>4.43</v>
      </c>
      <c r="ID398">
        <f>DATEDIF(Table1[[#This Row],[PLAN MC-0
start]],Table1[[#This Row],[PLAN TC
finish]],"m")</f>
        <v>4</v>
      </c>
      <c r="IE398" s="6"/>
      <c r="IF398" s="6"/>
      <c r="IG398" s="67"/>
      <c r="II398" s="6"/>
      <c r="IJ398" s="4"/>
      <c r="IK398" s="4"/>
      <c r="IL398" s="6"/>
      <c r="IM398" s="6"/>
      <c r="IN398" s="6"/>
      <c r="IO398" s="6"/>
      <c r="IP398" s="6"/>
      <c r="IR398" s="6"/>
      <c r="IS398" s="6"/>
      <c r="IT398" s="6"/>
      <c r="IU398" s="6"/>
      <c r="IX398" s="6"/>
      <c r="IY398" s="6"/>
      <c r="JA398" s="6"/>
      <c r="JB398" s="6"/>
    </row>
    <row r="399" spans="2:262" ht="15" customHeight="1" x14ac:dyDescent="0.25">
      <c r="B399" s="281">
        <f>SUBTOTAL(3,$D$5:D399)</f>
        <v>395</v>
      </c>
      <c r="C399" s="286">
        <v>395</v>
      </c>
      <c r="D399" s="285" t="s">
        <v>673</v>
      </c>
      <c r="E399" s="308" t="s">
        <v>3175</v>
      </c>
      <c r="F399" s="308" t="s">
        <v>3176</v>
      </c>
      <c r="G399" s="319">
        <v>46300</v>
      </c>
      <c r="H399" s="308" t="s">
        <v>247</v>
      </c>
      <c r="I399" s="308" t="s">
        <v>278</v>
      </c>
      <c r="J399" s="450"/>
      <c r="K399" s="308"/>
      <c r="L399" s="286"/>
      <c r="M399" s="325" t="s">
        <v>251</v>
      </c>
      <c r="N399" s="477">
        <v>13619</v>
      </c>
      <c r="O399" s="477" t="s">
        <v>252</v>
      </c>
      <c r="P39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39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399" s="35">
        <v>0.51532436719512742</v>
      </c>
      <c r="S399" s="297">
        <f>_xlfn.XLOOKUP(Table1[[#This Row],[Nama Program]],'[2]Summary Plan'!$E:$E,'[2]Summary Plan'!$M:$M)</f>
        <v>0.63821238663655055</v>
      </c>
      <c r="T399" s="128">
        <f>Table1[[#This Row],[Progres Total Aktual
(%)]]</f>
        <v>0.1260008195028304</v>
      </c>
      <c r="U399" s="103">
        <f>Table1[[#This Row],[Progres Aktual
(%)]]-Table1[[#This Row],[Target Progres
(%)]]</f>
        <v>-0.51221156713372018</v>
      </c>
      <c r="V399" s="75">
        <v>13728</v>
      </c>
      <c r="W399" s="75">
        <f>Table1[[#This Row],[Total Panjang Pipa Aktual
(Sum-&gt;)3]]</f>
        <v>0</v>
      </c>
      <c r="X399" s="99"/>
      <c r="Y399" s="478" t="s">
        <v>3162</v>
      </c>
      <c r="Z399" s="62">
        <v>20533334817</v>
      </c>
      <c r="AA399" s="479">
        <f>ROUND((Table1[[#This Row],[Nilai RAB Jaringan
(Exclude Ppn)]]-Table1[[#This Row],[RAB Perizinan]])*1.11+Table1[[#This Row],[RAB Perizinan]],0)</f>
        <v>20533334817</v>
      </c>
      <c r="AB399" s="453">
        <f>SUM(Table1[[#This Row],[RAB Kegiatan Umum]:[RAB Perizinan]])</f>
        <v>18511996141</v>
      </c>
      <c r="AC399" s="406">
        <v>1340358075</v>
      </c>
      <c r="AD399" s="406">
        <v>13403580744</v>
      </c>
      <c r="AE399" s="406">
        <v>3631867322</v>
      </c>
      <c r="AF399" s="406">
        <v>136190000</v>
      </c>
      <c r="AG399" s="504"/>
      <c r="AH399" s="480">
        <f>SUM(Table1[[#This Row],[Bobot Keg Umum]:[Bobot Perizinan]])</f>
        <v>0.99999999999999989</v>
      </c>
      <c r="AI399" s="480">
        <f>Table1[[#This Row],[RAB Kegiatan Umum]]/Table1[[#This Row],[Nilai RAB Jaringan
(Exclude Ppn)]]</f>
        <v>7.2404837641004124E-2</v>
      </c>
      <c r="AJ399" s="480">
        <f>Table1[[#This Row],[RAB Pemasangan]]/Table1[[#This Row],[Nilai RAB Jaringan
(Exclude Ppn)]]</f>
        <v>0.72404837608592709</v>
      </c>
      <c r="AK399" s="111">
        <f>Table1[[#This Row],[RAB Pengadaan]]/Table1[[#This Row],[Nilai RAB Jaringan
(Exclude Ppn)]]</f>
        <v>0.19618993512840102</v>
      </c>
      <c r="AL399" s="112">
        <f>Table1[[#This Row],[RAB Perizinan]]/Table1[[#This Row],[Nilai RAB Jaringan
(Exclude Ppn)]]</f>
        <v>7.356851144667706E-3</v>
      </c>
      <c r="AM399" s="42"/>
      <c r="AN399" s="256"/>
      <c r="AO399" s="256">
        <f>SUM(Table1[[#This Row],[Pipa 63 mm]:[Pipa 1,800 mm]])</f>
        <v>13746</v>
      </c>
      <c r="AP399" s="256">
        <v>11386</v>
      </c>
      <c r="AQ399" s="256">
        <v>1608</v>
      </c>
      <c r="AR399" s="256">
        <v>578</v>
      </c>
      <c r="AS399" s="256">
        <v>168</v>
      </c>
      <c r="AT399" s="256">
        <v>6</v>
      </c>
      <c r="AU399" s="256"/>
      <c r="AV399" s="256"/>
      <c r="AW399" s="256"/>
      <c r="AX399" s="256"/>
      <c r="AY399" s="256"/>
      <c r="AZ399" s="256"/>
      <c r="BA399" s="256"/>
      <c r="BB399" s="256"/>
      <c r="BC399" s="256"/>
      <c r="BD399" s="256"/>
      <c r="BE399" s="256"/>
      <c r="BF399" s="256"/>
      <c r="BG399" s="256"/>
      <c r="BH399" s="256"/>
      <c r="BI399" s="256"/>
      <c r="BJ399" s="36">
        <f>SUM(Table1[[#This Row],[Pipa 63 mm2]:[Pipa 1,800 mm21]])</f>
        <v>0</v>
      </c>
      <c r="BK399" s="32"/>
      <c r="BL399" s="32"/>
      <c r="BM399" s="32"/>
      <c r="BN399" s="32"/>
      <c r="BO399" s="32"/>
      <c r="BP399" s="32"/>
      <c r="BQ399" s="32"/>
      <c r="BR399" s="32"/>
      <c r="BS399" s="32"/>
      <c r="BT399" s="32"/>
      <c r="BU399" s="32"/>
      <c r="BV399" s="32"/>
      <c r="BW399" s="32"/>
      <c r="BX399" s="32"/>
      <c r="BY399" s="32"/>
      <c r="BZ399" s="32"/>
      <c r="CA399" s="32"/>
      <c r="CB399" s="32"/>
      <c r="CC399" s="32"/>
      <c r="CD399" s="32"/>
      <c r="CE399" s="32"/>
      <c r="CF399" s="32"/>
      <c r="CG399" s="32"/>
      <c r="CH399" s="32"/>
      <c r="CI399" s="32"/>
      <c r="CJ399" s="32">
        <f>IF((Table1[[#This Row],["Volume
BA MC-0"]]-Table1[[#This Row],[Total Panjang Pipa Aktual
(Sum-&gt;)3]]-Table1[[#This Row],[Total Volume
tidak dapat dipasang]])&gt;=0,Table1[[#This Row],["Volume
BA MC-0"]]-Table1[[#This Row],[Total Panjang Pipa Aktual
(Sum-&gt;)3]]-Table1[[#This Row],[Total Volume
tidak dapat dipasang]],0)</f>
        <v>0</v>
      </c>
      <c r="CK399" s="42"/>
      <c r="CL399" s="113"/>
      <c r="CM399" s="307"/>
      <c r="CN399" s="113"/>
      <c r="CO399" s="113"/>
      <c r="CP399"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0.1260008195028304</v>
      </c>
      <c r="CQ399" s="406">
        <f>IFERROR(Table1[[#This Row],[Progres Keg. Umum
(%)]]*Table1[[#This Row],[Nilai RAB Jaringan
(file pa aji)]],0)</f>
        <v>0</v>
      </c>
      <c r="CR399" s="406">
        <f>IFERROR(Table1[[#This Row],[Progres MOS
(%)]]*Table1[[#This Row],[Nilai RAB Jaringan
(file pa aji)]],0)</f>
        <v>0</v>
      </c>
      <c r="CS399" s="406">
        <f>IFERROR(Table1[[#This Row],[Progres Pemasangan
(%)]]*Table1[[#This Row],[Nilai RAB Jaringan
(file pa aji)]],0)</f>
        <v>0</v>
      </c>
      <c r="CT399" s="406">
        <f>IFERROR(Table1[[#This Row],[Progres Perizinan
(%)]]*Table1[[#This Row],[Nilai RAB Jaringan
(file pa aji)]],0)</f>
        <v>0</v>
      </c>
      <c r="CU399" s="789">
        <v>2587217014.0680003</v>
      </c>
      <c r="CV399" s="299">
        <v>2587217014.0680003</v>
      </c>
      <c r="CW399" s="481">
        <v>0</v>
      </c>
      <c r="CX399" s="789">
        <f>_xlfn.XLOOKUP(Table1[[#This Row],[Kode Program]],'[1]Breakdown VOWD Greenfield'!$E:$E,'[1]Breakdown VOWD Greenfield'!$AT:$AT)</f>
        <v>0</v>
      </c>
      <c r="CY399" s="42"/>
      <c r="CZ399" s="301">
        <v>45929</v>
      </c>
      <c r="DA399" s="301">
        <v>45963</v>
      </c>
      <c r="DB399" s="301">
        <v>45950</v>
      </c>
      <c r="DC399" s="505" t="s">
        <v>3177</v>
      </c>
      <c r="DD399" s="478">
        <f>20397144816.51+136190000</f>
        <v>20533334816.509998</v>
      </c>
      <c r="DE39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399" s="301">
        <v>45957</v>
      </c>
      <c r="DG399" s="505" t="s">
        <v>3178</v>
      </c>
      <c r="DH399" s="478">
        <f>20397144816.51+136190000</f>
        <v>20533334816.509998</v>
      </c>
      <c r="DI39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399" s="301">
        <v>45964</v>
      </c>
      <c r="DK399" s="301">
        <v>46082</v>
      </c>
      <c r="DL399" s="301">
        <v>46056</v>
      </c>
      <c r="DM399" s="286" t="s">
        <v>3179</v>
      </c>
      <c r="DN39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399" s="301">
        <v>46062</v>
      </c>
      <c r="DP399" s="286" t="s">
        <v>3180</v>
      </c>
      <c r="DQ399" s="308" t="s">
        <v>1542</v>
      </c>
      <c r="DR39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399" s="301">
        <v>45964</v>
      </c>
      <c r="DT399" s="301">
        <v>46164</v>
      </c>
      <c r="DU399" s="301">
        <v>46012</v>
      </c>
      <c r="DV399" s="301">
        <v>46178</v>
      </c>
      <c r="DW399" s="301">
        <v>46059</v>
      </c>
      <c r="DX399" t="s">
        <v>3181</v>
      </c>
      <c r="DY399" s="482">
        <v>113</v>
      </c>
      <c r="DZ399" s="482">
        <v>113</v>
      </c>
      <c r="EA39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399" s="301"/>
      <c r="EC399" s="482">
        <v>113</v>
      </c>
      <c r="ED399" s="482">
        <v>113</v>
      </c>
      <c r="EE399" s="100"/>
      <c r="EF399" s="307">
        <v>1</v>
      </c>
      <c r="EG399" s="307">
        <f>Table1[[#This Row],[Line PO]]/Table1[[#This Row],[Line PR]]</f>
        <v>1</v>
      </c>
      <c r="EH399" s="286" t="str">
        <f>IF(Table1[[#This Row],[PO Material Aktual 
(%)]]&gt;=100%,"Selesai PO = 100%",IF(Table1[[#This Row],[PO Material Aktual 
(%)]]&gt;=50%,"Proses PO &gt; 100%",IF(Table1[[#This Row],[PO Material Aktual 
(%)]]&gt;0%,"Proses PO &gt; 50%",IF(Table1[[#This Row],[PO Material Aktual 
(%)]]=0,"Belum PO = 0%"))))</f>
        <v>Selesai PO = 100%</v>
      </c>
      <c r="EI39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399" s="301">
        <v>46013</v>
      </c>
      <c r="EK399" s="301">
        <v>46178</v>
      </c>
      <c r="EL399" s="301">
        <v>46201</v>
      </c>
      <c r="EM399" s="301">
        <v>46203</v>
      </c>
      <c r="EN399" s="301"/>
      <c r="EO399" s="482">
        <v>50</v>
      </c>
      <c r="EP399" s="482">
        <v>50</v>
      </c>
      <c r="EQ399" s="307">
        <v>0.44247787610619471</v>
      </c>
      <c r="ER399" s="307">
        <f>Table1[[#This Row],[Line MOS]]/Table1[[#This Row],[Line PR]]</f>
        <v>0.44247787610619471</v>
      </c>
      <c r="ES399" s="286" t="str">
        <f>IF(Table1[[#This Row],[Progres MOS]]&gt;=100%,"Selesai MOS = 100%",IF(Table1[[#This Row],[Progres MOS]]&gt;=50%,"Proses MOS &gt; 100%",IF(Table1[[#This Row],[Progres MOS]]&gt;0%,"Proses MOS &gt; 50%",IF(Table1[[#This Row],[Progres MOS]]=0,"Belum MOS = 0%"))))</f>
        <v>Proses MOS &gt; 50%</v>
      </c>
      <c r="ET39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399" s="42"/>
      <c r="EV399" s="301">
        <v>45964</v>
      </c>
      <c r="EW399" s="301">
        <v>46153</v>
      </c>
      <c r="EX399" s="301">
        <v>46110</v>
      </c>
      <c r="EY399" s="301">
        <v>46183</v>
      </c>
      <c r="EZ399" s="322" t="s">
        <v>1592</v>
      </c>
      <c r="FA399" s="379" t="s">
        <v>1592</v>
      </c>
      <c r="FB399" s="301"/>
      <c r="FC399" s="300">
        <v>45986</v>
      </c>
      <c r="FD399" s="301" t="s">
        <v>260</v>
      </c>
      <c r="FE399" s="301">
        <v>46045</v>
      </c>
      <c r="FF399" s="301"/>
      <c r="FG399" s="301"/>
      <c r="FH399" s="301"/>
      <c r="FI399" s="301"/>
      <c r="FJ399" s="301"/>
      <c r="FK399" s="301"/>
      <c r="FL399" s="322" t="s">
        <v>2827</v>
      </c>
      <c r="FM399" s="322"/>
      <c r="FN399" s="308" t="str">
        <f>IF(Table1[[#This Row],[Tanggal Pengajuan Dokumen]]="","",Table1[[#This Row],[PLAN PERMIT
start]]-Table1[[#This Row],[Tanggal Pengajuan Dokumen]])</f>
        <v/>
      </c>
      <c r="FO399" s="322"/>
      <c r="FP399" s="286"/>
      <c r="FQ399" s="308"/>
      <c r="FR399" s="301"/>
      <c r="FS399" s="308"/>
      <c r="FT39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399" s="314">
        <f ca="1">IF(Table1[[#This Row],[Status Izin]]="Selesai",Table1[[#This Row],[PLAN PERMIT
finish]]-Table1[[#This Row],[Tanggal Terbit/ Target Izin Terbit]],ROUNDUP(Table1[[#This Row],[PLAN PERMIT
finish]]-NOW(),0))</f>
        <v>-94</v>
      </c>
      <c r="FV39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399" s="314"/>
      <c r="FX399" s="42"/>
      <c r="FY399" s="483">
        <v>46069</v>
      </c>
      <c r="FZ399" s="483">
        <v>46066</v>
      </c>
      <c r="GA39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399" s="301">
        <v>46083</v>
      </c>
      <c r="GC399" s="322">
        <v>46071</v>
      </c>
      <c r="GD39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399" s="301">
        <v>46090</v>
      </c>
      <c r="GF399" s="322">
        <v>46073</v>
      </c>
      <c r="GG39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399" s="301">
        <v>46097</v>
      </c>
      <c r="GI399" s="301">
        <v>46103</v>
      </c>
      <c r="GJ399" s="322">
        <v>46080</v>
      </c>
      <c r="GK39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399" s="301">
        <v>46111</v>
      </c>
      <c r="GM399" s="301">
        <v>46206</v>
      </c>
      <c r="GN399" s="301">
        <v>46222</v>
      </c>
      <c r="GO399" s="300">
        <v>46275</v>
      </c>
      <c r="GP399" s="286"/>
      <c r="GQ39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399" s="301"/>
      <c r="GS399" s="301"/>
      <c r="GT399" s="324"/>
      <c r="GU399" s="314" t="str">
        <f>IF(Table1[[#This Row],[Hydro Tes Actual
(tanggal)]]&lt;&gt;"","Sudah","Belum")</f>
        <v>Belum</v>
      </c>
      <c r="GV399" s="300"/>
      <c r="GW399" s="300"/>
      <c r="GX399" s="301"/>
      <c r="GY399" s="314" t="str">
        <f>IF(Table1[[#This Row],[Interkoneksi Actual
(tanggal)]]&lt;&gt;"","Sudah","Belum")</f>
        <v>Belum</v>
      </c>
      <c r="GZ399" s="300"/>
      <c r="HA399" s="300"/>
      <c r="HB399" s="301"/>
      <c r="HC399" s="314" t="str">
        <f>IF(Table1[[#This Row],[Flushing Actual
(tanggal)]]&lt;&gt;"","Sudah","Belum")</f>
        <v>Belum</v>
      </c>
      <c r="HD399" s="301">
        <v>46225</v>
      </c>
      <c r="HE399" s="301">
        <v>46276</v>
      </c>
      <c r="HF399" s="301">
        <v>46230</v>
      </c>
      <c r="HG399" s="322"/>
      <c r="HH39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399" s="300"/>
      <c r="HJ399" s="300"/>
      <c r="HK399" s="301"/>
      <c r="HL399" s="301"/>
      <c r="HM399" s="301">
        <v>46247</v>
      </c>
      <c r="HN399" s="301">
        <v>46247</v>
      </c>
      <c r="HO399" s="300">
        <v>46293</v>
      </c>
      <c r="HP399" s="300"/>
      <c r="HQ399" s="301"/>
      <c r="HR39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399" s="301">
        <v>46255</v>
      </c>
      <c r="HT399" s="301"/>
      <c r="HU399" s="301">
        <v>46255</v>
      </c>
      <c r="HV399" s="390"/>
      <c r="HW399" s="365"/>
      <c r="HX39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399" s="42"/>
      <c r="HZ399" s="322"/>
      <c r="IA399" s="306"/>
      <c r="IB399" s="67"/>
      <c r="IC399" s="585">
        <f>IFERROR(ROUND((Table1[[#This Row],[PLAN TC
finish]]-Table1[[#This Row],[PLAN MC-0
start]])/30,2),"")</f>
        <v>4.43</v>
      </c>
      <c r="ID399">
        <f>DATEDIF(Table1[[#This Row],[PLAN MC-0
start]],Table1[[#This Row],[PLAN TC
finish]],"m")</f>
        <v>4</v>
      </c>
      <c r="IE399" s="6"/>
      <c r="IF399" s="6"/>
      <c r="IG399" s="67"/>
      <c r="II399" s="6"/>
      <c r="IJ399" s="4"/>
      <c r="IK399" s="4"/>
      <c r="IL399" s="6"/>
      <c r="IM399" s="6"/>
      <c r="IN399" s="6"/>
      <c r="IO399" s="6"/>
      <c r="IP399" s="6"/>
      <c r="IR399" s="6"/>
      <c r="IS399" s="6"/>
      <c r="IT399" s="6"/>
      <c r="IU399" s="6"/>
      <c r="IX399" s="6"/>
      <c r="IY399" s="6"/>
      <c r="JA399" s="6"/>
      <c r="JB399" s="6"/>
    </row>
    <row r="400" spans="2:262" ht="15" customHeight="1" x14ac:dyDescent="0.25">
      <c r="B400" s="281">
        <f>SUBTOTAL(3,$D$5:D400)</f>
        <v>396</v>
      </c>
      <c r="C400" s="286">
        <v>396</v>
      </c>
      <c r="D400" s="285" t="s">
        <v>673</v>
      </c>
      <c r="E400" s="308" t="s">
        <v>3182</v>
      </c>
      <c r="F400" s="308" t="s">
        <v>3183</v>
      </c>
      <c r="G400" s="319">
        <v>46300</v>
      </c>
      <c r="H400" s="308" t="s">
        <v>247</v>
      </c>
      <c r="I400" s="308" t="s">
        <v>278</v>
      </c>
      <c r="J400" s="450"/>
      <c r="K400" s="308"/>
      <c r="L400" s="286"/>
      <c r="M400" s="325" t="s">
        <v>251</v>
      </c>
      <c r="N400" s="477">
        <v>13978</v>
      </c>
      <c r="O400" s="477" t="s">
        <v>252</v>
      </c>
      <c r="P40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0" s="35">
        <v>0.49862813093772396</v>
      </c>
      <c r="S400" s="297">
        <f>_xlfn.XLOOKUP(Table1[[#This Row],[Nama Program]],'[2]Summary Plan'!$E:$E,'[2]Summary Plan'!$M:$M)</f>
        <v>0.62570852182982939</v>
      </c>
      <c r="T400" s="128">
        <f>Table1[[#This Row],[Progres Total Aktual
(%)]]</f>
        <v>5.8953278420863502E-2</v>
      </c>
      <c r="U400" s="103">
        <f>Table1[[#This Row],[Progres Aktual
(%)]]-Table1[[#This Row],[Target Progres
(%)]]</f>
        <v>-0.56675524340896588</v>
      </c>
      <c r="V400" s="75">
        <v>14406</v>
      </c>
      <c r="W400" s="75">
        <f>Table1[[#This Row],[Total Panjang Pipa Aktual
(Sum-&gt;)3]]</f>
        <v>0</v>
      </c>
      <c r="X400" s="99"/>
      <c r="Y400" s="478" t="s">
        <v>3162</v>
      </c>
      <c r="Z400" s="62">
        <v>18660886051</v>
      </c>
      <c r="AA400" s="479">
        <f>ROUND((Table1[[#This Row],[Nilai RAB Jaringan
(Exclude Ppn)]]-Table1[[#This Row],[RAB Perizinan]])*1.11+Table1[[#This Row],[RAB Perizinan]],0)</f>
        <v>18660886051</v>
      </c>
      <c r="AB400" s="453">
        <f>SUM(Table1[[#This Row],[RAB Kegiatan Umum]:[RAB Perizinan]])</f>
        <v>16825461127</v>
      </c>
      <c r="AC400" s="406">
        <v>1285348775</v>
      </c>
      <c r="AD400" s="406">
        <v>12853487745</v>
      </c>
      <c r="AE400" s="406">
        <v>2546844607</v>
      </c>
      <c r="AF400" s="406">
        <v>139780000</v>
      </c>
      <c r="AG400" s="504"/>
      <c r="AH400" s="480">
        <f>SUM(Table1[[#This Row],[Bobot Keg Umum]:[Bobot Perizinan]])</f>
        <v>1</v>
      </c>
      <c r="AI400" s="480">
        <f>Table1[[#This Row],[RAB Kegiatan Umum]]/Table1[[#This Row],[Nilai RAB Jaringan
(Exclude Ppn)]]</f>
        <v>7.6393078638266082E-2</v>
      </c>
      <c r="AJ400" s="480">
        <f>Table1[[#This Row],[RAB Pemasangan]]/Table1[[#This Row],[Nilai RAB Jaringan
(Exclude Ppn)]]</f>
        <v>0.76393078608549214</v>
      </c>
      <c r="AK400" s="111">
        <f>Table1[[#This Row],[RAB Pengadaan]]/Table1[[#This Row],[Nilai RAB Jaringan
(Exclude Ppn)]]</f>
        <v>0.15136848778028739</v>
      </c>
      <c r="AL400" s="112">
        <f>Table1[[#This Row],[RAB Perizinan]]/Table1[[#This Row],[Nilai RAB Jaringan
(Exclude Ppn)]]</f>
        <v>8.3076474959544212E-3</v>
      </c>
      <c r="AM400" s="42"/>
      <c r="AN400" s="256"/>
      <c r="AO400" s="256">
        <f>SUM(Table1[[#This Row],[Pipa 63 mm]:[Pipa 1,800 mm]])</f>
        <v>13978</v>
      </c>
      <c r="AP400" s="256">
        <v>10731</v>
      </c>
      <c r="AQ400" s="256">
        <v>2054</v>
      </c>
      <c r="AR400" s="256">
        <v>398</v>
      </c>
      <c r="AS400" s="256">
        <v>753</v>
      </c>
      <c r="AT400" s="256">
        <v>37</v>
      </c>
      <c r="AU400" s="256">
        <v>5</v>
      </c>
      <c r="AV400" s="256"/>
      <c r="AW400" s="256"/>
      <c r="AX400" s="256"/>
      <c r="AY400" s="256"/>
      <c r="AZ400" s="256"/>
      <c r="BA400" s="256"/>
      <c r="BB400" s="256"/>
      <c r="BC400" s="256"/>
      <c r="BD400" s="256"/>
      <c r="BE400" s="256"/>
      <c r="BF400" s="256"/>
      <c r="BG400" s="256"/>
      <c r="BH400" s="256"/>
      <c r="BI400" s="256"/>
      <c r="BJ400" s="36">
        <f>SUM(Table1[[#This Row],[Pipa 63 mm2]:[Pipa 1,800 mm21]])</f>
        <v>0</v>
      </c>
      <c r="BK400" s="32"/>
      <c r="BL400" s="32"/>
      <c r="BM400" s="32"/>
      <c r="BN400" s="32"/>
      <c r="BO400" s="32"/>
      <c r="BP400" s="32"/>
      <c r="BQ400" s="32"/>
      <c r="BR400" s="32"/>
      <c r="BS400" s="32"/>
      <c r="BT400" s="32"/>
      <c r="BU400" s="32"/>
      <c r="BV400" s="32"/>
      <c r="BW400" s="32"/>
      <c r="BX400" s="32"/>
      <c r="BY400" s="32"/>
      <c r="BZ400" s="32"/>
      <c r="CA400" s="32"/>
      <c r="CB400" s="32"/>
      <c r="CC400" s="32"/>
      <c r="CD400" s="32"/>
      <c r="CE400" s="32"/>
      <c r="CF400" s="32"/>
      <c r="CG400" s="32"/>
      <c r="CH400" s="32"/>
      <c r="CI400" s="32"/>
      <c r="CJ400" s="32">
        <f>IF((Table1[[#This Row],["Volume
BA MC-0"]]-Table1[[#This Row],[Total Panjang Pipa Aktual
(Sum-&gt;)3]]-Table1[[#This Row],[Total Volume
tidak dapat dipasang]])&gt;=0,Table1[[#This Row],["Volume
BA MC-0"]]-Table1[[#This Row],[Total Panjang Pipa Aktual
(Sum-&gt;)3]]-Table1[[#This Row],[Total Volume
tidak dapat dipasang]],0)</f>
        <v>0</v>
      </c>
      <c r="CK400" s="42"/>
      <c r="CL400" s="113"/>
      <c r="CM400" s="307"/>
      <c r="CN400" s="113"/>
      <c r="CO400" s="113"/>
      <c r="CP400"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5.8953278420863502E-2</v>
      </c>
      <c r="CQ400" s="406">
        <f>IFERROR(Table1[[#This Row],[Progres Keg. Umum
(%)]]*Table1[[#This Row],[Nilai RAB Jaringan
(file pa aji)]],0)</f>
        <v>0</v>
      </c>
      <c r="CR400" s="406">
        <f>IFERROR(Table1[[#This Row],[Progres MOS
(%)]]*Table1[[#This Row],[Nilai RAB Jaringan
(file pa aji)]],0)</f>
        <v>0</v>
      </c>
      <c r="CS400" s="406">
        <f>IFERROR(Table1[[#This Row],[Progres Pemasangan
(%)]]*Table1[[#This Row],[Nilai RAB Jaringan
(file pa aji)]],0)</f>
        <v>0</v>
      </c>
      <c r="CT400" s="406">
        <f>IFERROR(Table1[[#This Row],[Progres Perizinan
(%)]]*Table1[[#This Row],[Nilai RAB Jaringan
(file pa aji)]],0)</f>
        <v>0</v>
      </c>
      <c r="CU400" s="789">
        <v>1100120410.9446111</v>
      </c>
      <c r="CV400" s="299">
        <v>1100120410.9446111</v>
      </c>
      <c r="CW400" s="481">
        <v>0</v>
      </c>
      <c r="CX400" s="789">
        <f>_xlfn.XLOOKUP(Table1[[#This Row],[Kode Program]],'[1]Breakdown VOWD Greenfield'!$E:$E,'[1]Breakdown VOWD Greenfield'!$AT:$AT)</f>
        <v>0</v>
      </c>
      <c r="CY400" s="42"/>
      <c r="CZ400" s="301">
        <v>45929</v>
      </c>
      <c r="DA400" s="301">
        <v>45963</v>
      </c>
      <c r="DB400" s="301">
        <v>45951</v>
      </c>
      <c r="DC400" s="505" t="s">
        <v>3184</v>
      </c>
      <c r="DD400" s="506">
        <f>18521106050.97+139780000</f>
        <v>18660886050.970001</v>
      </c>
      <c r="DE40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0" s="301">
        <v>45957</v>
      </c>
      <c r="DG400" s="505" t="s">
        <v>3185</v>
      </c>
      <c r="DH400" s="506">
        <f>18521106050.97+139780000</f>
        <v>18660886050.970001</v>
      </c>
      <c r="DI40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0" s="301">
        <v>45964</v>
      </c>
      <c r="DK400" s="301">
        <v>46082</v>
      </c>
      <c r="DL400" s="301">
        <v>46055</v>
      </c>
      <c r="DM400" s="286" t="s">
        <v>3186</v>
      </c>
      <c r="DN40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0" s="301">
        <v>46087</v>
      </c>
      <c r="DP400" s="286" t="s">
        <v>3187</v>
      </c>
      <c r="DQ400" s="308" t="s">
        <v>1954</v>
      </c>
      <c r="DR40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0" s="301">
        <v>45964</v>
      </c>
      <c r="DT400" s="301">
        <v>46164</v>
      </c>
      <c r="DU400" s="301">
        <v>46012</v>
      </c>
      <c r="DV400" s="301">
        <v>46178</v>
      </c>
      <c r="DW400" s="301">
        <v>46058</v>
      </c>
      <c r="DX400" t="s">
        <v>3188</v>
      </c>
      <c r="DY400" s="482">
        <v>128</v>
      </c>
      <c r="DZ400" s="482">
        <v>128</v>
      </c>
      <c r="EA40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0" s="301"/>
      <c r="EC400" s="304">
        <v>128</v>
      </c>
      <c r="ED400" s="304">
        <v>128</v>
      </c>
      <c r="EE400" s="100"/>
      <c r="EF400" s="307">
        <v>1</v>
      </c>
      <c r="EG400" s="307">
        <f>Table1[[#This Row],[Line PO]]/Table1[[#This Row],[Line PR]]</f>
        <v>1</v>
      </c>
      <c r="EH400" s="286" t="str">
        <f>IF(Table1[[#This Row],[PO Material Aktual 
(%)]]&gt;=100%,"Selesai PO = 100%",IF(Table1[[#This Row],[PO Material Aktual 
(%)]]&gt;=50%,"Proses PO &gt; 100%",IF(Table1[[#This Row],[PO Material Aktual 
(%)]]&gt;0%,"Proses PO &gt; 50%",IF(Table1[[#This Row],[PO Material Aktual 
(%)]]=0,"Belum PO = 0%"))))</f>
        <v>Selesai PO = 100%</v>
      </c>
      <c r="EI40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0" s="301">
        <v>46013</v>
      </c>
      <c r="EK400" s="301">
        <v>46178</v>
      </c>
      <c r="EL400" s="301">
        <v>46201</v>
      </c>
      <c r="EM400" s="301">
        <v>46203</v>
      </c>
      <c r="EN400" s="301"/>
      <c r="EO400" s="482">
        <v>43</v>
      </c>
      <c r="EP400" s="482">
        <v>43</v>
      </c>
      <c r="EQ400" s="307">
        <v>0.3359375</v>
      </c>
      <c r="ER400" s="307">
        <f>Table1[[#This Row],[Line MOS]]/Table1[[#This Row],[Line PR]]</f>
        <v>0.3359375</v>
      </c>
      <c r="ES400" s="286" t="str">
        <f>IF(Table1[[#This Row],[Progres MOS]]&gt;=100%,"Selesai MOS = 100%",IF(Table1[[#This Row],[Progres MOS]]&gt;=50%,"Proses MOS &gt; 100%",IF(Table1[[#This Row],[Progres MOS]]&gt;0%,"Proses MOS &gt; 50%",IF(Table1[[#This Row],[Progres MOS]]=0,"Belum MOS = 0%"))))</f>
        <v>Proses MOS &gt; 50%</v>
      </c>
      <c r="ET40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0" s="42"/>
      <c r="EV400" s="301">
        <v>45964</v>
      </c>
      <c r="EW400" s="301">
        <v>46153</v>
      </c>
      <c r="EX400" s="301">
        <v>46110</v>
      </c>
      <c r="EY400" s="301">
        <v>46183</v>
      </c>
      <c r="EZ400" s="322" t="s">
        <v>2769</v>
      </c>
      <c r="FA400" s="379" t="s">
        <v>2769</v>
      </c>
      <c r="FB400" s="301"/>
      <c r="FC400" s="300">
        <v>45986</v>
      </c>
      <c r="FD400" s="301" t="s">
        <v>260</v>
      </c>
      <c r="FE400" s="301">
        <v>46045</v>
      </c>
      <c r="FF400" s="301"/>
      <c r="FG400" s="301"/>
      <c r="FH400" s="301"/>
      <c r="FI400" s="301"/>
      <c r="FJ400" s="301"/>
      <c r="FK400" s="301"/>
      <c r="FL400" s="322" t="s">
        <v>2827</v>
      </c>
      <c r="FM400" s="322"/>
      <c r="FN400" s="308" t="str">
        <f>IF(Table1[[#This Row],[Tanggal Pengajuan Dokumen]]="","",Table1[[#This Row],[PLAN PERMIT
start]]-Table1[[#This Row],[Tanggal Pengajuan Dokumen]])</f>
        <v/>
      </c>
      <c r="FO400" s="322"/>
      <c r="FP400" s="286"/>
      <c r="FQ400" s="308"/>
      <c r="FR400" s="301"/>
      <c r="FS400" s="308"/>
      <c r="FT40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0" s="314">
        <f ca="1">IF(Table1[[#This Row],[Status Izin]]="Selesai",Table1[[#This Row],[PLAN PERMIT
finish]]-Table1[[#This Row],[Tanggal Terbit/ Target Izin Terbit]],ROUNDUP(Table1[[#This Row],[PLAN PERMIT
finish]]-NOW(),0))</f>
        <v>-94</v>
      </c>
      <c r="FV40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0" s="314"/>
      <c r="FX400" s="42"/>
      <c r="FY400" s="483">
        <v>46069</v>
      </c>
      <c r="FZ400" s="483">
        <v>46066</v>
      </c>
      <c r="GA40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0" s="301">
        <v>46083</v>
      </c>
      <c r="GC400" s="322">
        <v>46083</v>
      </c>
      <c r="GD40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0" s="301">
        <v>46090</v>
      </c>
      <c r="GF400" s="322">
        <v>46087</v>
      </c>
      <c r="GG40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0" s="301">
        <v>46097</v>
      </c>
      <c r="GI400" s="301">
        <v>46103</v>
      </c>
      <c r="GJ400" s="322">
        <v>46095</v>
      </c>
      <c r="GK40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0" s="301">
        <v>46111</v>
      </c>
      <c r="GM400" s="301">
        <v>46206</v>
      </c>
      <c r="GN400" s="301">
        <v>46222</v>
      </c>
      <c r="GO400" s="300">
        <v>46275</v>
      </c>
      <c r="GP400" s="286"/>
      <c r="GQ40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0" s="301"/>
      <c r="GS400" s="301"/>
      <c r="GT400" s="324"/>
      <c r="GU400" s="314" t="str">
        <f>IF(Table1[[#This Row],[Hydro Tes Actual
(tanggal)]]&lt;&gt;"","Sudah","Belum")</f>
        <v>Belum</v>
      </c>
      <c r="GV400" s="300"/>
      <c r="GW400" s="300"/>
      <c r="GX400" s="301"/>
      <c r="GY400" s="314" t="str">
        <f>IF(Table1[[#This Row],[Interkoneksi Actual
(tanggal)]]&lt;&gt;"","Sudah","Belum")</f>
        <v>Belum</v>
      </c>
      <c r="GZ400" s="300"/>
      <c r="HA400" s="300"/>
      <c r="HB400" s="301"/>
      <c r="HC400" s="314" t="str">
        <f>IF(Table1[[#This Row],[Flushing Actual
(tanggal)]]&lt;&gt;"","Sudah","Belum")</f>
        <v>Belum</v>
      </c>
      <c r="HD400" s="301">
        <v>46225</v>
      </c>
      <c r="HE400" s="301">
        <v>46276</v>
      </c>
      <c r="HF400" s="301">
        <v>46230</v>
      </c>
      <c r="HG400" s="322"/>
      <c r="HH40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0" s="300"/>
      <c r="HJ400" s="300"/>
      <c r="HK400" s="301"/>
      <c r="HL400" s="301"/>
      <c r="HM400" s="301">
        <v>46247</v>
      </c>
      <c r="HN400" s="301">
        <v>46247</v>
      </c>
      <c r="HO400" s="300">
        <v>46293</v>
      </c>
      <c r="HP400" s="300"/>
      <c r="HQ400" s="301"/>
      <c r="HR40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0" s="301">
        <v>46255</v>
      </c>
      <c r="HT400" s="301"/>
      <c r="HU400" s="301">
        <v>46255</v>
      </c>
      <c r="HV400" s="390"/>
      <c r="HW400" s="365"/>
      <c r="HX40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0" s="42"/>
      <c r="HZ400" s="322"/>
      <c r="IA400" s="306"/>
      <c r="IB400" s="67"/>
      <c r="IC400" s="585">
        <f>IFERROR(ROUND((Table1[[#This Row],[PLAN TC
finish]]-Table1[[#This Row],[PLAN MC-0
start]])/30,2),"")</f>
        <v>4.43</v>
      </c>
      <c r="ID400">
        <f>DATEDIF(Table1[[#This Row],[PLAN MC-0
start]],Table1[[#This Row],[PLAN TC
finish]],"m")</f>
        <v>4</v>
      </c>
      <c r="IE400" s="6"/>
      <c r="IF400" s="6"/>
      <c r="IG400" s="67"/>
      <c r="II400" s="6"/>
      <c r="IJ400" s="4"/>
      <c r="IK400" s="4"/>
      <c r="IL400" s="6"/>
      <c r="IM400" s="6"/>
      <c r="IN400" s="6"/>
      <c r="IO400" s="6"/>
      <c r="IP400" s="6"/>
      <c r="IR400" s="6"/>
      <c r="IS400" s="6"/>
      <c r="IT400" s="6"/>
      <c r="IU400" s="6"/>
      <c r="IX400" s="6"/>
      <c r="IY400" s="6"/>
      <c r="JA400" s="6"/>
      <c r="JB400" s="6"/>
    </row>
    <row r="401" spans="1:262" ht="15" customHeight="1" x14ac:dyDescent="0.25">
      <c r="B401" s="281">
        <f>SUBTOTAL(3,$D$5:D401)</f>
        <v>397</v>
      </c>
      <c r="C401" s="286">
        <v>397</v>
      </c>
      <c r="D401" s="285" t="s">
        <v>673</v>
      </c>
      <c r="E401" s="308" t="s">
        <v>3189</v>
      </c>
      <c r="F401" s="308" t="s">
        <v>3190</v>
      </c>
      <c r="G401" s="319">
        <v>46300</v>
      </c>
      <c r="H401" s="308" t="s">
        <v>247</v>
      </c>
      <c r="I401" s="308" t="s">
        <v>278</v>
      </c>
      <c r="J401" s="450"/>
      <c r="K401" s="308"/>
      <c r="L401" s="286"/>
      <c r="M401" s="325" t="s">
        <v>251</v>
      </c>
      <c r="N401" s="477">
        <v>19700</v>
      </c>
      <c r="O401" s="477" t="s">
        <v>252</v>
      </c>
      <c r="P40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1" s="35">
        <v>0.50424265523760714</v>
      </c>
      <c r="S401" s="297">
        <f>_xlfn.XLOOKUP(Table1[[#This Row],[Nama Program]],'[2]Summary Plan'!$E:$E,'[2]Summary Plan'!$M:$M)</f>
        <v>0.62991315476905974</v>
      </c>
      <c r="T401" s="128">
        <f>Table1[[#This Row],[Progres Total Aktual
(%)]]</f>
        <v>0.12358203120292359</v>
      </c>
      <c r="U401" s="103">
        <f>Table1[[#This Row],[Progres Aktual
(%)]]-Table1[[#This Row],[Target Progres
(%)]]</f>
        <v>-0.50633112356613619</v>
      </c>
      <c r="V401" s="75">
        <v>20086</v>
      </c>
      <c r="W401" s="75">
        <f>Table1[[#This Row],[Total Panjang Pipa Aktual
(Sum-&gt;)3]]</f>
        <v>1164</v>
      </c>
      <c r="X401" s="99"/>
      <c r="Y401" s="478" t="s">
        <v>3162</v>
      </c>
      <c r="Z401" s="62">
        <v>28000944515</v>
      </c>
      <c r="AA401" s="479">
        <f>ROUND((Table1[[#This Row],[Nilai RAB Jaringan
(Exclude Ppn)]]-Table1[[#This Row],[RAB Perizinan]])*1.11+Table1[[#This Row],[RAB Perizinan]],0)</f>
        <v>27995972451</v>
      </c>
      <c r="AB401" s="453">
        <f>SUM(Table1[[#This Row],[RAB Kegiatan Umum]:[RAB Perizinan]])</f>
        <v>25241824911</v>
      </c>
      <c r="AC401" s="406">
        <v>1894862563</v>
      </c>
      <c r="AD401" s="406">
        <v>18948625622</v>
      </c>
      <c r="AE401" s="406">
        <v>4194216726</v>
      </c>
      <c r="AF401" s="406">
        <v>204120000</v>
      </c>
      <c r="AG401" s="504"/>
      <c r="AH401" s="480">
        <f>SUM(Table1[[#This Row],[Bobot Keg Umum]:[Bobot Perizinan]])</f>
        <v>1</v>
      </c>
      <c r="AI401" s="480">
        <f>Table1[[#This Row],[RAB Kegiatan Umum]]/Table1[[#This Row],[Nilai RAB Jaringan
(Exclude Ppn)]]</f>
        <v>7.5068366478298801E-2</v>
      </c>
      <c r="AJ401" s="480">
        <f>Table1[[#This Row],[RAB Pemasangan]]/Table1[[#This Row],[Nilai RAB Jaringan
(Exclude Ppn)]]</f>
        <v>0.75068366446605372</v>
      </c>
      <c r="AK401" s="111">
        <f>Table1[[#This Row],[RAB Pengadaan]]/Table1[[#This Row],[Nilai RAB Jaringan
(Exclude Ppn)]]</f>
        <v>0.16616139050121628</v>
      </c>
      <c r="AL401" s="112">
        <f>Table1[[#This Row],[RAB Perizinan]]/Table1[[#This Row],[Nilai RAB Jaringan
(Exclude Ppn)]]</f>
        <v>8.0865785544312063E-3</v>
      </c>
      <c r="AM401" s="42"/>
      <c r="AN401" s="256"/>
      <c r="AO401" s="256">
        <f>SUM(Table1[[#This Row],[Pipa 63 mm]:[Pipa 1,800 mm]])</f>
        <v>20086</v>
      </c>
      <c r="AP401" s="256">
        <f>1600+13540+853</f>
        <v>15993</v>
      </c>
      <c r="AQ401" s="256">
        <v>2173</v>
      </c>
      <c r="AR401" s="256">
        <v>1013</v>
      </c>
      <c r="AS401" s="256">
        <v>903</v>
      </c>
      <c r="AT401" s="256"/>
      <c r="AU401" s="256">
        <f>4</f>
        <v>4</v>
      </c>
      <c r="AV401" s="256"/>
      <c r="AW401" s="256"/>
      <c r="AX401" s="256"/>
      <c r="AY401" s="256"/>
      <c r="AZ401" s="256"/>
      <c r="BA401" s="256"/>
      <c r="BB401" s="256"/>
      <c r="BC401" s="256"/>
      <c r="BD401" s="256"/>
      <c r="BE401" s="256"/>
      <c r="BF401" s="256"/>
      <c r="BG401" s="256"/>
      <c r="BH401" s="256"/>
      <c r="BI401" s="256"/>
      <c r="BJ401" s="36">
        <f>SUM(Table1[[#This Row],[Pipa 63 mm2]:[Pipa 1,800 mm21]])</f>
        <v>1164</v>
      </c>
      <c r="BK401" s="32">
        <v>1164</v>
      </c>
      <c r="BL401" s="32"/>
      <c r="BM401" s="32"/>
      <c r="BN401" s="32"/>
      <c r="BO401" s="32"/>
      <c r="BP401" s="32"/>
      <c r="BQ401" s="32"/>
      <c r="BR401" s="32"/>
      <c r="BS401" s="32"/>
      <c r="BT401" s="32"/>
      <c r="BU401" s="32"/>
      <c r="BV401" s="32"/>
      <c r="BW401" s="32"/>
      <c r="BX401" s="32"/>
      <c r="BY401" s="32"/>
      <c r="BZ401" s="32"/>
      <c r="CA401" s="32"/>
      <c r="CB401" s="32"/>
      <c r="CC401" s="32"/>
      <c r="CD401" s="32"/>
      <c r="CE401" s="32"/>
      <c r="CF401" s="32"/>
      <c r="CG401" s="32"/>
      <c r="CH401" s="32"/>
      <c r="CI401" s="32"/>
      <c r="CJ401" s="32">
        <f>IF((Table1[[#This Row],["Volume
BA MC-0"]]-Table1[[#This Row],[Total Panjang Pipa Aktual
(Sum-&gt;)3]]-Table1[[#This Row],[Total Volume
tidak dapat dipasang]])&gt;=0,Table1[[#This Row],["Volume
BA MC-0"]]-Table1[[#This Row],[Total Panjang Pipa Aktual
(Sum-&gt;)3]]-Table1[[#This Row],[Total Volume
tidak dapat dipasang]],0)</f>
        <v>0</v>
      </c>
      <c r="CK401" s="42"/>
      <c r="CL401" s="113"/>
      <c r="CM401" s="307"/>
      <c r="CN401" s="113"/>
      <c r="CO401" s="113"/>
      <c r="CP401"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0.12358203120292359</v>
      </c>
      <c r="CQ401" s="406">
        <f>IFERROR(Table1[[#This Row],[Progres Keg. Umum
(%)]]*Table1[[#This Row],[Nilai RAB Jaringan
(file pa aji)]],0)</f>
        <v>0</v>
      </c>
      <c r="CR401" s="406">
        <f>IFERROR(Table1[[#This Row],[Progres MOS
(%)]]*Table1[[#This Row],[Nilai RAB Jaringan
(file pa aji)]],0)</f>
        <v>0</v>
      </c>
      <c r="CS401" s="406">
        <f>IFERROR(Table1[[#This Row],[Progres Pemasangan
(%)]]*Table1[[#This Row],[Nilai RAB Jaringan
(file pa aji)]],0)</f>
        <v>0</v>
      </c>
      <c r="CT401" s="406">
        <f>IFERROR(Table1[[#This Row],[Progres Perizinan
(%)]]*Table1[[#This Row],[Nilai RAB Jaringan
(file pa aji)]],0)</f>
        <v>0</v>
      </c>
      <c r="CU401" s="789">
        <v>3459799140.9956713</v>
      </c>
      <c r="CV401" s="299">
        <v>3459799140.9956713</v>
      </c>
      <c r="CW401" s="481">
        <v>0</v>
      </c>
      <c r="CX401" s="789">
        <f>_xlfn.XLOOKUP(Table1[[#This Row],[Kode Program]],'[1]Breakdown VOWD Greenfield'!$E:$E,'[1]Breakdown VOWD Greenfield'!$AT:$AT)</f>
        <v>0</v>
      </c>
      <c r="CY401" s="42"/>
      <c r="CZ401" s="301">
        <v>45929</v>
      </c>
      <c r="DA401" s="301">
        <v>45963</v>
      </c>
      <c r="DB401" s="301">
        <v>45951</v>
      </c>
      <c r="DC401" s="505" t="s">
        <v>3191</v>
      </c>
      <c r="DD401" s="506">
        <f>27796824514.17+204120000</f>
        <v>28000944514.169998</v>
      </c>
      <c r="DE40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1" s="301">
        <v>45789</v>
      </c>
      <c r="DG401" s="505" t="s">
        <v>3192</v>
      </c>
      <c r="DH401" s="506">
        <f>27796824514.17+204120000</f>
        <v>28000944514.169998</v>
      </c>
      <c r="DI40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1" s="301">
        <v>45964</v>
      </c>
      <c r="DK401" s="301">
        <v>46082</v>
      </c>
      <c r="DL401" s="301">
        <v>46055</v>
      </c>
      <c r="DM401" s="286" t="s">
        <v>3193</v>
      </c>
      <c r="DN40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1" s="301">
        <v>46085</v>
      </c>
      <c r="DP401" s="286"/>
      <c r="DQ401" s="308" t="s">
        <v>371</v>
      </c>
      <c r="DR40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1" s="301">
        <v>45964</v>
      </c>
      <c r="DT401" s="301">
        <v>46164</v>
      </c>
      <c r="DU401" s="301">
        <v>46012</v>
      </c>
      <c r="DV401" s="301">
        <v>46178</v>
      </c>
      <c r="DW401" s="301">
        <v>46059</v>
      </c>
      <c r="DX401" t="s">
        <v>3194</v>
      </c>
      <c r="DY401" s="482">
        <v>137</v>
      </c>
      <c r="DZ401" s="482">
        <v>137</v>
      </c>
      <c r="EA40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1" s="301"/>
      <c r="EC401" s="304">
        <v>137</v>
      </c>
      <c r="ED401" s="304">
        <v>137</v>
      </c>
      <c r="EE401" s="100"/>
      <c r="EF401" s="307">
        <v>1</v>
      </c>
      <c r="EG401" s="307">
        <f>Table1[[#This Row],[Line PO]]/Table1[[#This Row],[Line PR]]</f>
        <v>1</v>
      </c>
      <c r="EH401" s="286" t="str">
        <f>IF(Table1[[#This Row],[PO Material Aktual 
(%)]]&gt;=100%,"Selesai PO = 100%",IF(Table1[[#This Row],[PO Material Aktual 
(%)]]&gt;=50%,"Proses PO &gt; 100%",IF(Table1[[#This Row],[PO Material Aktual 
(%)]]&gt;0%,"Proses PO &gt; 50%",IF(Table1[[#This Row],[PO Material Aktual 
(%)]]=0,"Belum PO = 0%"))))</f>
        <v>Selesai PO = 100%</v>
      </c>
      <c r="EI40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1" s="301">
        <v>46013</v>
      </c>
      <c r="EK401" s="301">
        <v>46178</v>
      </c>
      <c r="EL401" s="301">
        <v>46201</v>
      </c>
      <c r="EM401" s="301">
        <v>46203</v>
      </c>
      <c r="EN401" s="301"/>
      <c r="EO401" s="482">
        <v>51</v>
      </c>
      <c r="EP401" s="482">
        <v>51</v>
      </c>
      <c r="EQ401" s="307">
        <v>0.37226277372262773</v>
      </c>
      <c r="ER401" s="307">
        <f>Table1[[#This Row],[Line MOS]]/Table1[[#This Row],[Line PR]]</f>
        <v>0.37226277372262773</v>
      </c>
      <c r="ES401" s="286" t="str">
        <f>IF(Table1[[#This Row],[Progres MOS]]&gt;=100%,"Selesai MOS = 100%",IF(Table1[[#This Row],[Progres MOS]]&gt;=50%,"Proses MOS &gt; 100%",IF(Table1[[#This Row],[Progres MOS]]&gt;0%,"Proses MOS &gt; 50%",IF(Table1[[#This Row],[Progres MOS]]=0,"Belum MOS = 0%"))))</f>
        <v>Proses MOS &gt; 50%</v>
      </c>
      <c r="ET40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1" s="42"/>
      <c r="EV401" s="301">
        <v>45964</v>
      </c>
      <c r="EW401" s="301">
        <v>46153</v>
      </c>
      <c r="EX401" s="301">
        <v>46110</v>
      </c>
      <c r="EY401" s="301">
        <v>46183</v>
      </c>
      <c r="EZ401" s="322" t="s">
        <v>2769</v>
      </c>
      <c r="FA401" s="379" t="s">
        <v>2769</v>
      </c>
      <c r="FB401" s="301"/>
      <c r="FC401" s="300">
        <v>45985</v>
      </c>
      <c r="FD401" s="301" t="s">
        <v>260</v>
      </c>
      <c r="FE401" s="301">
        <v>46048</v>
      </c>
      <c r="FF401" s="301"/>
      <c r="FG401" s="301"/>
      <c r="FH401" s="301"/>
      <c r="FI401" s="301"/>
      <c r="FJ401" s="301"/>
      <c r="FK401" s="301"/>
      <c r="FL401" s="322" t="s">
        <v>2827</v>
      </c>
      <c r="FM401" s="322"/>
      <c r="FN401" s="308" t="str">
        <f>IF(Table1[[#This Row],[Tanggal Pengajuan Dokumen]]="","",Table1[[#This Row],[PLAN PERMIT
start]]-Table1[[#This Row],[Tanggal Pengajuan Dokumen]])</f>
        <v/>
      </c>
      <c r="FO401" s="322"/>
      <c r="FP401" s="286"/>
      <c r="FQ401" s="308"/>
      <c r="FR401" s="301"/>
      <c r="FS401" s="308"/>
      <c r="FT40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1" s="314">
        <f ca="1">IF(Table1[[#This Row],[Status Izin]]="Selesai",Table1[[#This Row],[PLAN PERMIT
finish]]-Table1[[#This Row],[Tanggal Terbit/ Target Izin Terbit]],ROUNDUP(Table1[[#This Row],[PLAN PERMIT
finish]]-NOW(),0))</f>
        <v>-94</v>
      </c>
      <c r="FV40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1" s="314"/>
      <c r="FX401" s="42"/>
      <c r="FY401" s="483">
        <v>46069</v>
      </c>
      <c r="FZ401" s="483">
        <v>46066</v>
      </c>
      <c r="GA40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1" s="301">
        <v>46083</v>
      </c>
      <c r="GC401" s="322">
        <v>46083</v>
      </c>
      <c r="GD40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1" s="301">
        <v>46090</v>
      </c>
      <c r="GF401" s="322">
        <v>46087</v>
      </c>
      <c r="GG40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1" s="301">
        <v>46097</v>
      </c>
      <c r="GI401" s="301">
        <v>46103</v>
      </c>
      <c r="GJ401" s="322">
        <v>46108</v>
      </c>
      <c r="GK40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1" s="301">
        <v>46111</v>
      </c>
      <c r="GM401" s="301">
        <v>46206</v>
      </c>
      <c r="GN401" s="301">
        <v>46222</v>
      </c>
      <c r="GO401" s="300">
        <v>46275</v>
      </c>
      <c r="GP401" s="286"/>
      <c r="GQ40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1" s="301"/>
      <c r="GS401" s="301"/>
      <c r="GT401" s="324"/>
      <c r="GU401" s="314" t="str">
        <f>IF(Table1[[#This Row],[Hydro Tes Actual
(tanggal)]]&lt;&gt;"","Sudah","Belum")</f>
        <v>Belum</v>
      </c>
      <c r="GV401" s="300"/>
      <c r="GW401" s="300"/>
      <c r="GX401" s="301"/>
      <c r="GY401" s="314" t="str">
        <f>IF(Table1[[#This Row],[Interkoneksi Actual
(tanggal)]]&lt;&gt;"","Sudah","Belum")</f>
        <v>Belum</v>
      </c>
      <c r="GZ401" s="300"/>
      <c r="HA401" s="300"/>
      <c r="HB401" s="301"/>
      <c r="HC401" s="314" t="str">
        <f>IF(Table1[[#This Row],[Flushing Actual
(tanggal)]]&lt;&gt;"","Sudah","Belum")</f>
        <v>Belum</v>
      </c>
      <c r="HD401" s="301">
        <v>46225</v>
      </c>
      <c r="HE401" s="301">
        <v>46276</v>
      </c>
      <c r="HF401" s="301">
        <v>46230</v>
      </c>
      <c r="HG401" s="322"/>
      <c r="HH40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1" s="300"/>
      <c r="HJ401" s="300"/>
      <c r="HK401" s="301"/>
      <c r="HL401" s="301"/>
      <c r="HM401" s="301">
        <v>46247</v>
      </c>
      <c r="HN401" s="301">
        <v>46247</v>
      </c>
      <c r="HO401" s="300">
        <v>46293</v>
      </c>
      <c r="HP401" s="300"/>
      <c r="HQ401" s="301"/>
      <c r="HR40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1" s="301">
        <v>46255</v>
      </c>
      <c r="HT401" s="301"/>
      <c r="HU401" s="301">
        <v>46255</v>
      </c>
      <c r="HV401" s="390"/>
      <c r="HW401" s="365"/>
      <c r="HX40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1" s="42"/>
      <c r="HZ401" s="322"/>
      <c r="IA401" s="306"/>
      <c r="IB401" s="67"/>
      <c r="IC401" s="585">
        <f>IFERROR(ROUND((Table1[[#This Row],[PLAN TC
finish]]-Table1[[#This Row],[PLAN MC-0
start]])/30,2),"")</f>
        <v>4.43</v>
      </c>
      <c r="ID401">
        <f>DATEDIF(Table1[[#This Row],[PLAN MC-0
start]],Table1[[#This Row],[PLAN TC
finish]],"m")</f>
        <v>4</v>
      </c>
      <c r="IE401" s="6"/>
      <c r="IF401" s="6"/>
      <c r="IG401" s="67"/>
      <c r="II401" s="6"/>
      <c r="IJ401" s="4"/>
      <c r="IK401" s="4"/>
      <c r="IL401" s="6"/>
      <c r="IM401" s="6"/>
      <c r="IN401" s="6"/>
      <c r="IO401" s="6"/>
      <c r="IP401" s="6"/>
      <c r="IR401" s="6"/>
      <c r="IS401" s="6"/>
      <c r="IT401" s="6"/>
      <c r="IU401" s="6"/>
      <c r="IX401" s="6"/>
      <c r="IY401" s="6"/>
      <c r="JA401" s="6"/>
      <c r="JB401" s="6"/>
    </row>
    <row r="402" spans="1:262" ht="15" customHeight="1" x14ac:dyDescent="0.25">
      <c r="B402" s="281">
        <f>SUBTOTAL(3,$D$5:D402)</f>
        <v>398</v>
      </c>
      <c r="C402" s="286">
        <v>398</v>
      </c>
      <c r="D402" s="285" t="s">
        <v>673</v>
      </c>
      <c r="E402" s="308" t="s">
        <v>3195</v>
      </c>
      <c r="F402" s="308" t="s">
        <v>3196</v>
      </c>
      <c r="G402" s="319">
        <v>46300</v>
      </c>
      <c r="H402" s="308" t="s">
        <v>247</v>
      </c>
      <c r="I402" s="308" t="s">
        <v>278</v>
      </c>
      <c r="J402" s="450"/>
      <c r="K402" s="308"/>
      <c r="L402" s="286"/>
      <c r="M402" s="325" t="s">
        <v>251</v>
      </c>
      <c r="N402" s="477">
        <v>5217</v>
      </c>
      <c r="O402" s="477" t="s">
        <v>252</v>
      </c>
      <c r="P40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2" s="35">
        <v>0.50717457823409517</v>
      </c>
      <c r="S402" s="297">
        <f>_xlfn.XLOOKUP(Table1[[#This Row],[Nama Program]],'[2]Summary Plan'!$E:$E,'[2]Summary Plan'!$M:$M)</f>
        <v>0.63210884781340992</v>
      </c>
      <c r="T402" s="128">
        <f>Table1[[#This Row],[Progres Total Aktual
(%)]]</f>
        <v>0.12745116204084855</v>
      </c>
      <c r="U402" s="103">
        <f>Table1[[#This Row],[Progres Aktual
(%)]]-Table1[[#This Row],[Target Progres
(%)]]</f>
        <v>-0.50465768577256132</v>
      </c>
      <c r="V402" s="75">
        <v>5785</v>
      </c>
      <c r="W402" s="75">
        <f>Table1[[#This Row],[Total Panjang Pipa Aktual
(Sum-&gt;)3]]</f>
        <v>267</v>
      </c>
      <c r="X402" s="99"/>
      <c r="Y402" s="478" t="s">
        <v>3162</v>
      </c>
      <c r="Z402" s="62">
        <v>7278372870</v>
      </c>
      <c r="AA402" s="479">
        <f>ROUND((Table1[[#This Row],[Nilai RAB Jaringan
(Exclude Ppn)]]-Table1[[#This Row],[RAB Perizinan]])*1.11+Table1[[#This Row],[RAB Perizinan]],0)</f>
        <v>7278372869</v>
      </c>
      <c r="AB402" s="453">
        <f>SUM(Table1[[#This Row],[RAB Kegiatan Umum]:[RAB Perizinan]])</f>
        <v>6562262675</v>
      </c>
      <c r="AC402" s="406">
        <v>487941686</v>
      </c>
      <c r="AD402" s="406">
        <v>4879416859</v>
      </c>
      <c r="AE402" s="406">
        <v>1142734130</v>
      </c>
      <c r="AF402" s="406">
        <v>52170000</v>
      </c>
      <c r="AG402" s="504"/>
      <c r="AH402" s="480">
        <f>SUM(Table1[[#This Row],[Bobot Keg Umum]:[Bobot Perizinan]])</f>
        <v>1</v>
      </c>
      <c r="AI402" s="480">
        <f>Table1[[#This Row],[RAB Kegiatan Umum]]/Table1[[#This Row],[Nilai RAB Jaringan
(Exclude Ppn)]]</f>
        <v>7.4355707804701673E-2</v>
      </c>
      <c r="AJ402" s="480">
        <f>Table1[[#This Row],[RAB Pemasangan]]/Table1[[#This Row],[Nilai RAB Jaringan
(Exclude Ppn)]]</f>
        <v>0.74355707789463032</v>
      </c>
      <c r="AK402" s="111">
        <f>Table1[[#This Row],[RAB Pengadaan]]/Table1[[#This Row],[Nilai RAB Jaringan
(Exclude Ppn)]]</f>
        <v>0.17413721251260336</v>
      </c>
      <c r="AL402" s="112">
        <f>Table1[[#This Row],[RAB Perizinan]]/Table1[[#This Row],[Nilai RAB Jaringan
(Exclude Ppn)]]</f>
        <v>7.9500017880646638E-3</v>
      </c>
      <c r="AM402" s="42"/>
      <c r="AN402" s="256"/>
      <c r="AO402" s="256">
        <f>SUM(Table1[[#This Row],[Pipa 63 mm]:[Pipa 1,800 mm]])</f>
        <v>5785</v>
      </c>
      <c r="AP402" s="256">
        <v>4727</v>
      </c>
      <c r="AQ402" s="256">
        <v>645</v>
      </c>
      <c r="AR402" s="256">
        <v>186</v>
      </c>
      <c r="AS402" s="256">
        <v>222</v>
      </c>
      <c r="AT402" s="256">
        <v>5</v>
      </c>
      <c r="AU402" s="256"/>
      <c r="AV402" s="256"/>
      <c r="AW402" s="256"/>
      <c r="AX402" s="256"/>
      <c r="AY402" s="256"/>
      <c r="AZ402" s="256"/>
      <c r="BA402" s="256"/>
      <c r="BB402" s="256"/>
      <c r="BC402" s="256"/>
      <c r="BD402" s="256"/>
      <c r="BE402" s="256"/>
      <c r="BF402" s="256"/>
      <c r="BG402" s="256"/>
      <c r="BH402" s="256"/>
      <c r="BI402" s="256"/>
      <c r="BJ402" s="36">
        <f>SUM(Table1[[#This Row],[Pipa 63 mm2]:[Pipa 1,800 mm21]])</f>
        <v>267</v>
      </c>
      <c r="BK402" s="32">
        <v>267</v>
      </c>
      <c r="BL402" s="32"/>
      <c r="BM402" s="32"/>
      <c r="BN402" s="32"/>
      <c r="BO402" s="32"/>
      <c r="BP402" s="32"/>
      <c r="BQ402" s="32"/>
      <c r="BR402" s="32"/>
      <c r="BS402" s="32"/>
      <c r="BT402" s="32"/>
      <c r="BU402" s="32"/>
      <c r="BV402" s="32"/>
      <c r="BW402" s="32"/>
      <c r="BX402" s="32"/>
      <c r="BY402" s="32"/>
      <c r="BZ402" s="32"/>
      <c r="CA402" s="32"/>
      <c r="CB402" s="32"/>
      <c r="CC402" s="32"/>
      <c r="CD402" s="32"/>
      <c r="CE402" s="32"/>
      <c r="CF402" s="32"/>
      <c r="CG402" s="32"/>
      <c r="CH402" s="32"/>
      <c r="CI402" s="32"/>
      <c r="CJ402" s="32">
        <f>IF((Table1[[#This Row],["Volume
BA MC-0"]]-Table1[[#This Row],[Total Panjang Pipa Aktual
(Sum-&gt;)3]]-Table1[[#This Row],[Total Volume
tidak dapat dipasang]])&gt;=0,Table1[[#This Row],["Volume
BA MC-0"]]-Table1[[#This Row],[Total Panjang Pipa Aktual
(Sum-&gt;)3]]-Table1[[#This Row],[Total Volume
tidak dapat dipasang]],0)</f>
        <v>0</v>
      </c>
      <c r="CK402" s="42"/>
      <c r="CL402" s="113"/>
      <c r="CM402" s="307"/>
      <c r="CN402" s="113"/>
      <c r="CO402" s="113"/>
      <c r="CP402"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0.12745116204084855</v>
      </c>
      <c r="CQ402" s="406">
        <f>IFERROR(Table1[[#This Row],[Progres Keg. Umum
(%)]]*Table1[[#This Row],[Nilai RAB Jaringan
(file pa aji)]],0)</f>
        <v>0</v>
      </c>
      <c r="CR402" s="406">
        <f>IFERROR(Table1[[#This Row],[Progres MOS
(%)]]*Table1[[#This Row],[Nilai RAB Jaringan
(file pa aji)]],0)</f>
        <v>0</v>
      </c>
      <c r="CS402" s="406">
        <f>IFERROR(Table1[[#This Row],[Progres Pemasangan
(%)]]*Table1[[#This Row],[Nilai RAB Jaringan
(file pa aji)]],0)</f>
        <v>0</v>
      </c>
      <c r="CT402" s="406">
        <f>IFERROR(Table1[[#This Row],[Progres Perizinan
(%)]]*Table1[[#This Row],[Nilai RAB Jaringan
(file pa aji)]],0)</f>
        <v>0</v>
      </c>
      <c r="CU402" s="789">
        <v>927637079.92063475</v>
      </c>
      <c r="CV402" s="299">
        <v>927637079.92063475</v>
      </c>
      <c r="CW402" s="481">
        <v>0</v>
      </c>
      <c r="CX402" s="789">
        <f>_xlfn.XLOOKUP(Table1[[#This Row],[Kode Program]],'[1]Breakdown VOWD Greenfield'!$E:$E,'[1]Breakdown VOWD Greenfield'!$AT:$AT)</f>
        <v>0</v>
      </c>
      <c r="CY402" s="42"/>
      <c r="CZ402" s="301">
        <v>45929</v>
      </c>
      <c r="DA402" s="301">
        <v>45963</v>
      </c>
      <c r="DB402" s="301">
        <v>45951</v>
      </c>
      <c r="DC402" s="505" t="s">
        <v>3197</v>
      </c>
      <c r="DD402" s="478">
        <f>7226202869.25+52170000</f>
        <v>7278372869.25</v>
      </c>
      <c r="DE40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2" s="390">
        <v>45972</v>
      </c>
      <c r="DG402" s="505" t="s">
        <v>3198</v>
      </c>
      <c r="DH402" s="478">
        <f>7226202869.25+52170000</f>
        <v>7278372869.25</v>
      </c>
      <c r="DI40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2" s="301">
        <v>45964</v>
      </c>
      <c r="DK402" s="301">
        <v>46082</v>
      </c>
      <c r="DL402" s="301">
        <v>46055</v>
      </c>
      <c r="DM402" s="286" t="s">
        <v>3199</v>
      </c>
      <c r="DN40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2" s="301">
        <v>46091</v>
      </c>
      <c r="DP402" s="286" t="s">
        <v>3200</v>
      </c>
      <c r="DQ402" s="308" t="s">
        <v>3201</v>
      </c>
      <c r="DR40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2" s="301">
        <v>45964</v>
      </c>
      <c r="DT402" s="301">
        <v>46164</v>
      </c>
      <c r="DU402" s="301">
        <v>46012</v>
      </c>
      <c r="DV402" s="301">
        <v>46178</v>
      </c>
      <c r="DW402" s="301">
        <v>46056</v>
      </c>
      <c r="DX402" t="s">
        <v>3202</v>
      </c>
      <c r="DY402" s="482">
        <v>104</v>
      </c>
      <c r="DZ402" s="482">
        <v>104</v>
      </c>
      <c r="EA40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2" s="301">
        <v>46160</v>
      </c>
      <c r="EC402" s="482">
        <v>104</v>
      </c>
      <c r="ED402" s="482">
        <v>104</v>
      </c>
      <c r="EE402" t="s">
        <v>3203</v>
      </c>
      <c r="EF402" s="307">
        <v>1</v>
      </c>
      <c r="EG402" s="307">
        <f>Table1[[#This Row],[Line PO]]/Table1[[#This Row],[Line PR]]</f>
        <v>1</v>
      </c>
      <c r="EH402" s="286" t="str">
        <f>IF(Table1[[#This Row],[PO Material Aktual 
(%)]]&gt;=100%,"Selesai PO = 100%",IF(Table1[[#This Row],[PO Material Aktual 
(%)]]&gt;=50%,"Proses PO &gt; 100%",IF(Table1[[#This Row],[PO Material Aktual 
(%)]]&gt;0%,"Proses PO &gt; 50%",IF(Table1[[#This Row],[PO Material Aktual 
(%)]]=0,"Belum PO = 0%"))))</f>
        <v>Selesai PO = 100%</v>
      </c>
      <c r="EI40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02" s="301">
        <v>46013</v>
      </c>
      <c r="EK402" s="301">
        <v>46178</v>
      </c>
      <c r="EL402" s="301">
        <v>46201</v>
      </c>
      <c r="EM402" s="301">
        <v>46203</v>
      </c>
      <c r="EN402" s="301"/>
      <c r="EO402" s="482">
        <v>38</v>
      </c>
      <c r="EP402" s="482">
        <v>38</v>
      </c>
      <c r="EQ402" s="307">
        <v>0.36538461538461536</v>
      </c>
      <c r="ER402" s="307">
        <f>Table1[[#This Row],[Line MOS]]/Table1[[#This Row],[Line PR]]</f>
        <v>0.36538461538461536</v>
      </c>
      <c r="ES402" s="286" t="str">
        <f>IF(Table1[[#This Row],[Progres MOS]]&gt;=100%,"Selesai MOS = 100%",IF(Table1[[#This Row],[Progres MOS]]&gt;=50%,"Proses MOS &gt; 100%",IF(Table1[[#This Row],[Progres MOS]]&gt;0%,"Proses MOS &gt; 50%",IF(Table1[[#This Row],[Progres MOS]]=0,"Belum MOS = 0%"))))</f>
        <v>Proses MOS &gt; 50%</v>
      </c>
      <c r="ET40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2" s="42"/>
      <c r="EV402" s="301">
        <v>45964</v>
      </c>
      <c r="EW402" s="301">
        <v>46153</v>
      </c>
      <c r="EX402" s="301">
        <v>46110</v>
      </c>
      <c r="EY402" s="301">
        <v>46183</v>
      </c>
      <c r="EZ402" s="322" t="s">
        <v>2827</v>
      </c>
      <c r="FA402" s="379" t="s">
        <v>2827</v>
      </c>
      <c r="FB402" s="301"/>
      <c r="FC402" s="300">
        <v>46010</v>
      </c>
      <c r="FD402" s="301" t="s">
        <v>260</v>
      </c>
      <c r="FE402" s="301"/>
      <c r="FF402" s="301"/>
      <c r="FG402" s="301"/>
      <c r="FH402" s="301"/>
      <c r="FI402" s="301"/>
      <c r="FJ402" s="301"/>
      <c r="FK402" s="301"/>
      <c r="FL402" s="322" t="s">
        <v>2780</v>
      </c>
      <c r="FM402" s="322"/>
      <c r="FN402" s="308" t="str">
        <f>IF(Table1[[#This Row],[Tanggal Pengajuan Dokumen]]="","",Table1[[#This Row],[PLAN PERMIT
start]]-Table1[[#This Row],[Tanggal Pengajuan Dokumen]])</f>
        <v/>
      </c>
      <c r="FO402" s="322"/>
      <c r="FP402" s="286"/>
      <c r="FQ402" s="308"/>
      <c r="FR402" s="301"/>
      <c r="FS402" s="308"/>
      <c r="FT40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2" s="314">
        <f ca="1">IF(Table1[[#This Row],[Status Izin]]="Selesai",Table1[[#This Row],[PLAN PERMIT
finish]]-Table1[[#This Row],[Tanggal Terbit/ Target Izin Terbit]],ROUNDUP(Table1[[#This Row],[PLAN PERMIT
finish]]-NOW(),0))</f>
        <v>-94</v>
      </c>
      <c r="FV40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2" s="314"/>
      <c r="FX402" s="42"/>
      <c r="FY402" s="483">
        <v>46069</v>
      </c>
      <c r="FZ402" s="483">
        <v>46066</v>
      </c>
      <c r="GA40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2" s="301">
        <v>46083</v>
      </c>
      <c r="GC402" s="322">
        <v>46090</v>
      </c>
      <c r="GD40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2" s="301">
        <v>46090</v>
      </c>
      <c r="GF402" s="322">
        <v>46090</v>
      </c>
      <c r="GG40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2" s="301">
        <v>46097</v>
      </c>
      <c r="GI402" s="301">
        <v>46103</v>
      </c>
      <c r="GJ402" s="322">
        <v>46092</v>
      </c>
      <c r="GK40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2" s="301">
        <v>46111</v>
      </c>
      <c r="GM402" s="301">
        <v>46206</v>
      </c>
      <c r="GN402" s="301">
        <v>46222</v>
      </c>
      <c r="GO402" s="300">
        <v>46275</v>
      </c>
      <c r="GP402" s="286"/>
      <c r="GQ40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2" s="301"/>
      <c r="GS402" s="301"/>
      <c r="GT402" s="324"/>
      <c r="GU402" s="314" t="str">
        <f>IF(Table1[[#This Row],[Hydro Tes Actual
(tanggal)]]&lt;&gt;"","Sudah","Belum")</f>
        <v>Belum</v>
      </c>
      <c r="GV402" s="300"/>
      <c r="GW402" s="300"/>
      <c r="GX402" s="301"/>
      <c r="GY402" s="314" t="str">
        <f>IF(Table1[[#This Row],[Interkoneksi Actual
(tanggal)]]&lt;&gt;"","Sudah","Belum")</f>
        <v>Belum</v>
      </c>
      <c r="GZ402" s="300"/>
      <c r="HA402" s="300"/>
      <c r="HB402" s="301"/>
      <c r="HC402" s="314" t="str">
        <f>IF(Table1[[#This Row],[Flushing Actual
(tanggal)]]&lt;&gt;"","Sudah","Belum")</f>
        <v>Belum</v>
      </c>
      <c r="HD402" s="301">
        <v>46225</v>
      </c>
      <c r="HE402" s="301">
        <v>46276</v>
      </c>
      <c r="HF402" s="301">
        <v>46230</v>
      </c>
      <c r="HG402" s="322"/>
      <c r="HH40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2" s="300"/>
      <c r="HJ402" s="300"/>
      <c r="HK402" s="301"/>
      <c r="HL402" s="301"/>
      <c r="HM402" s="301">
        <v>46247</v>
      </c>
      <c r="HN402" s="301">
        <v>46247</v>
      </c>
      <c r="HO402" s="300">
        <v>46293</v>
      </c>
      <c r="HP402" s="300"/>
      <c r="HQ402" s="301"/>
      <c r="HR40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2" s="301">
        <v>46255</v>
      </c>
      <c r="HT402" s="301"/>
      <c r="HU402" s="301">
        <v>46255</v>
      </c>
      <c r="HV402" s="390"/>
      <c r="HW402" s="365"/>
      <c r="HX40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2" s="42"/>
      <c r="HZ402" s="322"/>
      <c r="IA402" s="306"/>
      <c r="IB402" s="67"/>
      <c r="IC402" s="585">
        <f>IFERROR(ROUND((Table1[[#This Row],[PLAN TC
finish]]-Table1[[#This Row],[PLAN MC-0
start]])/30,2),"")</f>
        <v>4.43</v>
      </c>
      <c r="ID402">
        <f>DATEDIF(Table1[[#This Row],[PLAN MC-0
start]],Table1[[#This Row],[PLAN TC
finish]],"m")</f>
        <v>4</v>
      </c>
      <c r="IE402" s="6"/>
      <c r="IF402" s="6"/>
      <c r="IG402" s="67"/>
      <c r="II402" s="6"/>
      <c r="IJ402" s="4"/>
      <c r="IK402" s="4"/>
      <c r="IL402" s="6"/>
      <c r="IM402" s="6"/>
      <c r="IN402" s="6"/>
      <c r="IO402" s="6"/>
      <c r="IP402" s="6"/>
      <c r="IR402" s="6"/>
      <c r="IS402" s="6"/>
      <c r="IT402" s="6"/>
      <c r="IU402" s="6"/>
      <c r="IX402" s="6"/>
      <c r="IY402" s="6"/>
      <c r="JA402" s="6"/>
      <c r="JB402" s="6"/>
    </row>
    <row r="403" spans="1:262" ht="15" customHeight="1" x14ac:dyDescent="0.25">
      <c r="B403" s="281">
        <f>SUBTOTAL(3,$D$5:D403)</f>
        <v>399</v>
      </c>
      <c r="C403" s="286">
        <v>399</v>
      </c>
      <c r="D403" s="285" t="s">
        <v>673</v>
      </c>
      <c r="E403" s="308" t="s">
        <v>3204</v>
      </c>
      <c r="F403" s="308" t="s">
        <v>3205</v>
      </c>
      <c r="G403" s="319">
        <v>46300</v>
      </c>
      <c r="H403" s="308" t="s">
        <v>247</v>
      </c>
      <c r="I403" s="308" t="s">
        <v>278</v>
      </c>
      <c r="J403" s="450"/>
      <c r="K403" s="308"/>
      <c r="L403" s="286"/>
      <c r="M403" s="325" t="s">
        <v>251</v>
      </c>
      <c r="N403" s="477">
        <v>12279</v>
      </c>
      <c r="O403" s="477" t="s">
        <v>252</v>
      </c>
      <c r="P40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3" s="35">
        <v>0.50945186329204095</v>
      </c>
      <c r="S403" s="297">
        <f>_xlfn.XLOOKUP(Table1[[#This Row],[Nama Program]],'[2]Summary Plan'!$E:$E,'[2]Summary Plan'!$M:$M)</f>
        <v>0.6338143918900887</v>
      </c>
      <c r="T403" s="128">
        <f>Table1[[#This Row],[Progres Total Aktual
(%)]]</f>
        <v>9.7120145862449311E-2</v>
      </c>
      <c r="U403" s="103">
        <f>Table1[[#This Row],[Progres Aktual
(%)]]-Table1[[#This Row],[Target Progres
(%)]]</f>
        <v>-0.53669424602763938</v>
      </c>
      <c r="V403" s="75">
        <v>12646</v>
      </c>
      <c r="W403" s="75">
        <f>Table1[[#This Row],[Total Panjang Pipa Aktual
(Sum-&gt;)3]]</f>
        <v>135</v>
      </c>
      <c r="X403" s="99"/>
      <c r="Y403" s="478" t="s">
        <v>3162</v>
      </c>
      <c r="Z403" s="62">
        <v>17581844675</v>
      </c>
      <c r="AA403" s="479">
        <f>ROUNDUP((Table1[[#This Row],[Nilai RAB Jaringan
(Exclude Ppn)]]-Table1[[#This Row],[RAB Perizinan]])*1.11+Table1[[#This Row],[RAB Perizinan]],0)</f>
        <v>17581844675</v>
      </c>
      <c r="AB403" s="453">
        <f>SUM(Table1[[#This Row],[RAB Kegiatan Umum]:[RAB Perizinan]])</f>
        <v>15851668085</v>
      </c>
      <c r="AC403" s="406">
        <v>1170002272</v>
      </c>
      <c r="AD403" s="406">
        <v>11700022714</v>
      </c>
      <c r="AE403" s="406">
        <v>2858853099</v>
      </c>
      <c r="AF403" s="406">
        <v>122790000</v>
      </c>
      <c r="AG403" s="504"/>
      <c r="AH403" s="480">
        <f>SUM(Table1[[#This Row],[Bobot Keg Umum]:[Bobot Perizinan]])</f>
        <v>1</v>
      </c>
      <c r="AI403" s="480">
        <f>Table1[[#This Row],[RAB Kegiatan Umum]]/Table1[[#This Row],[Nilai RAB Jaringan
(Exclude Ppn)]]</f>
        <v>7.380941019747575E-2</v>
      </c>
      <c r="AJ403" s="480">
        <f>Table1[[#This Row],[RAB Pemasangan]]/Table1[[#This Row],[Nilai RAB Jaringan
(Exclude Ppn)]]</f>
        <v>0.73809410159624855</v>
      </c>
      <c r="AK403" s="111">
        <f>Table1[[#This Row],[RAB Pengadaan]]/Table1[[#This Row],[Nilai RAB Jaringan
(Exclude Ppn)]]</f>
        <v>0.1803503002756697</v>
      </c>
      <c r="AL403" s="112">
        <f>Table1[[#This Row],[RAB Perizinan]]/Table1[[#This Row],[Nilai RAB Jaringan
(Exclude Ppn)]]</f>
        <v>7.7461879306060426E-3</v>
      </c>
      <c r="AM403" s="42"/>
      <c r="AN403" s="256"/>
      <c r="AO403" s="256">
        <f>SUM(Table1[[#This Row],[Pipa 63 mm]:[Pipa 1,800 mm]])</f>
        <v>12646</v>
      </c>
      <c r="AP403" s="256">
        <v>9491</v>
      </c>
      <c r="AQ403" s="256">
        <v>2124</v>
      </c>
      <c r="AR403" s="256">
        <v>213</v>
      </c>
      <c r="AS403" s="256">
        <v>661</v>
      </c>
      <c r="AT403" s="256">
        <v>148</v>
      </c>
      <c r="AU403" s="256">
        <v>9</v>
      </c>
      <c r="AV403" s="256"/>
      <c r="AW403" s="256"/>
      <c r="AX403" s="256"/>
      <c r="AY403" s="256"/>
      <c r="AZ403" s="256"/>
      <c r="BA403" s="256"/>
      <c r="BB403" s="256"/>
      <c r="BC403" s="256"/>
      <c r="BD403" s="256"/>
      <c r="BE403" s="256"/>
      <c r="BF403" s="256"/>
      <c r="BG403" s="256"/>
      <c r="BH403" s="256"/>
      <c r="BI403" s="256"/>
      <c r="BJ403" s="36">
        <f>SUM(Table1[[#This Row],[Pipa 63 mm2]:[Pipa 1,800 mm21]])</f>
        <v>135</v>
      </c>
      <c r="BK403" s="32">
        <v>135</v>
      </c>
      <c r="BL403" s="32"/>
      <c r="BM403" s="32"/>
      <c r="BN403" s="32"/>
      <c r="BO403" s="32"/>
      <c r="BP403" s="32"/>
      <c r="BQ403" s="32"/>
      <c r="BR403" s="32"/>
      <c r="BS403" s="32"/>
      <c r="BT403" s="32"/>
      <c r="BU403" s="32"/>
      <c r="BV403" s="32"/>
      <c r="BW403" s="32"/>
      <c r="BX403" s="32"/>
      <c r="BY403" s="32"/>
      <c r="BZ403" s="32"/>
      <c r="CA403" s="32"/>
      <c r="CB403" s="32"/>
      <c r="CC403" s="32"/>
      <c r="CD403" s="32"/>
      <c r="CE403" s="32"/>
      <c r="CF403" s="32"/>
      <c r="CG403" s="32"/>
      <c r="CH403" s="32"/>
      <c r="CI403" s="32"/>
      <c r="CJ403" s="32">
        <f>IF((Table1[[#This Row],["Volume
BA MC-0"]]-Table1[[#This Row],[Total Panjang Pipa Aktual
(Sum-&gt;)3]]-Table1[[#This Row],[Total Volume
tidak dapat dipasang]])&gt;=0,Table1[[#This Row],["Volume
BA MC-0"]]-Table1[[#This Row],[Total Panjang Pipa Aktual
(Sum-&gt;)3]]-Table1[[#This Row],[Total Volume
tidak dapat dipasang]],0)</f>
        <v>0</v>
      </c>
      <c r="CK403" s="42"/>
      <c r="CL403" s="113"/>
      <c r="CM403" s="307"/>
      <c r="CN403" s="113"/>
      <c r="CO403" s="113"/>
      <c r="CP403"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9.7120145862449311E-2</v>
      </c>
      <c r="CQ403" s="406">
        <f>IFERROR(Table1[[#This Row],[Progres Keg. Umum
(%)]]*Table1[[#This Row],[Nilai RAB Jaringan
(file pa aji)]],0)</f>
        <v>0</v>
      </c>
      <c r="CR403" s="406">
        <f>IFERROR(Table1[[#This Row],[Progres MOS
(%)]]*Table1[[#This Row],[Nilai RAB Jaringan
(file pa aji)]],0)</f>
        <v>0</v>
      </c>
      <c r="CS403" s="406">
        <f>IFERROR(Table1[[#This Row],[Progres Pemasangan
(%)]]*Table1[[#This Row],[Nilai RAB Jaringan
(file pa aji)]],0)</f>
        <v>0</v>
      </c>
      <c r="CT403" s="406">
        <f>IFERROR(Table1[[#This Row],[Progres Perizinan
(%)]]*Table1[[#This Row],[Nilai RAB Jaringan
(file pa aji)]],0)</f>
        <v>0</v>
      </c>
      <c r="CU403" s="789">
        <v>1707551319.3669276</v>
      </c>
      <c r="CV403" s="299">
        <v>1707551319.3669276</v>
      </c>
      <c r="CW403" s="481">
        <v>0</v>
      </c>
      <c r="CX403" s="789">
        <f>_xlfn.XLOOKUP(Table1[[#This Row],[Kode Program]],'[1]Breakdown VOWD Greenfield'!$E:$E,'[1]Breakdown VOWD Greenfield'!$AT:$AT)</f>
        <v>0</v>
      </c>
      <c r="CY403" s="42"/>
      <c r="CZ403" s="301">
        <v>45929</v>
      </c>
      <c r="DA403" s="301">
        <v>45963</v>
      </c>
      <c r="DB403" s="301">
        <v>45951</v>
      </c>
      <c r="DC403" s="505" t="s">
        <v>3206</v>
      </c>
      <c r="DD403" s="506">
        <f>17459054674.35
+122790000</f>
        <v>17581844674.349998</v>
      </c>
      <c r="DE40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3" s="390">
        <v>45972</v>
      </c>
      <c r="DG403" s="505" t="s">
        <v>3207</v>
      </c>
      <c r="DH403" s="506">
        <f>17459054674.35
+122790000</f>
        <v>17581844674.349998</v>
      </c>
      <c r="DI40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3" s="301">
        <v>45964</v>
      </c>
      <c r="DK403" s="301">
        <v>46082</v>
      </c>
      <c r="DL403" s="301">
        <v>46055</v>
      </c>
      <c r="DM403" s="286" t="s">
        <v>3208</v>
      </c>
      <c r="DN40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3" s="301">
        <v>46087</v>
      </c>
      <c r="DP403" s="286"/>
      <c r="DQ403" s="308" t="s">
        <v>1671</v>
      </c>
      <c r="DR40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3" s="301">
        <v>45964</v>
      </c>
      <c r="DT403" s="301">
        <v>46164</v>
      </c>
      <c r="DU403" s="301">
        <v>46012</v>
      </c>
      <c r="DV403" s="301">
        <v>46178</v>
      </c>
      <c r="DW403" s="301">
        <v>46057</v>
      </c>
      <c r="DX403" t="s">
        <v>3209</v>
      </c>
      <c r="DY403" s="482">
        <v>122</v>
      </c>
      <c r="DZ403" s="482">
        <v>122</v>
      </c>
      <c r="EA40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3" s="301"/>
      <c r="EC403" s="482">
        <v>121</v>
      </c>
      <c r="ED403" s="482">
        <v>121</v>
      </c>
      <c r="EE403" s="100"/>
      <c r="EF403" s="307">
        <v>0.99180327868852458</v>
      </c>
      <c r="EG403" s="307">
        <f>Table1[[#This Row],[Line PO]]/Table1[[#This Row],[Line PR]]</f>
        <v>0.99180327868852458</v>
      </c>
      <c r="EH403" s="286" t="str">
        <f>IF(Table1[[#This Row],[PO Material Aktual 
(%)]]&gt;=100%,"Selesai PO = 100%",IF(Table1[[#This Row],[PO Material Aktual 
(%)]]&gt;=50%,"Proses PO &gt; 100%",IF(Table1[[#This Row],[PO Material Aktual 
(%)]]&gt;0%,"Proses PO &gt; 50%",IF(Table1[[#This Row],[PO Material Aktual 
(%)]]=0,"Belum PO = 0%"))))</f>
        <v>Proses PO &gt; 100%</v>
      </c>
      <c r="EI40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3" s="301">
        <v>46013</v>
      </c>
      <c r="EK403" s="301">
        <v>46178</v>
      </c>
      <c r="EL403" s="301">
        <v>46201</v>
      </c>
      <c r="EM403" s="301">
        <v>46203</v>
      </c>
      <c r="EN403" s="301"/>
      <c r="EO403" s="482">
        <v>53</v>
      </c>
      <c r="EP403" s="482">
        <v>53</v>
      </c>
      <c r="EQ403" s="307">
        <v>0.4344262295081967</v>
      </c>
      <c r="ER403" s="307">
        <f>Table1[[#This Row],[Line MOS]]/Table1[[#This Row],[Line PR]]</f>
        <v>0.4344262295081967</v>
      </c>
      <c r="ES403" s="286" t="str">
        <f>IF(Table1[[#This Row],[Progres MOS]]&gt;=100%,"Selesai MOS = 100%",IF(Table1[[#This Row],[Progres MOS]]&gt;=50%,"Proses MOS &gt; 100%",IF(Table1[[#This Row],[Progres MOS]]&gt;0%,"Proses MOS &gt; 50%",IF(Table1[[#This Row],[Progres MOS]]=0,"Belum MOS = 0%"))))</f>
        <v>Proses MOS &gt; 50%</v>
      </c>
      <c r="ET40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3" s="42"/>
      <c r="EV403" s="301">
        <v>45964</v>
      </c>
      <c r="EW403" s="301">
        <v>46153</v>
      </c>
      <c r="EX403" s="301">
        <v>46110</v>
      </c>
      <c r="EY403" s="301">
        <v>46183</v>
      </c>
      <c r="EZ403" s="322" t="s">
        <v>2827</v>
      </c>
      <c r="FA403" s="379" t="s">
        <v>2827</v>
      </c>
      <c r="FB403" s="301"/>
      <c r="FC403" s="300">
        <v>46010</v>
      </c>
      <c r="FD403" s="301" t="s">
        <v>260</v>
      </c>
      <c r="FE403" s="301"/>
      <c r="FF403" s="301"/>
      <c r="FG403" s="301"/>
      <c r="FH403" s="301"/>
      <c r="FI403" s="301"/>
      <c r="FJ403" s="301"/>
      <c r="FK403" s="301"/>
      <c r="FL403" s="322" t="s">
        <v>2780</v>
      </c>
      <c r="FM403" s="322"/>
      <c r="FN403" s="308" t="str">
        <f>IF(Table1[[#This Row],[Tanggal Pengajuan Dokumen]]="","",Table1[[#This Row],[PLAN PERMIT
start]]-Table1[[#This Row],[Tanggal Pengajuan Dokumen]])</f>
        <v/>
      </c>
      <c r="FO403" s="322"/>
      <c r="FP403" s="286"/>
      <c r="FQ403" s="308"/>
      <c r="FR403" s="301"/>
      <c r="FS403" s="308"/>
      <c r="FT40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3" s="314">
        <f ca="1">IF(Table1[[#This Row],[Status Izin]]="Selesai",Table1[[#This Row],[PLAN PERMIT
finish]]-Table1[[#This Row],[Tanggal Terbit/ Target Izin Terbit]],ROUNDUP(Table1[[#This Row],[PLAN PERMIT
finish]]-NOW(),0))</f>
        <v>-94</v>
      </c>
      <c r="FV40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3" s="314"/>
      <c r="FX403" s="42"/>
      <c r="FY403" s="483">
        <v>46069</v>
      </c>
      <c r="FZ403" s="483">
        <v>46066</v>
      </c>
      <c r="GA40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3" s="301">
        <v>46083</v>
      </c>
      <c r="GC403" s="322">
        <v>46083</v>
      </c>
      <c r="GD40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3" s="301">
        <v>46090</v>
      </c>
      <c r="GF403" s="322">
        <v>46087</v>
      </c>
      <c r="GG40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3" s="301">
        <v>46097</v>
      </c>
      <c r="GI403" s="301">
        <v>46103</v>
      </c>
      <c r="GJ403" s="322">
        <v>46091</v>
      </c>
      <c r="GK40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3" s="301">
        <v>46111</v>
      </c>
      <c r="GM403" s="301">
        <v>46206</v>
      </c>
      <c r="GN403" s="301">
        <v>46222</v>
      </c>
      <c r="GO403" s="300">
        <v>46275</v>
      </c>
      <c r="GP403" s="286"/>
      <c r="GQ40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3" s="301"/>
      <c r="GS403" s="301"/>
      <c r="GT403" s="324"/>
      <c r="GU403" s="314" t="str">
        <f>IF(Table1[[#This Row],[Hydro Tes Actual
(tanggal)]]&lt;&gt;"","Sudah","Belum")</f>
        <v>Belum</v>
      </c>
      <c r="GV403" s="300"/>
      <c r="GW403" s="300"/>
      <c r="GX403" s="301"/>
      <c r="GY403" s="314" t="str">
        <f>IF(Table1[[#This Row],[Interkoneksi Actual
(tanggal)]]&lt;&gt;"","Sudah","Belum")</f>
        <v>Belum</v>
      </c>
      <c r="GZ403" s="300"/>
      <c r="HA403" s="300"/>
      <c r="HB403" s="301"/>
      <c r="HC403" s="314" t="str">
        <f>IF(Table1[[#This Row],[Flushing Actual
(tanggal)]]&lt;&gt;"","Sudah","Belum")</f>
        <v>Belum</v>
      </c>
      <c r="HD403" s="301">
        <v>46225</v>
      </c>
      <c r="HE403" s="301">
        <v>46276</v>
      </c>
      <c r="HF403" s="301">
        <v>46230</v>
      </c>
      <c r="HG403" s="322"/>
      <c r="HH40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3" s="300"/>
      <c r="HJ403" s="300"/>
      <c r="HK403" s="301"/>
      <c r="HL403" s="301"/>
      <c r="HM403" s="301">
        <v>46247</v>
      </c>
      <c r="HN403" s="301">
        <v>46247</v>
      </c>
      <c r="HO403" s="300">
        <v>46293</v>
      </c>
      <c r="HP403" s="300"/>
      <c r="HQ403" s="301"/>
      <c r="HR40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3" s="301">
        <v>46255</v>
      </c>
      <c r="HT403" s="301"/>
      <c r="HU403" s="301">
        <v>46255</v>
      </c>
      <c r="HV403" s="390"/>
      <c r="HW403" s="365"/>
      <c r="HX40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3" s="42"/>
      <c r="HZ403" s="322"/>
      <c r="IA403" s="306"/>
      <c r="IB403" s="67"/>
      <c r="IC403" s="585">
        <f>IFERROR(ROUND((Table1[[#This Row],[PLAN TC
finish]]-Table1[[#This Row],[PLAN MC-0
start]])/30,2),"")</f>
        <v>4.43</v>
      </c>
      <c r="ID403">
        <f>DATEDIF(Table1[[#This Row],[PLAN MC-0
start]],Table1[[#This Row],[PLAN TC
finish]],"m")</f>
        <v>4</v>
      </c>
      <c r="IE403" s="6"/>
      <c r="IF403" s="6"/>
      <c r="IG403" s="67"/>
      <c r="II403" s="6"/>
      <c r="IJ403" s="4"/>
      <c r="IK403" s="4"/>
      <c r="IL403" s="6"/>
      <c r="IM403" s="6"/>
      <c r="IN403" s="6"/>
      <c r="IO403" s="6"/>
      <c r="IP403" s="6"/>
      <c r="IR403" s="6"/>
      <c r="IS403" s="6"/>
      <c r="IT403" s="6"/>
      <c r="IU403" s="6"/>
      <c r="IX403" s="6"/>
      <c r="IY403" s="6"/>
      <c r="JA403" s="6"/>
      <c r="JB403" s="6"/>
    </row>
    <row r="404" spans="1:262" ht="15" customHeight="1" x14ac:dyDescent="0.25">
      <c r="B404" s="281">
        <f>SUBTOTAL(3,$D$5:D404)</f>
        <v>400</v>
      </c>
      <c r="C404" s="286">
        <v>400</v>
      </c>
      <c r="D404" s="285" t="s">
        <v>673</v>
      </c>
      <c r="E404" s="308" t="s">
        <v>3210</v>
      </c>
      <c r="F404" s="308" t="s">
        <v>3211</v>
      </c>
      <c r="G404" s="319">
        <v>46300</v>
      </c>
      <c r="H404" s="308" t="s">
        <v>247</v>
      </c>
      <c r="I404" s="308" t="s">
        <v>278</v>
      </c>
      <c r="J404" s="450"/>
      <c r="K404" s="308"/>
      <c r="L404" s="286"/>
      <c r="M404" s="325" t="s">
        <v>251</v>
      </c>
      <c r="N404" s="477">
        <v>5751</v>
      </c>
      <c r="O404" s="477" t="s">
        <v>252</v>
      </c>
      <c r="P40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4" s="35">
        <v>0.50422912643910212</v>
      </c>
      <c r="S404" s="297">
        <f>_xlfn.XLOOKUP(Table1[[#This Row],[Nama Program]],'[2]Summary Plan'!$E:$E,'[2]Summary Plan'!$M:$M)</f>
        <v>0.62990314500950151</v>
      </c>
      <c r="T404" s="128">
        <f>Table1[[#This Row],[Progres Total Aktual
(%)]]</f>
        <v>0.48787343753044549</v>
      </c>
      <c r="U404" s="103">
        <f>Table1[[#This Row],[Progres Aktual
(%)]]-Table1[[#This Row],[Target Progres
(%)]]</f>
        <v>-0.14202970747905602</v>
      </c>
      <c r="V404" s="75">
        <v>5754</v>
      </c>
      <c r="W404" s="75">
        <f>Table1[[#This Row],[Total Panjang Pipa Aktual
(Sum-&gt;)3]]</f>
        <v>3207</v>
      </c>
      <c r="X404" s="99"/>
      <c r="Y404" s="478" t="s">
        <v>3162</v>
      </c>
      <c r="Z404" s="62">
        <v>8003246356</v>
      </c>
      <c r="AA404" s="479">
        <f>ROUND((Table1[[#This Row],[Nilai RAB Jaringan
(Exclude Ppn)]]-Table1[[#This Row],[RAB Perizinan]])*1.11+Table1[[#This Row],[RAB Perizinan]],0)</f>
        <v>8003246356</v>
      </c>
      <c r="AB404" s="453">
        <f>SUM(Table1[[#This Row],[RAB Kegiatan Umum]:[RAB Perizinan]])</f>
        <v>7215831041</v>
      </c>
      <c r="AC404" s="406">
        <v>541581782</v>
      </c>
      <c r="AD404" s="406">
        <v>5415817816</v>
      </c>
      <c r="AE404" s="406">
        <v>1200921443</v>
      </c>
      <c r="AF404" s="406">
        <v>57510000</v>
      </c>
      <c r="AG404" s="504"/>
      <c r="AH404" s="480">
        <f>SUM(Table1[[#This Row],[Bobot Keg Umum]:[Bobot Perizinan]])</f>
        <v>1</v>
      </c>
      <c r="AI404" s="480">
        <f>Table1[[#This Row],[RAB Kegiatan Umum]]/Table1[[#This Row],[Nilai RAB Jaringan
(Exclude Ppn)]]</f>
        <v>7.5054665072222276E-2</v>
      </c>
      <c r="AJ404" s="480">
        <f>Table1[[#This Row],[RAB Pemasangan]]/Table1[[#This Row],[Nilai RAB Jaringan
(Exclude Ppn)]]</f>
        <v>0.75054665016788602</v>
      </c>
      <c r="AK404" s="111">
        <f>Table1[[#This Row],[RAB Pengadaan]]/Table1[[#This Row],[Nilai RAB Jaringan
(Exclude Ppn)]]</f>
        <v>0.16642870878994021</v>
      </c>
      <c r="AL404" s="112">
        <f>Table1[[#This Row],[RAB Perizinan]]/Table1[[#This Row],[Nilai RAB Jaringan
(Exclude Ppn)]]</f>
        <v>7.9699759699514844E-3</v>
      </c>
      <c r="AM404" s="42"/>
      <c r="AN404" s="256"/>
      <c r="AO404" s="256">
        <f>SUM(Table1[[#This Row],[Pipa 63 mm]:[Pipa 1,800 mm]])</f>
        <v>5750</v>
      </c>
      <c r="AP404" s="256">
        <f>3226+1494</f>
        <v>4720</v>
      </c>
      <c r="AQ404" s="256">
        <v>430</v>
      </c>
      <c r="AR404" s="256">
        <v>117</v>
      </c>
      <c r="AS404" s="256">
        <v>483</v>
      </c>
      <c r="AT404" s="256"/>
      <c r="AU404" s="256"/>
      <c r="AV404" s="256"/>
      <c r="AW404" s="256"/>
      <c r="AX404" s="256"/>
      <c r="AY404" s="256"/>
      <c r="AZ404" s="256"/>
      <c r="BA404" s="256"/>
      <c r="BB404" s="256"/>
      <c r="BC404" s="256"/>
      <c r="BD404" s="256"/>
      <c r="BE404" s="256"/>
      <c r="BF404" s="256"/>
      <c r="BG404" s="256"/>
      <c r="BH404" s="256"/>
      <c r="BI404" s="256"/>
      <c r="BJ404" s="36">
        <f>SUM(Table1[[#This Row],[Pipa 63 mm2]:[Pipa 1,800 mm21]])</f>
        <v>3207</v>
      </c>
      <c r="BK404" s="32">
        <v>3065</v>
      </c>
      <c r="BL404" s="32">
        <v>142</v>
      </c>
      <c r="BM404" s="32"/>
      <c r="BN404" s="32"/>
      <c r="BO404" s="32"/>
      <c r="BP404" s="32"/>
      <c r="BQ404" s="32"/>
      <c r="BR404" s="32"/>
      <c r="BS404" s="32"/>
      <c r="BT404" s="32"/>
      <c r="BU404" s="32"/>
      <c r="BV404" s="32"/>
      <c r="BW404" s="32"/>
      <c r="BX404" s="32"/>
      <c r="BY404" s="32"/>
      <c r="BZ404" s="32"/>
      <c r="CA404" s="32"/>
      <c r="CB404" s="32"/>
      <c r="CC404" s="32"/>
      <c r="CD404" s="32"/>
      <c r="CE404" s="32"/>
      <c r="CF404" s="32"/>
      <c r="CG404" s="32"/>
      <c r="CH404" s="32"/>
      <c r="CI404" s="32"/>
      <c r="CJ404" s="32">
        <f>IF((Table1[[#This Row],["Volume
BA MC-0"]]-Table1[[#This Row],[Total Panjang Pipa Aktual
(Sum-&gt;)3]]-Table1[[#This Row],[Total Volume
tidak dapat dipasang]])&gt;=0,Table1[[#This Row],["Volume
BA MC-0"]]-Table1[[#This Row],[Total Panjang Pipa Aktual
(Sum-&gt;)3]]-Table1[[#This Row],[Total Volume
tidak dapat dipasang]],0)</f>
        <v>0</v>
      </c>
      <c r="CK404" s="42"/>
      <c r="CL404" s="113"/>
      <c r="CM404" s="307"/>
      <c r="CN404" s="113"/>
      <c r="CO404" s="113"/>
      <c r="CP404"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0.48787343753044549</v>
      </c>
      <c r="CQ404" s="406">
        <f>IFERROR(Table1[[#This Row],[Progres Keg. Umum
(%)]]*Table1[[#This Row],[Nilai RAB Jaringan
(file pa aji)]],0)</f>
        <v>0</v>
      </c>
      <c r="CR404" s="406">
        <f>IFERROR(Table1[[#This Row],[Progres MOS
(%)]]*Table1[[#This Row],[Nilai RAB Jaringan
(file pa aji)]],0)</f>
        <v>0</v>
      </c>
      <c r="CS404" s="406">
        <f>IFERROR(Table1[[#This Row],[Progres Pemasangan
(%)]]*Table1[[#This Row],[Nilai RAB Jaringan
(file pa aji)]],0)</f>
        <v>0</v>
      </c>
      <c r="CT404" s="406">
        <f>IFERROR(Table1[[#This Row],[Progres Perizinan
(%)]]*Table1[[#This Row],[Nilai RAB Jaringan
(file pa aji)]],0)</f>
        <v>0</v>
      </c>
      <c r="CU404" s="789">
        <v>3904571311.1047316</v>
      </c>
      <c r="CV404" s="299">
        <v>3904571311.1047316</v>
      </c>
      <c r="CW404" s="481">
        <v>0</v>
      </c>
      <c r="CX404" s="789">
        <f>_xlfn.XLOOKUP(Table1[[#This Row],[Kode Program]],'[1]Breakdown VOWD Greenfield'!$E:$E,'[1]Breakdown VOWD Greenfield'!$AT:$AT)</f>
        <v>0</v>
      </c>
      <c r="CY404" s="42"/>
      <c r="CZ404" s="301">
        <v>45929</v>
      </c>
      <c r="DA404" s="301">
        <v>45963</v>
      </c>
      <c r="DB404" s="301">
        <v>45951</v>
      </c>
      <c r="DC404" s="505" t="s">
        <v>3212</v>
      </c>
      <c r="DD404" s="506">
        <f>7945736355.51+57510000</f>
        <v>8003246355.5100002</v>
      </c>
      <c r="DE40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4" s="300">
        <v>45972</v>
      </c>
      <c r="DG404" s="505" t="s">
        <v>3213</v>
      </c>
      <c r="DH404" s="506">
        <f>7945736355.51+57510000</f>
        <v>8003246355.5100002</v>
      </c>
      <c r="DI40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4" s="301">
        <v>45964</v>
      </c>
      <c r="DK404" s="301">
        <v>46082</v>
      </c>
      <c r="DL404" s="301">
        <v>46056</v>
      </c>
      <c r="DM404" s="286" t="s">
        <v>3214</v>
      </c>
      <c r="DN40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4" s="301">
        <v>46091</v>
      </c>
      <c r="DP404" s="286" t="s">
        <v>3215</v>
      </c>
      <c r="DQ404" s="308" t="s">
        <v>560</v>
      </c>
      <c r="DR40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4" s="301">
        <v>45964</v>
      </c>
      <c r="DT404" s="301">
        <v>46164</v>
      </c>
      <c r="DU404" s="301">
        <v>46012</v>
      </c>
      <c r="DV404" s="301">
        <v>46178</v>
      </c>
      <c r="DW404" s="301">
        <v>46057</v>
      </c>
      <c r="DX404" t="s">
        <v>3216</v>
      </c>
      <c r="DY404" s="482">
        <v>96</v>
      </c>
      <c r="DZ404" s="482">
        <v>96</v>
      </c>
      <c r="EA40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4" s="301"/>
      <c r="EC404" s="482">
        <v>96</v>
      </c>
      <c r="ED404" s="482">
        <v>96</v>
      </c>
      <c r="EE404" s="100"/>
      <c r="EF404" s="307">
        <v>1</v>
      </c>
      <c r="EG404" s="307">
        <f>Table1[[#This Row],[Line PO]]/Table1[[#This Row],[Line PR]]</f>
        <v>1</v>
      </c>
      <c r="EH404" s="286" t="str">
        <f>IF(Table1[[#This Row],[PO Material Aktual 
(%)]]&gt;=100%,"Selesai PO = 100%",IF(Table1[[#This Row],[PO Material Aktual 
(%)]]&gt;=50%,"Proses PO &gt; 100%",IF(Table1[[#This Row],[PO Material Aktual 
(%)]]&gt;0%,"Proses PO &gt; 50%",IF(Table1[[#This Row],[PO Material Aktual 
(%)]]=0,"Belum PO = 0%"))))</f>
        <v>Selesai PO = 100%</v>
      </c>
      <c r="EI40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4" s="301">
        <v>46013</v>
      </c>
      <c r="EK404" s="301">
        <v>46178</v>
      </c>
      <c r="EL404" s="301">
        <v>46201</v>
      </c>
      <c r="EM404" s="301">
        <v>46203</v>
      </c>
      <c r="EN404" s="301"/>
      <c r="EO404" s="482">
        <v>35</v>
      </c>
      <c r="EP404" s="482">
        <v>35</v>
      </c>
      <c r="EQ404" s="307">
        <v>0.36458333333333331</v>
      </c>
      <c r="ER404" s="307">
        <f>Table1[[#This Row],[Line MOS]]/Table1[[#This Row],[Line PR]]</f>
        <v>0.36458333333333331</v>
      </c>
      <c r="ES404" s="286" t="str">
        <f>IF(Table1[[#This Row],[Progres MOS]]&gt;=100%,"Selesai MOS = 100%",IF(Table1[[#This Row],[Progres MOS]]&gt;=50%,"Proses MOS &gt; 100%",IF(Table1[[#This Row],[Progres MOS]]&gt;0%,"Proses MOS &gt; 50%",IF(Table1[[#This Row],[Progres MOS]]=0,"Belum MOS = 0%"))))</f>
        <v>Proses MOS &gt; 50%</v>
      </c>
      <c r="ET40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4" s="42"/>
      <c r="EV404" s="301">
        <v>45964</v>
      </c>
      <c r="EW404" s="301">
        <v>46153</v>
      </c>
      <c r="EX404" s="301">
        <v>46110</v>
      </c>
      <c r="EY404" s="301">
        <v>46183</v>
      </c>
      <c r="EZ404" s="322" t="s">
        <v>1592</v>
      </c>
      <c r="FA404" s="379" t="s">
        <v>1592</v>
      </c>
      <c r="FB404" s="301"/>
      <c r="FC404" s="300">
        <v>45986</v>
      </c>
      <c r="FD404" s="301" t="s">
        <v>260</v>
      </c>
      <c r="FE404" s="301">
        <v>46048</v>
      </c>
      <c r="FF404" s="301"/>
      <c r="FG404" s="301"/>
      <c r="FH404" s="301"/>
      <c r="FI404" s="301"/>
      <c r="FJ404" s="301"/>
      <c r="FK404" s="301"/>
      <c r="FL404" s="322" t="s">
        <v>2827</v>
      </c>
      <c r="FM404" s="322"/>
      <c r="FN404" s="308" t="str">
        <f>IF(Table1[[#This Row],[Tanggal Pengajuan Dokumen]]="","",Table1[[#This Row],[PLAN PERMIT
start]]-Table1[[#This Row],[Tanggal Pengajuan Dokumen]])</f>
        <v/>
      </c>
      <c r="FO404" s="322"/>
      <c r="FP404" s="286"/>
      <c r="FQ404" s="308"/>
      <c r="FR404" s="301"/>
      <c r="FS404" s="308"/>
      <c r="FT40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4" s="314">
        <f ca="1">IF(Table1[[#This Row],[Status Izin]]="Selesai",Table1[[#This Row],[PLAN PERMIT
finish]]-Table1[[#This Row],[Tanggal Terbit/ Target Izin Terbit]],ROUNDUP(Table1[[#This Row],[PLAN PERMIT
finish]]-NOW(),0))</f>
        <v>-94</v>
      </c>
      <c r="FV40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4" s="314"/>
      <c r="FX404" s="42"/>
      <c r="FY404" s="483">
        <v>46069</v>
      </c>
      <c r="FZ404" s="483">
        <v>46066</v>
      </c>
      <c r="GA40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4" s="301">
        <v>46083</v>
      </c>
      <c r="GC404" s="322">
        <v>46083</v>
      </c>
      <c r="GD40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4" s="301">
        <v>46090</v>
      </c>
      <c r="GF404" s="322">
        <v>46087</v>
      </c>
      <c r="GG40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4" s="301">
        <v>46097</v>
      </c>
      <c r="GI404" s="301">
        <v>46103</v>
      </c>
      <c r="GJ404" s="322">
        <v>46094</v>
      </c>
      <c r="GK40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4" s="301">
        <v>46111</v>
      </c>
      <c r="GM404" s="301">
        <v>46206</v>
      </c>
      <c r="GN404" s="301">
        <v>46222</v>
      </c>
      <c r="GO404" s="300">
        <v>46275</v>
      </c>
      <c r="GP404" s="286"/>
      <c r="GQ40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4" s="301"/>
      <c r="GS404" s="301"/>
      <c r="GT404" s="324"/>
      <c r="GU404" s="314" t="str">
        <f>IF(Table1[[#This Row],[Hydro Tes Actual
(tanggal)]]&lt;&gt;"","Sudah","Belum")</f>
        <v>Belum</v>
      </c>
      <c r="GV404" s="300"/>
      <c r="GW404" s="300"/>
      <c r="GX404" s="301"/>
      <c r="GY404" s="314" t="str">
        <f>IF(Table1[[#This Row],[Interkoneksi Actual
(tanggal)]]&lt;&gt;"","Sudah","Belum")</f>
        <v>Belum</v>
      </c>
      <c r="GZ404" s="300"/>
      <c r="HA404" s="300"/>
      <c r="HB404" s="301"/>
      <c r="HC404" s="314" t="str">
        <f>IF(Table1[[#This Row],[Flushing Actual
(tanggal)]]&lt;&gt;"","Sudah","Belum")</f>
        <v>Belum</v>
      </c>
      <c r="HD404" s="301">
        <v>46225</v>
      </c>
      <c r="HE404" s="301">
        <v>46276</v>
      </c>
      <c r="HF404" s="301">
        <v>46230</v>
      </c>
      <c r="HG404" s="322"/>
      <c r="HH40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4" s="300"/>
      <c r="HJ404" s="300"/>
      <c r="HK404" s="301"/>
      <c r="HL404" s="301"/>
      <c r="HM404" s="301">
        <v>46247</v>
      </c>
      <c r="HN404" s="301">
        <v>46247</v>
      </c>
      <c r="HO404" s="300">
        <v>46293</v>
      </c>
      <c r="HP404" s="300"/>
      <c r="HQ404" s="301"/>
      <c r="HR40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4" s="301">
        <v>46255</v>
      </c>
      <c r="HT404" s="301"/>
      <c r="HU404" s="301">
        <v>46255</v>
      </c>
      <c r="HV404" s="390"/>
      <c r="HW404" s="365"/>
      <c r="HX40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4" s="42"/>
      <c r="HZ404" s="322"/>
      <c r="IA404" s="306"/>
      <c r="IB404" s="67"/>
      <c r="IC404" s="585">
        <f>IFERROR(ROUND((Table1[[#This Row],[PLAN TC
finish]]-Table1[[#This Row],[PLAN MC-0
start]])/30,2),"")</f>
        <v>4.43</v>
      </c>
      <c r="ID404">
        <f>DATEDIF(Table1[[#This Row],[PLAN MC-0
start]],Table1[[#This Row],[PLAN TC
finish]],"m")</f>
        <v>4</v>
      </c>
      <c r="IE404" s="6"/>
      <c r="IF404" s="6"/>
      <c r="IG404" s="67"/>
      <c r="II404" s="6"/>
      <c r="IJ404" s="4"/>
      <c r="IK404" s="4"/>
      <c r="IL404" s="6"/>
      <c r="IM404" s="6"/>
      <c r="IN404" s="6"/>
      <c r="IO404" s="6"/>
      <c r="IP404" s="6"/>
      <c r="IR404" s="6"/>
      <c r="IS404" s="6"/>
      <c r="IT404" s="6"/>
      <c r="IU404" s="6"/>
      <c r="IX404" s="6"/>
      <c r="IY404" s="6"/>
      <c r="JA404" s="6"/>
      <c r="JB404" s="6"/>
    </row>
    <row r="405" spans="1:262" ht="15" customHeight="1" x14ac:dyDescent="0.25">
      <c r="B405" s="281">
        <f>SUBTOTAL(3,$D$5:D405)</f>
        <v>401</v>
      </c>
      <c r="C405" s="286">
        <v>401</v>
      </c>
      <c r="D405" s="285" t="s">
        <v>673</v>
      </c>
      <c r="E405" s="308" t="s">
        <v>3217</v>
      </c>
      <c r="F405" s="308" t="s">
        <v>3218</v>
      </c>
      <c r="G405" s="319">
        <v>46300</v>
      </c>
      <c r="H405" s="308" t="s">
        <v>247</v>
      </c>
      <c r="I405" s="308" t="s">
        <v>278</v>
      </c>
      <c r="J405" s="450"/>
      <c r="K405" s="308"/>
      <c r="L405" s="286"/>
      <c r="M405" s="325" t="s">
        <v>251</v>
      </c>
      <c r="N405" s="477">
        <v>3912</v>
      </c>
      <c r="O405" s="477" t="s">
        <v>252</v>
      </c>
      <c r="P40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5" s="35">
        <v>0.49464508055575834</v>
      </c>
      <c r="S405" s="297">
        <f>_xlfn.XLOOKUP(Table1[[#This Row],[Nama Program]],'[2]Summary Plan'!$E:$E,'[2]Summary Plan'!$M:$M)</f>
        <v>0.62272552688337524</v>
      </c>
      <c r="T405" s="128">
        <f>Table1[[#This Row],[Progres Total Aktual
(%)]]</f>
        <v>6.4977254982801658E-2</v>
      </c>
      <c r="U405" s="103">
        <f>Table1[[#This Row],[Progres Aktual
(%)]]-Table1[[#This Row],[Target Progres
(%)]]</f>
        <v>-0.55774827190057352</v>
      </c>
      <c r="V405" s="75">
        <v>3945</v>
      </c>
      <c r="W405" s="75">
        <f>Table1[[#This Row],[Total Panjang Pipa Aktual
(Sum-&gt;)3]]</f>
        <v>0</v>
      </c>
      <c r="X405" s="99"/>
      <c r="Y405" s="478" t="s">
        <v>3162</v>
      </c>
      <c r="Z405" s="62">
        <v>5041142676</v>
      </c>
      <c r="AA405" s="479">
        <f>ROUND((Table1[[#This Row],[Nilai RAB Jaringan
(Exclude Ppn)]]-Table1[[#This Row],[RAB Perizinan]])*1.11+Table1[[#This Row],[RAB Perizinan]],0)</f>
        <v>5041142676</v>
      </c>
      <c r="AB405" s="453">
        <f>SUM(Table1[[#This Row],[RAB Kegiatan Umum]:[RAB Perizinan]])</f>
        <v>4545446735</v>
      </c>
      <c r="AC405" s="406">
        <v>351574981</v>
      </c>
      <c r="AD405" s="406">
        <v>3515749803</v>
      </c>
      <c r="AE405" s="406">
        <v>639001951</v>
      </c>
      <c r="AF405" s="406">
        <v>39120000</v>
      </c>
      <c r="AG405" s="504"/>
      <c r="AH405" s="480">
        <f>SUM(Table1[[#This Row],[Bobot Keg Umum]:[Bobot Perizinan]])</f>
        <v>0.99999999999999989</v>
      </c>
      <c r="AI405" s="480">
        <f>Table1[[#This Row],[RAB Kegiatan Umum]]/Table1[[#This Row],[Nilai RAB Jaringan
(Exclude Ppn)]]</f>
        <v>7.7346628724712138E-2</v>
      </c>
      <c r="AJ405" s="480">
        <f>Table1[[#This Row],[RAB Pemasangan]]/Table1[[#This Row],[Nilai RAB Jaringan
(Exclude Ppn)]]</f>
        <v>0.77346628570711873</v>
      </c>
      <c r="AK405" s="111">
        <f>Table1[[#This Row],[RAB Pengadaan]]/Table1[[#This Row],[Nilai RAB Jaringan
(Exclude Ppn)]]</f>
        <v>0.1405806707797666</v>
      </c>
      <c r="AL405" s="112">
        <f>Table1[[#This Row],[RAB Perizinan]]/Table1[[#This Row],[Nilai RAB Jaringan
(Exclude Ppn)]]</f>
        <v>8.6064147884025305E-3</v>
      </c>
      <c r="AM405" s="42"/>
      <c r="AN405" s="256"/>
      <c r="AO405" s="256">
        <f>SUM(Table1[[#This Row],[Pipa 63 mm]:[Pipa 1,800 mm]])</f>
        <v>3945</v>
      </c>
      <c r="AP405" s="256">
        <v>3144</v>
      </c>
      <c r="AQ405" s="256">
        <v>795</v>
      </c>
      <c r="AR405" s="256">
        <v>6</v>
      </c>
      <c r="AS405" s="256"/>
      <c r="AT405" s="256"/>
      <c r="AU405" s="256"/>
      <c r="AV405" s="256"/>
      <c r="AW405" s="256"/>
      <c r="AX405" s="256"/>
      <c r="AY405" s="256"/>
      <c r="AZ405" s="256"/>
      <c r="BA405" s="256"/>
      <c r="BB405" s="256"/>
      <c r="BC405" s="256"/>
      <c r="BD405" s="256"/>
      <c r="BE405" s="256"/>
      <c r="BF405" s="256"/>
      <c r="BG405" s="256"/>
      <c r="BH405" s="256"/>
      <c r="BI405" s="256"/>
      <c r="BJ405" s="36">
        <f>SUM(Table1[[#This Row],[Pipa 63 mm2]:[Pipa 1,800 mm21]])</f>
        <v>0</v>
      </c>
      <c r="BK405" s="32"/>
      <c r="BL405" s="32"/>
      <c r="BM405" s="32"/>
      <c r="BN405" s="32"/>
      <c r="BO405" s="32"/>
      <c r="BP405" s="32"/>
      <c r="BQ405" s="32"/>
      <c r="BR405" s="32"/>
      <c r="BS405" s="32"/>
      <c r="BT405" s="32"/>
      <c r="BU405" s="32"/>
      <c r="BV405" s="32"/>
      <c r="BW405" s="32"/>
      <c r="BX405" s="32"/>
      <c r="BY405" s="32"/>
      <c r="BZ405" s="32"/>
      <c r="CA405" s="32"/>
      <c r="CB405" s="32"/>
      <c r="CC405" s="32"/>
      <c r="CD405" s="32"/>
      <c r="CE405" s="32"/>
      <c r="CF405" s="32"/>
      <c r="CG405" s="32"/>
      <c r="CH405" s="32"/>
      <c r="CI405" s="32"/>
      <c r="CJ405" s="32">
        <f>IF((Table1[[#This Row],["Volume
BA MC-0"]]-Table1[[#This Row],[Total Panjang Pipa Aktual
(Sum-&gt;)3]]-Table1[[#This Row],[Total Volume
tidak dapat dipasang]])&gt;=0,Table1[[#This Row],["Volume
BA MC-0"]]-Table1[[#This Row],[Total Panjang Pipa Aktual
(Sum-&gt;)3]]-Table1[[#This Row],[Total Volume
tidak dapat dipasang]],0)</f>
        <v>0</v>
      </c>
      <c r="CK405" s="42"/>
      <c r="CL405" s="113"/>
      <c r="CM405" s="307"/>
      <c r="CN405" s="113"/>
      <c r="CO405" s="113"/>
      <c r="CP40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6.4977254982801658E-2</v>
      </c>
      <c r="CQ405" s="406">
        <f>IFERROR(Table1[[#This Row],[Progres Keg. Umum
(%)]]*Table1[[#This Row],[Nilai RAB Jaringan
(file pa aji)]],0)</f>
        <v>0</v>
      </c>
      <c r="CR405" s="406">
        <f>IFERROR(Table1[[#This Row],[Progres MOS
(%)]]*Table1[[#This Row],[Nilai RAB Jaringan
(file pa aji)]],0)</f>
        <v>0</v>
      </c>
      <c r="CS405" s="406">
        <f>IFERROR(Table1[[#This Row],[Progres Pemasangan
(%)]]*Table1[[#This Row],[Nilai RAB Jaringan
(file pa aji)]],0)</f>
        <v>0</v>
      </c>
      <c r="CT405" s="406">
        <f>IFERROR(Table1[[#This Row],[Progres Perizinan
(%)]]*Table1[[#This Row],[Nilai RAB Jaringan
(file pa aji)]],0)</f>
        <v>0</v>
      </c>
      <c r="CU405" s="789">
        <v>327559613.06313509</v>
      </c>
      <c r="CV405" s="299">
        <v>327559613.06313509</v>
      </c>
      <c r="CW405" s="481">
        <v>0</v>
      </c>
      <c r="CX405" s="789">
        <f>_xlfn.XLOOKUP(Table1[[#This Row],[Kode Program]],'[1]Breakdown VOWD Greenfield'!$E:$E,'[1]Breakdown VOWD Greenfield'!$AT:$AT)</f>
        <v>0</v>
      </c>
      <c r="CY405" s="42"/>
      <c r="CZ405" s="301">
        <v>45929</v>
      </c>
      <c r="DA405" s="301">
        <v>45963</v>
      </c>
      <c r="DB405" s="301">
        <v>45951</v>
      </c>
      <c r="DC405" s="505" t="s">
        <v>3219</v>
      </c>
      <c r="DD405" s="478">
        <f>5002022675.85+39120000</f>
        <v>5041142675.8500004</v>
      </c>
      <c r="DE40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5" s="301">
        <v>45972</v>
      </c>
      <c r="DG405" s="505" t="s">
        <v>3220</v>
      </c>
      <c r="DH405" s="478">
        <f>5002022675.85+39120000</f>
        <v>5041142675.8500004</v>
      </c>
      <c r="DI40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5" s="301">
        <v>45964</v>
      </c>
      <c r="DK405" s="301">
        <v>46082</v>
      </c>
      <c r="DL405" s="301">
        <v>46056</v>
      </c>
      <c r="DM405" s="286" t="s">
        <v>3221</v>
      </c>
      <c r="DN40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5" s="301">
        <v>46091</v>
      </c>
      <c r="DP405" s="286" t="s">
        <v>3222</v>
      </c>
      <c r="DQ405" s="308" t="s">
        <v>560</v>
      </c>
      <c r="DR40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5" s="301">
        <v>45964</v>
      </c>
      <c r="DT405" s="301">
        <v>46164</v>
      </c>
      <c r="DU405" s="301">
        <v>46012</v>
      </c>
      <c r="DV405" s="301">
        <v>46178</v>
      </c>
      <c r="DW405" s="301">
        <v>46058</v>
      </c>
      <c r="DX405" t="s">
        <v>3223</v>
      </c>
      <c r="DY405" s="482">
        <v>75</v>
      </c>
      <c r="DZ405" s="482">
        <v>75</v>
      </c>
      <c r="EA40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5" s="301"/>
      <c r="EC405" s="482">
        <v>75</v>
      </c>
      <c r="ED405" s="482">
        <v>75</v>
      </c>
      <c r="EE405" s="100"/>
      <c r="EF405" s="307">
        <v>1</v>
      </c>
      <c r="EG405" s="307">
        <f>Table1[[#This Row],[Line PO]]/Table1[[#This Row],[Line PR]]</f>
        <v>1</v>
      </c>
      <c r="EH405" s="286" t="str">
        <f>IF(Table1[[#This Row],[PO Material Aktual 
(%)]]&gt;=100%,"Selesai PO = 100%",IF(Table1[[#This Row],[PO Material Aktual 
(%)]]&gt;=50%,"Proses PO &gt; 100%",IF(Table1[[#This Row],[PO Material Aktual 
(%)]]&gt;0%,"Proses PO &gt; 50%",IF(Table1[[#This Row],[PO Material Aktual 
(%)]]=0,"Belum PO = 0%"))))</f>
        <v>Selesai PO = 100%</v>
      </c>
      <c r="EI40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5" s="301">
        <v>46013</v>
      </c>
      <c r="EK405" s="301">
        <v>46178</v>
      </c>
      <c r="EL405" s="301">
        <v>46201</v>
      </c>
      <c r="EM405" s="301">
        <v>46203</v>
      </c>
      <c r="EN405" s="301"/>
      <c r="EO405" s="482">
        <v>39</v>
      </c>
      <c r="EP405" s="482">
        <v>39</v>
      </c>
      <c r="EQ405" s="307">
        <v>0.52</v>
      </c>
      <c r="ER405" s="307">
        <f>Table1[[#This Row],[Line MOS]]/Table1[[#This Row],[Line PR]]</f>
        <v>0.52</v>
      </c>
      <c r="ES405" s="286" t="str">
        <f>IF(Table1[[#This Row],[Progres MOS]]&gt;=100%,"Selesai MOS = 100%",IF(Table1[[#This Row],[Progres MOS]]&gt;=50%,"Proses MOS &gt; 100%",IF(Table1[[#This Row],[Progres MOS]]&gt;0%,"Proses MOS &gt; 50%",IF(Table1[[#This Row],[Progres MOS]]=0,"Belum MOS = 0%"))))</f>
        <v>Proses MOS &gt; 100%</v>
      </c>
      <c r="ET40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5" s="42"/>
      <c r="EV405" s="301">
        <v>45964</v>
      </c>
      <c r="EW405" s="301">
        <v>46153</v>
      </c>
      <c r="EX405" s="301">
        <v>46110</v>
      </c>
      <c r="EY405" s="301">
        <v>46183</v>
      </c>
      <c r="EZ405" s="322" t="s">
        <v>1592</v>
      </c>
      <c r="FA405" s="379" t="s">
        <v>1592</v>
      </c>
      <c r="FB405" s="301"/>
      <c r="FC405" s="300">
        <v>45986</v>
      </c>
      <c r="FD405" s="301" t="s">
        <v>260</v>
      </c>
      <c r="FE405" s="301">
        <v>46048</v>
      </c>
      <c r="FF405" s="301"/>
      <c r="FG405" s="301"/>
      <c r="FH405" s="301"/>
      <c r="FI405" s="301"/>
      <c r="FJ405" s="301"/>
      <c r="FK405" s="301"/>
      <c r="FL405" s="322" t="s">
        <v>2780</v>
      </c>
      <c r="FM405" s="322"/>
      <c r="FN405" s="308" t="str">
        <f>IF(Table1[[#This Row],[Tanggal Pengajuan Dokumen]]="","",Table1[[#This Row],[PLAN PERMIT
start]]-Table1[[#This Row],[Tanggal Pengajuan Dokumen]])</f>
        <v/>
      </c>
      <c r="FO405" s="322"/>
      <c r="FP405" s="286"/>
      <c r="FQ405" s="308"/>
      <c r="FR405" s="301"/>
      <c r="FS405" s="308"/>
      <c r="FT40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5" s="314">
        <f ca="1">IF(Table1[[#This Row],[Status Izin]]="Selesai",Table1[[#This Row],[PLAN PERMIT
finish]]-Table1[[#This Row],[Tanggal Terbit/ Target Izin Terbit]],ROUNDUP(Table1[[#This Row],[PLAN PERMIT
finish]]-NOW(),0))</f>
        <v>-94</v>
      </c>
      <c r="FV40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5" s="314"/>
      <c r="FX405" s="42"/>
      <c r="FY405" s="483">
        <v>46069</v>
      </c>
      <c r="FZ405" s="483">
        <v>46066</v>
      </c>
      <c r="GA40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5" s="301">
        <v>46083</v>
      </c>
      <c r="GC405" s="322">
        <v>46083</v>
      </c>
      <c r="GD40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5" s="301">
        <v>46090</v>
      </c>
      <c r="GF405" s="322">
        <v>46087</v>
      </c>
      <c r="GG40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5" s="301">
        <v>46097</v>
      </c>
      <c r="GI405" s="301">
        <v>46103</v>
      </c>
      <c r="GJ405" s="322">
        <v>46094</v>
      </c>
      <c r="GK40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5" s="301">
        <v>46111</v>
      </c>
      <c r="GM405" s="301">
        <v>46206</v>
      </c>
      <c r="GN405" s="301">
        <v>46222</v>
      </c>
      <c r="GO405" s="300">
        <v>46275</v>
      </c>
      <c r="GP405" s="286"/>
      <c r="GQ40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5" s="301"/>
      <c r="GS405" s="301"/>
      <c r="GT405" s="324"/>
      <c r="GU405" s="314" t="str">
        <f>IF(Table1[[#This Row],[Hydro Tes Actual
(tanggal)]]&lt;&gt;"","Sudah","Belum")</f>
        <v>Belum</v>
      </c>
      <c r="GV405" s="300"/>
      <c r="GW405" s="300"/>
      <c r="GX405" s="301"/>
      <c r="GY405" s="314" t="str">
        <f>IF(Table1[[#This Row],[Interkoneksi Actual
(tanggal)]]&lt;&gt;"","Sudah","Belum")</f>
        <v>Belum</v>
      </c>
      <c r="GZ405" s="300"/>
      <c r="HA405" s="300"/>
      <c r="HB405" s="301"/>
      <c r="HC405" s="314" t="str">
        <f>IF(Table1[[#This Row],[Flushing Actual
(tanggal)]]&lt;&gt;"","Sudah","Belum")</f>
        <v>Belum</v>
      </c>
      <c r="HD405" s="301">
        <v>46225</v>
      </c>
      <c r="HE405" s="301">
        <v>46276</v>
      </c>
      <c r="HF405" s="301">
        <v>46230</v>
      </c>
      <c r="HG405" s="322"/>
      <c r="HH40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5" s="300"/>
      <c r="HJ405" s="300"/>
      <c r="HK405" s="301"/>
      <c r="HL405" s="301"/>
      <c r="HM405" s="301">
        <v>46247</v>
      </c>
      <c r="HN405" s="301">
        <v>46247</v>
      </c>
      <c r="HO405" s="300">
        <v>46293</v>
      </c>
      <c r="HP405" s="300"/>
      <c r="HQ405" s="301"/>
      <c r="HR40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5" s="301">
        <v>46255</v>
      </c>
      <c r="HT405" s="301"/>
      <c r="HU405" s="301">
        <v>46255</v>
      </c>
      <c r="HV405" s="390"/>
      <c r="HW405" s="365"/>
      <c r="HX40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5" s="42"/>
      <c r="HZ405" s="322"/>
      <c r="IA405" s="306"/>
      <c r="IB405" s="67"/>
      <c r="IC405" s="585">
        <f>IFERROR(ROUND((Table1[[#This Row],[PLAN TC
finish]]-Table1[[#This Row],[PLAN MC-0
start]])/30,2),"")</f>
        <v>4.43</v>
      </c>
      <c r="ID405">
        <f>DATEDIF(Table1[[#This Row],[PLAN MC-0
start]],Table1[[#This Row],[PLAN TC
finish]],"m")</f>
        <v>4</v>
      </c>
      <c r="IE405" s="6"/>
      <c r="IF405" s="6"/>
      <c r="IG405" s="67"/>
      <c r="II405" s="6"/>
      <c r="IJ405" s="4"/>
      <c r="IK405" s="4"/>
      <c r="IL405" s="6"/>
      <c r="IM405" s="6"/>
      <c r="IN405" s="6"/>
      <c r="IO405" s="6"/>
      <c r="IP405" s="6"/>
      <c r="IR405" s="6"/>
      <c r="IS405" s="6"/>
      <c r="IT405" s="6"/>
      <c r="IU405" s="6"/>
      <c r="IX405" s="6"/>
      <c r="IY405" s="6"/>
      <c r="JA405" s="6"/>
      <c r="JB405" s="6"/>
    </row>
    <row r="406" spans="1:262" ht="15" customHeight="1" x14ac:dyDescent="0.25">
      <c r="B406" s="281">
        <f>SUBTOTAL(3,$D$5:D406)</f>
        <v>402</v>
      </c>
      <c r="C406" s="286">
        <v>402</v>
      </c>
      <c r="D406" s="285" t="s">
        <v>673</v>
      </c>
      <c r="E406" s="308" t="s">
        <v>3224</v>
      </c>
      <c r="F406" s="308" t="s">
        <v>3225</v>
      </c>
      <c r="G406" s="319">
        <v>46300</v>
      </c>
      <c r="H406" s="308" t="s">
        <v>247</v>
      </c>
      <c r="I406" s="308" t="s">
        <v>278</v>
      </c>
      <c r="J406" s="450"/>
      <c r="K406" s="308"/>
      <c r="L406" s="286"/>
      <c r="M406" s="325" t="s">
        <v>251</v>
      </c>
      <c r="N406" s="477">
        <v>54519</v>
      </c>
      <c r="O406" s="477" t="s">
        <v>252</v>
      </c>
      <c r="P40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6" s="35">
        <v>0.50946789270663784</v>
      </c>
      <c r="S406" s="297">
        <v>0.63715168591708904</v>
      </c>
      <c r="T406" s="128">
        <f>Table1[[#This Row],[Progres Total Aktual
(%)]]</f>
        <v>5.3416574447057247E-2</v>
      </c>
      <c r="U406" s="103">
        <f>Table1[[#This Row],[Progres Aktual
(%)]]-Table1[[#This Row],[Target Progres
(%)]]</f>
        <v>-0.58373511147003176</v>
      </c>
      <c r="V406" s="75">
        <v>43800</v>
      </c>
      <c r="W406" s="75">
        <f>Table1[[#This Row],[Total Panjang Pipa Aktual
(Sum-&gt;)3]]</f>
        <v>300</v>
      </c>
      <c r="X406" s="99"/>
      <c r="Y406" s="478" t="s">
        <v>3226</v>
      </c>
      <c r="Z406" s="62">
        <v>73432392990</v>
      </c>
      <c r="AA406" s="479">
        <f>ROUND((Table1[[#This Row],[Nilai RAB Jaringan
(Exclude Ppn)]]-Table1[[#This Row],[RAB Perizinan]])*1.11+Table1[[#This Row],[RAB Perizinan]],0)</f>
        <v>73432392989</v>
      </c>
      <c r="AB406" s="453">
        <f>SUM(Table1[[#This Row],[RAB Kegiatan Umum]:[RAB Perizinan]])</f>
        <v>66213555486</v>
      </c>
      <c r="AC406" s="406">
        <v>3085708496</v>
      </c>
      <c r="AD406" s="406">
        <v>51428474921</v>
      </c>
      <c r="AE406" s="406">
        <v>11111612069</v>
      </c>
      <c r="AF406" s="406">
        <v>587760000</v>
      </c>
      <c r="AG406" s="504"/>
      <c r="AH406" s="480">
        <f>SUM(Table1[[#This Row],[Bobot Keg Umum]:[Bobot Perizinan]])</f>
        <v>1</v>
      </c>
      <c r="AI406" s="480">
        <f>Table1[[#This Row],[RAB Kegiatan Umum]]/Table1[[#This Row],[Nilai RAB Jaringan
(Exclude Ppn)]]</f>
        <v>4.6602368251504531E-2</v>
      </c>
      <c r="AJ406" s="480">
        <f>Table1[[#This Row],[RAB Pemasangan]]/Table1[[#This Row],[Nilai RAB Jaringan
(Exclude Ppn)]]</f>
        <v>0.77670613733880955</v>
      </c>
      <c r="AK406" s="111">
        <f>Table1[[#This Row],[RAB Pengadaan]]/Table1[[#This Row],[Nilai RAB Jaringan
(Exclude Ppn)]]</f>
        <v>0.16781476221057795</v>
      </c>
      <c r="AL406" s="112">
        <f>Table1[[#This Row],[RAB Perizinan]]/Table1[[#This Row],[Nilai RAB Jaringan
(Exclude Ppn)]]</f>
        <v>8.876732199107994E-3</v>
      </c>
      <c r="AM406" s="42"/>
      <c r="AN406" s="256"/>
      <c r="AO406" s="256">
        <f>SUM(Table1[[#This Row],[Pipa 63 mm]:[Pipa 1,800 mm]])</f>
        <v>43800</v>
      </c>
      <c r="AP406" s="256">
        <v>35036</v>
      </c>
      <c r="AQ406" s="256">
        <v>4762</v>
      </c>
      <c r="AR406" s="256">
        <v>2731</v>
      </c>
      <c r="AS406" s="256">
        <v>1266</v>
      </c>
      <c r="AT406" s="256"/>
      <c r="AU406" s="256"/>
      <c r="AV406" s="256">
        <v>5</v>
      </c>
      <c r="AW406" s="256"/>
      <c r="AX406" s="256"/>
      <c r="AY406" s="256"/>
      <c r="AZ406" s="256"/>
      <c r="BA406" s="256"/>
      <c r="BB406" s="256"/>
      <c r="BC406" s="256"/>
      <c r="BD406" s="256"/>
      <c r="BE406" s="256"/>
      <c r="BF406" s="256"/>
      <c r="BG406" s="256"/>
      <c r="BH406" s="256"/>
      <c r="BI406" s="256"/>
      <c r="BJ406" s="36">
        <f>SUM(Table1[[#This Row],[Pipa 63 mm2]:[Pipa 1,800 mm21]])</f>
        <v>300</v>
      </c>
      <c r="BK406" s="32">
        <v>300</v>
      </c>
      <c r="BL406" s="32"/>
      <c r="BM406" s="32"/>
      <c r="BN406" s="32"/>
      <c r="BO406" s="32"/>
      <c r="BP406" s="32"/>
      <c r="BQ406" s="32"/>
      <c r="BR406" s="32"/>
      <c r="BS406" s="32"/>
      <c r="BT406" s="32"/>
      <c r="BU406" s="32"/>
      <c r="BV406" s="32"/>
      <c r="BW406" s="32"/>
      <c r="BX406" s="32"/>
      <c r="BY406" s="32"/>
      <c r="BZ406" s="32"/>
      <c r="CA406" s="32"/>
      <c r="CB406" s="32"/>
      <c r="CC406" s="32"/>
      <c r="CD406" s="32"/>
      <c r="CE406" s="32"/>
      <c r="CF406" s="32"/>
      <c r="CG406" s="32"/>
      <c r="CH406" s="32"/>
      <c r="CI406" s="32"/>
      <c r="CJ406" s="32">
        <f>IF((Table1[[#This Row],["Volume
BA MC-0"]]-Table1[[#This Row],[Total Panjang Pipa Aktual
(Sum-&gt;)3]]-Table1[[#This Row],[Total Volume
tidak dapat dipasang]])&gt;=0,Table1[[#This Row],["Volume
BA MC-0"]]-Table1[[#This Row],[Total Panjang Pipa Aktual
(Sum-&gt;)3]]-Table1[[#This Row],[Total Volume
tidak dapat dipasang]],0)</f>
        <v>0</v>
      </c>
      <c r="CK406" s="42"/>
      <c r="CL406" s="113"/>
      <c r="CM406" s="307"/>
      <c r="CN406" s="113"/>
      <c r="CO406" s="113"/>
      <c r="CP40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5.3416574447057247E-2</v>
      </c>
      <c r="CQ406" s="406">
        <f>IFERROR(Table1[[#This Row],[Progres Keg. Umum
(%)]]*Table1[[#This Row],[Nilai RAB Jaringan
(file pa aji)]],0)</f>
        <v>0</v>
      </c>
      <c r="CR406" s="406">
        <f>IFERROR(Table1[[#This Row],[Progres MOS
(%)]]*Table1[[#This Row],[Nilai RAB Jaringan
(file pa aji)]],0)</f>
        <v>0</v>
      </c>
      <c r="CS406" s="406">
        <f>IFERROR(Table1[[#This Row],[Progres Pemasangan
(%)]]*Table1[[#This Row],[Nilai RAB Jaringan
(file pa aji)]],0)</f>
        <v>0</v>
      </c>
      <c r="CT406" s="406">
        <f>IFERROR(Table1[[#This Row],[Progres Perizinan
(%)]]*Table1[[#This Row],[Nilai RAB Jaringan
(file pa aji)]],0)</f>
        <v>0</v>
      </c>
      <c r="CU406" s="789">
        <v>3922506886.922483</v>
      </c>
      <c r="CV406" s="299">
        <v>3922506886.922483</v>
      </c>
      <c r="CW406" s="481">
        <v>0</v>
      </c>
      <c r="CX406" s="789">
        <f>_xlfn.XLOOKUP(Table1[[#This Row],[Kode Program]],'[1]Breakdown VOWD Greenfield'!$E:$E,'[1]Breakdown VOWD Greenfield'!$AT:$AT)</f>
        <v>0</v>
      </c>
      <c r="CY406" s="42"/>
      <c r="CZ406" s="301">
        <v>45929</v>
      </c>
      <c r="DA406" s="301">
        <v>45963</v>
      </c>
      <c r="DB406" s="301">
        <v>45951</v>
      </c>
      <c r="DC406" s="505" t="s">
        <v>3227</v>
      </c>
      <c r="DD406" s="478">
        <f>72844632989.46+587760000</f>
        <v>73432392989.460007</v>
      </c>
      <c r="DE40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6" s="301">
        <v>45972</v>
      </c>
      <c r="DG406" s="505" t="s">
        <v>3228</v>
      </c>
      <c r="DH406" s="478">
        <f>72844632989.46+587760000</f>
        <v>73432392989.460007</v>
      </c>
      <c r="DI40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6" s="301">
        <v>45964</v>
      </c>
      <c r="DK406" s="301">
        <v>46082</v>
      </c>
      <c r="DL406" s="301">
        <v>46056</v>
      </c>
      <c r="DM406" s="286" t="s">
        <v>3229</v>
      </c>
      <c r="DN40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6" s="301">
        <v>46062</v>
      </c>
      <c r="DP406" s="286" t="s">
        <v>3230</v>
      </c>
      <c r="DQ406" s="308" t="s">
        <v>365</v>
      </c>
      <c r="DR40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06" s="301">
        <v>45964</v>
      </c>
      <c r="DT406" s="301">
        <v>46164</v>
      </c>
      <c r="DU406" s="301">
        <v>46012</v>
      </c>
      <c r="DV406" s="301">
        <v>46178</v>
      </c>
      <c r="DW406" s="301">
        <v>46057</v>
      </c>
      <c r="DX406" t="s">
        <v>3231</v>
      </c>
      <c r="DY406" s="482">
        <v>148</v>
      </c>
      <c r="DZ406" s="482">
        <v>148</v>
      </c>
      <c r="EA40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6" s="301"/>
      <c r="EC406" s="304">
        <v>147</v>
      </c>
      <c r="ED406" s="304">
        <v>147</v>
      </c>
      <c r="EE406" s="100"/>
      <c r="EF406" s="307">
        <v>0.9932432432432432</v>
      </c>
      <c r="EG406" s="307">
        <f>Table1[[#This Row],[Line PO]]/Table1[[#This Row],[Line PR]]</f>
        <v>0.9932432432432432</v>
      </c>
      <c r="EH406" s="286" t="str">
        <f>IF(Table1[[#This Row],[PO Material Aktual 
(%)]]&gt;=100%,"Selesai PO = 100%",IF(Table1[[#This Row],[PO Material Aktual 
(%)]]&gt;=50%,"Proses PO &gt; 100%",IF(Table1[[#This Row],[PO Material Aktual 
(%)]]&gt;0%,"Proses PO &gt; 50%",IF(Table1[[#This Row],[PO Material Aktual 
(%)]]=0,"Belum PO = 0%"))))</f>
        <v>Proses PO &gt; 100%</v>
      </c>
      <c r="EI40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6" s="301">
        <v>46013</v>
      </c>
      <c r="EK406" s="301">
        <v>46178</v>
      </c>
      <c r="EL406" s="301">
        <v>46201</v>
      </c>
      <c r="EM406" s="301">
        <v>46203</v>
      </c>
      <c r="EN406" s="301"/>
      <c r="EO406" s="482">
        <v>41</v>
      </c>
      <c r="EP406" s="482">
        <v>41</v>
      </c>
      <c r="EQ406" s="307">
        <v>0.27702702702702703</v>
      </c>
      <c r="ER406" s="307">
        <f>Table1[[#This Row],[Line MOS]]/Table1[[#This Row],[Line PR]]</f>
        <v>0.27702702702702703</v>
      </c>
      <c r="ES406" s="286" t="str">
        <f>IF(Table1[[#This Row],[Progres MOS]]&gt;=100%,"Selesai MOS = 100%",IF(Table1[[#This Row],[Progres MOS]]&gt;=50%,"Proses MOS &gt; 100%",IF(Table1[[#This Row],[Progres MOS]]&gt;0%,"Proses MOS &gt; 50%",IF(Table1[[#This Row],[Progres MOS]]=0,"Belum MOS = 0%"))))</f>
        <v>Proses MOS &gt; 50%</v>
      </c>
      <c r="ET40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6" s="42"/>
      <c r="EV406" s="301">
        <v>45964</v>
      </c>
      <c r="EW406" s="301">
        <v>46153</v>
      </c>
      <c r="EX406" s="301">
        <v>46110</v>
      </c>
      <c r="EY406" s="301">
        <v>46183</v>
      </c>
      <c r="EZ406" s="322" t="s">
        <v>2769</v>
      </c>
      <c r="FA406" s="379" t="s">
        <v>2769</v>
      </c>
      <c r="FB406" s="301"/>
      <c r="FC406" s="300">
        <v>46020</v>
      </c>
      <c r="FD406" s="301" t="s">
        <v>260</v>
      </c>
      <c r="FE406" s="301">
        <v>46066</v>
      </c>
      <c r="FF406" s="301"/>
      <c r="FG406" s="301"/>
      <c r="FH406" s="301"/>
      <c r="FI406" s="301"/>
      <c r="FJ406" s="301"/>
      <c r="FK406" s="301"/>
      <c r="FL406" s="322" t="s">
        <v>2780</v>
      </c>
      <c r="FM406" s="322"/>
      <c r="FN406" s="308" t="str">
        <f>IF(Table1[[#This Row],[Tanggal Pengajuan Dokumen]]="","",Table1[[#This Row],[PLAN PERMIT
start]]-Table1[[#This Row],[Tanggal Pengajuan Dokumen]])</f>
        <v/>
      </c>
      <c r="FO406" s="322"/>
      <c r="FP406" s="286"/>
      <c r="FQ406" s="308"/>
      <c r="FR406" s="301"/>
      <c r="FS406" s="308"/>
      <c r="FT40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6" s="314">
        <f ca="1">IF(Table1[[#This Row],[Status Izin]]="Selesai",Table1[[#This Row],[PLAN PERMIT
finish]]-Table1[[#This Row],[Tanggal Terbit/ Target Izin Terbit]],ROUNDUP(Table1[[#This Row],[PLAN PERMIT
finish]]-NOW(),0))</f>
        <v>-94</v>
      </c>
      <c r="FV40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6" s="314"/>
      <c r="FX406" s="42"/>
      <c r="FY406" s="483">
        <v>46069</v>
      </c>
      <c r="FZ406" s="483">
        <v>46066</v>
      </c>
      <c r="GA40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6" s="301">
        <v>46083</v>
      </c>
      <c r="GC406" s="322">
        <v>46071</v>
      </c>
      <c r="GD40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06" s="301">
        <v>46090</v>
      </c>
      <c r="GF406" s="322">
        <v>46073</v>
      </c>
      <c r="GG40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06" s="301">
        <v>46097</v>
      </c>
      <c r="GI406" s="301">
        <v>46103</v>
      </c>
      <c r="GJ406" s="322">
        <v>46083</v>
      </c>
      <c r="GK40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06" s="301">
        <v>46111</v>
      </c>
      <c r="GM406" s="301">
        <v>46206</v>
      </c>
      <c r="GN406" s="301">
        <v>46222</v>
      </c>
      <c r="GO406" s="300">
        <v>46275</v>
      </c>
      <c r="GP406" s="286"/>
      <c r="GQ40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6" s="301"/>
      <c r="GS406" s="301"/>
      <c r="GT406" s="324"/>
      <c r="GU406" s="314" t="str">
        <f>IF(Table1[[#This Row],[Hydro Tes Actual
(tanggal)]]&lt;&gt;"","Sudah","Belum")</f>
        <v>Belum</v>
      </c>
      <c r="GV406" s="300"/>
      <c r="GW406" s="300"/>
      <c r="GX406" s="301"/>
      <c r="GY406" s="314" t="str">
        <f>IF(Table1[[#This Row],[Interkoneksi Actual
(tanggal)]]&lt;&gt;"","Sudah","Belum")</f>
        <v>Belum</v>
      </c>
      <c r="GZ406" s="300"/>
      <c r="HA406" s="300"/>
      <c r="HB406" s="301"/>
      <c r="HC406" s="314" t="str">
        <f>IF(Table1[[#This Row],[Flushing Actual
(tanggal)]]&lt;&gt;"","Sudah","Belum")</f>
        <v>Belum</v>
      </c>
      <c r="HD406" s="301">
        <v>46225</v>
      </c>
      <c r="HE406" s="301">
        <v>46276</v>
      </c>
      <c r="HF406" s="301">
        <v>46230</v>
      </c>
      <c r="HG406" s="322"/>
      <c r="HH40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6" s="300"/>
      <c r="HJ406" s="300"/>
      <c r="HK406" s="301"/>
      <c r="HL406" s="301"/>
      <c r="HM406" s="301">
        <v>46247</v>
      </c>
      <c r="HN406" s="301">
        <v>46247</v>
      </c>
      <c r="HO406" s="300">
        <v>46293</v>
      </c>
      <c r="HP406" s="300"/>
      <c r="HQ406" s="301"/>
      <c r="HR40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6" s="301">
        <v>46255</v>
      </c>
      <c r="HT406" s="301"/>
      <c r="HU406" s="301">
        <v>46255</v>
      </c>
      <c r="HV406" s="390"/>
      <c r="HW406" s="365"/>
      <c r="HX40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6" s="42"/>
      <c r="HZ406" s="322"/>
      <c r="IA406" s="306"/>
      <c r="IB406" s="67"/>
      <c r="IC406" s="585">
        <f>IFERROR(ROUND((Table1[[#This Row],[PLAN TC
finish]]-Table1[[#This Row],[PLAN MC-0
start]])/30,2),"")</f>
        <v>4.43</v>
      </c>
      <c r="ID406">
        <f>DATEDIF(Table1[[#This Row],[PLAN MC-0
start]],Table1[[#This Row],[PLAN TC
finish]],"m")</f>
        <v>4</v>
      </c>
      <c r="IE406" s="6"/>
      <c r="IF406" s="6"/>
      <c r="IG406" s="67"/>
      <c r="II406" s="6"/>
      <c r="IJ406" s="4"/>
      <c r="IK406" s="4"/>
      <c r="IL406" s="6"/>
      <c r="IM406" s="6"/>
      <c r="IN406" s="6"/>
      <c r="IO406" s="6"/>
      <c r="IP406" s="6"/>
      <c r="IR406" s="6"/>
      <c r="IS406" s="6"/>
      <c r="IT406" s="6"/>
      <c r="IU406" s="6"/>
      <c r="IX406" s="6"/>
      <c r="IY406" s="6"/>
      <c r="JA406" s="6"/>
      <c r="JB406" s="6"/>
    </row>
    <row r="407" spans="1:262" ht="15" customHeight="1" x14ac:dyDescent="0.25">
      <c r="A407" s="6" t="s">
        <v>3232</v>
      </c>
      <c r="B407" s="281">
        <f>SUBTOTAL(3,$D$5:D407)</f>
        <v>403</v>
      </c>
      <c r="C407" s="286">
        <v>403</v>
      </c>
      <c r="D407" s="285" t="s">
        <v>673</v>
      </c>
      <c r="E407" s="431" t="s">
        <v>3233</v>
      </c>
      <c r="F407" s="308" t="s">
        <v>3234</v>
      </c>
      <c r="G407" s="319">
        <v>46300</v>
      </c>
      <c r="H407" s="308" t="s">
        <v>247</v>
      </c>
      <c r="I407" s="308" t="s">
        <v>278</v>
      </c>
      <c r="J407" s="488"/>
      <c r="K407" s="431"/>
      <c r="L407" s="304"/>
      <c r="M407" s="449" t="s">
        <v>269</v>
      </c>
      <c r="N407" s="477">
        <v>39122</v>
      </c>
      <c r="O407" s="477" t="s">
        <v>252</v>
      </c>
      <c r="P407"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0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7" s="35">
        <v>0.51541048578646065</v>
      </c>
      <c r="S407" s="297">
        <f>_xlfn.XLOOKUP(Table1[[#This Row],[Nama Program]],'[2]Summary Plan'!$E:$E,'[2]Summary Plan'!$M:$M)</f>
        <v>0.63986538543032079</v>
      </c>
      <c r="T407" s="129">
        <f>Table1[[#This Row],[Progres Total Aktual
(%)]]</f>
        <v>4.3228298596356886E-2</v>
      </c>
      <c r="U407" s="104">
        <f>Table1[[#This Row],[Progres Aktual
(%)]]-Table1[[#This Row],[Target Progres
(%)]]</f>
        <v>-0.59663708683396388</v>
      </c>
      <c r="V407" s="101">
        <v>39185</v>
      </c>
      <c r="W407" s="101">
        <f>Table1[[#This Row],[Total Panjang Pipa Aktual
(Sum-&gt;)3]]</f>
        <v>0</v>
      </c>
      <c r="X407" s="102"/>
      <c r="Y407" s="478" t="s">
        <v>3235</v>
      </c>
      <c r="Z407" s="62">
        <v>47316244282</v>
      </c>
      <c r="AA407" s="489">
        <f>ROUND((Table1[[#This Row],[Nilai RAB Jaringan
(Exclude Ppn)]]-Table1[[#This Row],[RAB Perizinan]])*1.11+Table1[[#This Row],[RAB Perizinan]],0)</f>
        <v>47316244281</v>
      </c>
      <c r="AB407" s="475">
        <f>SUM(Table1[[#This Row],[RAB Kegiatan Umum]:[RAB Perizinan]])</f>
        <v>42668097731</v>
      </c>
      <c r="AC407" s="507">
        <v>2535791570</v>
      </c>
      <c r="AD407" s="507">
        <v>31697394624</v>
      </c>
      <c r="AE407" s="507">
        <v>8022691537</v>
      </c>
      <c r="AF407" s="507">
        <v>412220000</v>
      </c>
      <c r="AG407" s="508"/>
      <c r="AH407" s="490">
        <f>SUM(Table1[[#This Row],[Bobot Keg Umum]:[Bobot Perizinan]])</f>
        <v>1</v>
      </c>
      <c r="AI407" s="490">
        <f>Table1[[#This Row],[RAB Kegiatan Umum]]/Table1[[#This Row],[Nilai RAB Jaringan
(Exclude Ppn)]]</f>
        <v>5.9430621584933015E-2</v>
      </c>
      <c r="AJ407" s="490">
        <f>Table1[[#This Row],[RAB Pemasangan]]/Table1[[#This Row],[Nilai RAB Jaringan
(Exclude Ppn)]]</f>
        <v>0.74288276978822598</v>
      </c>
      <c r="AK407" s="491">
        <f>Table1[[#This Row],[RAB Pengadaan]]/Table1[[#This Row],[Nilai RAB Jaringan
(Exclude Ppn)]]</f>
        <v>0.18802552641504824</v>
      </c>
      <c r="AL407" s="492">
        <f>Table1[[#This Row],[RAB Perizinan]]/Table1[[#This Row],[Nilai RAB Jaringan
(Exclude Ppn)]]</f>
        <v>9.6610822117927809E-3</v>
      </c>
      <c r="AM407" s="42"/>
      <c r="AN407" s="440"/>
      <c r="AO407" s="440">
        <f>SUM(Table1[[#This Row],[Pipa 63 mm]:[Pipa 1,800 mm]])</f>
        <v>39185</v>
      </c>
      <c r="AP407" s="440">
        <v>28877</v>
      </c>
      <c r="AQ407" s="440">
        <v>5804</v>
      </c>
      <c r="AR407" s="440">
        <v>1762</v>
      </c>
      <c r="AS407" s="440">
        <v>2557</v>
      </c>
      <c r="AT407" s="440">
        <v>18</v>
      </c>
      <c r="AU407" s="440">
        <v>167</v>
      </c>
      <c r="AV407" s="440"/>
      <c r="AW407" s="440"/>
      <c r="AX407" s="440"/>
      <c r="AY407" s="440"/>
      <c r="AZ407" s="440"/>
      <c r="BA407" s="440"/>
      <c r="BB407" s="440"/>
      <c r="BC407" s="440"/>
      <c r="BD407" s="440"/>
      <c r="BE407" s="440"/>
      <c r="BF407" s="440"/>
      <c r="BG407" s="440"/>
      <c r="BH407" s="440"/>
      <c r="BI407" s="440"/>
      <c r="BJ407" s="493">
        <f>SUM(Table1[[#This Row],[Pipa 63 mm2]:[Pipa 1,800 mm21]])</f>
        <v>0</v>
      </c>
      <c r="BK407" s="441"/>
      <c r="BL407" s="441"/>
      <c r="BM407" s="441"/>
      <c r="BN407" s="441"/>
      <c r="BO407" s="441"/>
      <c r="BP407" s="441"/>
      <c r="BQ407" s="441"/>
      <c r="BR407" s="441"/>
      <c r="BS407" s="441"/>
      <c r="BT407" s="441"/>
      <c r="BU407" s="441"/>
      <c r="BV407" s="441"/>
      <c r="BW407" s="441"/>
      <c r="BX407" s="441"/>
      <c r="BY407" s="441"/>
      <c r="BZ407" s="441"/>
      <c r="CA407" s="441"/>
      <c r="CB407" s="441"/>
      <c r="CC407" s="441"/>
      <c r="CD407" s="441"/>
      <c r="CE407" s="441"/>
      <c r="CF407" s="441"/>
      <c r="CG407" s="441"/>
      <c r="CH407" s="441"/>
      <c r="CI407" s="441"/>
      <c r="CJ407" s="441">
        <f>IF((Table1[[#This Row],["Volume
BA MC-0"]]-Table1[[#This Row],[Total Panjang Pipa Aktual
(Sum-&gt;)3]]-Table1[[#This Row],[Total Volume
tidak dapat dipasang]])&gt;=0,Table1[[#This Row],["Volume
BA MC-0"]]-Table1[[#This Row],[Total Panjang Pipa Aktual
(Sum-&gt;)3]]-Table1[[#This Row],[Total Volume
tidak dapat dipasang]],0)</f>
        <v>0</v>
      </c>
      <c r="CK407" s="42"/>
      <c r="CL407" s="442"/>
      <c r="CM407" s="445"/>
      <c r="CN407" s="442"/>
      <c r="CO407" s="442"/>
      <c r="CP40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4.3228298596356886E-2</v>
      </c>
      <c r="CQ407" s="435">
        <f>IFERROR(Table1[[#This Row],[Progres Keg. Umum
(%)]]*Table1[[#This Row],[Nilai RAB Jaringan
(file pa aji)]],0)</f>
        <v>0</v>
      </c>
      <c r="CR407" s="435">
        <f>IFERROR(Table1[[#This Row],[Progres MOS
(%)]]*Table1[[#This Row],[Nilai RAB Jaringan
(file pa aji)]],0)</f>
        <v>0</v>
      </c>
      <c r="CS407" s="435">
        <f>IFERROR(Table1[[#This Row],[Progres Pemasangan
(%)]]*Table1[[#This Row],[Nilai RAB Jaringan
(file pa aji)]],0)</f>
        <v>0</v>
      </c>
      <c r="CT407" s="435">
        <f>IFERROR(Table1[[#This Row],[Progres Perizinan
(%)]]*Table1[[#This Row],[Nilai RAB Jaringan
(file pa aji)]],0)</f>
        <v>0</v>
      </c>
      <c r="CU407" s="789">
        <v>0</v>
      </c>
      <c r="CV407" s="299">
        <v>0</v>
      </c>
      <c r="CW407" s="494">
        <v>0</v>
      </c>
      <c r="CX407" s="789">
        <f>_xlfn.XLOOKUP(Table1[[#This Row],[Kode Program]],'[1]Breakdown VOWD Greenfield'!$E:$E,'[1]Breakdown VOWD Greenfield'!$AT:$AT)</f>
        <v>0</v>
      </c>
      <c r="CY407" s="42"/>
      <c r="CZ407" s="301">
        <v>45929</v>
      </c>
      <c r="DA407" s="301">
        <v>45963</v>
      </c>
      <c r="DB407" s="390">
        <v>45881</v>
      </c>
      <c r="DC407" s="505" t="s">
        <v>3236</v>
      </c>
      <c r="DD407" s="495">
        <f>46904024281.41+412220000</f>
        <v>47316244281.410004</v>
      </c>
      <c r="DE40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7" s="390">
        <v>46014</v>
      </c>
      <c r="DG407" s="505" t="s">
        <v>3237</v>
      </c>
      <c r="DH407" s="495">
        <f>46904024281.41+412220000</f>
        <v>47316244281.410004</v>
      </c>
      <c r="DI407"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07" s="301">
        <v>45964</v>
      </c>
      <c r="DK407" s="301">
        <v>46082</v>
      </c>
      <c r="DL407" s="301">
        <v>46049</v>
      </c>
      <c r="DM407" s="304" t="s">
        <v>3238</v>
      </c>
      <c r="DN40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07" s="301">
        <v>46087</v>
      </c>
      <c r="DP407" s="304"/>
      <c r="DQ407" s="431" t="s">
        <v>762</v>
      </c>
      <c r="DR40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7" s="301">
        <v>45964</v>
      </c>
      <c r="DT407" s="301">
        <v>46164</v>
      </c>
      <c r="DU407" s="301">
        <v>46012</v>
      </c>
      <c r="DV407" s="301">
        <v>46178</v>
      </c>
      <c r="DW407" s="301">
        <v>46049</v>
      </c>
      <c r="DX407" s="396" t="s">
        <v>3239</v>
      </c>
      <c r="DY407" s="304">
        <v>107</v>
      </c>
      <c r="DZ407" s="304">
        <v>107</v>
      </c>
      <c r="EA40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7" s="390"/>
      <c r="EC407" s="305">
        <v>106</v>
      </c>
      <c r="ED407" s="305">
        <v>106</v>
      </c>
      <c r="EE407" s="496"/>
      <c r="EF407" s="445">
        <v>0.99065420560747663</v>
      </c>
      <c r="EG407" s="307">
        <f>Table1[[#This Row],[Line PO]]/Table1[[#This Row],[Line PR]]</f>
        <v>0.99065420560747663</v>
      </c>
      <c r="EH407" s="286" t="str">
        <f>IF(Table1[[#This Row],[PO Material Aktual 
(%)]]&gt;=100%,"Selesai PO = 100%",IF(Table1[[#This Row],[PO Material Aktual 
(%)]]&gt;=50%,"Proses PO &gt; 100%",IF(Table1[[#This Row],[PO Material Aktual 
(%)]]&gt;0%,"Proses PO &gt; 50%",IF(Table1[[#This Row],[PO Material Aktual 
(%)]]=0,"Belum PO = 0%"))))</f>
        <v>Proses PO &gt; 100%</v>
      </c>
      <c r="EI40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7" s="301">
        <v>46013</v>
      </c>
      <c r="EK407" s="301">
        <v>46178</v>
      </c>
      <c r="EL407" s="301">
        <v>46201</v>
      </c>
      <c r="EM407" s="390">
        <v>46203</v>
      </c>
      <c r="EN407" s="390"/>
      <c r="EO407" s="302">
        <v>41</v>
      </c>
      <c r="EP407" s="302">
        <v>41</v>
      </c>
      <c r="EQ407" s="307">
        <v>0.38317757009345793</v>
      </c>
      <c r="ER407" s="307">
        <f>Table1[[#This Row],[Line MOS (kolom bantu)]]/Table1[[#This Row],[Line PR]]</f>
        <v>0.38317757009345793</v>
      </c>
      <c r="ES407" s="286" t="str">
        <f>IF(Table1[[#This Row],[Progres MOS]]&gt;=100%,"Selesai MOS = 100%",IF(Table1[[#This Row],[Progres MOS]]&gt;=50%,"Proses MOS &gt; 100%",IF(Table1[[#This Row],[Progres MOS]]&gt;0%,"Proses MOS &gt; 50%",IF(Table1[[#This Row],[Progres MOS]]=0,"Belum MOS = 0%"))))</f>
        <v>Proses MOS &gt; 50%</v>
      </c>
      <c r="ET40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7" s="42"/>
      <c r="EV407" s="301">
        <v>45964</v>
      </c>
      <c r="EW407" s="301">
        <v>46148</v>
      </c>
      <c r="EX407" s="301">
        <v>46110</v>
      </c>
      <c r="EY407" s="390">
        <v>46178</v>
      </c>
      <c r="EZ407" s="447" t="s">
        <v>2769</v>
      </c>
      <c r="FA407" s="379" t="s">
        <v>2769</v>
      </c>
      <c r="FB407" s="390" t="e">
        <v>#N/A</v>
      </c>
      <c r="FC407" s="300" t="e">
        <v>#N/A</v>
      </c>
      <c r="FD407" s="390" t="e">
        <v>#N/A</v>
      </c>
      <c r="FE407" s="390" t="e">
        <v>#N/A</v>
      </c>
      <c r="FF407" s="390" t="e">
        <v>#N/A</v>
      </c>
      <c r="FG407" s="390" t="e">
        <v>#N/A</v>
      </c>
      <c r="FH407" s="390" t="e">
        <v>#N/A</v>
      </c>
      <c r="FI407" s="390" t="e">
        <v>#N/A</v>
      </c>
      <c r="FJ407" s="390" t="e">
        <v>#N/A</v>
      </c>
      <c r="FK407" s="390" t="e">
        <v>#N/A</v>
      </c>
      <c r="FL407" s="322" t="s">
        <v>2780</v>
      </c>
      <c r="FM407" s="447"/>
      <c r="FN407" s="431" t="str">
        <f>IF(Table1[[#This Row],[Tanggal Pengajuan Dokumen]]="","",Table1[[#This Row],[PLAN PERMIT
start]]-Table1[[#This Row],[Tanggal Pengajuan Dokumen]])</f>
        <v/>
      </c>
      <c r="FO407" s="447"/>
      <c r="FP407" s="304"/>
      <c r="FQ407" s="431"/>
      <c r="FR407" s="390"/>
      <c r="FS407" s="431"/>
      <c r="FT407"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7" s="446">
        <f ca="1">IF(Table1[[#This Row],[Status Izin]]="Selesai",Table1[[#This Row],[PLAN PERMIT
finish]]-Table1[[#This Row],[Tanggal Terbit/ Target Izin Terbit]],ROUNDUP(Table1[[#This Row],[PLAN PERMIT
finish]]-NOW(),0))</f>
        <v>-94</v>
      </c>
      <c r="FV407"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7" s="446"/>
      <c r="FX407" s="42"/>
      <c r="FY407" s="483">
        <v>46069</v>
      </c>
      <c r="FZ407" s="483">
        <v>46050</v>
      </c>
      <c r="GA40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07" s="301">
        <v>46083</v>
      </c>
      <c r="GC407" s="447">
        <v>46112</v>
      </c>
      <c r="GD407"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7" s="301">
        <v>46090</v>
      </c>
      <c r="GF407" s="447">
        <v>46112</v>
      </c>
      <c r="GG407"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7" s="301">
        <v>46097</v>
      </c>
      <c r="GI407" s="301">
        <v>46103</v>
      </c>
      <c r="GJ407" s="447">
        <v>46128</v>
      </c>
      <c r="GK407"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7" s="301">
        <v>46111</v>
      </c>
      <c r="GM407" s="301">
        <v>46206</v>
      </c>
      <c r="GN407" s="301">
        <v>46222</v>
      </c>
      <c r="GO407" s="300">
        <v>46275</v>
      </c>
      <c r="GP407" s="304"/>
      <c r="GQ407"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07" s="390"/>
      <c r="GS407" s="390"/>
      <c r="GT407" s="389"/>
      <c r="GU407" s="446" t="str">
        <f>IF(Table1[[#This Row],[Hydro Tes Actual
(tanggal)]]&lt;&gt;"","Sudah","Belum")</f>
        <v>Belum</v>
      </c>
      <c r="GV407" s="497"/>
      <c r="GW407" s="497"/>
      <c r="GX407" s="390"/>
      <c r="GY407" s="446" t="str">
        <f>IF(Table1[[#This Row],[Interkoneksi Actual
(tanggal)]]&lt;&gt;"","Sudah","Belum")</f>
        <v>Belum</v>
      </c>
      <c r="GZ407" s="497"/>
      <c r="HA407" s="497"/>
      <c r="HB407" s="390"/>
      <c r="HC407" s="446" t="str">
        <f>IF(Table1[[#This Row],[Flushing Actual
(tanggal)]]&lt;&gt;"","Sudah","Belum")</f>
        <v>Belum</v>
      </c>
      <c r="HD407" s="301">
        <v>46225</v>
      </c>
      <c r="HE407" s="301">
        <v>46276</v>
      </c>
      <c r="HF407" s="301">
        <v>46230</v>
      </c>
      <c r="HG407" s="447"/>
      <c r="HH407"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07" s="497"/>
      <c r="HJ407" s="497"/>
      <c r="HK407" s="390"/>
      <c r="HL407" s="390"/>
      <c r="HM407" s="301">
        <v>46247</v>
      </c>
      <c r="HN407" s="301">
        <v>46247</v>
      </c>
      <c r="HO407" s="300">
        <v>46293</v>
      </c>
      <c r="HP407" s="497"/>
      <c r="HQ407" s="390"/>
      <c r="HR407"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07" s="301">
        <v>46255</v>
      </c>
      <c r="HT407" s="301"/>
      <c r="HU407" s="301">
        <v>46255</v>
      </c>
      <c r="HV407" s="390"/>
      <c r="HW407" s="317"/>
      <c r="HX407"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07" s="42"/>
      <c r="HZ407" s="447"/>
      <c r="IA407" s="306"/>
      <c r="IB407" s="67"/>
      <c r="IC407" s="585">
        <f>IFERROR(ROUND((Table1[[#This Row],[PLAN TC
finish]]-Table1[[#This Row],[PLAN MC-0
start]])/30,2),"")</f>
        <v>4.43</v>
      </c>
      <c r="ID407">
        <f>DATEDIF(Table1[[#This Row],[PLAN MC-0
start]],Table1[[#This Row],[PLAN TC
finish]],"m")</f>
        <v>4</v>
      </c>
      <c r="IE407" s="6"/>
      <c r="IF407" s="6"/>
      <c r="IG407" s="67"/>
      <c r="II407" s="6"/>
      <c r="IJ407" s="4"/>
      <c r="IK407" s="4"/>
      <c r="IL407" s="6"/>
      <c r="IM407" s="6"/>
      <c r="IN407" s="6"/>
      <c r="IO407" s="6"/>
      <c r="IP407" s="6"/>
      <c r="IR407" s="6"/>
      <c r="IS407" s="6"/>
      <c r="IT407" s="6"/>
      <c r="IU407" s="6"/>
      <c r="IX407" s="6"/>
      <c r="IY407" s="6"/>
      <c r="JA407" s="6"/>
      <c r="JB407" s="6"/>
    </row>
    <row r="408" spans="1:262" ht="15" customHeight="1" x14ac:dyDescent="0.25">
      <c r="B408" s="281">
        <f>SUBTOTAL(3,$D$5:D408)</f>
        <v>404</v>
      </c>
      <c r="C408" s="286">
        <v>404</v>
      </c>
      <c r="D408" s="285" t="s">
        <v>673</v>
      </c>
      <c r="E408" s="308" t="s">
        <v>3240</v>
      </c>
      <c r="F408" s="308" t="s">
        <v>3241</v>
      </c>
      <c r="G408" s="319">
        <v>46300</v>
      </c>
      <c r="H408" s="308" t="s">
        <v>681</v>
      </c>
      <c r="I408" s="308" t="s">
        <v>278</v>
      </c>
      <c r="J408" s="450"/>
      <c r="K408" s="308"/>
      <c r="L408" s="286"/>
      <c r="M408" s="449" t="s">
        <v>269</v>
      </c>
      <c r="N408" s="477">
        <v>672</v>
      </c>
      <c r="O408" s="31" t="s">
        <v>252</v>
      </c>
      <c r="P40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08" s="35">
        <v>1</v>
      </c>
      <c r="S408" s="297">
        <f>_xlfn.XLOOKUP(Table1[[#This Row],[Nama Program]],'[2]Summary Plan'!$E:$E,'[2]Summary Plan'!$M:$M)</f>
        <v>1</v>
      </c>
      <c r="T408" s="128">
        <f>Table1[[#This Row],[Progres Total Aktual
(%)]]</f>
        <v>0.57322754046909119</v>
      </c>
      <c r="U408" s="103">
        <f>Table1[[#This Row],[Progres Aktual
(%)]]-Table1[[#This Row],[Target Progres
(%)]]</f>
        <v>-0.42677245953090881</v>
      </c>
      <c r="V408" s="75">
        <v>700</v>
      </c>
      <c r="W408" s="75">
        <f>Table1[[#This Row],[Total Panjang Pipa Aktual
(Sum-&gt;)3]]</f>
        <v>420</v>
      </c>
      <c r="X408" s="99"/>
      <c r="Y408" s="62" t="s">
        <v>3242</v>
      </c>
      <c r="Z408" s="62">
        <v>1004532495</v>
      </c>
      <c r="AA408" s="479">
        <f>ROUND((Table1[[#This Row],[Nilai RAB Jaringan
(Exclude Ppn)]]-Table1[[#This Row],[RAB Perizinan]])*1.11+Table1[[#This Row],[RAB Perizinan]],0)</f>
        <v>1004532494</v>
      </c>
      <c r="AB408" s="453">
        <f>SUM(Table1[[#This Row],[RAB Kegiatan Umum]:[RAB Perizinan]])</f>
        <v>905650175</v>
      </c>
      <c r="AC408" s="507">
        <v>55858891</v>
      </c>
      <c r="AD408" s="507">
        <v>558588901</v>
      </c>
      <c r="AE408" s="507">
        <v>284482383</v>
      </c>
      <c r="AF408" s="507">
        <v>6720000</v>
      </c>
      <c r="AG408" s="504"/>
      <c r="AH408" s="480">
        <f>SUM(Table1[[#This Row],[Bobot Keg Umum]:[Bobot Perizinan]])</f>
        <v>1</v>
      </c>
      <c r="AI408" s="480">
        <f>Table1[[#This Row],[RAB Kegiatan Umum]]/Table1[[#This Row],[Nilai RAB Jaringan
(Exclude Ppn)]]</f>
        <v>6.1678220290743054E-2</v>
      </c>
      <c r="AJ408" s="480">
        <f>Table1[[#This Row],[RAB Pemasangan]]/Table1[[#This Row],[Nilai RAB Jaringan
(Exclude Ppn)]]</f>
        <v>0.61678219296981862</v>
      </c>
      <c r="AK408" s="111">
        <f>Table1[[#This Row],[RAB Pengadaan]]/Table1[[#This Row],[Nilai RAB Jaringan
(Exclude Ppn)]]</f>
        <v>0.31411950315142378</v>
      </c>
      <c r="AL408" s="112">
        <f>Table1[[#This Row],[RAB Perizinan]]/Table1[[#This Row],[Nilai RAB Jaringan
(Exclude Ppn)]]</f>
        <v>7.4200835880145442E-3</v>
      </c>
      <c r="AM408" s="42"/>
      <c r="AN408" s="256"/>
      <c r="AO408" s="256">
        <f>SUM(Table1[[#This Row],[Pipa 63 mm]:[Pipa 1,800 mm]])</f>
        <v>700</v>
      </c>
      <c r="AP408" s="256">
        <v>500</v>
      </c>
      <c r="AQ408" s="256"/>
      <c r="AR408" s="256">
        <v>200</v>
      </c>
      <c r="AS408" s="256"/>
      <c r="AT408" s="256"/>
      <c r="AU408" s="256"/>
      <c r="AV408" s="256"/>
      <c r="AW408" s="256"/>
      <c r="AX408" s="256"/>
      <c r="AY408" s="256"/>
      <c r="AZ408" s="256"/>
      <c r="BA408" s="256"/>
      <c r="BB408" s="256"/>
      <c r="BC408" s="256"/>
      <c r="BD408" s="256"/>
      <c r="BE408" s="256"/>
      <c r="BF408" s="256"/>
      <c r="BG408" s="256"/>
      <c r="BH408" s="256"/>
      <c r="BI408" s="256"/>
      <c r="BJ408" s="36">
        <f>SUM(Table1[[#This Row],[Pipa 63 mm2]:[Pipa 1,800 mm21]])</f>
        <v>420</v>
      </c>
      <c r="BK408" s="32">
        <v>370</v>
      </c>
      <c r="BL408" s="32"/>
      <c r="BM408" s="32">
        <v>50</v>
      </c>
      <c r="BN408" s="32"/>
      <c r="BO408" s="32"/>
      <c r="BP408" s="32"/>
      <c r="BQ408" s="32"/>
      <c r="BR408" s="32"/>
      <c r="BS408" s="32"/>
      <c r="BT408" s="32"/>
      <c r="BU408" s="32"/>
      <c r="BV408" s="32"/>
      <c r="BW408" s="32"/>
      <c r="BX408" s="32"/>
      <c r="BY408" s="32"/>
      <c r="BZ408" s="32"/>
      <c r="CA408" s="32"/>
      <c r="CB408" s="32"/>
      <c r="CC408" s="32"/>
      <c r="CD408" s="32"/>
      <c r="CE408" s="32"/>
      <c r="CF408" s="32"/>
      <c r="CG408" s="32"/>
      <c r="CH408" s="32"/>
      <c r="CI408" s="32"/>
      <c r="CJ408" s="32">
        <f>IF((Table1[[#This Row],["Volume
BA MC-0"]]-Table1[[#This Row],[Total Panjang Pipa Aktual
(Sum-&gt;)3]]-Table1[[#This Row],[Total Volume
tidak dapat dipasang]])&gt;=0,Table1[[#This Row],["Volume
BA MC-0"]]-Table1[[#This Row],[Total Panjang Pipa Aktual
(Sum-&gt;)3]]-Table1[[#This Row],[Total Volume
tidak dapat dipasang]],0)</f>
        <v>0</v>
      </c>
      <c r="CK408" s="42"/>
      <c r="CL408" s="113"/>
      <c r="CM408" s="307"/>
      <c r="CN408" s="113"/>
      <c r="CO408" s="113"/>
      <c r="CP40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0.57322754046909119</v>
      </c>
      <c r="CQ408" s="406">
        <f>IFERROR(Table1[[#This Row],[Progres Keg. Umum
(%)]]*Table1[[#This Row],[Nilai RAB Jaringan
(file pa aji)]],0)</f>
        <v>0</v>
      </c>
      <c r="CR408" s="406">
        <f>IFERROR(Table1[[#This Row],[Progres MOS
(%)]]*Table1[[#This Row],[Nilai RAB Jaringan
(file pa aji)]],0)</f>
        <v>0</v>
      </c>
      <c r="CS408" s="406">
        <f>IFERROR(Table1[[#This Row],[Progres Pemasangan
(%)]]*Table1[[#This Row],[Nilai RAB Jaringan
(file pa aji)]],0)</f>
        <v>0</v>
      </c>
      <c r="CT408" s="406">
        <f>IFERROR(Table1[[#This Row],[Progres Perizinan
(%)]]*Table1[[#This Row],[Nilai RAB Jaringan
(file pa aji)]],0)</f>
        <v>0</v>
      </c>
      <c r="CU408" s="789">
        <v>575825690.85690212</v>
      </c>
      <c r="CV408" s="299">
        <v>575825690.85690212</v>
      </c>
      <c r="CW408" s="481">
        <v>0</v>
      </c>
      <c r="CX408" s="789">
        <f>_xlfn.XLOOKUP(Table1[[#This Row],[Kode Program]],'[1]Breakdown VOWD Greenfield'!$E:$E,'[1]Breakdown VOWD Greenfield'!$AT:$AT)</f>
        <v>0</v>
      </c>
      <c r="CY408" s="42"/>
      <c r="CZ408" s="301">
        <v>45957</v>
      </c>
      <c r="DA408" s="301">
        <v>45984</v>
      </c>
      <c r="DB408" s="301">
        <v>45951</v>
      </c>
      <c r="DC408" s="505" t="s">
        <v>3243</v>
      </c>
      <c r="DD408" s="478">
        <f>997812494.25+6720000</f>
        <v>1004532494.25</v>
      </c>
      <c r="DE40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8" s="301">
        <v>45972</v>
      </c>
      <c r="DG408" s="505" t="s">
        <v>3244</v>
      </c>
      <c r="DH408" s="478">
        <f>997812494.25+6720000</f>
        <v>1004532494.25</v>
      </c>
      <c r="DI40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8" s="301">
        <v>45985</v>
      </c>
      <c r="DK408" s="301">
        <v>46047</v>
      </c>
      <c r="DL408" s="301">
        <v>46049</v>
      </c>
      <c r="DM408" s="286" t="s">
        <v>3245</v>
      </c>
      <c r="DN40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8" s="301">
        <v>46086</v>
      </c>
      <c r="DP408" s="286"/>
      <c r="DQ408" s="308" t="s">
        <v>365</v>
      </c>
      <c r="DR40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8" s="301">
        <v>45985</v>
      </c>
      <c r="DT408" s="301">
        <v>46164</v>
      </c>
      <c r="DU408" s="301">
        <v>46026</v>
      </c>
      <c r="DV408" s="301">
        <v>46178</v>
      </c>
      <c r="DW408" s="301">
        <v>46049</v>
      </c>
      <c r="DX408" t="s">
        <v>3246</v>
      </c>
      <c r="DY408" s="304">
        <v>32</v>
      </c>
      <c r="DZ408" s="304">
        <v>32</v>
      </c>
      <c r="EA40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8" s="301"/>
      <c r="EC408" s="302">
        <v>31</v>
      </c>
      <c r="ED408" s="302">
        <v>31</v>
      </c>
      <c r="EE408" s="100"/>
      <c r="EF408" s="307">
        <v>0.96875</v>
      </c>
      <c r="EG408" s="307">
        <f>Table1[[#This Row],[Line PO]]/Table1[[#This Row],[Line PR]]</f>
        <v>0.96875</v>
      </c>
      <c r="EH408" s="286" t="str">
        <f>IF(Table1[[#This Row],[PO Material Aktual 
(%)]]&gt;=100%,"Selesai PO = 100%",IF(Table1[[#This Row],[PO Material Aktual 
(%)]]&gt;=50%,"Proses PO &gt; 100%",IF(Table1[[#This Row],[PO Material Aktual 
(%)]]&gt;0%,"Proses PO &gt; 50%",IF(Table1[[#This Row],[PO Material Aktual 
(%)]]=0,"Belum PO = 0%"))))</f>
        <v>Proses PO &gt; 100%</v>
      </c>
      <c r="EI40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8" s="301">
        <v>46027</v>
      </c>
      <c r="EK408" s="301">
        <v>46178</v>
      </c>
      <c r="EL408" s="301">
        <v>46103</v>
      </c>
      <c r="EM408" s="301">
        <v>46183</v>
      </c>
      <c r="EN408" s="301"/>
      <c r="EO408" s="302">
        <v>20</v>
      </c>
      <c r="EP408" s="302">
        <v>20</v>
      </c>
      <c r="EQ408" s="307">
        <v>0.625</v>
      </c>
      <c r="ER408" s="307">
        <f>Table1[[#This Row],[Line MOS (kolom bantu)]]/Table1[[#This Row],[Line PR]]</f>
        <v>0.625</v>
      </c>
      <c r="ES408" s="286" t="str">
        <f>IF(Table1[[#This Row],[Progres MOS]]&gt;=100%,"Selesai MOS = 100%",IF(Table1[[#This Row],[Progres MOS]]&gt;=50%,"Proses MOS &gt; 100%",IF(Table1[[#This Row],[Progres MOS]]&gt;0%,"Proses MOS &gt; 50%",IF(Table1[[#This Row],[Progres MOS]]=0,"Belum MOS = 0%"))))</f>
        <v>Proses MOS &gt; 100%</v>
      </c>
      <c r="ET40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8" s="42"/>
      <c r="EV408" s="301">
        <v>45985</v>
      </c>
      <c r="EW408" s="301">
        <v>46156</v>
      </c>
      <c r="EX408" s="301">
        <v>46075</v>
      </c>
      <c r="EY408" s="301">
        <v>46186</v>
      </c>
      <c r="EZ408" s="322" t="s">
        <v>2769</v>
      </c>
      <c r="FA408" s="379" t="s">
        <v>2769</v>
      </c>
      <c r="FB408" s="301"/>
      <c r="FC408" s="300">
        <v>46020</v>
      </c>
      <c r="FD408" s="301" t="s">
        <v>260</v>
      </c>
      <c r="FE408" s="301">
        <v>46066</v>
      </c>
      <c r="FF408" s="301"/>
      <c r="FG408" s="301"/>
      <c r="FH408" s="301"/>
      <c r="FI408" s="301"/>
      <c r="FJ408" s="301"/>
      <c r="FK408" s="301"/>
      <c r="FL408" s="322" t="s">
        <v>2780</v>
      </c>
      <c r="FM408" s="322"/>
      <c r="FN408" s="308" t="str">
        <f>IF(Table1[[#This Row],[Tanggal Pengajuan Dokumen]]="","",Table1[[#This Row],[PLAN PERMIT
start]]-Table1[[#This Row],[Tanggal Pengajuan Dokumen]])</f>
        <v/>
      </c>
      <c r="FO408" s="322"/>
      <c r="FP408" s="286"/>
      <c r="FQ408" s="308"/>
      <c r="FR408" s="301"/>
      <c r="FS408" s="308"/>
      <c r="FT40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8" s="314">
        <f ca="1">IF(Table1[[#This Row],[Status Izin]]="Selesai",Table1[[#This Row],[PLAN PERMIT
finish]]-Table1[[#This Row],[Tanggal Terbit/ Target Izin Terbit]],ROUNDUP(Table1[[#This Row],[PLAN PERMIT
finish]]-NOW(),0))</f>
        <v>-129</v>
      </c>
      <c r="FV40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8" s="314"/>
      <c r="FX408" s="42"/>
      <c r="FY408" s="483">
        <v>46034</v>
      </c>
      <c r="FZ408" s="483">
        <v>46050</v>
      </c>
      <c r="GA40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8" s="301">
        <v>46048</v>
      </c>
      <c r="GC408" s="322">
        <v>46112</v>
      </c>
      <c r="GD40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8" s="301">
        <v>46055</v>
      </c>
      <c r="GF408" s="322">
        <v>46112</v>
      </c>
      <c r="GG40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8" s="301">
        <v>46062</v>
      </c>
      <c r="GI408" s="301">
        <v>46068</v>
      </c>
      <c r="GJ408" s="322">
        <v>46119</v>
      </c>
      <c r="GK40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8" s="301">
        <v>46076</v>
      </c>
      <c r="GM408" s="301">
        <v>46193</v>
      </c>
      <c r="GN408" s="301">
        <v>46103</v>
      </c>
      <c r="GO408" s="300">
        <v>46241</v>
      </c>
      <c r="GP408" s="286"/>
      <c r="GQ40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8" s="301"/>
      <c r="GS408" s="301"/>
      <c r="GT408" s="324"/>
      <c r="GU408" s="314" t="str">
        <f>IF(Table1[[#This Row],[Hydro Tes Actual
(tanggal)]]&lt;&gt;"","Sudah","Belum")</f>
        <v>Belum</v>
      </c>
      <c r="GV408" s="300"/>
      <c r="GW408" s="300"/>
      <c r="GX408" s="301"/>
      <c r="GY408" s="314" t="str">
        <f>IF(Table1[[#This Row],[Interkoneksi Actual
(tanggal)]]&lt;&gt;"","Sudah","Belum")</f>
        <v>Belum</v>
      </c>
      <c r="GZ408" s="300"/>
      <c r="HA408" s="300"/>
      <c r="HB408" s="301"/>
      <c r="HC408" s="314" t="str">
        <f>IF(Table1[[#This Row],[Flushing Actual
(tanggal)]]&lt;&gt;"","Sudah","Belum")</f>
        <v>Belum</v>
      </c>
      <c r="HD408" s="301">
        <v>46106</v>
      </c>
      <c r="HE408" s="301">
        <v>46242</v>
      </c>
      <c r="HF408" s="301">
        <v>46111</v>
      </c>
      <c r="HG408" s="322"/>
      <c r="HH40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8" s="300"/>
      <c r="HJ408" s="300"/>
      <c r="HK408" s="301"/>
      <c r="HL408" s="301"/>
      <c r="HM408" s="301">
        <v>46128</v>
      </c>
      <c r="HN408" s="301">
        <v>46128</v>
      </c>
      <c r="HO408" s="300">
        <v>46259</v>
      </c>
      <c r="HP408" s="300"/>
      <c r="HQ408" s="301"/>
      <c r="HR40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08" s="301">
        <v>46136</v>
      </c>
      <c r="HT408" s="301"/>
      <c r="HU408" s="301">
        <v>46136</v>
      </c>
      <c r="HV408" s="390"/>
      <c r="HW408" s="365"/>
      <c r="HX40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08" s="42"/>
      <c r="HZ408" s="322"/>
      <c r="IA408" s="306"/>
      <c r="IB408" s="67"/>
      <c r="IC408" s="585">
        <f>IFERROR(ROUND((Table1[[#This Row],[PLAN TC
finish]]-Table1[[#This Row],[PLAN MC-0
start]])/30,2),"")</f>
        <v>1.63</v>
      </c>
      <c r="ID408">
        <f>DATEDIF(Table1[[#This Row],[PLAN MC-0
start]],Table1[[#This Row],[PLAN TC
finish]],"m")</f>
        <v>1</v>
      </c>
      <c r="IE408" s="6"/>
      <c r="IF408" s="6"/>
      <c r="IG408" s="67"/>
      <c r="II408" s="6"/>
      <c r="IJ408" s="4"/>
      <c r="IK408" s="4"/>
      <c r="IL408" s="6"/>
      <c r="IM408" s="6"/>
      <c r="IN408" s="6"/>
      <c r="IO408" s="6"/>
      <c r="IP408" s="6"/>
      <c r="IR408" s="6"/>
      <c r="IS408" s="6"/>
      <c r="IT408" s="6"/>
      <c r="IU408" s="6"/>
      <c r="IX408" s="6"/>
      <c r="IY408" s="6"/>
      <c r="JA408" s="6"/>
      <c r="JB408" s="6"/>
    </row>
    <row r="409" spans="1:262" ht="15" customHeight="1" x14ac:dyDescent="0.25">
      <c r="B409" s="281">
        <f>SUBTOTAL(3,$D$5:D409)</f>
        <v>405</v>
      </c>
      <c r="C409" s="286">
        <v>405</v>
      </c>
      <c r="D409" s="285" t="s">
        <v>673</v>
      </c>
      <c r="E409" s="308" t="s">
        <v>3247</v>
      </c>
      <c r="F409" s="308" t="s">
        <v>3248</v>
      </c>
      <c r="G409" s="319">
        <v>46300</v>
      </c>
      <c r="H409" s="308" t="s">
        <v>681</v>
      </c>
      <c r="I409" s="308" t="s">
        <v>278</v>
      </c>
      <c r="J409" s="450"/>
      <c r="K409" s="308"/>
      <c r="L409" s="286"/>
      <c r="M409" s="449" t="s">
        <v>269</v>
      </c>
      <c r="N409" s="477">
        <v>2372</v>
      </c>
      <c r="O409" s="31" t="s">
        <v>252</v>
      </c>
      <c r="P40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0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09" s="35">
        <v>0.99626510171922145</v>
      </c>
      <c r="S409" s="297">
        <f>_xlfn.XLOOKUP(Table1[[#This Row],[Nama Program]],'[2]Summary Plan'!$E:$E,'[2]Summary Plan'!$M:$M)</f>
        <v>0.99999999999999989</v>
      </c>
      <c r="T409" s="128">
        <f>Table1[[#This Row],[Progres Total Aktual
(%)]]</f>
        <v>5.1290348806821227E-2</v>
      </c>
      <c r="U409" s="103">
        <f>Table1[[#This Row],[Progres Aktual
(%)]]-Table1[[#This Row],[Target Progres
(%)]]</f>
        <v>-0.94870965119317863</v>
      </c>
      <c r="V409" s="75">
        <v>2537</v>
      </c>
      <c r="W409" s="75">
        <f>Table1[[#This Row],[Total Panjang Pipa Aktual
(Sum-&gt;)3]]</f>
        <v>0</v>
      </c>
      <c r="X409" s="99"/>
      <c r="Y409" s="62" t="s">
        <v>3249</v>
      </c>
      <c r="Z409" s="62">
        <v>4255561145</v>
      </c>
      <c r="AA409" s="479">
        <f>ROUND((Table1[[#This Row],[Nilai RAB Jaringan
(Exclude Ppn)]]-Table1[[#This Row],[RAB Perizinan]])*1.11+Table1[[#This Row],[RAB Perizinan]],0)</f>
        <v>4255561144</v>
      </c>
      <c r="AB409" s="453">
        <f>SUM(Table1[[#This Row],[RAB Kegiatan Umum]:[RAB Perizinan]])</f>
        <v>3836883193</v>
      </c>
      <c r="AC409" s="507">
        <v>286379964</v>
      </c>
      <c r="AD409" s="507">
        <v>2863799638</v>
      </c>
      <c r="AE409" s="406">
        <v>655983591</v>
      </c>
      <c r="AF409" s="507">
        <v>30720000</v>
      </c>
      <c r="AG409" s="504"/>
      <c r="AH409" s="480">
        <f>SUM(Table1[[#This Row],[Bobot Keg Umum]:[Bobot Perizinan]])</f>
        <v>1</v>
      </c>
      <c r="AI409" s="480">
        <f>Table1[[#This Row],[RAB Kegiatan Umum]]/Table1[[#This Row],[Nilai RAB Jaringan
(Exclude Ppn)]]</f>
        <v>7.4638697503867438E-2</v>
      </c>
      <c r="AJ409" s="480">
        <f>Table1[[#This Row],[RAB Pemasangan]]/Table1[[#This Row],[Nilai RAB Jaringan
(Exclude Ppn)]]</f>
        <v>0.74638697451741787</v>
      </c>
      <c r="AK409" s="111">
        <f>Table1[[#This Row],[RAB Pengadaan]]/Table1[[#This Row],[Nilai RAB Jaringan
(Exclude Ppn)]]</f>
        <v>0.17096782935607077</v>
      </c>
      <c r="AL409" s="112">
        <f>Table1[[#This Row],[RAB Perizinan]]/Table1[[#This Row],[Nilai RAB Jaringan
(Exclude Ppn)]]</f>
        <v>8.0064986226438921E-3</v>
      </c>
      <c r="AM409" s="42"/>
      <c r="AN409" s="256"/>
      <c r="AO409" s="256">
        <f>SUM(Table1[[#This Row],[Pipa 63 mm]:[Pipa 1,800 mm]])</f>
        <v>2537</v>
      </c>
      <c r="AP409" s="256">
        <v>1440</v>
      </c>
      <c r="AQ409" s="256">
        <v>707</v>
      </c>
      <c r="AR409" s="256">
        <v>6</v>
      </c>
      <c r="AS409" s="256">
        <v>384</v>
      </c>
      <c r="AT409" s="256"/>
      <c r="AU409" s="256"/>
      <c r="AV409" s="256"/>
      <c r="AW409" s="256"/>
      <c r="AX409" s="256"/>
      <c r="AY409" s="256"/>
      <c r="AZ409" s="256"/>
      <c r="BA409" s="256"/>
      <c r="BB409" s="256"/>
      <c r="BC409" s="256"/>
      <c r="BD409" s="256"/>
      <c r="BE409" s="256"/>
      <c r="BF409" s="256"/>
      <c r="BG409" s="256"/>
      <c r="BH409" s="256"/>
      <c r="BI409" s="256"/>
      <c r="BJ409" s="36">
        <f>SUM(Table1[[#This Row],[Pipa 63 mm2]:[Pipa 1,800 mm21]])</f>
        <v>0</v>
      </c>
      <c r="BK409" s="32"/>
      <c r="BL409" s="32"/>
      <c r="BM409" s="32"/>
      <c r="BN409" s="32"/>
      <c r="BO409" s="32"/>
      <c r="BP409" s="32"/>
      <c r="BQ409" s="32"/>
      <c r="BR409" s="32"/>
      <c r="BS409" s="32"/>
      <c r="BT409" s="32"/>
      <c r="BU409" s="32"/>
      <c r="BV409" s="32"/>
      <c r="BW409" s="32"/>
      <c r="BX409" s="32"/>
      <c r="BY409" s="32"/>
      <c r="BZ409" s="32"/>
      <c r="CA409" s="32"/>
      <c r="CB409" s="32"/>
      <c r="CC409" s="32"/>
      <c r="CD409" s="32"/>
      <c r="CE409" s="32"/>
      <c r="CF409" s="32"/>
      <c r="CG409" s="32"/>
      <c r="CH409" s="32"/>
      <c r="CI409" s="32"/>
      <c r="CJ409" s="32">
        <f>IF((Table1[[#This Row],["Volume
BA MC-0"]]-Table1[[#This Row],[Total Panjang Pipa Aktual
(Sum-&gt;)3]]-Table1[[#This Row],[Total Volume
tidak dapat dipasang]])&gt;=0,Table1[[#This Row],["Volume
BA MC-0"]]-Table1[[#This Row],[Total Panjang Pipa Aktual
(Sum-&gt;)3]]-Table1[[#This Row],[Total Volume
tidak dapat dipasang]],0)</f>
        <v>0</v>
      </c>
      <c r="CK409" s="42"/>
      <c r="CL409" s="113"/>
      <c r="CM409" s="307"/>
      <c r="CN409" s="113"/>
      <c r="CO409" s="113"/>
      <c r="CP40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5.1290348806821227E-2</v>
      </c>
      <c r="CQ409" s="406">
        <f>IFERROR(Table1[[#This Row],[Progres Keg. Umum
(%)]]*Table1[[#This Row],[Nilai RAB Jaringan
(file pa aji)]],0)</f>
        <v>0</v>
      </c>
      <c r="CR409" s="406">
        <f>IFERROR(Table1[[#This Row],[Progres MOS
(%)]]*Table1[[#This Row],[Nilai RAB Jaringan
(file pa aji)]],0)</f>
        <v>0</v>
      </c>
      <c r="CS409" s="406">
        <f>IFERROR(Table1[[#This Row],[Progres Pemasangan
(%)]]*Table1[[#This Row],[Nilai RAB Jaringan
(file pa aji)]],0)</f>
        <v>0</v>
      </c>
      <c r="CT409" s="406">
        <f>IFERROR(Table1[[#This Row],[Progres Perizinan
(%)]]*Table1[[#This Row],[Nilai RAB Jaringan
(file pa aji)]],0)</f>
        <v>0</v>
      </c>
      <c r="CU409" s="789">
        <v>0</v>
      </c>
      <c r="CV409" s="299">
        <v>0</v>
      </c>
      <c r="CW409" s="481">
        <v>0</v>
      </c>
      <c r="CX409" s="789">
        <f>_xlfn.XLOOKUP(Table1[[#This Row],[Kode Program]],'[1]Breakdown VOWD Greenfield'!$E:$E,'[1]Breakdown VOWD Greenfield'!$AT:$AT)</f>
        <v>0</v>
      </c>
      <c r="CY409" s="42"/>
      <c r="CZ409" s="301">
        <v>45957</v>
      </c>
      <c r="DA409" s="301">
        <v>45984</v>
      </c>
      <c r="DB409" s="301">
        <v>45951</v>
      </c>
      <c r="DC409" s="505" t="s">
        <v>2627</v>
      </c>
      <c r="DD409" s="506">
        <f>4224841144.23+30720000</f>
        <v>4255561144.23</v>
      </c>
      <c r="DE40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09" s="301">
        <v>45972</v>
      </c>
      <c r="DG409" s="505" t="s">
        <v>2628</v>
      </c>
      <c r="DH409" s="506">
        <f>4224841144.23+30720000</f>
        <v>4255561144.23</v>
      </c>
      <c r="DI40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09" s="301">
        <v>45985</v>
      </c>
      <c r="DK409" s="301">
        <v>46047</v>
      </c>
      <c r="DL409" s="301">
        <v>46049</v>
      </c>
      <c r="DM409" s="286" t="s">
        <v>3250</v>
      </c>
      <c r="DN40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09" s="301">
        <v>46085</v>
      </c>
      <c r="DP409" s="286"/>
      <c r="DQ409" s="308" t="s">
        <v>275</v>
      </c>
      <c r="DR40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09" s="301">
        <v>45985</v>
      </c>
      <c r="DT409" s="301">
        <v>46158</v>
      </c>
      <c r="DU409" s="301">
        <v>46026</v>
      </c>
      <c r="DV409" s="301">
        <v>46172</v>
      </c>
      <c r="DW409" s="301">
        <v>46049</v>
      </c>
      <c r="DX409" s="396" t="s">
        <v>3251</v>
      </c>
      <c r="DY409" s="304">
        <v>58</v>
      </c>
      <c r="DZ409" s="304">
        <v>58</v>
      </c>
      <c r="EA40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09" s="301"/>
      <c r="EC409" s="302">
        <v>57</v>
      </c>
      <c r="ED409" s="302">
        <v>57</v>
      </c>
      <c r="EE409" s="100"/>
      <c r="EF409" s="307">
        <v>0.98275862068965514</v>
      </c>
      <c r="EG409" s="307">
        <f>Table1[[#This Row],[Line PO]]/Table1[[#This Row],[Line PR]]</f>
        <v>0.98275862068965514</v>
      </c>
      <c r="EH409" s="286" t="str">
        <f>IF(Table1[[#This Row],[PO Material Aktual 
(%)]]&gt;=100%,"Selesai PO = 100%",IF(Table1[[#This Row],[PO Material Aktual 
(%)]]&gt;=50%,"Proses PO &gt; 100%",IF(Table1[[#This Row],[PO Material Aktual 
(%)]]&gt;0%,"Proses PO &gt; 50%",IF(Table1[[#This Row],[PO Material Aktual 
(%)]]=0,"Belum PO = 0%"))))</f>
        <v>Proses PO &gt; 100%</v>
      </c>
      <c r="EI40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09" s="301">
        <v>46027</v>
      </c>
      <c r="EK409" s="301">
        <v>46172</v>
      </c>
      <c r="EL409" s="301">
        <v>46138</v>
      </c>
      <c r="EM409" s="301">
        <v>46187</v>
      </c>
      <c r="EN409" s="301"/>
      <c r="EO409" s="302">
        <v>29</v>
      </c>
      <c r="EP409" s="302">
        <v>29</v>
      </c>
      <c r="EQ409" s="307">
        <v>0.5</v>
      </c>
      <c r="ER409" s="307">
        <f>Table1[[#This Row],[Line MOS (kolom bantu)]]/Table1[[#This Row],[Line PR]]</f>
        <v>0.5</v>
      </c>
      <c r="ES409" s="286" t="str">
        <f>IF(Table1[[#This Row],[Progres MOS]]&gt;=100%,"Selesai MOS = 100%",IF(Table1[[#This Row],[Progres MOS]]&gt;=50%,"Proses MOS &gt; 100%",IF(Table1[[#This Row],[Progres MOS]]&gt;0%,"Proses MOS &gt; 50%",IF(Table1[[#This Row],[Progres MOS]]=0,"Belum MOS = 0%"))))</f>
        <v>Proses MOS &gt; 100%</v>
      </c>
      <c r="ET40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09" s="42"/>
      <c r="EV409" s="301">
        <v>45985</v>
      </c>
      <c r="EW409" s="301">
        <v>46153</v>
      </c>
      <c r="EX409" s="301">
        <v>46075</v>
      </c>
      <c r="EY409" s="301">
        <v>46183</v>
      </c>
      <c r="EZ409" s="322" t="s">
        <v>2769</v>
      </c>
      <c r="FA409" s="379" t="s">
        <v>2769</v>
      </c>
      <c r="FB409" s="301"/>
      <c r="FC409" s="300">
        <v>46021</v>
      </c>
      <c r="FD409" s="301" t="s">
        <v>260</v>
      </c>
      <c r="FE409" s="301">
        <v>46066</v>
      </c>
      <c r="FF409" s="301"/>
      <c r="FG409" s="301"/>
      <c r="FH409" s="301"/>
      <c r="FI409" s="301"/>
      <c r="FJ409" s="301"/>
      <c r="FK409" s="301"/>
      <c r="FL409" s="322" t="s">
        <v>2780</v>
      </c>
      <c r="FM409" s="322"/>
      <c r="FN409" s="308" t="str">
        <f>IF(Table1[[#This Row],[Tanggal Pengajuan Dokumen]]="","",Table1[[#This Row],[PLAN PERMIT
start]]-Table1[[#This Row],[Tanggal Pengajuan Dokumen]])</f>
        <v/>
      </c>
      <c r="FO409" s="322"/>
      <c r="FP409" s="286"/>
      <c r="FQ409" s="308"/>
      <c r="FR409" s="301"/>
      <c r="FS409" s="308"/>
      <c r="FT40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09" s="314">
        <f ca="1">IF(Table1[[#This Row],[Status Izin]]="Selesai",Table1[[#This Row],[PLAN PERMIT
finish]]-Table1[[#This Row],[Tanggal Terbit/ Target Izin Terbit]],ROUNDUP(Table1[[#This Row],[PLAN PERMIT
finish]]-NOW(),0))</f>
        <v>-129</v>
      </c>
      <c r="FV40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09" s="314"/>
      <c r="FX409" s="42"/>
      <c r="FY409" s="483">
        <v>46034</v>
      </c>
      <c r="FZ409" s="483">
        <v>46050</v>
      </c>
      <c r="GA40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09" s="301">
        <v>46048</v>
      </c>
      <c r="GC409" s="322">
        <v>46113</v>
      </c>
      <c r="GD40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09" s="301">
        <v>46055</v>
      </c>
      <c r="GF409" s="322">
        <v>46113</v>
      </c>
      <c r="GG40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09" s="301">
        <v>46062</v>
      </c>
      <c r="GI409" s="301">
        <v>46068</v>
      </c>
      <c r="GJ409" s="322">
        <v>46129</v>
      </c>
      <c r="GK40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09" s="301">
        <v>46076</v>
      </c>
      <c r="GM409" s="301">
        <v>46190</v>
      </c>
      <c r="GN409" s="301">
        <v>46166</v>
      </c>
      <c r="GO409" s="300">
        <v>46262</v>
      </c>
      <c r="GP409" s="286"/>
      <c r="GQ40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09" s="301"/>
      <c r="GS409" s="301"/>
      <c r="GT409" s="324"/>
      <c r="GU409" s="314" t="str">
        <f>IF(Table1[[#This Row],[Hydro Tes Actual
(tanggal)]]&lt;&gt;"","Sudah","Belum")</f>
        <v>Belum</v>
      </c>
      <c r="GV409" s="300"/>
      <c r="GW409" s="300"/>
      <c r="GX409" s="301"/>
      <c r="GY409" s="314" t="str">
        <f>IF(Table1[[#This Row],[Interkoneksi Actual
(tanggal)]]&lt;&gt;"","Sudah","Belum")</f>
        <v>Belum</v>
      </c>
      <c r="GZ409" s="300"/>
      <c r="HA409" s="300"/>
      <c r="HB409" s="301"/>
      <c r="HC409" s="314" t="str">
        <f>IF(Table1[[#This Row],[Flushing Actual
(tanggal)]]&lt;&gt;"","Sudah","Belum")</f>
        <v>Belum</v>
      </c>
      <c r="HD409" s="301">
        <v>46169</v>
      </c>
      <c r="HE409" s="301">
        <v>46263</v>
      </c>
      <c r="HF409" s="301">
        <v>46174</v>
      </c>
      <c r="HG409" s="322"/>
      <c r="HH40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09" s="300"/>
      <c r="HJ409" s="300"/>
      <c r="HK409" s="301"/>
      <c r="HL409" s="301"/>
      <c r="HM409" s="301">
        <v>46191</v>
      </c>
      <c r="HN409" s="301">
        <v>46191</v>
      </c>
      <c r="HO409" s="300">
        <v>46280</v>
      </c>
      <c r="HP409" s="300"/>
      <c r="HQ409" s="301"/>
      <c r="HR40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09" s="301">
        <v>46199</v>
      </c>
      <c r="HT409" s="301"/>
      <c r="HU409" s="301">
        <v>46199</v>
      </c>
      <c r="HV409" s="390"/>
      <c r="HW409" s="365"/>
      <c r="HX40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09" s="42"/>
      <c r="HZ409" s="322"/>
      <c r="IA409" s="306"/>
      <c r="IB409" s="67"/>
      <c r="IC409" s="585">
        <f>IFERROR(ROUND((Table1[[#This Row],[PLAN TC
finish]]-Table1[[#This Row],[PLAN MC-0
start]])/30,2),"")</f>
        <v>3.73</v>
      </c>
      <c r="ID409">
        <f>DATEDIF(Table1[[#This Row],[PLAN MC-0
start]],Table1[[#This Row],[PLAN TC
finish]],"m")</f>
        <v>3</v>
      </c>
      <c r="IE409" s="6"/>
      <c r="IF409" s="6"/>
      <c r="IG409" s="67"/>
      <c r="II409" s="6"/>
      <c r="IJ409" s="4"/>
      <c r="IK409" s="4"/>
      <c r="IL409" s="6"/>
      <c r="IM409" s="6"/>
      <c r="IN409" s="6"/>
      <c r="IO409" s="6"/>
      <c r="IP409" s="6"/>
      <c r="IR409" s="6"/>
      <c r="IS409" s="6"/>
      <c r="IT409" s="6"/>
      <c r="IU409" s="6"/>
      <c r="IX409" s="6"/>
      <c r="IY409" s="6"/>
      <c r="JA409" s="6"/>
      <c r="JB409" s="6"/>
    </row>
    <row r="410" spans="1:262" ht="15" customHeight="1" x14ac:dyDescent="0.25">
      <c r="B410" s="281">
        <f>SUBTOTAL(3,$D$5:D410)</f>
        <v>406</v>
      </c>
      <c r="C410" s="286">
        <v>406</v>
      </c>
      <c r="D410" s="285" t="s">
        <v>673</v>
      </c>
      <c r="E410" s="308" t="s">
        <v>3252</v>
      </c>
      <c r="F410" s="308" t="s">
        <v>3253</v>
      </c>
      <c r="G410" s="319">
        <v>46300</v>
      </c>
      <c r="H410" s="308" t="s">
        <v>681</v>
      </c>
      <c r="I410" s="308" t="s">
        <v>278</v>
      </c>
      <c r="J410" s="450"/>
      <c r="K410" s="308"/>
      <c r="L410" s="286"/>
      <c r="M410" s="449" t="s">
        <v>269</v>
      </c>
      <c r="N410" s="477">
        <v>189</v>
      </c>
      <c r="O410" s="31" t="s">
        <v>252</v>
      </c>
      <c r="P41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0" s="35">
        <v>1</v>
      </c>
      <c r="S410" s="297">
        <f>_xlfn.XLOOKUP(Table1[[#This Row],[Nama Program]],'[2]Summary Plan'!$E:$E,'[2]Summary Plan'!$M:$M)</f>
        <v>1</v>
      </c>
      <c r="T410" s="128">
        <f>Table1[[#This Row],[Progres Total Aktual
(%)]]</f>
        <v>6.2850162146905378E-2</v>
      </c>
      <c r="U410" s="103">
        <f>Table1[[#This Row],[Progres Aktual
(%)]]-Table1[[#This Row],[Target Progres
(%)]]</f>
        <v>-0.93714983785309458</v>
      </c>
      <c r="V410" s="75">
        <v>200</v>
      </c>
      <c r="W410" s="75">
        <f>Table1[[#This Row],[Total Panjang Pipa Aktual
(Sum-&gt;)3]]</f>
        <v>0</v>
      </c>
      <c r="X410" s="99"/>
      <c r="Y410" s="62" t="s">
        <v>3254</v>
      </c>
      <c r="Z410" s="62">
        <v>385729318</v>
      </c>
      <c r="AA410" s="479">
        <f>ROUND((Table1[[#This Row],[Nilai RAB Jaringan
(Exclude Ppn)]]-Table1[[#This Row],[RAB Perizinan]])*1.11+Table1[[#This Row],[RAB Perizinan]],0)</f>
        <v>385729318</v>
      </c>
      <c r="AB410" s="453">
        <f>SUM(Table1[[#This Row],[RAB Kegiatan Umum]:[RAB Perizinan]])</f>
        <v>347691187</v>
      </c>
      <c r="AC410" s="507">
        <v>25918177</v>
      </c>
      <c r="AD410" s="507">
        <v>259181767</v>
      </c>
      <c r="AE410" s="507">
        <v>60701243</v>
      </c>
      <c r="AF410" s="507">
        <v>1890000</v>
      </c>
      <c r="AG410" s="504"/>
      <c r="AH410" s="480">
        <f>SUM(Table1[[#This Row],[Bobot Keg Umum]:[Bobot Perizinan]])</f>
        <v>1</v>
      </c>
      <c r="AI410" s="480">
        <f>Table1[[#This Row],[RAB Kegiatan Umum]]/Table1[[#This Row],[Nilai RAB Jaringan
(Exclude Ppn)]]</f>
        <v>7.4543669696177831E-2</v>
      </c>
      <c r="AJ410" s="480">
        <f>Table1[[#This Row],[RAB Pemasangan]]/Table1[[#This Row],[Nilai RAB Jaringan
(Exclude Ppn)]]</f>
        <v>0.74543668833343191</v>
      </c>
      <c r="AK410" s="111">
        <f>Table1[[#This Row],[RAB Pengadaan]]/Table1[[#This Row],[Nilai RAB Jaringan
(Exclude Ppn)]]</f>
        <v>0.17458378374140385</v>
      </c>
      <c r="AL410" s="112">
        <f>Table1[[#This Row],[RAB Perizinan]]/Table1[[#This Row],[Nilai RAB Jaringan
(Exclude Ppn)]]</f>
        <v>5.4358582289864019E-3</v>
      </c>
      <c r="AM410" s="42"/>
      <c r="AN410" s="256"/>
      <c r="AO410" s="256">
        <f>SUM(Table1[[#This Row],[Pipa 63 mm]:[Pipa 1,800 mm]])</f>
        <v>200</v>
      </c>
      <c r="AP410" s="256">
        <v>200</v>
      </c>
      <c r="AQ410" s="256"/>
      <c r="AR410" s="256"/>
      <c r="AS410" s="256"/>
      <c r="AT410" s="256"/>
      <c r="AU410" s="256"/>
      <c r="AV410" s="256"/>
      <c r="AW410" s="256"/>
      <c r="AX410" s="256"/>
      <c r="AY410" s="256"/>
      <c r="AZ410" s="256"/>
      <c r="BA410" s="256"/>
      <c r="BB410" s="256"/>
      <c r="BC410" s="256"/>
      <c r="BD410" s="256"/>
      <c r="BE410" s="256"/>
      <c r="BF410" s="256"/>
      <c r="BG410" s="256"/>
      <c r="BH410" s="256"/>
      <c r="BI410" s="256"/>
      <c r="BJ410" s="36">
        <f>SUM(Table1[[#This Row],[Pipa 63 mm2]:[Pipa 1,800 mm21]])</f>
        <v>0</v>
      </c>
      <c r="BK410" s="32"/>
      <c r="BL410" s="32"/>
      <c r="BM410" s="32"/>
      <c r="BN410" s="32"/>
      <c r="BO410" s="32"/>
      <c r="BP410" s="32"/>
      <c r="BQ410" s="32"/>
      <c r="BR410" s="32"/>
      <c r="BS410" s="32"/>
      <c r="BT410" s="32"/>
      <c r="BU410" s="32"/>
      <c r="BV410" s="32"/>
      <c r="BW410" s="32"/>
      <c r="BX410" s="32"/>
      <c r="BY410" s="32"/>
      <c r="BZ410" s="32"/>
      <c r="CA410" s="32"/>
      <c r="CB410" s="32"/>
      <c r="CC410" s="32"/>
      <c r="CD410" s="32"/>
      <c r="CE410" s="32"/>
      <c r="CF410" s="32"/>
      <c r="CG410" s="32"/>
      <c r="CH410" s="32"/>
      <c r="CI410" s="32"/>
      <c r="CJ410" s="32">
        <f>IF((Table1[[#This Row],["Volume
BA MC-0"]]-Table1[[#This Row],[Total Panjang Pipa Aktual
(Sum-&gt;)3]]-Table1[[#This Row],[Total Volume
tidak dapat dipasang]])&gt;=0,Table1[[#This Row],["Volume
BA MC-0"]]-Table1[[#This Row],[Total Panjang Pipa Aktual
(Sum-&gt;)3]]-Table1[[#This Row],[Total Volume
tidak dapat dipasang]],0)</f>
        <v>0</v>
      </c>
      <c r="CK410" s="42"/>
      <c r="CL410" s="113"/>
      <c r="CM410" s="307"/>
      <c r="CN410" s="113"/>
      <c r="CO410" s="113"/>
      <c r="CP41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6.2850162146905378E-2</v>
      </c>
      <c r="CQ410" s="406">
        <f>IFERROR(Table1[[#This Row],[Progres Keg. Umum
(%)]]*Table1[[#This Row],[Nilai RAB Jaringan
(file pa aji)]],0)</f>
        <v>0</v>
      </c>
      <c r="CR410" s="406">
        <f>IFERROR(Table1[[#This Row],[Progres MOS
(%)]]*Table1[[#This Row],[Nilai RAB Jaringan
(file pa aji)]],0)</f>
        <v>0</v>
      </c>
      <c r="CS410" s="406">
        <f>IFERROR(Table1[[#This Row],[Progres Pemasangan
(%)]]*Table1[[#This Row],[Nilai RAB Jaringan
(file pa aji)]],0)</f>
        <v>0</v>
      </c>
      <c r="CT410" s="406">
        <f>IFERROR(Table1[[#This Row],[Progres Perizinan
(%)]]*Table1[[#This Row],[Nilai RAB Jaringan
(file pa aji)]],0)</f>
        <v>0</v>
      </c>
      <c r="CU410" s="789">
        <v>0</v>
      </c>
      <c r="CV410" s="299">
        <v>0</v>
      </c>
      <c r="CW410" s="481">
        <v>0</v>
      </c>
      <c r="CX410" s="789">
        <f>_xlfn.XLOOKUP(Table1[[#This Row],[Kode Program]],'[1]Breakdown VOWD Greenfield'!$E:$E,'[1]Breakdown VOWD Greenfield'!$AT:$AT)</f>
        <v>0</v>
      </c>
      <c r="CY410" s="42"/>
      <c r="CZ410" s="301">
        <v>45957</v>
      </c>
      <c r="DA410" s="301">
        <v>45984</v>
      </c>
      <c r="DB410" s="301">
        <v>45951</v>
      </c>
      <c r="DC410" s="505" t="s">
        <v>3255</v>
      </c>
      <c r="DD410" s="478">
        <f>378879072.36+1890000</f>
        <v>380769072.36000001</v>
      </c>
      <c r="DE41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0" s="301">
        <v>46042</v>
      </c>
      <c r="DG410" s="505" t="s">
        <v>3256</v>
      </c>
      <c r="DH410" s="478">
        <f>378879072.36+1890000</f>
        <v>380769072.36000001</v>
      </c>
      <c r="DI41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0" s="301">
        <v>45985</v>
      </c>
      <c r="DK410" s="301">
        <v>46047</v>
      </c>
      <c r="DL410" s="301">
        <v>46059</v>
      </c>
      <c r="DM410" s="286" t="s">
        <v>3257</v>
      </c>
      <c r="DN41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Delay</v>
      </c>
      <c r="DO410" s="301">
        <v>46087</v>
      </c>
      <c r="DP410" s="286"/>
      <c r="DQ410" s="308" t="s">
        <v>762</v>
      </c>
      <c r="DR41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0" s="301">
        <v>45985</v>
      </c>
      <c r="DT410" s="301">
        <v>46164</v>
      </c>
      <c r="DU410" s="301">
        <v>46026</v>
      </c>
      <c r="DV410" s="301">
        <v>46178</v>
      </c>
      <c r="DW410" s="301">
        <v>46059</v>
      </c>
      <c r="DX410" s="396" t="s">
        <v>3258</v>
      </c>
      <c r="DY410" s="304">
        <v>20</v>
      </c>
      <c r="DZ410" s="304">
        <v>20</v>
      </c>
      <c r="EA41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10" s="301"/>
      <c r="EC410" s="302">
        <v>19</v>
      </c>
      <c r="ED410" s="302">
        <v>19</v>
      </c>
      <c r="EE410" s="100"/>
      <c r="EF410" s="307">
        <v>0.95</v>
      </c>
      <c r="EG410" s="307">
        <f>Table1[[#This Row],[Line PO]]/Table1[[#This Row],[Line PR]]</f>
        <v>0.95</v>
      </c>
      <c r="EH410" s="286" t="str">
        <f>IF(Table1[[#This Row],[PO Material Aktual 
(%)]]&gt;=100%,"Selesai PO = 100%",IF(Table1[[#This Row],[PO Material Aktual 
(%)]]&gt;=50%,"Proses PO &gt; 100%",IF(Table1[[#This Row],[PO Material Aktual 
(%)]]&gt;0%,"Proses PO &gt; 50%",IF(Table1[[#This Row],[PO Material Aktual 
(%)]]=0,"Belum PO = 0%"))))</f>
        <v>Proses PO &gt; 100%</v>
      </c>
      <c r="EI41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0" s="301">
        <v>46027</v>
      </c>
      <c r="EK410" s="301">
        <v>46178</v>
      </c>
      <c r="EL410" s="301">
        <v>46103</v>
      </c>
      <c r="EM410" s="301">
        <v>46183</v>
      </c>
      <c r="EN410" s="301"/>
      <c r="EO410" s="302">
        <v>12</v>
      </c>
      <c r="EP410" s="302">
        <v>12</v>
      </c>
      <c r="EQ410" s="307">
        <v>0.6</v>
      </c>
      <c r="ER410" s="307">
        <f>Table1[[#This Row],[Line MOS (kolom bantu)]]/Table1[[#This Row],[Line PR]]</f>
        <v>0.6</v>
      </c>
      <c r="ES410" s="286" t="str">
        <f>IF(Table1[[#This Row],[Progres MOS]]&gt;=100%,"Selesai MOS = 100%",IF(Table1[[#This Row],[Progres MOS]]&gt;=50%,"Proses MOS &gt; 100%",IF(Table1[[#This Row],[Progres MOS]]&gt;0%,"Proses MOS &gt; 50%",IF(Table1[[#This Row],[Progres MOS]]=0,"Belum MOS = 0%"))))</f>
        <v>Proses MOS &gt; 100%</v>
      </c>
      <c r="ET41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0" s="42"/>
      <c r="EV410" s="301">
        <v>45985</v>
      </c>
      <c r="EW410" s="301">
        <v>46156</v>
      </c>
      <c r="EX410" s="301">
        <v>46075</v>
      </c>
      <c r="EY410" s="301">
        <v>46186</v>
      </c>
      <c r="EZ410" s="322" t="s">
        <v>2769</v>
      </c>
      <c r="FA410" s="379" t="s">
        <v>2769</v>
      </c>
      <c r="FB410" s="301"/>
      <c r="FC410" s="300">
        <v>46022</v>
      </c>
      <c r="FD410" s="301" t="s">
        <v>260</v>
      </c>
      <c r="FE410" s="301">
        <v>46066</v>
      </c>
      <c r="FF410" s="301"/>
      <c r="FG410" s="301"/>
      <c r="FH410" s="301"/>
      <c r="FI410" s="301"/>
      <c r="FJ410" s="301"/>
      <c r="FK410" s="301"/>
      <c r="FL410" s="322" t="s">
        <v>2780</v>
      </c>
      <c r="FM410" s="322"/>
      <c r="FN410" s="308" t="str">
        <f>IF(Table1[[#This Row],[Tanggal Pengajuan Dokumen]]="","",Table1[[#This Row],[PLAN PERMIT
start]]-Table1[[#This Row],[Tanggal Pengajuan Dokumen]])</f>
        <v/>
      </c>
      <c r="FO410" s="322"/>
      <c r="FP410" s="286"/>
      <c r="FQ410" s="308"/>
      <c r="FR410" s="301"/>
      <c r="FS410" s="308"/>
      <c r="FT41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0" s="314">
        <f ca="1">IF(Table1[[#This Row],[Status Izin]]="Selesai",Table1[[#This Row],[PLAN PERMIT
finish]]-Table1[[#This Row],[Tanggal Terbit/ Target Izin Terbit]],ROUNDUP(Table1[[#This Row],[PLAN PERMIT
finish]]-NOW(),0))</f>
        <v>-129</v>
      </c>
      <c r="FV41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0" s="314"/>
      <c r="FX410" s="42"/>
      <c r="FY410" s="483">
        <v>46034</v>
      </c>
      <c r="FZ410" s="483">
        <v>46050</v>
      </c>
      <c r="GA41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0" s="301">
        <v>46048</v>
      </c>
      <c r="GC410" s="322">
        <v>46112</v>
      </c>
      <c r="GD41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0" s="301">
        <v>46055</v>
      </c>
      <c r="GF410" s="322">
        <v>46112</v>
      </c>
      <c r="GG41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0" s="301">
        <v>46062</v>
      </c>
      <c r="GI410" s="301">
        <v>46068</v>
      </c>
      <c r="GJ410" s="322">
        <v>46126</v>
      </c>
      <c r="GK41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0" s="301">
        <v>46076</v>
      </c>
      <c r="GM410" s="301">
        <v>46193</v>
      </c>
      <c r="GN410" s="301">
        <v>46103</v>
      </c>
      <c r="GO410" s="300">
        <v>46241</v>
      </c>
      <c r="GP410" s="286"/>
      <c r="GQ41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0" s="301"/>
      <c r="GS410" s="301"/>
      <c r="GT410" s="324"/>
      <c r="GU410" s="314" t="str">
        <f>IF(Table1[[#This Row],[Hydro Tes Actual
(tanggal)]]&lt;&gt;"","Sudah","Belum")</f>
        <v>Belum</v>
      </c>
      <c r="GV410" s="300"/>
      <c r="GW410" s="300"/>
      <c r="GX410" s="301"/>
      <c r="GY410" s="314" t="str">
        <f>IF(Table1[[#This Row],[Interkoneksi Actual
(tanggal)]]&lt;&gt;"","Sudah","Belum")</f>
        <v>Belum</v>
      </c>
      <c r="GZ410" s="300"/>
      <c r="HA410" s="300"/>
      <c r="HB410" s="301"/>
      <c r="HC410" s="314" t="str">
        <f>IF(Table1[[#This Row],[Flushing Actual
(tanggal)]]&lt;&gt;"","Sudah","Belum")</f>
        <v>Belum</v>
      </c>
      <c r="HD410" s="301">
        <v>46106</v>
      </c>
      <c r="HE410" s="301">
        <v>46242</v>
      </c>
      <c r="HF410" s="301">
        <v>46111</v>
      </c>
      <c r="HG410" s="322"/>
      <c r="HH41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0" s="300"/>
      <c r="HJ410" s="300"/>
      <c r="HK410" s="301"/>
      <c r="HL410" s="301"/>
      <c r="HM410" s="301">
        <v>46128</v>
      </c>
      <c r="HN410" s="301">
        <v>46128</v>
      </c>
      <c r="HO410" s="300">
        <v>46259</v>
      </c>
      <c r="HP410" s="300"/>
      <c r="HQ410" s="301"/>
      <c r="HR41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0" s="301">
        <v>46136</v>
      </c>
      <c r="HT410" s="301"/>
      <c r="HU410" s="301">
        <v>46136</v>
      </c>
      <c r="HV410" s="390"/>
      <c r="HW410" s="365"/>
      <c r="HX41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0" s="42"/>
      <c r="HZ410" s="322"/>
      <c r="IA410" s="306"/>
      <c r="IB410" s="67"/>
      <c r="IC410" s="585">
        <f>IFERROR(ROUND((Table1[[#This Row],[PLAN TC
finish]]-Table1[[#This Row],[PLAN MC-0
start]])/30,2),"")</f>
        <v>1.63</v>
      </c>
      <c r="ID410">
        <f>DATEDIF(Table1[[#This Row],[PLAN MC-0
start]],Table1[[#This Row],[PLAN TC
finish]],"m")</f>
        <v>1</v>
      </c>
      <c r="IE410" s="6"/>
      <c r="IF410" s="6"/>
      <c r="IG410" s="67"/>
      <c r="II410" s="6"/>
      <c r="IJ410" s="4"/>
      <c r="IK410" s="4"/>
      <c r="IL410" s="6"/>
      <c r="IM410" s="6"/>
      <c r="IN410" s="6"/>
      <c r="IO410" s="6"/>
      <c r="IP410" s="6"/>
      <c r="IR410" s="6"/>
      <c r="IS410" s="6"/>
      <c r="IT410" s="6"/>
      <c r="IU410" s="6"/>
      <c r="IX410" s="6"/>
      <c r="IY410" s="6"/>
      <c r="JA410" s="6"/>
      <c r="JB410" s="6"/>
    </row>
    <row r="411" spans="1:262" ht="15" customHeight="1" x14ac:dyDescent="0.25">
      <c r="B411" s="281">
        <f>SUBTOTAL(3,$D$5:D411)</f>
        <v>407</v>
      </c>
      <c r="C411" s="286">
        <v>407</v>
      </c>
      <c r="D411" s="285" t="s">
        <v>673</v>
      </c>
      <c r="E411" s="308" t="s">
        <v>3259</v>
      </c>
      <c r="F411" s="308" t="s">
        <v>3260</v>
      </c>
      <c r="G411" s="319">
        <v>46300</v>
      </c>
      <c r="H411" s="308" t="s">
        <v>681</v>
      </c>
      <c r="I411" s="308" t="s">
        <v>278</v>
      </c>
      <c r="J411" s="450"/>
      <c r="K411" s="308"/>
      <c r="L411" s="286"/>
      <c r="M411" s="449" t="s">
        <v>269</v>
      </c>
      <c r="N411" s="477">
        <v>45</v>
      </c>
      <c r="O411" s="31" t="s">
        <v>252</v>
      </c>
      <c r="P41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1" s="35">
        <v>1.0000000000000002</v>
      </c>
      <c r="S411" s="297">
        <f>_xlfn.XLOOKUP(Table1[[#This Row],[Nama Program]],'[2]Summary Plan'!$E:$E,'[2]Summary Plan'!$M:$M)</f>
        <v>1.0000000000000002</v>
      </c>
      <c r="T411" s="128">
        <f>Table1[[#This Row],[Progres Total Aktual
(%)]]</f>
        <v>0.12840687991681338</v>
      </c>
      <c r="U411" s="103">
        <f>Table1[[#This Row],[Progres Aktual
(%)]]-Table1[[#This Row],[Target Progres
(%)]]</f>
        <v>-0.87159312008318679</v>
      </c>
      <c r="V411" s="75">
        <v>45</v>
      </c>
      <c r="W411" s="75">
        <f>Table1[[#This Row],[Total Panjang Pipa Aktual
(Sum-&gt;)3]]</f>
        <v>0</v>
      </c>
      <c r="X411" s="99"/>
      <c r="Y411" s="62" t="s">
        <v>3261</v>
      </c>
      <c r="Z411" s="62">
        <v>71127431</v>
      </c>
      <c r="AA411" s="479">
        <f>ROUND((Table1[[#This Row],[Nilai RAB Jaringan
(Exclude Ppn)]]-Table1[[#This Row],[RAB Perizinan]])*1.11+Table1[[#This Row],[RAB Perizinan]],0)</f>
        <v>71127431</v>
      </c>
      <c r="AB411" s="453">
        <f>SUM(Table1[[#This Row],[RAB Kegiatan Umum]:[RAB Perizinan]])</f>
        <v>64123361</v>
      </c>
      <c r="AC411" s="507">
        <v>3633615</v>
      </c>
      <c r="AD411" s="507">
        <v>36336150</v>
      </c>
      <c r="AE411" s="507">
        <v>23703596</v>
      </c>
      <c r="AF411" s="507">
        <v>450000</v>
      </c>
      <c r="AG411" s="504"/>
      <c r="AH411" s="480">
        <f>SUM(Table1[[#This Row],[Bobot Keg Umum]:[Bobot Perizinan]])</f>
        <v>1</v>
      </c>
      <c r="AI411" s="480">
        <f>Table1[[#This Row],[RAB Kegiatan Umum]]/Table1[[#This Row],[Nilai RAB Jaringan
(Exclude Ppn)]]</f>
        <v>5.6666009755789316E-2</v>
      </c>
      <c r="AJ411" s="480">
        <f>Table1[[#This Row],[RAB Pemasangan]]/Table1[[#This Row],[Nilai RAB Jaringan
(Exclude Ppn)]]</f>
        <v>0.56666009755789315</v>
      </c>
      <c r="AK411" s="111">
        <f>Table1[[#This Row],[RAB Pengadaan]]/Table1[[#This Row],[Nilai RAB Jaringan
(Exclude Ppn)]]</f>
        <v>0.36965616945749302</v>
      </c>
      <c r="AL411" s="112">
        <f>Table1[[#This Row],[RAB Perizinan]]/Table1[[#This Row],[Nilai RAB Jaringan
(Exclude Ppn)]]</f>
        <v>7.0177232288245149E-3</v>
      </c>
      <c r="AM411" s="42"/>
      <c r="AN411" s="256"/>
      <c r="AO411" s="256">
        <f>SUM(Table1[[#This Row],[Pipa 63 mm]:[Pipa 1,800 mm]])</f>
        <v>45</v>
      </c>
      <c r="AP411" s="256">
        <v>45</v>
      </c>
      <c r="AQ411" s="256"/>
      <c r="AR411" s="256"/>
      <c r="AS411" s="256"/>
      <c r="AT411" s="256"/>
      <c r="AU411" s="256"/>
      <c r="AV411" s="256"/>
      <c r="AW411" s="256"/>
      <c r="AX411" s="256"/>
      <c r="AY411" s="256"/>
      <c r="AZ411" s="256"/>
      <c r="BA411" s="256"/>
      <c r="BB411" s="256"/>
      <c r="BC411" s="256"/>
      <c r="BD411" s="256"/>
      <c r="BE411" s="256"/>
      <c r="BF411" s="256"/>
      <c r="BG411" s="256"/>
      <c r="BH411" s="256"/>
      <c r="BI411" s="256"/>
      <c r="BJ411" s="36">
        <f>SUM(Table1[[#This Row],[Pipa 63 mm2]:[Pipa 1,800 mm21]])</f>
        <v>0</v>
      </c>
      <c r="BK411" s="32"/>
      <c r="BL411" s="32"/>
      <c r="BM411" s="32"/>
      <c r="BN411" s="32"/>
      <c r="BO411" s="32"/>
      <c r="BP411" s="32"/>
      <c r="BQ411" s="32"/>
      <c r="BR411" s="32"/>
      <c r="BS411" s="32"/>
      <c r="BT411" s="32"/>
      <c r="BU411" s="32"/>
      <c r="BV411" s="32"/>
      <c r="BW411" s="32"/>
      <c r="BX411" s="32"/>
      <c r="BY411" s="32"/>
      <c r="BZ411" s="32"/>
      <c r="CA411" s="32"/>
      <c r="CB411" s="32"/>
      <c r="CC411" s="32"/>
      <c r="CD411" s="32"/>
      <c r="CE411" s="32"/>
      <c r="CF411" s="32"/>
      <c r="CG411" s="32"/>
      <c r="CH411" s="32"/>
      <c r="CI411" s="32"/>
      <c r="CJ411" s="32">
        <f>IF((Table1[[#This Row],["Volume
BA MC-0"]]-Table1[[#This Row],[Total Panjang Pipa Aktual
(Sum-&gt;)3]]-Table1[[#This Row],[Total Volume
tidak dapat dipasang]])&gt;=0,Table1[[#This Row],["Volume
BA MC-0"]]-Table1[[#This Row],[Total Panjang Pipa Aktual
(Sum-&gt;)3]]-Table1[[#This Row],[Total Volume
tidak dapat dipasang]],0)</f>
        <v>0</v>
      </c>
      <c r="CK411" s="42"/>
      <c r="CL411" s="113"/>
      <c r="CM411" s="307"/>
      <c r="CN411" s="113"/>
      <c r="CO411" s="113"/>
      <c r="CP41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0.12840687991681338</v>
      </c>
      <c r="CQ411" s="406">
        <f>IFERROR(Table1[[#This Row],[Progres Keg. Umum
(%)]]*Table1[[#This Row],[Nilai RAB Jaringan
(file pa aji)]],0)</f>
        <v>0</v>
      </c>
      <c r="CR411" s="406">
        <f>IFERROR(Table1[[#This Row],[Progres MOS
(%)]]*Table1[[#This Row],[Nilai RAB Jaringan
(file pa aji)]],0)</f>
        <v>0</v>
      </c>
      <c r="CS411" s="406">
        <f>IFERROR(Table1[[#This Row],[Progres Pemasangan
(%)]]*Table1[[#This Row],[Nilai RAB Jaringan
(file pa aji)]],0)</f>
        <v>0</v>
      </c>
      <c r="CT411" s="406">
        <f>IFERROR(Table1[[#This Row],[Progres Perizinan
(%)]]*Table1[[#This Row],[Nilai RAB Jaringan
(file pa aji)]],0)</f>
        <v>0</v>
      </c>
      <c r="CU411" s="789">
        <v>0</v>
      </c>
      <c r="CV411" s="299">
        <v>0</v>
      </c>
      <c r="CW411" s="481">
        <v>0</v>
      </c>
      <c r="CX411" s="789">
        <f>_xlfn.XLOOKUP(Table1[[#This Row],[Kode Program]],'[1]Breakdown VOWD Greenfield'!$E:$E,'[1]Breakdown VOWD Greenfield'!$AT:$AT)</f>
        <v>0</v>
      </c>
      <c r="CY411" s="42"/>
      <c r="CZ411" s="301">
        <v>45957</v>
      </c>
      <c r="DA411" s="301">
        <v>45984</v>
      </c>
      <c r="DB411" s="301">
        <v>45951</v>
      </c>
      <c r="DC411" s="505" t="s">
        <v>3262</v>
      </c>
      <c r="DD411" s="478">
        <f>70677430.71+450000</f>
        <v>71127430.709999993</v>
      </c>
      <c r="DE41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1" s="301">
        <v>45972</v>
      </c>
      <c r="DG411" s="505" t="s">
        <v>3263</v>
      </c>
      <c r="DH411" s="478">
        <f>70677430.71+450000</f>
        <v>71127430.709999993</v>
      </c>
      <c r="DI41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1" s="301">
        <v>45985</v>
      </c>
      <c r="DK411" s="301">
        <v>46047</v>
      </c>
      <c r="DL411" s="301">
        <v>45995</v>
      </c>
      <c r="DM411" s="286" t="s">
        <v>3264</v>
      </c>
      <c r="DN41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1" s="301">
        <v>46085</v>
      </c>
      <c r="DP411" s="286"/>
      <c r="DQ411" s="308" t="s">
        <v>275</v>
      </c>
      <c r="DR41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1" s="301">
        <v>45985</v>
      </c>
      <c r="DT411" s="301">
        <v>46164</v>
      </c>
      <c r="DU411" s="301">
        <v>46026</v>
      </c>
      <c r="DV411" s="301">
        <v>46178</v>
      </c>
      <c r="DW411" s="301">
        <v>46009</v>
      </c>
      <c r="DX411" t="s">
        <v>3265</v>
      </c>
      <c r="DY411" s="304">
        <v>19</v>
      </c>
      <c r="DZ411" s="304">
        <v>19</v>
      </c>
      <c r="EA41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1" s="301"/>
      <c r="EC411" s="302">
        <v>17</v>
      </c>
      <c r="ED411" s="302">
        <v>17</v>
      </c>
      <c r="EE411" s="100"/>
      <c r="EF411" s="307">
        <v>0.89473684210526316</v>
      </c>
      <c r="EG411" s="307">
        <f>Table1[[#This Row],[Line PO]]/Table1[[#This Row],[Line PR]]</f>
        <v>0.89473684210526316</v>
      </c>
      <c r="EH411" s="286" t="str">
        <f>IF(Table1[[#This Row],[PO Material Aktual 
(%)]]&gt;=100%,"Selesai PO = 100%",IF(Table1[[#This Row],[PO Material Aktual 
(%)]]&gt;=50%,"Proses PO &gt; 100%",IF(Table1[[#This Row],[PO Material Aktual 
(%)]]&gt;0%,"Proses PO &gt; 50%",IF(Table1[[#This Row],[PO Material Aktual 
(%)]]=0,"Belum PO = 0%"))))</f>
        <v>Proses PO &gt; 100%</v>
      </c>
      <c r="EI41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1" s="301">
        <v>46027</v>
      </c>
      <c r="EK411" s="301">
        <v>46178</v>
      </c>
      <c r="EL411" s="301">
        <v>46103</v>
      </c>
      <c r="EM411" s="301">
        <v>46183</v>
      </c>
      <c r="EN411" s="301"/>
      <c r="EO411" s="302">
        <v>11</v>
      </c>
      <c r="EP411" s="302">
        <v>11</v>
      </c>
      <c r="EQ411" s="307">
        <v>0.57894736842105265</v>
      </c>
      <c r="ER411" s="307">
        <f>Table1[[#This Row],[Line MOS (kolom bantu)]]/Table1[[#This Row],[Line PR]]</f>
        <v>0.57894736842105265</v>
      </c>
      <c r="ES411" s="286" t="str">
        <f>IF(Table1[[#This Row],[Progres MOS]]&gt;=100%,"Selesai MOS = 100%",IF(Table1[[#This Row],[Progres MOS]]&gt;=50%,"Proses MOS &gt; 100%",IF(Table1[[#This Row],[Progres MOS]]&gt;0%,"Proses MOS &gt; 50%",IF(Table1[[#This Row],[Progres MOS]]=0,"Belum MOS = 0%"))))</f>
        <v>Proses MOS &gt; 100%</v>
      </c>
      <c r="ET41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1" s="42"/>
      <c r="EV411" s="301">
        <v>45985</v>
      </c>
      <c r="EW411" s="301">
        <v>46156</v>
      </c>
      <c r="EX411" s="301">
        <v>46075</v>
      </c>
      <c r="EY411" s="301">
        <v>46186</v>
      </c>
      <c r="EZ411" s="322" t="s">
        <v>259</v>
      </c>
      <c r="FA411" s="379" t="s">
        <v>259</v>
      </c>
      <c r="FB411" s="301"/>
      <c r="FC411" s="300">
        <v>45943</v>
      </c>
      <c r="FD411" s="301" t="s">
        <v>260</v>
      </c>
      <c r="FE411" s="301">
        <v>45966</v>
      </c>
      <c r="FF411" s="301">
        <v>45992</v>
      </c>
      <c r="FG411" s="301"/>
      <c r="FH411" s="301"/>
      <c r="FI411" s="301"/>
      <c r="FJ411" s="301"/>
      <c r="FK411" s="301"/>
      <c r="FL411" s="322" t="s">
        <v>2780</v>
      </c>
      <c r="FM411" s="322"/>
      <c r="FN411" s="308" t="str">
        <f>IF(Table1[[#This Row],[Tanggal Pengajuan Dokumen]]="","",Table1[[#This Row],[PLAN PERMIT
start]]-Table1[[#This Row],[Tanggal Pengajuan Dokumen]])</f>
        <v/>
      </c>
      <c r="FO411" s="322"/>
      <c r="FP411" s="286"/>
      <c r="FQ411" s="308"/>
      <c r="FR411" s="301"/>
      <c r="FS411" s="308"/>
      <c r="FT41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1" s="314">
        <f ca="1">IF(Table1[[#This Row],[Status Izin]]="Selesai",Table1[[#This Row],[PLAN PERMIT
finish]]-Table1[[#This Row],[Tanggal Terbit/ Target Izin Terbit]],ROUNDUP(Table1[[#This Row],[PLAN PERMIT
finish]]-NOW(),0))</f>
        <v>-129</v>
      </c>
      <c r="FV41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1" s="314"/>
      <c r="FX411" s="42"/>
      <c r="FY411" s="483">
        <v>46034</v>
      </c>
      <c r="FZ411" s="483">
        <v>46050</v>
      </c>
      <c r="GA41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1" s="301">
        <v>46048</v>
      </c>
      <c r="GC411" s="322">
        <v>46113</v>
      </c>
      <c r="GD41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1" s="301">
        <v>46055</v>
      </c>
      <c r="GF411" s="322">
        <v>46113</v>
      </c>
      <c r="GG41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1" s="301">
        <v>46062</v>
      </c>
      <c r="GI411" s="301">
        <v>46068</v>
      </c>
      <c r="GJ411" s="322">
        <v>46129</v>
      </c>
      <c r="GK41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1" s="301">
        <v>46076</v>
      </c>
      <c r="GM411" s="301">
        <v>46193</v>
      </c>
      <c r="GN411" s="301">
        <v>46103</v>
      </c>
      <c r="GO411" s="300">
        <v>46241</v>
      </c>
      <c r="GP411" s="286"/>
      <c r="GQ41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1" s="301"/>
      <c r="GS411" s="301"/>
      <c r="GT411" s="324"/>
      <c r="GU411" s="314" t="str">
        <f>IF(Table1[[#This Row],[Hydro Tes Actual
(tanggal)]]&lt;&gt;"","Sudah","Belum")</f>
        <v>Belum</v>
      </c>
      <c r="GV411" s="300"/>
      <c r="GW411" s="300"/>
      <c r="GX411" s="301"/>
      <c r="GY411" s="314" t="str">
        <f>IF(Table1[[#This Row],[Interkoneksi Actual
(tanggal)]]&lt;&gt;"","Sudah","Belum")</f>
        <v>Belum</v>
      </c>
      <c r="GZ411" s="300"/>
      <c r="HA411" s="300"/>
      <c r="HB411" s="301"/>
      <c r="HC411" s="314" t="str">
        <f>IF(Table1[[#This Row],[Flushing Actual
(tanggal)]]&lt;&gt;"","Sudah","Belum")</f>
        <v>Belum</v>
      </c>
      <c r="HD411" s="301">
        <v>46106</v>
      </c>
      <c r="HE411" s="301">
        <v>46242</v>
      </c>
      <c r="HF411" s="301">
        <v>46111</v>
      </c>
      <c r="HG411" s="322"/>
      <c r="HH41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1" s="300"/>
      <c r="HJ411" s="300"/>
      <c r="HK411" s="301"/>
      <c r="HL411" s="301"/>
      <c r="HM411" s="301">
        <v>46128</v>
      </c>
      <c r="HN411" s="301">
        <v>46128</v>
      </c>
      <c r="HO411" s="300">
        <v>46259</v>
      </c>
      <c r="HP411" s="300"/>
      <c r="HQ411" s="301"/>
      <c r="HR41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1" s="301">
        <v>46136</v>
      </c>
      <c r="HT411" s="301"/>
      <c r="HU411" s="301">
        <v>46136</v>
      </c>
      <c r="HV411" s="390"/>
      <c r="HW411" s="365"/>
      <c r="HX41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1" s="42"/>
      <c r="HZ411" s="322"/>
      <c r="IA411" s="306"/>
      <c r="IB411" s="67"/>
      <c r="IC411" s="585">
        <f>IFERROR(ROUND((Table1[[#This Row],[PLAN TC
finish]]-Table1[[#This Row],[PLAN MC-0
start]])/30,2),"")</f>
        <v>1.63</v>
      </c>
      <c r="ID411">
        <f>DATEDIF(Table1[[#This Row],[PLAN MC-0
start]],Table1[[#This Row],[PLAN TC
finish]],"m")</f>
        <v>1</v>
      </c>
      <c r="IE411" s="6"/>
      <c r="IF411" s="6"/>
      <c r="IG411" s="67"/>
      <c r="II411" s="6"/>
      <c r="IJ411" s="4"/>
      <c r="IK411" s="4"/>
      <c r="IL411" s="6"/>
      <c r="IM411" s="6"/>
      <c r="IN411" s="6"/>
      <c r="IO411" s="6"/>
      <c r="IP411" s="6"/>
      <c r="IR411" s="6"/>
      <c r="IS411" s="6"/>
      <c r="IT411" s="6"/>
      <c r="IU411" s="6"/>
      <c r="IX411" s="6"/>
      <c r="IY411" s="6"/>
      <c r="JA411" s="6"/>
      <c r="JB411" s="6"/>
    </row>
    <row r="412" spans="1:262" ht="15" customHeight="1" x14ac:dyDescent="0.25">
      <c r="B412" s="281">
        <f>SUBTOTAL(3,$D$5:D412)</f>
        <v>408</v>
      </c>
      <c r="C412" s="286">
        <v>408</v>
      </c>
      <c r="D412" s="285" t="s">
        <v>673</v>
      </c>
      <c r="E412" s="308" t="s">
        <v>3266</v>
      </c>
      <c r="F412" s="308" t="s">
        <v>3267</v>
      </c>
      <c r="G412" s="319">
        <v>46300</v>
      </c>
      <c r="H412" s="308" t="s">
        <v>681</v>
      </c>
      <c r="I412" s="308" t="s">
        <v>278</v>
      </c>
      <c r="J412" s="450"/>
      <c r="K412" s="308"/>
      <c r="L412" s="286"/>
      <c r="M412" s="449" t="s">
        <v>269</v>
      </c>
      <c r="N412" s="477">
        <v>38</v>
      </c>
      <c r="O412" s="31" t="s">
        <v>252</v>
      </c>
      <c r="P41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2" s="35">
        <v>0.99999999999999989</v>
      </c>
      <c r="S412" s="297">
        <f>_xlfn.XLOOKUP(Table1[[#This Row],[Nama Program]],'[2]Summary Plan'!$E:$E,'[2]Summary Plan'!$M:$M)</f>
        <v>0.99999999999999989</v>
      </c>
      <c r="T412" s="128">
        <f>Table1[[#This Row],[Progres Total Aktual
(%)]]</f>
        <v>9.7089960496362676E-2</v>
      </c>
      <c r="U412" s="103">
        <f>Table1[[#This Row],[Progres Aktual
(%)]]-Table1[[#This Row],[Target Progres
(%)]]</f>
        <v>-0.90291003950363724</v>
      </c>
      <c r="V412" s="75">
        <v>40</v>
      </c>
      <c r="W412" s="75">
        <f>Table1[[#This Row],[Total Panjang Pipa Aktual
(Sum-&gt;)3]]</f>
        <v>0</v>
      </c>
      <c r="X412" s="99"/>
      <c r="Y412" s="62" t="s">
        <v>3268</v>
      </c>
      <c r="Z412" s="62">
        <v>67754692</v>
      </c>
      <c r="AA412" s="479">
        <f>ROUND((Table1[[#This Row],[Nilai RAB Jaringan
(Exclude Ppn)]]-Table1[[#This Row],[RAB Perizinan]])*1.11+Table1[[#This Row],[RAB Perizinan]],0)</f>
        <v>67754691</v>
      </c>
      <c r="AB412" s="453">
        <f>SUM(Table1[[#This Row],[RAB Kegiatan Umum]:[RAB Perizinan]])</f>
        <v>61077920</v>
      </c>
      <c r="AC412" s="507">
        <v>4020505</v>
      </c>
      <c r="AD412" s="507">
        <v>40205046</v>
      </c>
      <c r="AE412" s="507">
        <v>16472369</v>
      </c>
      <c r="AF412" s="507">
        <v>380000</v>
      </c>
      <c r="AG412" s="504"/>
      <c r="AH412" s="480">
        <f>SUM(Table1[[#This Row],[Bobot Keg Umum]:[Bobot Perizinan]])</f>
        <v>1</v>
      </c>
      <c r="AI412" s="480">
        <f>Table1[[#This Row],[RAB Kegiatan Umum]]/Table1[[#This Row],[Nilai RAB Jaringan
(Exclude Ppn)]]</f>
        <v>6.582583362367285E-2</v>
      </c>
      <c r="AJ412" s="480">
        <f>Table1[[#This Row],[RAB Pemasangan]]/Table1[[#This Row],[Nilai RAB Jaringan
(Exclude Ppn)]]</f>
        <v>0.65825827074661347</v>
      </c>
      <c r="AK412" s="111">
        <f>Table1[[#This Row],[RAB Pengadaan]]/Table1[[#This Row],[Nilai RAB Jaringan
(Exclude Ppn)]]</f>
        <v>0.26969433471211857</v>
      </c>
      <c r="AL412" s="112">
        <f>Table1[[#This Row],[RAB Perizinan]]/Table1[[#This Row],[Nilai RAB Jaringan
(Exclude Ppn)]]</f>
        <v>6.2215609175950981E-3</v>
      </c>
      <c r="AM412" s="42"/>
      <c r="AN412" s="256"/>
      <c r="AO412" s="256">
        <f>SUM(Table1[[#This Row],[Pipa 63 mm]:[Pipa 1,800 mm]])</f>
        <v>40</v>
      </c>
      <c r="AP412" s="256">
        <v>40</v>
      </c>
      <c r="AQ412" s="256"/>
      <c r="AR412" s="256"/>
      <c r="AS412" s="256"/>
      <c r="AT412" s="256"/>
      <c r="AU412" s="256"/>
      <c r="AV412" s="256"/>
      <c r="AW412" s="256"/>
      <c r="AX412" s="256"/>
      <c r="AY412" s="256"/>
      <c r="AZ412" s="256"/>
      <c r="BA412" s="256"/>
      <c r="BB412" s="256"/>
      <c r="BC412" s="256"/>
      <c r="BD412" s="256"/>
      <c r="BE412" s="256"/>
      <c r="BF412" s="256"/>
      <c r="BG412" s="256"/>
      <c r="BH412" s="256"/>
      <c r="BI412" s="256"/>
      <c r="BJ412" s="36">
        <f>SUM(Table1[[#This Row],[Pipa 63 mm2]:[Pipa 1,800 mm21]])</f>
        <v>0</v>
      </c>
      <c r="BK412" s="32"/>
      <c r="BL412" s="32"/>
      <c r="BM412" s="32"/>
      <c r="BN412" s="32"/>
      <c r="BO412" s="32"/>
      <c r="BP412" s="32"/>
      <c r="BQ412" s="32"/>
      <c r="BR412" s="32"/>
      <c r="BS412" s="32"/>
      <c r="BT412" s="32"/>
      <c r="BU412" s="32"/>
      <c r="BV412" s="32"/>
      <c r="BW412" s="32"/>
      <c r="BX412" s="32"/>
      <c r="BY412" s="32"/>
      <c r="BZ412" s="32"/>
      <c r="CA412" s="32"/>
      <c r="CB412" s="32"/>
      <c r="CC412" s="32"/>
      <c r="CD412" s="32"/>
      <c r="CE412" s="32"/>
      <c r="CF412" s="32"/>
      <c r="CG412" s="32"/>
      <c r="CH412" s="32"/>
      <c r="CI412" s="32"/>
      <c r="CJ412" s="32">
        <f>IF((Table1[[#This Row],["Volume
BA MC-0"]]-Table1[[#This Row],[Total Panjang Pipa Aktual
(Sum-&gt;)3]]-Table1[[#This Row],[Total Volume
tidak dapat dipasang]])&gt;=0,Table1[[#This Row],["Volume
BA MC-0"]]-Table1[[#This Row],[Total Panjang Pipa Aktual
(Sum-&gt;)3]]-Table1[[#This Row],[Total Volume
tidak dapat dipasang]],0)</f>
        <v>0</v>
      </c>
      <c r="CK412" s="42"/>
      <c r="CL412" s="113"/>
      <c r="CM412" s="307"/>
      <c r="CN412" s="113"/>
      <c r="CO412" s="113"/>
      <c r="CP412"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9.7089960496362676E-2</v>
      </c>
      <c r="CQ412" s="406">
        <f>IFERROR(Table1[[#This Row],[Progres Keg. Umum
(%)]]*Table1[[#This Row],[Nilai RAB Jaringan
(file pa aji)]],0)</f>
        <v>0</v>
      </c>
      <c r="CR412" s="406">
        <f>IFERROR(Table1[[#This Row],[Progres MOS
(%)]]*Table1[[#This Row],[Nilai RAB Jaringan
(file pa aji)]],0)</f>
        <v>0</v>
      </c>
      <c r="CS412" s="406">
        <f>IFERROR(Table1[[#This Row],[Progres Pemasangan
(%)]]*Table1[[#This Row],[Nilai RAB Jaringan
(file pa aji)]],0)</f>
        <v>0</v>
      </c>
      <c r="CT412" s="406">
        <f>IFERROR(Table1[[#This Row],[Progres Perizinan
(%)]]*Table1[[#This Row],[Nilai RAB Jaringan
(file pa aji)]],0)</f>
        <v>0</v>
      </c>
      <c r="CU412" s="789">
        <v>0</v>
      </c>
      <c r="CV412" s="299">
        <v>0</v>
      </c>
      <c r="CW412" s="481">
        <v>0</v>
      </c>
      <c r="CX412" s="789">
        <f>_xlfn.XLOOKUP(Table1[[#This Row],[Kode Program]],'[1]Breakdown VOWD Greenfield'!$E:$E,'[1]Breakdown VOWD Greenfield'!$AT:$AT)</f>
        <v>0</v>
      </c>
      <c r="CY412" s="42"/>
      <c r="CZ412" s="301">
        <v>45957</v>
      </c>
      <c r="DA412" s="301">
        <v>45984</v>
      </c>
      <c r="DB412" s="301">
        <v>45951</v>
      </c>
      <c r="DC412" s="505" t="s">
        <v>3269</v>
      </c>
      <c r="DD412" s="478">
        <f>67374691.2+380000</f>
        <v>67754691.200000003</v>
      </c>
      <c r="DE41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2" s="301">
        <v>45972</v>
      </c>
      <c r="DG412" s="505" t="s">
        <v>3270</v>
      </c>
      <c r="DH412" s="478">
        <f>67374691.2+380000</f>
        <v>67754691.200000003</v>
      </c>
      <c r="DI41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2" s="301">
        <v>45985</v>
      </c>
      <c r="DK412" s="301">
        <v>46047</v>
      </c>
      <c r="DL412" s="301">
        <v>45995</v>
      </c>
      <c r="DM412" s="286" t="s">
        <v>3271</v>
      </c>
      <c r="DN41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2" s="301">
        <v>46085</v>
      </c>
      <c r="DP412" s="286"/>
      <c r="DQ412" s="308" t="s">
        <v>275</v>
      </c>
      <c r="DR41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2" s="301">
        <v>45985</v>
      </c>
      <c r="DT412" s="301">
        <v>46164</v>
      </c>
      <c r="DU412" s="301">
        <v>46026</v>
      </c>
      <c r="DV412" s="301">
        <v>46178</v>
      </c>
      <c r="DW412" s="301">
        <v>46009</v>
      </c>
      <c r="DX412" t="s">
        <v>3272</v>
      </c>
      <c r="DY412" s="304">
        <v>10</v>
      </c>
      <c r="DZ412" s="304">
        <v>10</v>
      </c>
      <c r="EA41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2" s="301"/>
      <c r="EC412" s="302">
        <v>9</v>
      </c>
      <c r="ED412" s="302">
        <v>9</v>
      </c>
      <c r="EE412" s="100"/>
      <c r="EF412" s="307">
        <v>0.9</v>
      </c>
      <c r="EG412" s="307">
        <f>Table1[[#This Row],[Line PO]]/Table1[[#This Row],[Line PR]]</f>
        <v>0.9</v>
      </c>
      <c r="EH412" s="286" t="str">
        <f>IF(Table1[[#This Row],[PO Material Aktual 
(%)]]&gt;=100%,"Selesai PO = 100%",IF(Table1[[#This Row],[PO Material Aktual 
(%)]]&gt;=50%,"Proses PO &gt; 100%",IF(Table1[[#This Row],[PO Material Aktual 
(%)]]&gt;0%,"Proses PO &gt; 50%",IF(Table1[[#This Row],[PO Material Aktual 
(%)]]=0,"Belum PO = 0%"))))</f>
        <v>Proses PO &gt; 100%</v>
      </c>
      <c r="EI41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2" s="301">
        <v>46027</v>
      </c>
      <c r="EK412" s="301">
        <v>46178</v>
      </c>
      <c r="EL412" s="301">
        <v>46103</v>
      </c>
      <c r="EM412" s="301">
        <v>46183</v>
      </c>
      <c r="EN412" s="301"/>
      <c r="EO412" s="302">
        <v>6</v>
      </c>
      <c r="EP412" s="302">
        <v>6</v>
      </c>
      <c r="EQ412" s="307">
        <v>0.6</v>
      </c>
      <c r="ER412" s="307">
        <f>Table1[[#This Row],[Line MOS (kolom bantu)]]/Table1[[#This Row],[Line PR]]</f>
        <v>0.6</v>
      </c>
      <c r="ES412" s="286" t="str">
        <f>IF(Table1[[#This Row],[Progres MOS]]&gt;=100%,"Selesai MOS = 100%",IF(Table1[[#This Row],[Progres MOS]]&gt;=50%,"Proses MOS &gt; 100%",IF(Table1[[#This Row],[Progres MOS]]&gt;0%,"Proses MOS &gt; 50%",IF(Table1[[#This Row],[Progres MOS]]=0,"Belum MOS = 0%"))))</f>
        <v>Proses MOS &gt; 100%</v>
      </c>
      <c r="ET41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2" s="42"/>
      <c r="EV412" s="301">
        <v>45985</v>
      </c>
      <c r="EW412" s="301">
        <v>46156</v>
      </c>
      <c r="EX412" s="301">
        <v>46075</v>
      </c>
      <c r="EY412" s="301">
        <v>46186</v>
      </c>
      <c r="EZ412" s="322" t="s">
        <v>259</v>
      </c>
      <c r="FA412" s="379" t="s">
        <v>259</v>
      </c>
      <c r="FB412" s="301"/>
      <c r="FC412" s="300">
        <v>45979</v>
      </c>
      <c r="FD412" s="301" t="s">
        <v>260</v>
      </c>
      <c r="FE412" s="301"/>
      <c r="FF412" s="301"/>
      <c r="FG412" s="301"/>
      <c r="FH412" s="301"/>
      <c r="FI412" s="301"/>
      <c r="FJ412" s="301"/>
      <c r="FK412" s="301"/>
      <c r="FL412" s="322" t="s">
        <v>2827</v>
      </c>
      <c r="FM412" s="322"/>
      <c r="FN412" s="308" t="str">
        <f>IF(Table1[[#This Row],[Tanggal Pengajuan Dokumen]]="","",Table1[[#This Row],[PLAN PERMIT
start]]-Table1[[#This Row],[Tanggal Pengajuan Dokumen]])</f>
        <v/>
      </c>
      <c r="FO412" s="322"/>
      <c r="FP412" s="286"/>
      <c r="FQ412" s="308"/>
      <c r="FR412" s="301"/>
      <c r="FS412" s="308"/>
      <c r="FT41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2" s="314">
        <f ca="1">IF(Table1[[#This Row],[Status Izin]]="Selesai",Table1[[#This Row],[PLAN PERMIT
finish]]-Table1[[#This Row],[Tanggal Terbit/ Target Izin Terbit]],ROUNDUP(Table1[[#This Row],[PLAN PERMIT
finish]]-NOW(),0))</f>
        <v>-129</v>
      </c>
      <c r="FV41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2" s="314"/>
      <c r="FX412" s="42"/>
      <c r="FY412" s="483">
        <v>46034</v>
      </c>
      <c r="FZ412" s="483">
        <v>46050</v>
      </c>
      <c r="GA41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2" s="301">
        <v>46048</v>
      </c>
      <c r="GC412" s="322">
        <v>46113</v>
      </c>
      <c r="GD41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2" s="301">
        <v>46055</v>
      </c>
      <c r="GF412" s="322">
        <v>46113</v>
      </c>
      <c r="GG41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2" s="301">
        <v>46062</v>
      </c>
      <c r="GI412" s="301">
        <v>46068</v>
      </c>
      <c r="GJ412" s="322">
        <v>46129</v>
      </c>
      <c r="GK41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2" s="301">
        <v>46076</v>
      </c>
      <c r="GM412" s="301">
        <v>46193</v>
      </c>
      <c r="GN412" s="301">
        <v>46103</v>
      </c>
      <c r="GO412" s="300">
        <v>46241</v>
      </c>
      <c r="GP412" s="286"/>
      <c r="GQ41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2" s="301"/>
      <c r="GS412" s="301"/>
      <c r="GT412" s="324"/>
      <c r="GU412" s="314" t="str">
        <f>IF(Table1[[#This Row],[Hydro Tes Actual
(tanggal)]]&lt;&gt;"","Sudah","Belum")</f>
        <v>Belum</v>
      </c>
      <c r="GV412" s="300"/>
      <c r="GW412" s="300"/>
      <c r="GX412" s="301"/>
      <c r="GY412" s="314" t="str">
        <f>IF(Table1[[#This Row],[Interkoneksi Actual
(tanggal)]]&lt;&gt;"","Sudah","Belum")</f>
        <v>Belum</v>
      </c>
      <c r="GZ412" s="300"/>
      <c r="HA412" s="300"/>
      <c r="HB412" s="301"/>
      <c r="HC412" s="314" t="str">
        <f>IF(Table1[[#This Row],[Flushing Actual
(tanggal)]]&lt;&gt;"","Sudah","Belum")</f>
        <v>Belum</v>
      </c>
      <c r="HD412" s="301">
        <v>46106</v>
      </c>
      <c r="HE412" s="301">
        <v>46242</v>
      </c>
      <c r="HF412" s="301">
        <v>46111</v>
      </c>
      <c r="HG412" s="322"/>
      <c r="HH41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2" s="300"/>
      <c r="HJ412" s="300"/>
      <c r="HK412" s="301"/>
      <c r="HL412" s="301"/>
      <c r="HM412" s="301">
        <v>46128</v>
      </c>
      <c r="HN412" s="301">
        <v>46128</v>
      </c>
      <c r="HO412" s="300">
        <v>46259</v>
      </c>
      <c r="HP412" s="300"/>
      <c r="HQ412" s="301"/>
      <c r="HR41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2" s="301">
        <v>46136</v>
      </c>
      <c r="HT412" s="301"/>
      <c r="HU412" s="301">
        <v>46136</v>
      </c>
      <c r="HV412" s="390"/>
      <c r="HW412" s="365"/>
      <c r="HX41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2" s="42"/>
      <c r="HZ412" s="322"/>
      <c r="IA412" s="306"/>
      <c r="IB412" s="67"/>
      <c r="IC412" s="585">
        <f>IFERROR(ROUND((Table1[[#This Row],[PLAN TC
finish]]-Table1[[#This Row],[PLAN MC-0
start]])/30,2),"")</f>
        <v>1.63</v>
      </c>
      <c r="ID412">
        <f>DATEDIF(Table1[[#This Row],[PLAN MC-0
start]],Table1[[#This Row],[PLAN TC
finish]],"m")</f>
        <v>1</v>
      </c>
      <c r="IE412" s="6"/>
      <c r="IF412" s="6"/>
      <c r="IG412" s="67"/>
      <c r="II412" s="6"/>
      <c r="IJ412" s="4"/>
      <c r="IK412" s="4"/>
      <c r="IL412" s="6"/>
      <c r="IM412" s="6"/>
      <c r="IN412" s="6"/>
      <c r="IO412" s="6"/>
      <c r="IP412" s="6"/>
      <c r="IR412" s="6"/>
      <c r="IS412" s="6"/>
      <c r="IT412" s="6"/>
      <c r="IU412" s="6"/>
      <c r="IX412" s="6"/>
      <c r="IY412" s="6"/>
      <c r="JA412" s="6"/>
      <c r="JB412" s="6"/>
    </row>
    <row r="413" spans="1:262" ht="15" customHeight="1" x14ac:dyDescent="0.25">
      <c r="B413" s="281">
        <f>SUBTOTAL(3,$D$5:D413)</f>
        <v>409</v>
      </c>
      <c r="C413" s="286">
        <v>409</v>
      </c>
      <c r="D413" s="285" t="s">
        <v>673</v>
      </c>
      <c r="E413" s="308" t="s">
        <v>3273</v>
      </c>
      <c r="F413" s="308" t="s">
        <v>3274</v>
      </c>
      <c r="G413" s="319">
        <v>46300</v>
      </c>
      <c r="H413" s="308" t="s">
        <v>681</v>
      </c>
      <c r="I413" s="308" t="s">
        <v>278</v>
      </c>
      <c r="J413" s="450"/>
      <c r="K413" s="308"/>
      <c r="L413" s="286"/>
      <c r="M413" s="449" t="s">
        <v>269</v>
      </c>
      <c r="N413" s="477">
        <v>132</v>
      </c>
      <c r="O413" s="31" t="s">
        <v>252</v>
      </c>
      <c r="P41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3" s="35">
        <v>1</v>
      </c>
      <c r="S413" s="297">
        <f>_xlfn.XLOOKUP(Table1[[#This Row],[Nama Program]],'[2]Summary Plan'!$E:$E,'[2]Summary Plan'!$M:$M)</f>
        <v>1</v>
      </c>
      <c r="T413" s="128">
        <f>Table1[[#This Row],[Progres Total Aktual
(%)]]</f>
        <v>6.2910292761197945E-2</v>
      </c>
      <c r="U413" s="103">
        <f>Table1[[#This Row],[Progres Aktual
(%)]]-Table1[[#This Row],[Target Progres
(%)]]</f>
        <v>-0.93708970723880203</v>
      </c>
      <c r="V413" s="75">
        <v>125</v>
      </c>
      <c r="W413" s="75">
        <f>Table1[[#This Row],[Total Panjang Pipa Aktual
(Sum-&gt;)3]]</f>
        <v>0</v>
      </c>
      <c r="X413" s="99"/>
      <c r="Y413" s="62" t="s">
        <v>3275</v>
      </c>
      <c r="Z413" s="62">
        <v>197739742</v>
      </c>
      <c r="AA413" s="479">
        <f>ROUND((Table1[[#This Row],[Nilai RAB Jaringan
(Exclude Ppn)]]-Table1[[#This Row],[RAB Perizinan]])*1.11+Table1[[#This Row],[RAB Perizinan]],0)</f>
        <v>197739741</v>
      </c>
      <c r="AB413" s="453">
        <f>SUM(Table1[[#This Row],[RAB Kegiatan Umum]:[RAB Perizinan]])</f>
        <v>178274722</v>
      </c>
      <c r="AC413" s="507">
        <v>12877023</v>
      </c>
      <c r="AD413" s="507">
        <v>128770226</v>
      </c>
      <c r="AE413" s="507">
        <v>35307473</v>
      </c>
      <c r="AF413" s="507">
        <v>1320000</v>
      </c>
      <c r="AG413" s="504"/>
      <c r="AH413" s="480">
        <f>SUM(Table1[[#This Row],[Bobot Keg Umum]:[Bobot Perizinan]])</f>
        <v>1</v>
      </c>
      <c r="AI413" s="480">
        <f>Table1[[#This Row],[RAB Kegiatan Umum]]/Table1[[#This Row],[Nilai RAB Jaringan
(Exclude Ppn)]]</f>
        <v>7.2231345282928003E-2</v>
      </c>
      <c r="AJ413" s="480">
        <f>Table1[[#This Row],[RAB Pemasangan]]/Table1[[#This Row],[Nilai RAB Jaringan
(Exclude Ppn)]]</f>
        <v>0.72231343039199913</v>
      </c>
      <c r="AK413" s="111">
        <f>Table1[[#This Row],[RAB Pengadaan]]/Table1[[#This Row],[Nilai RAB Jaringan
(Exclude Ppn)]]</f>
        <v>0.19805092165562316</v>
      </c>
      <c r="AL413" s="112">
        <f>Table1[[#This Row],[RAB Perizinan]]/Table1[[#This Row],[Nilai RAB Jaringan
(Exclude Ppn)]]</f>
        <v>7.4043026694496821E-3</v>
      </c>
      <c r="AM413" s="42"/>
      <c r="AN413" s="256"/>
      <c r="AO413" s="256">
        <f>SUM(Table1[[#This Row],[Pipa 63 mm]:[Pipa 1,800 mm]])</f>
        <v>125</v>
      </c>
      <c r="AP413" s="256">
        <v>125</v>
      </c>
      <c r="AQ413" s="256"/>
      <c r="AR413" s="256"/>
      <c r="AS413" s="256"/>
      <c r="AT413" s="256"/>
      <c r="AU413" s="256"/>
      <c r="AV413" s="256"/>
      <c r="AW413" s="256"/>
      <c r="AX413" s="256"/>
      <c r="AY413" s="256"/>
      <c r="AZ413" s="256"/>
      <c r="BA413" s="256"/>
      <c r="BB413" s="256"/>
      <c r="BC413" s="256"/>
      <c r="BD413" s="256"/>
      <c r="BE413" s="256"/>
      <c r="BF413" s="256"/>
      <c r="BG413" s="256"/>
      <c r="BH413" s="256"/>
      <c r="BI413" s="256"/>
      <c r="BJ413" s="36">
        <f>SUM(Table1[[#This Row],[Pipa 63 mm2]:[Pipa 1,800 mm21]])</f>
        <v>0</v>
      </c>
      <c r="BK413" s="32"/>
      <c r="BL413" s="32"/>
      <c r="BM413" s="32"/>
      <c r="BN413" s="32"/>
      <c r="BO413" s="32"/>
      <c r="BP413" s="32"/>
      <c r="BQ413" s="32"/>
      <c r="BR413" s="32"/>
      <c r="BS413" s="32"/>
      <c r="BT413" s="32"/>
      <c r="BU413" s="32"/>
      <c r="BV413" s="32"/>
      <c r="BW413" s="32"/>
      <c r="BX413" s="32"/>
      <c r="BY413" s="32"/>
      <c r="BZ413" s="32"/>
      <c r="CA413" s="32"/>
      <c r="CB413" s="32"/>
      <c r="CC413" s="32"/>
      <c r="CD413" s="32"/>
      <c r="CE413" s="32"/>
      <c r="CF413" s="32"/>
      <c r="CG413" s="32"/>
      <c r="CH413" s="32"/>
      <c r="CI413" s="32"/>
      <c r="CJ413" s="32">
        <f>IF((Table1[[#This Row],["Volume
BA MC-0"]]-Table1[[#This Row],[Total Panjang Pipa Aktual
(Sum-&gt;)3]]-Table1[[#This Row],[Total Volume
tidak dapat dipasang]])&gt;=0,Table1[[#This Row],["Volume
BA MC-0"]]-Table1[[#This Row],[Total Panjang Pipa Aktual
(Sum-&gt;)3]]-Table1[[#This Row],[Total Volume
tidak dapat dipasang]],0)</f>
        <v>0</v>
      </c>
      <c r="CK413" s="42"/>
      <c r="CL413" s="113"/>
      <c r="CM413" s="307"/>
      <c r="CN413" s="113"/>
      <c r="CO413" s="113"/>
      <c r="CP413"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6.2910292761197945E-2</v>
      </c>
      <c r="CQ413" s="406">
        <f>IFERROR(Table1[[#This Row],[Progres Keg. Umum
(%)]]*Table1[[#This Row],[Nilai RAB Jaringan
(file pa aji)]],0)</f>
        <v>0</v>
      </c>
      <c r="CR413" s="406">
        <f>IFERROR(Table1[[#This Row],[Progres MOS
(%)]]*Table1[[#This Row],[Nilai RAB Jaringan
(file pa aji)]],0)</f>
        <v>0</v>
      </c>
      <c r="CS413" s="406">
        <f>IFERROR(Table1[[#This Row],[Progres Pemasangan
(%)]]*Table1[[#This Row],[Nilai RAB Jaringan
(file pa aji)]],0)</f>
        <v>0</v>
      </c>
      <c r="CT413" s="406">
        <f>IFERROR(Table1[[#This Row],[Progres Perizinan
(%)]]*Table1[[#This Row],[Nilai RAB Jaringan
(file pa aji)]],0)</f>
        <v>0</v>
      </c>
      <c r="CU413" s="789">
        <v>0</v>
      </c>
      <c r="CV413" s="299">
        <v>0</v>
      </c>
      <c r="CW413" s="481">
        <v>0</v>
      </c>
      <c r="CX413" s="789">
        <f>_xlfn.XLOOKUP(Table1[[#This Row],[Kode Program]],'[1]Breakdown VOWD Greenfield'!$E:$E,'[1]Breakdown VOWD Greenfield'!$AT:$AT)</f>
        <v>0</v>
      </c>
      <c r="CY413" s="42"/>
      <c r="CZ413" s="301">
        <v>45957</v>
      </c>
      <c r="DA413" s="301">
        <v>45984</v>
      </c>
      <c r="DB413" s="301">
        <v>45951</v>
      </c>
      <c r="DC413" s="505" t="s">
        <v>3276</v>
      </c>
      <c r="DD413" s="478">
        <f>196419741.42+1320000</f>
        <v>197739741.41999999</v>
      </c>
      <c r="DE41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3" s="301">
        <v>45972</v>
      </c>
      <c r="DG413" s="505" t="s">
        <v>3277</v>
      </c>
      <c r="DH413" s="478">
        <f>196419741.42+1320000</f>
        <v>197739741.41999999</v>
      </c>
      <c r="DI41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3" s="301">
        <v>45985</v>
      </c>
      <c r="DK413" s="301">
        <v>46047</v>
      </c>
      <c r="DL413" s="301">
        <v>45995</v>
      </c>
      <c r="DM413" s="286" t="s">
        <v>3278</v>
      </c>
      <c r="DN41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3" s="301">
        <v>46083</v>
      </c>
      <c r="DP413" s="304"/>
      <c r="DQ413" s="308" t="s">
        <v>365</v>
      </c>
      <c r="DR41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3" s="301">
        <v>45985</v>
      </c>
      <c r="DT413" s="301">
        <v>46164</v>
      </c>
      <c r="DU413" s="301">
        <v>46026</v>
      </c>
      <c r="DV413" s="301">
        <v>46178</v>
      </c>
      <c r="DW413" s="301">
        <v>45995</v>
      </c>
      <c r="DX413" t="s">
        <v>3279</v>
      </c>
      <c r="DY413" s="302">
        <v>17</v>
      </c>
      <c r="DZ413" s="304">
        <v>17</v>
      </c>
      <c r="EA41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3" s="301"/>
      <c r="EC413" s="302">
        <v>16</v>
      </c>
      <c r="ED413" s="302">
        <v>16</v>
      </c>
      <c r="EE413" s="100"/>
      <c r="EF413" s="307">
        <v>0.94117647058823528</v>
      </c>
      <c r="EG413" s="307">
        <f>Table1[[#This Row],[Line PO]]/Table1[[#This Row],[Line PR]]</f>
        <v>0.94117647058823528</v>
      </c>
      <c r="EH413" s="286" t="str">
        <f>IF(Table1[[#This Row],[PO Material Aktual 
(%)]]&gt;=100%,"Selesai PO = 100%",IF(Table1[[#This Row],[PO Material Aktual 
(%)]]&gt;=50%,"Proses PO &gt; 100%",IF(Table1[[#This Row],[PO Material Aktual 
(%)]]&gt;0%,"Proses PO &gt; 50%",IF(Table1[[#This Row],[PO Material Aktual 
(%)]]=0,"Belum PO = 0%"))))</f>
        <v>Proses PO &gt; 100%</v>
      </c>
      <c r="EI41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3" s="301">
        <v>46027</v>
      </c>
      <c r="EK413" s="301">
        <v>46178</v>
      </c>
      <c r="EL413" s="301">
        <v>46103</v>
      </c>
      <c r="EM413" s="301">
        <v>46183</v>
      </c>
      <c r="EN413" s="301"/>
      <c r="EO413" s="302">
        <v>9</v>
      </c>
      <c r="EP413" s="302">
        <v>9</v>
      </c>
      <c r="EQ413" s="307">
        <v>0.52941176470588236</v>
      </c>
      <c r="ER413" s="307">
        <f>Table1[[#This Row],[Line MOS (kolom bantu)]]/Table1[[#This Row],[Line PR]]</f>
        <v>0.52941176470588236</v>
      </c>
      <c r="ES413" s="286" t="str">
        <f>IF(Table1[[#This Row],[Progres MOS]]&gt;=100%,"Selesai MOS = 100%",IF(Table1[[#This Row],[Progres MOS]]&gt;=50%,"Proses MOS &gt; 100%",IF(Table1[[#This Row],[Progres MOS]]&gt;0%,"Proses MOS &gt; 50%",IF(Table1[[#This Row],[Progres MOS]]=0,"Belum MOS = 0%"))))</f>
        <v>Proses MOS &gt; 100%</v>
      </c>
      <c r="ET41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3" s="42"/>
      <c r="EV413" s="301">
        <v>45985</v>
      </c>
      <c r="EW413" s="301">
        <v>46156</v>
      </c>
      <c r="EX413" s="301">
        <v>46075</v>
      </c>
      <c r="EY413" s="301">
        <v>46186</v>
      </c>
      <c r="EZ413" s="322" t="s">
        <v>259</v>
      </c>
      <c r="FA413" s="379" t="s">
        <v>259</v>
      </c>
      <c r="FB413" s="301"/>
      <c r="FC413" s="300">
        <v>45943</v>
      </c>
      <c r="FD413" s="301" t="s">
        <v>260</v>
      </c>
      <c r="FE413" s="301"/>
      <c r="FF413" s="301"/>
      <c r="FG413" s="301"/>
      <c r="FH413" s="301"/>
      <c r="FI413" s="301"/>
      <c r="FJ413" s="301"/>
      <c r="FK413" s="301"/>
      <c r="FL413" s="322" t="s">
        <v>2780</v>
      </c>
      <c r="FM413" s="322"/>
      <c r="FN413" s="308" t="str">
        <f>IF(Table1[[#This Row],[Tanggal Pengajuan Dokumen]]="","",Table1[[#This Row],[PLAN PERMIT
start]]-Table1[[#This Row],[Tanggal Pengajuan Dokumen]])</f>
        <v/>
      </c>
      <c r="FO413" s="322"/>
      <c r="FP413" s="286"/>
      <c r="FQ413" s="308"/>
      <c r="FR413" s="301"/>
      <c r="FS413" s="308"/>
      <c r="FT41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3" s="314">
        <f ca="1">IF(Table1[[#This Row],[Status Izin]]="Selesai",Table1[[#This Row],[PLAN PERMIT
finish]]-Table1[[#This Row],[Tanggal Terbit/ Target Izin Terbit]],ROUNDUP(Table1[[#This Row],[PLAN PERMIT
finish]]-NOW(),0))</f>
        <v>-129</v>
      </c>
      <c r="FV41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3" s="314"/>
      <c r="FX413" s="42"/>
      <c r="FY413" s="483">
        <v>46034</v>
      </c>
      <c r="FZ413" s="483">
        <v>46050</v>
      </c>
      <c r="GA41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3" s="301">
        <v>46048</v>
      </c>
      <c r="GC413" s="322">
        <v>46112</v>
      </c>
      <c r="GD41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3" s="301">
        <v>46055</v>
      </c>
      <c r="GF413" s="322">
        <v>46112</v>
      </c>
      <c r="GG41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3" s="301">
        <v>46062</v>
      </c>
      <c r="GI413" s="301">
        <v>46068</v>
      </c>
      <c r="GJ413" s="322">
        <v>46120</v>
      </c>
      <c r="GK41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3" s="301">
        <v>46076</v>
      </c>
      <c r="GM413" s="301">
        <v>46193</v>
      </c>
      <c r="GN413" s="301">
        <v>46103</v>
      </c>
      <c r="GO413" s="300">
        <v>46241</v>
      </c>
      <c r="GP413" s="286"/>
      <c r="GQ41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3" s="301"/>
      <c r="GS413" s="301"/>
      <c r="GT413" s="324"/>
      <c r="GU413" s="314" t="str">
        <f>IF(Table1[[#This Row],[Hydro Tes Actual
(tanggal)]]&lt;&gt;"","Sudah","Belum")</f>
        <v>Belum</v>
      </c>
      <c r="GV413" s="300"/>
      <c r="GW413" s="300"/>
      <c r="GX413" s="301"/>
      <c r="GY413" s="314" t="str">
        <f>IF(Table1[[#This Row],[Interkoneksi Actual
(tanggal)]]&lt;&gt;"","Sudah","Belum")</f>
        <v>Belum</v>
      </c>
      <c r="GZ413" s="300"/>
      <c r="HA413" s="300"/>
      <c r="HB413" s="301"/>
      <c r="HC413" s="314" t="str">
        <f>IF(Table1[[#This Row],[Flushing Actual
(tanggal)]]&lt;&gt;"","Sudah","Belum")</f>
        <v>Belum</v>
      </c>
      <c r="HD413" s="301">
        <v>46106</v>
      </c>
      <c r="HE413" s="301">
        <v>46242</v>
      </c>
      <c r="HF413" s="301">
        <v>46111</v>
      </c>
      <c r="HG413" s="322"/>
      <c r="HH41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3" s="300"/>
      <c r="HJ413" s="300"/>
      <c r="HK413" s="301"/>
      <c r="HL413" s="301"/>
      <c r="HM413" s="301">
        <v>46128</v>
      </c>
      <c r="HN413" s="301">
        <v>46128</v>
      </c>
      <c r="HO413" s="300">
        <v>46259</v>
      </c>
      <c r="HP413" s="300"/>
      <c r="HQ413" s="301"/>
      <c r="HR41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3" s="301">
        <v>46136</v>
      </c>
      <c r="HT413" s="301"/>
      <c r="HU413" s="301">
        <v>46136</v>
      </c>
      <c r="HV413" s="390"/>
      <c r="HW413" s="365"/>
      <c r="HX41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3" s="42"/>
      <c r="HZ413" s="322"/>
      <c r="IA413" s="306"/>
      <c r="IB413" s="67"/>
      <c r="IC413" s="585">
        <f>IFERROR(ROUND((Table1[[#This Row],[PLAN TC
finish]]-Table1[[#This Row],[PLAN MC-0
start]])/30,2),"")</f>
        <v>1.63</v>
      </c>
      <c r="ID413">
        <f>DATEDIF(Table1[[#This Row],[PLAN MC-0
start]],Table1[[#This Row],[PLAN TC
finish]],"m")</f>
        <v>1</v>
      </c>
      <c r="IE413" s="6"/>
      <c r="IF413" s="6"/>
      <c r="IG413" s="67"/>
      <c r="II413" s="6"/>
      <c r="IJ413" s="4"/>
      <c r="IK413" s="4"/>
      <c r="IL413" s="6"/>
      <c r="IM413" s="6"/>
      <c r="IN413" s="6"/>
      <c r="IO413" s="6"/>
      <c r="IP413" s="6"/>
      <c r="IR413" s="6"/>
      <c r="IS413" s="6"/>
      <c r="IT413" s="6"/>
      <c r="IU413" s="6"/>
      <c r="IX413" s="6"/>
      <c r="IY413" s="6"/>
      <c r="JA413" s="6"/>
      <c r="JB413" s="6"/>
    </row>
    <row r="414" spans="1:262" ht="15" customHeight="1" x14ac:dyDescent="0.25">
      <c r="B414" s="281">
        <f>SUBTOTAL(3,$D$5:D414)</f>
        <v>410</v>
      </c>
      <c r="C414" s="286">
        <v>410</v>
      </c>
      <c r="D414" s="285" t="s">
        <v>673</v>
      </c>
      <c r="E414" s="308" t="s">
        <v>3280</v>
      </c>
      <c r="F414" s="308" t="s">
        <v>3281</v>
      </c>
      <c r="G414" s="319">
        <v>46300</v>
      </c>
      <c r="H414" s="308" t="s">
        <v>681</v>
      </c>
      <c r="I414" s="308" t="s">
        <v>278</v>
      </c>
      <c r="J414" s="450"/>
      <c r="K414" s="308"/>
      <c r="L414" s="286"/>
      <c r="M414" s="449" t="s">
        <v>269</v>
      </c>
      <c r="N414" s="477">
        <v>24</v>
      </c>
      <c r="O414" s="31" t="s">
        <v>252</v>
      </c>
      <c r="P41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4" s="35">
        <v>1.0000000000000002</v>
      </c>
      <c r="S414" s="297">
        <f>_xlfn.XLOOKUP(Table1[[#This Row],[Nama Program]],'[2]Summary Plan'!$E:$E,'[2]Summary Plan'!$M:$M)</f>
        <v>1.0000000000000002</v>
      </c>
      <c r="T414" s="128">
        <f>Table1[[#This Row],[Progres Total Aktual
(%)]]</f>
        <v>0.11330097020781338</v>
      </c>
      <c r="U414" s="103">
        <f>Table1[[#This Row],[Progres Aktual
(%)]]-Table1[[#This Row],[Target Progres
(%)]]</f>
        <v>-0.88669902979218684</v>
      </c>
      <c r="V414" s="75">
        <v>24</v>
      </c>
      <c r="W414" s="75">
        <f>Table1[[#This Row],[Total Panjang Pipa Aktual
(Sum-&gt;)3]]</f>
        <v>0</v>
      </c>
      <c r="X414" s="99"/>
      <c r="Y414" s="62" t="s">
        <v>3282</v>
      </c>
      <c r="Z414" s="62">
        <v>51917452</v>
      </c>
      <c r="AA414" s="479">
        <f>ROUND((Table1[[#This Row],[Nilai RAB Jaringan
(Exclude Ppn)]]-Table1[[#This Row],[RAB Perizinan]])*1.11+Table1[[#This Row],[RAB Perizinan]],0)</f>
        <v>51917452</v>
      </c>
      <c r="AB414" s="453">
        <f>SUM(Table1[[#This Row],[RAB Kegiatan Umum]:[RAB Perizinan]])</f>
        <v>46796263</v>
      </c>
      <c r="AC414" s="507">
        <v>3161264</v>
      </c>
      <c r="AD414" s="507">
        <v>31612639</v>
      </c>
      <c r="AE414" s="507">
        <v>11782360</v>
      </c>
      <c r="AF414" s="507">
        <v>240000</v>
      </c>
      <c r="AG414" s="504"/>
      <c r="AH414" s="480">
        <f>SUM(Table1[[#This Row],[Bobot Keg Umum]:[Bobot Perizinan]])</f>
        <v>1</v>
      </c>
      <c r="AI414" s="480">
        <f>Table1[[#This Row],[RAB Kegiatan Umum]]/Table1[[#This Row],[Nilai RAB Jaringan
(Exclude Ppn)]]</f>
        <v>6.7553770265800922E-2</v>
      </c>
      <c r="AJ414" s="480">
        <f>Table1[[#This Row],[RAB Pemasangan]]/Table1[[#This Row],[Nilai RAB Jaringan
(Exclude Ppn)]]</f>
        <v>0.67553768128878156</v>
      </c>
      <c r="AK414" s="111">
        <f>Table1[[#This Row],[RAB Pengadaan]]/Table1[[#This Row],[Nilai RAB Jaringan
(Exclude Ppn)]]</f>
        <v>0.25177993379514085</v>
      </c>
      <c r="AL414" s="112">
        <f>Table1[[#This Row],[RAB Perizinan]]/Table1[[#This Row],[Nilai RAB Jaringan
(Exclude Ppn)]]</f>
        <v>5.1286146502766685E-3</v>
      </c>
      <c r="AM414" s="42"/>
      <c r="AN414" s="256"/>
      <c r="AO414" s="256">
        <f>SUM(Table1[[#This Row],[Pipa 63 mm]:[Pipa 1,800 mm]])</f>
        <v>24</v>
      </c>
      <c r="AP414" s="256">
        <v>24</v>
      </c>
      <c r="AQ414" s="256"/>
      <c r="AR414" s="256"/>
      <c r="AS414" s="256"/>
      <c r="AT414" s="256"/>
      <c r="AU414" s="256"/>
      <c r="AV414" s="256"/>
      <c r="AW414" s="256"/>
      <c r="AX414" s="256"/>
      <c r="AY414" s="256"/>
      <c r="AZ414" s="256"/>
      <c r="BA414" s="256"/>
      <c r="BB414" s="256"/>
      <c r="BC414" s="256"/>
      <c r="BD414" s="256"/>
      <c r="BE414" s="256"/>
      <c r="BF414" s="256"/>
      <c r="BG414" s="256"/>
      <c r="BH414" s="256"/>
      <c r="BI414" s="256"/>
      <c r="BJ414" s="36">
        <f>SUM(Table1[[#This Row],[Pipa 63 mm2]:[Pipa 1,800 mm21]])</f>
        <v>0</v>
      </c>
      <c r="BK414" s="32"/>
      <c r="BL414" s="32"/>
      <c r="BM414" s="32"/>
      <c r="BN414" s="32"/>
      <c r="BO414" s="32"/>
      <c r="BP414" s="32"/>
      <c r="BQ414" s="32"/>
      <c r="BR414" s="32"/>
      <c r="BS414" s="32"/>
      <c r="BT414" s="32"/>
      <c r="BU414" s="32"/>
      <c r="BV414" s="32"/>
      <c r="BW414" s="32"/>
      <c r="BX414" s="32"/>
      <c r="BY414" s="32"/>
      <c r="BZ414" s="32"/>
      <c r="CA414" s="32"/>
      <c r="CB414" s="32"/>
      <c r="CC414" s="32"/>
      <c r="CD414" s="32"/>
      <c r="CE414" s="32"/>
      <c r="CF414" s="32"/>
      <c r="CG414" s="32"/>
      <c r="CH414" s="32"/>
      <c r="CI414" s="32"/>
      <c r="CJ414" s="32">
        <f>IF((Table1[[#This Row],["Volume
BA MC-0"]]-Table1[[#This Row],[Total Panjang Pipa Aktual
(Sum-&gt;)3]]-Table1[[#This Row],[Total Volume
tidak dapat dipasang]])&gt;=0,Table1[[#This Row],["Volume
BA MC-0"]]-Table1[[#This Row],[Total Panjang Pipa Aktual
(Sum-&gt;)3]]-Table1[[#This Row],[Total Volume
tidak dapat dipasang]],0)</f>
        <v>0</v>
      </c>
      <c r="CK414" s="42"/>
      <c r="CL414" s="113"/>
      <c r="CM414" s="307"/>
      <c r="CN414" s="113"/>
      <c r="CO414" s="113"/>
      <c r="CP414"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0.11330097020781338</v>
      </c>
      <c r="CQ414" s="406">
        <f>IFERROR(Table1[[#This Row],[Progres Keg. Umum
(%)]]*Table1[[#This Row],[Nilai RAB Jaringan
(file pa aji)]],0)</f>
        <v>0</v>
      </c>
      <c r="CR414" s="406">
        <f>IFERROR(Table1[[#This Row],[Progres MOS
(%)]]*Table1[[#This Row],[Nilai RAB Jaringan
(file pa aji)]],0)</f>
        <v>0</v>
      </c>
      <c r="CS414" s="406">
        <f>IFERROR(Table1[[#This Row],[Progres Pemasangan
(%)]]*Table1[[#This Row],[Nilai RAB Jaringan
(file pa aji)]],0)</f>
        <v>0</v>
      </c>
      <c r="CT414" s="406">
        <f>IFERROR(Table1[[#This Row],[Progres Perizinan
(%)]]*Table1[[#This Row],[Nilai RAB Jaringan
(file pa aji)]],0)</f>
        <v>0</v>
      </c>
      <c r="CU414" s="789">
        <v>0</v>
      </c>
      <c r="CV414" s="299">
        <v>0</v>
      </c>
      <c r="CW414" s="481">
        <v>0</v>
      </c>
      <c r="CX414" s="789">
        <f>_xlfn.XLOOKUP(Table1[[#This Row],[Kode Program]],'[1]Breakdown VOWD Greenfield'!$E:$E,'[1]Breakdown VOWD Greenfield'!$AT:$AT)</f>
        <v>0</v>
      </c>
      <c r="CY414" s="42"/>
      <c r="CZ414" s="301">
        <v>45957</v>
      </c>
      <c r="DA414" s="301">
        <v>45984</v>
      </c>
      <c r="DB414" s="301">
        <v>45951</v>
      </c>
      <c r="DC414" s="505" t="s">
        <v>3283</v>
      </c>
      <c r="DD414" s="478">
        <f>51677451.93+240000</f>
        <v>51917451.93</v>
      </c>
      <c r="DE41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4" s="301">
        <v>45972</v>
      </c>
      <c r="DG414" s="505" t="s">
        <v>3284</v>
      </c>
      <c r="DH414" s="478">
        <f>51677451.93+240000</f>
        <v>51917451.93</v>
      </c>
      <c r="DI41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4" s="301">
        <v>45985</v>
      </c>
      <c r="DK414" s="301">
        <v>46047</v>
      </c>
      <c r="DL414" s="301">
        <v>45995</v>
      </c>
      <c r="DM414" s="286" t="s">
        <v>3285</v>
      </c>
      <c r="DN41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4" s="301">
        <v>46086</v>
      </c>
      <c r="DP414" s="304"/>
      <c r="DQ414" s="431" t="s">
        <v>762</v>
      </c>
      <c r="DR41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4" s="301">
        <v>45985</v>
      </c>
      <c r="DT414" s="301">
        <v>46164</v>
      </c>
      <c r="DU414" s="301">
        <v>46026</v>
      </c>
      <c r="DV414" s="301">
        <v>46178</v>
      </c>
      <c r="DW414" s="301">
        <v>45995</v>
      </c>
      <c r="DX414" t="s">
        <v>3286</v>
      </c>
      <c r="DY414" s="302">
        <v>12</v>
      </c>
      <c r="DZ414" s="304">
        <v>12</v>
      </c>
      <c r="EA41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4" s="301"/>
      <c r="EC414" s="302">
        <v>11</v>
      </c>
      <c r="ED414" s="302">
        <v>11</v>
      </c>
      <c r="EE414" s="100"/>
      <c r="EF414" s="307">
        <v>0.91666666666666663</v>
      </c>
      <c r="EG414" s="307">
        <f>Table1[[#This Row],[Line PO]]/Table1[[#This Row],[Line PR]]</f>
        <v>0.91666666666666663</v>
      </c>
      <c r="EH414" s="286" t="str">
        <f>IF(Table1[[#This Row],[PO Material Aktual 
(%)]]&gt;=100%,"Selesai PO = 100%",IF(Table1[[#This Row],[PO Material Aktual 
(%)]]&gt;=50%,"Proses PO &gt; 100%",IF(Table1[[#This Row],[PO Material Aktual 
(%)]]&gt;0%,"Proses PO &gt; 50%",IF(Table1[[#This Row],[PO Material Aktual 
(%)]]=0,"Belum PO = 0%"))))</f>
        <v>Proses PO &gt; 100%</v>
      </c>
      <c r="EI41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4" s="301">
        <v>46027</v>
      </c>
      <c r="EK414" s="301">
        <v>46178</v>
      </c>
      <c r="EL414" s="301">
        <v>46103</v>
      </c>
      <c r="EM414" s="301">
        <v>46183</v>
      </c>
      <c r="EN414" s="301"/>
      <c r="EO414" s="302">
        <v>9</v>
      </c>
      <c r="EP414" s="302">
        <v>9</v>
      </c>
      <c r="EQ414" s="307">
        <v>0.75</v>
      </c>
      <c r="ER414" s="307">
        <f>Table1[[#This Row],[Line MOS (kolom bantu)]]/Table1[[#This Row],[Line PR]]</f>
        <v>0.75</v>
      </c>
      <c r="ES414" s="286" t="str">
        <f>IF(Table1[[#This Row],[Progres MOS]]&gt;=100%,"Selesai MOS = 100%",IF(Table1[[#This Row],[Progres MOS]]&gt;=50%,"Proses MOS &gt; 100%",IF(Table1[[#This Row],[Progres MOS]]&gt;0%,"Proses MOS &gt; 50%",IF(Table1[[#This Row],[Progres MOS]]=0,"Belum MOS = 0%"))))</f>
        <v>Proses MOS &gt; 100%</v>
      </c>
      <c r="ET41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4" s="42"/>
      <c r="EV414" s="301">
        <v>45985</v>
      </c>
      <c r="EW414" s="301">
        <v>46156</v>
      </c>
      <c r="EX414" s="301">
        <v>46075</v>
      </c>
      <c r="EY414" s="301">
        <v>46186</v>
      </c>
      <c r="EZ414" s="322" t="s">
        <v>259</v>
      </c>
      <c r="FA414" s="379" t="s">
        <v>259</v>
      </c>
      <c r="FB414" s="301"/>
      <c r="FC414" s="300">
        <v>45979</v>
      </c>
      <c r="FD414" s="301" t="s">
        <v>260</v>
      </c>
      <c r="FE414" s="301"/>
      <c r="FF414" s="301"/>
      <c r="FG414" s="301"/>
      <c r="FH414" s="301"/>
      <c r="FI414" s="301"/>
      <c r="FJ414" s="301"/>
      <c r="FK414" s="301"/>
      <c r="FL414" s="322" t="s">
        <v>2827</v>
      </c>
      <c r="FM414" s="322"/>
      <c r="FN414" s="308" t="str">
        <f>IF(Table1[[#This Row],[Tanggal Pengajuan Dokumen]]="","",Table1[[#This Row],[PLAN PERMIT
start]]-Table1[[#This Row],[Tanggal Pengajuan Dokumen]])</f>
        <v/>
      </c>
      <c r="FO414" s="322"/>
      <c r="FP414" s="286"/>
      <c r="FQ414" s="308"/>
      <c r="FR414" s="301"/>
      <c r="FS414" s="308"/>
      <c r="FT41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4" s="314">
        <f ca="1">IF(Table1[[#This Row],[Status Izin]]="Selesai",Table1[[#This Row],[PLAN PERMIT
finish]]-Table1[[#This Row],[Tanggal Terbit/ Target Izin Terbit]],ROUNDUP(Table1[[#This Row],[PLAN PERMIT
finish]]-NOW(),0))</f>
        <v>-129</v>
      </c>
      <c r="FV41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4" s="314"/>
      <c r="FX414" s="42"/>
      <c r="FY414" s="483">
        <v>46034</v>
      </c>
      <c r="FZ414" s="483">
        <v>46050</v>
      </c>
      <c r="GA41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Delay</v>
      </c>
      <c r="GB414" s="301">
        <v>46048</v>
      </c>
      <c r="GC414" s="322">
        <v>46112</v>
      </c>
      <c r="GD41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4" s="301">
        <v>46055</v>
      </c>
      <c r="GF414" s="322">
        <v>46112</v>
      </c>
      <c r="GG41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4" s="301">
        <v>46062</v>
      </c>
      <c r="GI414" s="301">
        <v>46068</v>
      </c>
      <c r="GJ414" s="322">
        <v>46126</v>
      </c>
      <c r="GK41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4" s="301">
        <v>46076</v>
      </c>
      <c r="GM414" s="301">
        <v>46193</v>
      </c>
      <c r="GN414" s="301">
        <v>46103</v>
      </c>
      <c r="GO414" s="300">
        <v>46241</v>
      </c>
      <c r="GP414" s="286"/>
      <c r="GQ41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4" s="301"/>
      <c r="GS414" s="301"/>
      <c r="GT414" s="324"/>
      <c r="GU414" s="314" t="str">
        <f>IF(Table1[[#This Row],[Hydro Tes Actual
(tanggal)]]&lt;&gt;"","Sudah","Belum")</f>
        <v>Belum</v>
      </c>
      <c r="GV414" s="300"/>
      <c r="GW414" s="300"/>
      <c r="GX414" s="301"/>
      <c r="GY414" s="314" t="str">
        <f>IF(Table1[[#This Row],[Interkoneksi Actual
(tanggal)]]&lt;&gt;"","Sudah","Belum")</f>
        <v>Belum</v>
      </c>
      <c r="GZ414" s="300"/>
      <c r="HA414" s="300"/>
      <c r="HB414" s="301"/>
      <c r="HC414" s="314" t="str">
        <f>IF(Table1[[#This Row],[Flushing Actual
(tanggal)]]&lt;&gt;"","Sudah","Belum")</f>
        <v>Belum</v>
      </c>
      <c r="HD414" s="301">
        <v>46106</v>
      </c>
      <c r="HE414" s="301">
        <v>46242</v>
      </c>
      <c r="HF414" s="301">
        <v>46111</v>
      </c>
      <c r="HG414" s="322"/>
      <c r="HH41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4" s="300"/>
      <c r="HJ414" s="300"/>
      <c r="HK414" s="301"/>
      <c r="HL414" s="301"/>
      <c r="HM414" s="301">
        <v>46128</v>
      </c>
      <c r="HN414" s="301">
        <v>46128</v>
      </c>
      <c r="HO414" s="300">
        <v>46259</v>
      </c>
      <c r="HP414" s="300"/>
      <c r="HQ414" s="301"/>
      <c r="HR41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4" s="301">
        <v>46136</v>
      </c>
      <c r="HT414" s="301"/>
      <c r="HU414" s="301">
        <v>46136</v>
      </c>
      <c r="HV414" s="390"/>
      <c r="HW414" s="365"/>
      <c r="HX41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4" s="42"/>
      <c r="HZ414" s="322"/>
      <c r="IA414" s="306"/>
      <c r="IB414" s="67"/>
      <c r="IC414" s="585">
        <f>IFERROR(ROUND((Table1[[#This Row],[PLAN TC
finish]]-Table1[[#This Row],[PLAN MC-0
start]])/30,2),"")</f>
        <v>1.63</v>
      </c>
      <c r="ID414">
        <f>DATEDIF(Table1[[#This Row],[PLAN MC-0
start]],Table1[[#This Row],[PLAN TC
finish]],"m")</f>
        <v>1</v>
      </c>
      <c r="IE414" s="6"/>
      <c r="IF414" s="6"/>
      <c r="IG414" s="67"/>
      <c r="II414" s="6"/>
      <c r="IJ414" s="4"/>
      <c r="IK414" s="4"/>
      <c r="IL414" s="6"/>
      <c r="IM414" s="6"/>
      <c r="IN414" s="6"/>
      <c r="IO414" s="6"/>
      <c r="IP414" s="6"/>
      <c r="IR414" s="6"/>
      <c r="IS414" s="6"/>
      <c r="IT414" s="6"/>
      <c r="IU414" s="6"/>
      <c r="IX414" s="6"/>
      <c r="IY414" s="6"/>
      <c r="JA414" s="6"/>
      <c r="JB414" s="6"/>
    </row>
    <row r="415" spans="1:262" ht="15" customHeight="1" x14ac:dyDescent="0.25">
      <c r="B415" s="281">
        <f>SUBTOTAL(3,$D$5:D415)</f>
        <v>411</v>
      </c>
      <c r="C415" s="286">
        <v>411</v>
      </c>
      <c r="D415" s="285" t="s">
        <v>673</v>
      </c>
      <c r="E415" s="308" t="s">
        <v>3287</v>
      </c>
      <c r="F415" s="308" t="s">
        <v>3288</v>
      </c>
      <c r="G415" s="319">
        <v>46300</v>
      </c>
      <c r="H415" s="308" t="s">
        <v>681</v>
      </c>
      <c r="I415" s="308" t="s">
        <v>278</v>
      </c>
      <c r="J415" s="450"/>
      <c r="K415" s="308"/>
      <c r="L415" s="286"/>
      <c r="M415" s="449" t="s">
        <v>269</v>
      </c>
      <c r="N415" s="477">
        <v>936</v>
      </c>
      <c r="O415" s="31" t="s">
        <v>252</v>
      </c>
      <c r="P41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5" s="35">
        <v>1.0000000000000002</v>
      </c>
      <c r="S415" s="297">
        <f>_xlfn.XLOOKUP(Table1[[#This Row],[Nama Program]],'[2]Summary Plan'!$E:$E,'[2]Summary Plan'!$M:$M)</f>
        <v>1.0000000000000002</v>
      </c>
      <c r="T415" s="128">
        <f>Table1[[#This Row],[Progres Total Aktual
(%)]]</f>
        <v>0.10824495402694301</v>
      </c>
      <c r="U415" s="103">
        <f>Table1[[#This Row],[Progres Aktual
(%)]]-Table1[[#This Row],[Target Progres
(%)]]</f>
        <v>-0.89175504597305721</v>
      </c>
      <c r="V415" s="75">
        <v>944</v>
      </c>
      <c r="W415" s="75">
        <f>Table1[[#This Row],[Total Panjang Pipa Aktual
(Sum-&gt;)3]]</f>
        <v>0</v>
      </c>
      <c r="X415" s="99"/>
      <c r="Y415" s="62" t="s">
        <v>3289</v>
      </c>
      <c r="Z415" s="62">
        <v>1093554684</v>
      </c>
      <c r="AA415" s="479">
        <f>ROUND((Table1[[#This Row],[Nilai RAB Jaringan
(Exclude Ppn)]]-Table1[[#This Row],[RAB Perizinan]])*1.11+Table1[[#This Row],[RAB Perizinan]],0)</f>
        <v>1093554683</v>
      </c>
      <c r="AB415" s="453">
        <f>SUM(Table1[[#This Row],[RAB Kegiatan Umum]:[RAB Perizinan]])</f>
        <v>986111967</v>
      </c>
      <c r="AC415" s="507">
        <v>62330763</v>
      </c>
      <c r="AD415" s="507">
        <v>623307628</v>
      </c>
      <c r="AE415" s="507">
        <v>291113576</v>
      </c>
      <c r="AF415" s="507">
        <v>9360000</v>
      </c>
      <c r="AG415" s="504"/>
      <c r="AH415" s="480">
        <f>SUM(Table1[[#This Row],[Bobot Keg Umum]:[Bobot Perizinan]])</f>
        <v>1</v>
      </c>
      <c r="AI415" s="480">
        <f>Table1[[#This Row],[RAB Kegiatan Umum]]/Table1[[#This Row],[Nilai RAB Jaringan
(Exclude Ppn)]]</f>
        <v>6.3208606208913401E-2</v>
      </c>
      <c r="AJ415" s="480">
        <f>Table1[[#This Row],[RAB Pemasangan]]/Table1[[#This Row],[Nilai RAB Jaringan
(Exclude Ppn)]]</f>
        <v>0.63208606006096668</v>
      </c>
      <c r="AK415" s="111">
        <f>Table1[[#This Row],[RAB Pengadaan]]/Table1[[#This Row],[Nilai RAB Jaringan
(Exclude Ppn)]]</f>
        <v>0.29521351098257181</v>
      </c>
      <c r="AL415" s="112">
        <f>Table1[[#This Row],[RAB Perizinan]]/Table1[[#This Row],[Nilai RAB Jaringan
(Exclude Ppn)]]</f>
        <v>9.4918227475480985E-3</v>
      </c>
      <c r="AM415" s="42"/>
      <c r="AN415" s="256"/>
      <c r="AO415" s="256">
        <f>SUM(Table1[[#This Row],[Pipa 63 mm]:[Pipa 1,800 mm]])</f>
        <v>944</v>
      </c>
      <c r="AP415" s="256">
        <v>908</v>
      </c>
      <c r="AQ415" s="256">
        <v>36</v>
      </c>
      <c r="AR415" s="256"/>
      <c r="AS415" s="256"/>
      <c r="AT415" s="256"/>
      <c r="AU415" s="256"/>
      <c r="AV415" s="256"/>
      <c r="AW415" s="256"/>
      <c r="AX415" s="256"/>
      <c r="AY415" s="256"/>
      <c r="AZ415" s="256"/>
      <c r="BA415" s="256"/>
      <c r="BB415" s="256"/>
      <c r="BC415" s="256"/>
      <c r="BD415" s="256"/>
      <c r="BE415" s="256"/>
      <c r="BF415" s="256"/>
      <c r="BG415" s="256"/>
      <c r="BH415" s="256"/>
      <c r="BI415" s="256"/>
      <c r="BJ415" s="36">
        <f>SUM(Table1[[#This Row],[Pipa 63 mm2]:[Pipa 1,800 mm21]])</f>
        <v>0</v>
      </c>
      <c r="BK415" s="32"/>
      <c r="BL415" s="32"/>
      <c r="BM415" s="32"/>
      <c r="BN415" s="32"/>
      <c r="BO415" s="32"/>
      <c r="BP415" s="32"/>
      <c r="BQ415" s="32"/>
      <c r="BR415" s="32"/>
      <c r="BS415" s="32"/>
      <c r="BT415" s="32"/>
      <c r="BU415" s="32"/>
      <c r="BV415" s="32"/>
      <c r="BW415" s="32"/>
      <c r="BX415" s="32"/>
      <c r="BY415" s="32"/>
      <c r="BZ415" s="32"/>
      <c r="CA415" s="32"/>
      <c r="CB415" s="32"/>
      <c r="CC415" s="32"/>
      <c r="CD415" s="32"/>
      <c r="CE415" s="32"/>
      <c r="CF415" s="32"/>
      <c r="CG415" s="32"/>
      <c r="CH415" s="32"/>
      <c r="CI415" s="32"/>
      <c r="CJ415" s="32">
        <f>IF((Table1[[#This Row],["Volume
BA MC-0"]]-Table1[[#This Row],[Total Panjang Pipa Aktual
(Sum-&gt;)3]]-Table1[[#This Row],[Total Volume
tidak dapat dipasang]])&gt;=0,Table1[[#This Row],["Volume
BA MC-0"]]-Table1[[#This Row],[Total Panjang Pipa Aktual
(Sum-&gt;)3]]-Table1[[#This Row],[Total Volume
tidak dapat dipasang]],0)</f>
        <v>0</v>
      </c>
      <c r="CK415" s="42"/>
      <c r="CL415" s="113"/>
      <c r="CM415" s="307"/>
      <c r="CN415" s="113"/>
      <c r="CO415" s="113"/>
      <c r="CP41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0.10824495402694301</v>
      </c>
      <c r="CQ415" s="406">
        <f>IFERROR(Table1[[#This Row],[Progres Keg. Umum
(%)]]*Table1[[#This Row],[Nilai RAB Jaringan
(file pa aji)]],0)</f>
        <v>0</v>
      </c>
      <c r="CR415" s="406">
        <f>IFERROR(Table1[[#This Row],[Progres MOS
(%)]]*Table1[[#This Row],[Nilai RAB Jaringan
(file pa aji)]],0)</f>
        <v>0</v>
      </c>
      <c r="CS415" s="406">
        <f>IFERROR(Table1[[#This Row],[Progres Pemasangan
(%)]]*Table1[[#This Row],[Nilai RAB Jaringan
(file pa aji)]],0)</f>
        <v>0</v>
      </c>
      <c r="CT415" s="406">
        <f>IFERROR(Table1[[#This Row],[Progres Perizinan
(%)]]*Table1[[#This Row],[Nilai RAB Jaringan
(file pa aji)]],0)</f>
        <v>0</v>
      </c>
      <c r="CU415" s="789">
        <v>0</v>
      </c>
      <c r="CV415" s="299">
        <v>0</v>
      </c>
      <c r="CW415" s="481">
        <v>0</v>
      </c>
      <c r="CX415" s="789">
        <f>_xlfn.XLOOKUP(Table1[[#This Row],[Kode Program]],'[1]Breakdown VOWD Greenfield'!$E:$E,'[1]Breakdown VOWD Greenfield'!$AT:$AT)</f>
        <v>0</v>
      </c>
      <c r="CY415" s="42"/>
      <c r="CZ415" s="301">
        <v>45992</v>
      </c>
      <c r="DA415" s="301">
        <v>46019</v>
      </c>
      <c r="DB415" s="301">
        <v>45974</v>
      </c>
      <c r="DC415" s="286" t="s">
        <v>3290</v>
      </c>
      <c r="DD415" s="478">
        <v>1093554683.3699999</v>
      </c>
      <c r="DE41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5" s="301">
        <v>46049</v>
      </c>
      <c r="DG415" s="286" t="s">
        <v>3291</v>
      </c>
      <c r="DH415" s="478">
        <v>1093554683.3699999</v>
      </c>
      <c r="DI41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5" s="301">
        <v>46020</v>
      </c>
      <c r="DK415" s="301">
        <v>46082</v>
      </c>
      <c r="DL415" s="301">
        <v>46058</v>
      </c>
      <c r="DM415" s="286" t="s">
        <v>3292</v>
      </c>
      <c r="DN41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5" s="301">
        <v>46085</v>
      </c>
      <c r="DP415" s="286"/>
      <c r="DQ415" s="308" t="s">
        <v>275</v>
      </c>
      <c r="DR41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5" s="301">
        <v>46020</v>
      </c>
      <c r="DT415" s="301">
        <v>46164</v>
      </c>
      <c r="DU415" s="301">
        <v>46061</v>
      </c>
      <c r="DV415" s="301">
        <v>46178</v>
      </c>
      <c r="DW415" s="301">
        <v>46059</v>
      </c>
      <c r="DX415" t="s">
        <v>3293</v>
      </c>
      <c r="DY415" s="304">
        <v>36</v>
      </c>
      <c r="DZ415" s="304">
        <v>36</v>
      </c>
      <c r="EA41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5" s="301"/>
      <c r="EC415" s="302">
        <v>34</v>
      </c>
      <c r="ED415" s="302">
        <v>34</v>
      </c>
      <c r="EE415" s="100"/>
      <c r="EF415" s="307">
        <v>0.94444444444444442</v>
      </c>
      <c r="EG415" s="307">
        <f>Table1[[#This Row],[Line PO]]/Table1[[#This Row],[Line PR]]</f>
        <v>0.94444444444444442</v>
      </c>
      <c r="EH415" s="286" t="str">
        <f>IF(Table1[[#This Row],[PO Material Aktual 
(%)]]&gt;=100%,"Selesai PO = 100%",IF(Table1[[#This Row],[PO Material Aktual 
(%)]]&gt;=50%,"Proses PO &gt; 100%",IF(Table1[[#This Row],[PO Material Aktual 
(%)]]&gt;0%,"Proses PO &gt; 50%",IF(Table1[[#This Row],[PO Material Aktual 
(%)]]=0,"Belum PO = 0%"))))</f>
        <v>Proses PO &gt; 100%</v>
      </c>
      <c r="EI41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5" s="301">
        <v>46062</v>
      </c>
      <c r="EK415" s="301">
        <v>46178</v>
      </c>
      <c r="EL415" s="301">
        <v>46131</v>
      </c>
      <c r="EM415" s="301">
        <v>46183</v>
      </c>
      <c r="EN415" s="301"/>
      <c r="EO415" s="302">
        <v>22</v>
      </c>
      <c r="EP415" s="302">
        <v>22</v>
      </c>
      <c r="EQ415" s="307">
        <v>0.61111111111111116</v>
      </c>
      <c r="ER415" s="307">
        <f>Table1[[#This Row],[Line MOS (kolom bantu)]]/Table1[[#This Row],[Line PR]]</f>
        <v>0.61111111111111116</v>
      </c>
      <c r="ES415" s="286" t="str">
        <f>IF(Table1[[#This Row],[Progres MOS]]&gt;=100%,"Selesai MOS = 100%",IF(Table1[[#This Row],[Progres MOS]]&gt;=50%,"Proses MOS &gt; 100%",IF(Table1[[#This Row],[Progres MOS]]&gt;0%,"Proses MOS &gt; 50%",IF(Table1[[#This Row],[Progres MOS]]=0,"Belum MOS = 0%"))))</f>
        <v>Proses MOS &gt; 100%</v>
      </c>
      <c r="ET41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5" s="42"/>
      <c r="EV415" s="301">
        <v>46020</v>
      </c>
      <c r="EW415" s="301">
        <v>46156</v>
      </c>
      <c r="EX415" s="301">
        <v>46110</v>
      </c>
      <c r="EY415" s="301">
        <v>46186</v>
      </c>
      <c r="EZ415" s="322" t="s">
        <v>2769</v>
      </c>
      <c r="FA415" s="379" t="s">
        <v>2769</v>
      </c>
      <c r="FB415" s="301" t="e">
        <v>#N/A</v>
      </c>
      <c r="FC415" s="300" t="e">
        <v>#N/A</v>
      </c>
      <c r="FD415" s="301" t="e">
        <v>#N/A</v>
      </c>
      <c r="FE415" s="301" t="e">
        <v>#N/A</v>
      </c>
      <c r="FF415" s="301" t="e">
        <v>#N/A</v>
      </c>
      <c r="FG415" s="301" t="e">
        <v>#N/A</v>
      </c>
      <c r="FH415" s="301" t="e">
        <v>#N/A</v>
      </c>
      <c r="FI415" s="301" t="e">
        <v>#N/A</v>
      </c>
      <c r="FJ415" s="301" t="e">
        <v>#N/A</v>
      </c>
      <c r="FK415" s="301" t="e">
        <v>#N/A</v>
      </c>
      <c r="FL415" s="322" t="s">
        <v>2780</v>
      </c>
      <c r="FM415" s="322"/>
      <c r="FN415" s="308" t="str">
        <f>IF(Table1[[#This Row],[Tanggal Pengajuan Dokumen]]="","",Table1[[#This Row],[PLAN PERMIT
start]]-Table1[[#This Row],[Tanggal Pengajuan Dokumen]])</f>
        <v/>
      </c>
      <c r="FO415" s="322"/>
      <c r="FP415" s="286"/>
      <c r="FQ415" s="308"/>
      <c r="FR415" s="301"/>
      <c r="FS415" s="308"/>
      <c r="FT41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5" s="314">
        <f ca="1">IF(Table1[[#This Row],[Status Izin]]="Selesai",Table1[[#This Row],[PLAN PERMIT
finish]]-Table1[[#This Row],[Tanggal Terbit/ Target Izin Terbit]],ROUNDUP(Table1[[#This Row],[PLAN PERMIT
finish]]-NOW(),0))</f>
        <v>-94</v>
      </c>
      <c r="FV41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5" s="314"/>
      <c r="FX415" s="42"/>
      <c r="FY415" s="483">
        <v>46069</v>
      </c>
      <c r="FZ415" s="483">
        <v>46050</v>
      </c>
      <c r="GA41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5" s="301">
        <v>46083</v>
      </c>
      <c r="GC415" s="322">
        <v>46113</v>
      </c>
      <c r="GD41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5" s="301">
        <v>46090</v>
      </c>
      <c r="GF415" s="322">
        <v>46113</v>
      </c>
      <c r="GG41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5" s="301">
        <v>46097</v>
      </c>
      <c r="GI415" s="301">
        <v>46103</v>
      </c>
      <c r="GJ415" s="322">
        <v>46129</v>
      </c>
      <c r="GK41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5" s="301">
        <v>46111</v>
      </c>
      <c r="GM415" s="301">
        <v>46193</v>
      </c>
      <c r="GN415" s="301">
        <v>46138</v>
      </c>
      <c r="GO415" s="300">
        <v>46241</v>
      </c>
      <c r="GP415" s="286"/>
      <c r="GQ41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5" s="301"/>
      <c r="GS415" s="301"/>
      <c r="GT415" s="324"/>
      <c r="GU415" s="314" t="str">
        <f>IF(Table1[[#This Row],[Hydro Tes Actual
(tanggal)]]&lt;&gt;"","Sudah","Belum")</f>
        <v>Belum</v>
      </c>
      <c r="GV415" s="300"/>
      <c r="GW415" s="300"/>
      <c r="GX415" s="301"/>
      <c r="GY415" s="314" t="str">
        <f>IF(Table1[[#This Row],[Interkoneksi Actual
(tanggal)]]&lt;&gt;"","Sudah","Belum")</f>
        <v>Belum</v>
      </c>
      <c r="GZ415" s="300"/>
      <c r="HA415" s="300"/>
      <c r="HB415" s="301"/>
      <c r="HC415" s="314" t="str">
        <f>IF(Table1[[#This Row],[Flushing Actual
(tanggal)]]&lt;&gt;"","Sudah","Belum")</f>
        <v>Belum</v>
      </c>
      <c r="HD415" s="301">
        <v>46141</v>
      </c>
      <c r="HE415" s="301">
        <v>46242</v>
      </c>
      <c r="HF415" s="301">
        <v>46146</v>
      </c>
      <c r="HG415" s="322"/>
      <c r="HH41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5" s="300"/>
      <c r="HJ415" s="300"/>
      <c r="HK415" s="301"/>
      <c r="HL415" s="301"/>
      <c r="HM415" s="301">
        <v>46163</v>
      </c>
      <c r="HN415" s="301">
        <v>46163</v>
      </c>
      <c r="HO415" s="300">
        <v>46259</v>
      </c>
      <c r="HP415" s="300"/>
      <c r="HQ415" s="301"/>
      <c r="HR41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5" s="301">
        <v>46171</v>
      </c>
      <c r="HT415" s="301"/>
      <c r="HU415" s="301">
        <v>46171</v>
      </c>
      <c r="HV415" s="390"/>
      <c r="HW415" s="365"/>
      <c r="HX41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5" s="42"/>
      <c r="HZ415" s="322"/>
      <c r="IA415" s="306"/>
      <c r="IB415" s="67"/>
      <c r="IC415" s="585">
        <f>IFERROR(ROUND((Table1[[#This Row],[PLAN TC
finish]]-Table1[[#This Row],[PLAN MC-0
start]])/30,2),"")</f>
        <v>1.63</v>
      </c>
      <c r="ID415">
        <f>DATEDIF(Table1[[#This Row],[PLAN MC-0
start]],Table1[[#This Row],[PLAN TC
finish]],"m")</f>
        <v>1</v>
      </c>
      <c r="IE415" s="6"/>
      <c r="IF415" s="6"/>
      <c r="IG415" s="67"/>
      <c r="II415" s="6"/>
      <c r="IJ415" s="4"/>
      <c r="IK415" s="4"/>
      <c r="IL415" s="6"/>
      <c r="IM415" s="6"/>
      <c r="IN415" s="6"/>
      <c r="IO415" s="6"/>
      <c r="IP415" s="6"/>
      <c r="IR415" s="6"/>
      <c r="IS415" s="6"/>
      <c r="IT415" s="6"/>
      <c r="IU415" s="6"/>
      <c r="IX415" s="6"/>
      <c r="IY415" s="6"/>
      <c r="JA415" s="6"/>
      <c r="JB415" s="6"/>
    </row>
    <row r="416" spans="1:262" ht="15" customHeight="1" x14ac:dyDescent="0.25">
      <c r="B416" s="281">
        <f>SUBTOTAL(3,$D$5:D416)</f>
        <v>412</v>
      </c>
      <c r="C416" s="286">
        <v>412</v>
      </c>
      <c r="D416" s="285" t="s">
        <v>673</v>
      </c>
      <c r="E416" s="308" t="s">
        <v>3294</v>
      </c>
      <c r="F416" s="308" t="s">
        <v>3295</v>
      </c>
      <c r="G416" s="319">
        <v>46300</v>
      </c>
      <c r="H416" s="308" t="s">
        <v>681</v>
      </c>
      <c r="I416" s="308" t="s">
        <v>278</v>
      </c>
      <c r="J416" s="450"/>
      <c r="K416" s="308"/>
      <c r="L416" s="286"/>
      <c r="M416" s="449" t="s">
        <v>269</v>
      </c>
      <c r="N416" s="477">
        <v>120</v>
      </c>
      <c r="O416" s="31" t="s">
        <v>252</v>
      </c>
      <c r="P41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16" s="35">
        <v>1</v>
      </c>
      <c r="S416" s="297">
        <f>_xlfn.XLOOKUP(Table1[[#This Row],[Nama Program]],'[2]Summary Plan'!$E:$E,'[2]Summary Plan'!$M:$M)</f>
        <v>1</v>
      </c>
      <c r="T416" s="128">
        <f>Table1[[#This Row],[Progres Total Aktual
(%)]]</f>
        <v>6.8716280050486689E-2</v>
      </c>
      <c r="U416" s="103">
        <f>Table1[[#This Row],[Progres Aktual
(%)]]-Table1[[#This Row],[Target Progres
(%)]]</f>
        <v>-0.93128371994951331</v>
      </c>
      <c r="V416" s="75">
        <v>120</v>
      </c>
      <c r="W416" s="75">
        <f>Table1[[#This Row],[Total Panjang Pipa Aktual
(Sum-&gt;)3]]</f>
        <v>0</v>
      </c>
      <c r="X416" s="99"/>
      <c r="Y416" s="62" t="s">
        <v>3296</v>
      </c>
      <c r="Z416" s="62">
        <v>137246829</v>
      </c>
      <c r="AA416" s="479">
        <f>ROUND((Table1[[#This Row],[Nilai RAB Jaringan
(Exclude Ppn)]]-Table1[[#This Row],[RAB Perizinan]])*1.11+Table1[[#This Row],[RAB Perizinan]],0)</f>
        <v>137246828</v>
      </c>
      <c r="AB416" s="453">
        <f>SUM(Table1[[#This Row],[RAB Kegiatan Umum]:[RAB Perizinan]])</f>
        <v>123764710</v>
      </c>
      <c r="AC416" s="507">
        <v>8779844</v>
      </c>
      <c r="AD416" s="507">
        <v>87798434</v>
      </c>
      <c r="AE416" s="507">
        <v>25986432</v>
      </c>
      <c r="AF416" s="507">
        <v>1200000</v>
      </c>
      <c r="AG416" s="504"/>
      <c r="AH416" s="480">
        <f>SUM(Table1[[#This Row],[Bobot Keg Umum]:[Bobot Perizinan]])</f>
        <v>0.99999999999999989</v>
      </c>
      <c r="AI416" s="480">
        <f>Table1[[#This Row],[RAB Kegiatan Umum]]/Table1[[#This Row],[Nilai RAB Jaringan
(Exclude Ppn)]]</f>
        <v>7.0939801822344994E-2</v>
      </c>
      <c r="AJ416" s="480">
        <f>Table1[[#This Row],[RAB Pemasangan]]/Table1[[#This Row],[Nilai RAB Jaringan
(Exclude Ppn)]]</f>
        <v>0.70939796974436409</v>
      </c>
      <c r="AK416" s="111">
        <f>Table1[[#This Row],[RAB Pengadaan]]/Table1[[#This Row],[Nilai RAB Jaringan
(Exclude Ppn)]]</f>
        <v>0.20996641126537605</v>
      </c>
      <c r="AL416" s="112">
        <f>Table1[[#This Row],[RAB Perizinan]]/Table1[[#This Row],[Nilai RAB Jaringan
(Exclude Ppn)]]</f>
        <v>9.6958171679148285E-3</v>
      </c>
      <c r="AM416" s="42"/>
      <c r="AN416" s="256"/>
      <c r="AO416" s="256">
        <f>SUM(Table1[[#This Row],[Pipa 63 mm]:[Pipa 1,800 mm]])</f>
        <v>120</v>
      </c>
      <c r="AP416" s="256">
        <v>120</v>
      </c>
      <c r="AQ416" s="256"/>
      <c r="AR416" s="256"/>
      <c r="AS416" s="256"/>
      <c r="AT416" s="256"/>
      <c r="AU416" s="256"/>
      <c r="AV416" s="256"/>
      <c r="AW416" s="256"/>
      <c r="AX416" s="256"/>
      <c r="AY416" s="256"/>
      <c r="AZ416" s="256"/>
      <c r="BA416" s="256"/>
      <c r="BB416" s="256"/>
      <c r="BC416" s="256"/>
      <c r="BD416" s="256"/>
      <c r="BE416" s="256"/>
      <c r="BF416" s="256"/>
      <c r="BG416" s="256"/>
      <c r="BH416" s="256"/>
      <c r="BI416" s="256"/>
      <c r="BJ416" s="36">
        <f>SUM(Table1[[#This Row],[Pipa 63 mm2]:[Pipa 1,800 mm21]])</f>
        <v>0</v>
      </c>
      <c r="BK416" s="32"/>
      <c r="BL416" s="32"/>
      <c r="BM416" s="32"/>
      <c r="BN416" s="32"/>
      <c r="BO416" s="32"/>
      <c r="BP416" s="32"/>
      <c r="BQ416" s="32"/>
      <c r="BR416" s="32"/>
      <c r="BS416" s="32"/>
      <c r="BT416" s="32"/>
      <c r="BU416" s="32"/>
      <c r="BV416" s="32"/>
      <c r="BW416" s="32"/>
      <c r="BX416" s="32"/>
      <c r="BY416" s="32"/>
      <c r="BZ416" s="32"/>
      <c r="CA416" s="32"/>
      <c r="CB416" s="32"/>
      <c r="CC416" s="32"/>
      <c r="CD416" s="32"/>
      <c r="CE416" s="32"/>
      <c r="CF416" s="32"/>
      <c r="CG416" s="32"/>
      <c r="CH416" s="32"/>
      <c r="CI416" s="32"/>
      <c r="CJ416" s="32">
        <f>IF((Table1[[#This Row],["Volume
BA MC-0"]]-Table1[[#This Row],[Total Panjang Pipa Aktual
(Sum-&gt;)3]]-Table1[[#This Row],[Total Volume
tidak dapat dipasang]])&gt;=0,Table1[[#This Row],["Volume
BA MC-0"]]-Table1[[#This Row],[Total Panjang Pipa Aktual
(Sum-&gt;)3]]-Table1[[#This Row],[Total Volume
tidak dapat dipasang]],0)</f>
        <v>0</v>
      </c>
      <c r="CK416" s="42"/>
      <c r="CL416" s="113"/>
      <c r="CM416" s="307"/>
      <c r="CN416" s="113"/>
      <c r="CO416" s="113"/>
      <c r="CP41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6.8716280050486689E-2</v>
      </c>
      <c r="CQ416" s="406">
        <f>IFERROR(Table1[[#This Row],[Progres Keg. Umum
(%)]]*Table1[[#This Row],[Nilai RAB Jaringan
(file pa aji)]],0)</f>
        <v>0</v>
      </c>
      <c r="CR416" s="406">
        <f>IFERROR(Table1[[#This Row],[Progres MOS
(%)]]*Table1[[#This Row],[Nilai RAB Jaringan
(file pa aji)]],0)</f>
        <v>0</v>
      </c>
      <c r="CS416" s="406">
        <f>IFERROR(Table1[[#This Row],[Progres Pemasangan
(%)]]*Table1[[#This Row],[Nilai RAB Jaringan
(file pa aji)]],0)</f>
        <v>0</v>
      </c>
      <c r="CT416" s="406">
        <f>IFERROR(Table1[[#This Row],[Progres Perizinan
(%)]]*Table1[[#This Row],[Nilai RAB Jaringan
(file pa aji)]],0)</f>
        <v>0</v>
      </c>
      <c r="CU416" s="789">
        <v>0</v>
      </c>
      <c r="CV416" s="299">
        <v>0</v>
      </c>
      <c r="CW416" s="481">
        <v>0</v>
      </c>
      <c r="CX416" s="789">
        <f>_xlfn.XLOOKUP(Table1[[#This Row],[Kode Program]],'[1]Breakdown VOWD Greenfield'!$E:$E,'[1]Breakdown VOWD Greenfield'!$AT:$AT)</f>
        <v>0</v>
      </c>
      <c r="CY416" s="42"/>
      <c r="CZ416" s="301">
        <v>45992</v>
      </c>
      <c r="DA416" s="301">
        <v>46019</v>
      </c>
      <c r="DB416" s="301">
        <v>45992</v>
      </c>
      <c r="DC416" s="286" t="s">
        <v>3297</v>
      </c>
      <c r="DD416" s="478">
        <v>137246828.09999999</v>
      </c>
      <c r="DE41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6" s="301">
        <v>46001</v>
      </c>
      <c r="DG416" s="286" t="s">
        <v>3298</v>
      </c>
      <c r="DH416" s="478">
        <v>136046828.09999999</v>
      </c>
      <c r="DI41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6" s="301">
        <v>46020</v>
      </c>
      <c r="DK416" s="301">
        <v>46082</v>
      </c>
      <c r="DL416" s="301">
        <v>46043</v>
      </c>
      <c r="DM416" s="286" t="s">
        <v>3299</v>
      </c>
      <c r="DN41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6" s="301">
        <v>46087</v>
      </c>
      <c r="DP416" s="304"/>
      <c r="DQ416" s="431" t="s">
        <v>762</v>
      </c>
      <c r="DR41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6" s="301">
        <v>46020</v>
      </c>
      <c r="DT416" s="301">
        <v>46164</v>
      </c>
      <c r="DU416" s="301">
        <v>46061</v>
      </c>
      <c r="DV416" s="301">
        <v>46178</v>
      </c>
      <c r="DW416" s="301">
        <v>46043</v>
      </c>
      <c r="DX416" t="s">
        <v>3300</v>
      </c>
      <c r="DY416" s="304">
        <v>11</v>
      </c>
      <c r="DZ416" s="304">
        <v>11</v>
      </c>
      <c r="EA41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6" s="301">
        <v>46129</v>
      </c>
      <c r="EC416" s="302">
        <v>11</v>
      </c>
      <c r="ED416" s="302">
        <v>11</v>
      </c>
      <c r="EE416" t="s">
        <v>3301</v>
      </c>
      <c r="EF416" s="307">
        <v>1</v>
      </c>
      <c r="EG416" s="307">
        <f>Table1[[#This Row],[Line PO]]/Table1[[#This Row],[Line PR]]</f>
        <v>1</v>
      </c>
      <c r="EH416" s="286" t="str">
        <f>IF(Table1[[#This Row],[PO Material Aktual 
(%)]]&gt;=100%,"Selesai PO = 100%",IF(Table1[[#This Row],[PO Material Aktual 
(%)]]&gt;=50%,"Proses PO &gt; 100%",IF(Table1[[#This Row],[PO Material Aktual 
(%)]]&gt;0%,"Proses PO &gt; 50%",IF(Table1[[#This Row],[PO Material Aktual 
(%)]]=0,"Belum PO = 0%"))))</f>
        <v>Selesai PO = 100%</v>
      </c>
      <c r="EI41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6" s="301">
        <v>46062</v>
      </c>
      <c r="EK416" s="301">
        <v>46178</v>
      </c>
      <c r="EL416" s="301">
        <v>46131</v>
      </c>
      <c r="EM416" s="301">
        <v>46183</v>
      </c>
      <c r="EN416" s="301"/>
      <c r="EO416" s="302">
        <v>6</v>
      </c>
      <c r="EP416" s="302">
        <v>6</v>
      </c>
      <c r="EQ416" s="307">
        <v>0.54545454545454541</v>
      </c>
      <c r="ER416" s="307">
        <f>Table1[[#This Row],[Line MOS (kolom bantu)]]/Table1[[#This Row],[Line PR]]</f>
        <v>0.54545454545454541</v>
      </c>
      <c r="ES416" s="286" t="str">
        <f>IF(Table1[[#This Row],[Progres MOS]]&gt;=100%,"Selesai MOS = 100%",IF(Table1[[#This Row],[Progres MOS]]&gt;=50%,"Proses MOS &gt; 100%",IF(Table1[[#This Row],[Progres MOS]]&gt;0%,"Proses MOS &gt; 50%",IF(Table1[[#This Row],[Progres MOS]]=0,"Belum MOS = 0%"))))</f>
        <v>Proses MOS &gt; 100%</v>
      </c>
      <c r="ET41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6" s="42"/>
      <c r="EV416" s="301">
        <v>46020</v>
      </c>
      <c r="EW416" s="301">
        <v>46156</v>
      </c>
      <c r="EX416" s="301">
        <v>46110</v>
      </c>
      <c r="EY416" s="301">
        <v>46186</v>
      </c>
      <c r="EZ416" s="322" t="s">
        <v>3302</v>
      </c>
      <c r="FA416" s="379" t="s">
        <v>3302</v>
      </c>
      <c r="FB416" s="301" t="e">
        <v>#N/A</v>
      </c>
      <c r="FC416" s="300" t="e">
        <v>#N/A</v>
      </c>
      <c r="FD416" s="301" t="e">
        <v>#N/A</v>
      </c>
      <c r="FE416" s="301" t="e">
        <v>#N/A</v>
      </c>
      <c r="FF416" s="301" t="e">
        <v>#N/A</v>
      </c>
      <c r="FG416" s="301" t="e">
        <v>#N/A</v>
      </c>
      <c r="FH416" s="301" t="e">
        <v>#N/A</v>
      </c>
      <c r="FI416" s="301" t="e">
        <v>#N/A</v>
      </c>
      <c r="FJ416" s="301" t="e">
        <v>#N/A</v>
      </c>
      <c r="FK416" s="301" t="e">
        <v>#N/A</v>
      </c>
      <c r="FL416" s="322" t="s">
        <v>2780</v>
      </c>
      <c r="FM416" s="322"/>
      <c r="FN416" s="308" t="str">
        <f>IF(Table1[[#This Row],[Tanggal Pengajuan Dokumen]]="","",Table1[[#This Row],[PLAN PERMIT
start]]-Table1[[#This Row],[Tanggal Pengajuan Dokumen]])</f>
        <v/>
      </c>
      <c r="FO416" s="322"/>
      <c r="FP416" s="286"/>
      <c r="FQ416" s="308"/>
      <c r="FR416" s="301"/>
      <c r="FS416" s="308"/>
      <c r="FT41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6" s="314">
        <f ca="1">IF(Table1[[#This Row],[Status Izin]]="Selesai",Table1[[#This Row],[PLAN PERMIT
finish]]-Table1[[#This Row],[Tanggal Terbit/ Target Izin Terbit]],ROUNDUP(Table1[[#This Row],[PLAN PERMIT
finish]]-NOW(),0))</f>
        <v>-94</v>
      </c>
      <c r="FV41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6" s="314"/>
      <c r="FX416" s="42"/>
      <c r="FY416" s="483">
        <v>46069</v>
      </c>
      <c r="FZ416" s="483">
        <v>46050</v>
      </c>
      <c r="GA41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6" s="301">
        <v>46083</v>
      </c>
      <c r="GC416" s="322">
        <v>46112</v>
      </c>
      <c r="GD41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6" s="301">
        <v>46090</v>
      </c>
      <c r="GF416" s="322">
        <v>46112</v>
      </c>
      <c r="GG41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6" s="301">
        <v>46097</v>
      </c>
      <c r="GI416" s="301">
        <v>46103</v>
      </c>
      <c r="GJ416" s="322">
        <v>46125</v>
      </c>
      <c r="GK41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6" s="301">
        <v>46111</v>
      </c>
      <c r="GM416" s="301">
        <v>46193</v>
      </c>
      <c r="GN416" s="301">
        <v>46138</v>
      </c>
      <c r="GO416" s="300">
        <v>46241</v>
      </c>
      <c r="GP416" s="286"/>
      <c r="GQ41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6" s="301"/>
      <c r="GS416" s="301"/>
      <c r="GT416" s="324"/>
      <c r="GU416" s="314" t="str">
        <f>IF(Table1[[#This Row],[Hydro Tes Actual
(tanggal)]]&lt;&gt;"","Sudah","Belum")</f>
        <v>Belum</v>
      </c>
      <c r="GV416" s="300"/>
      <c r="GW416" s="300"/>
      <c r="GX416" s="301"/>
      <c r="GY416" s="314" t="str">
        <f>IF(Table1[[#This Row],[Interkoneksi Actual
(tanggal)]]&lt;&gt;"","Sudah","Belum")</f>
        <v>Belum</v>
      </c>
      <c r="GZ416" s="300"/>
      <c r="HA416" s="300"/>
      <c r="HB416" s="301"/>
      <c r="HC416" s="314" t="str">
        <f>IF(Table1[[#This Row],[Flushing Actual
(tanggal)]]&lt;&gt;"","Sudah","Belum")</f>
        <v>Belum</v>
      </c>
      <c r="HD416" s="301">
        <v>46141</v>
      </c>
      <c r="HE416" s="301">
        <v>46242</v>
      </c>
      <c r="HF416" s="301">
        <v>46146</v>
      </c>
      <c r="HG416" s="322"/>
      <c r="HH41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6" s="300"/>
      <c r="HJ416" s="300"/>
      <c r="HK416" s="301"/>
      <c r="HL416" s="301"/>
      <c r="HM416" s="301">
        <v>46163</v>
      </c>
      <c r="HN416" s="301">
        <v>46163</v>
      </c>
      <c r="HO416" s="300">
        <v>46259</v>
      </c>
      <c r="HP416" s="300"/>
      <c r="HQ416" s="301"/>
      <c r="HR41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6" s="301">
        <v>46171</v>
      </c>
      <c r="HT416" s="301"/>
      <c r="HU416" s="301">
        <v>46171</v>
      </c>
      <c r="HV416" s="390"/>
      <c r="HW416" s="365"/>
      <c r="HX41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6" s="42"/>
      <c r="HZ416" s="322"/>
      <c r="IA416" s="306"/>
      <c r="IB416" s="67"/>
      <c r="IC416" s="585">
        <f>IFERROR(ROUND((Table1[[#This Row],[PLAN TC
finish]]-Table1[[#This Row],[PLAN MC-0
start]])/30,2),"")</f>
        <v>1.63</v>
      </c>
      <c r="ID416">
        <f>DATEDIF(Table1[[#This Row],[PLAN MC-0
start]],Table1[[#This Row],[PLAN TC
finish]],"m")</f>
        <v>1</v>
      </c>
      <c r="IE416" s="6"/>
      <c r="IF416" s="6"/>
      <c r="IG416" s="67"/>
      <c r="II416" s="6"/>
      <c r="IJ416" s="4"/>
      <c r="IK416" s="4"/>
      <c r="IL416" s="6"/>
      <c r="IM416" s="6"/>
      <c r="IN416" s="6"/>
      <c r="IO416" s="6"/>
      <c r="IP416" s="6"/>
      <c r="IR416" s="6"/>
      <c r="IS416" s="6"/>
      <c r="IT416" s="6"/>
      <c r="IU416" s="6"/>
      <c r="IX416" s="6"/>
      <c r="IY416" s="6"/>
      <c r="JA416" s="6"/>
      <c r="JB416" s="6"/>
    </row>
    <row r="417" spans="2:262" s="547" customFormat="1" ht="15" customHeight="1" x14ac:dyDescent="0.25">
      <c r="B417" s="281">
        <f>SUBTOTAL(3,$D$5:D417)</f>
        <v>413</v>
      </c>
      <c r="C417" s="286">
        <v>413</v>
      </c>
      <c r="D417" s="333" t="s">
        <v>673</v>
      </c>
      <c r="E417" s="336" t="s">
        <v>3303</v>
      </c>
      <c r="F417" s="336" t="s">
        <v>3304</v>
      </c>
      <c r="G417" s="334">
        <v>46300</v>
      </c>
      <c r="H417" s="336" t="s">
        <v>681</v>
      </c>
      <c r="I417" s="308" t="s">
        <v>278</v>
      </c>
      <c r="J417" s="591" t="str">
        <f>Table1[[#This Row],[Status Aktual]]</f>
        <v>BATAL / CANCEL</v>
      </c>
      <c r="K417" s="308"/>
      <c r="L417" s="286"/>
      <c r="M417" s="509" t="s">
        <v>269</v>
      </c>
      <c r="N417" s="510">
        <v>1037</v>
      </c>
      <c r="O417" s="339" t="s">
        <v>252</v>
      </c>
      <c r="P41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7" s="340" t="s">
        <v>389</v>
      </c>
      <c r="R417" s="35">
        <v>0.99721091398439921</v>
      </c>
      <c r="S417" s="297">
        <f>_xlfn.XLOOKUP(Table1[[#This Row],[Nama Program]],'[2]Summary Plan'!$E:$E,'[2]Summary Plan'!$M:$M)</f>
        <v>1.0000000000000002</v>
      </c>
      <c r="T417" s="511">
        <f>Table1[[#This Row],[Progres Total Aktual
(%)]]</f>
        <v>6.8084571395590321E-2</v>
      </c>
      <c r="U417" s="512">
        <f>Table1[[#This Row],[Progres Aktual
(%)]]-Table1[[#This Row],[Target Progres
(%)]]</f>
        <v>-0.9319154286044099</v>
      </c>
      <c r="V417" s="461">
        <f>Table1[[#This Row],["Volume
BA MC-0"]]</f>
        <v>0</v>
      </c>
      <c r="W417" s="461">
        <f>Table1[[#This Row],[Total Panjang Pipa Aktual
(Sum-&gt;)3]]</f>
        <v>0</v>
      </c>
      <c r="X417" s="339"/>
      <c r="Y417" s="345" t="s">
        <v>3305</v>
      </c>
      <c r="Z417" s="345">
        <v>3319683131</v>
      </c>
      <c r="AA417" s="513">
        <f>ROUND((Table1[[#This Row],[Nilai RAB Jaringan
(Exclude Ppn)]]-Table1[[#This Row],[RAB Perizinan]])*1.11+Table1[[#This Row],[RAB Perizinan]],0)</f>
        <v>3319683130</v>
      </c>
      <c r="AB417" s="464">
        <f>SUM(Table1[[#This Row],[RAB Kegiatan Umum]:[RAB Perizinan]])</f>
        <v>2992426874</v>
      </c>
      <c r="AC417" s="514">
        <v>166826699</v>
      </c>
      <c r="AD417" s="409">
        <f xml:space="preserve"> 1351692943+316574047</f>
        <v>1668266990</v>
      </c>
      <c r="AE417" s="514">
        <v>1139963185</v>
      </c>
      <c r="AF417" s="514">
        <v>17370000</v>
      </c>
      <c r="AG417" s="515"/>
      <c r="AH417" s="516">
        <f>SUM(Table1[[#This Row],[Bobot Keg Umum]:[Bobot Perizinan]])</f>
        <v>1</v>
      </c>
      <c r="AI417" s="516">
        <f>Table1[[#This Row],[RAB Kegiatan Umum]]/Table1[[#This Row],[Nilai RAB Jaringan
(Exclude Ppn)]]</f>
        <v>5.5749632664206586E-2</v>
      </c>
      <c r="AJ417" s="516">
        <f>Table1[[#This Row],[RAB Pemasangan]]/Table1[[#This Row],[Nilai RAB Jaringan
(Exclude Ppn)]]</f>
        <v>0.55749632664206583</v>
      </c>
      <c r="AK417" s="517">
        <f>Table1[[#This Row],[RAB Pengadaan]]/Table1[[#This Row],[Nilai RAB Jaringan
(Exclude Ppn)]]</f>
        <v>0.3809493875705649</v>
      </c>
      <c r="AL417" s="518">
        <f>Table1[[#This Row],[RAB Perizinan]]/Table1[[#This Row],[Nilai RAB Jaringan
(Exclude Ppn)]]</f>
        <v>5.8046531231626683E-3</v>
      </c>
      <c r="AM417" s="544"/>
      <c r="AN417" s="346"/>
      <c r="AO417" s="346">
        <f>SUM(Table1[[#This Row],[Pipa 63 mm]:[Pipa 1,800 mm]])</f>
        <v>0</v>
      </c>
      <c r="AP417" s="346"/>
      <c r="AQ417" s="346"/>
      <c r="AR417" s="346"/>
      <c r="AS417" s="346"/>
      <c r="AT417" s="346"/>
      <c r="AU417" s="346"/>
      <c r="AV417" s="346"/>
      <c r="AW417" s="346"/>
      <c r="AX417" s="346"/>
      <c r="AY417" s="346"/>
      <c r="AZ417" s="346"/>
      <c r="BA417" s="346"/>
      <c r="BB417" s="346"/>
      <c r="BC417" s="346"/>
      <c r="BD417" s="346"/>
      <c r="BE417" s="346"/>
      <c r="BF417" s="346"/>
      <c r="BG417" s="346"/>
      <c r="BH417" s="346"/>
      <c r="BI417" s="346"/>
      <c r="BJ417" s="347">
        <f>SUM(Table1[[#This Row],[Pipa 63 mm2]:[Pipa 1,800 mm21]])</f>
        <v>0</v>
      </c>
      <c r="BK417" s="348"/>
      <c r="BL417" s="348"/>
      <c r="BM417" s="348"/>
      <c r="BN417" s="348"/>
      <c r="BO417" s="348"/>
      <c r="BP417" s="348"/>
      <c r="BQ417" s="348"/>
      <c r="BR417" s="348"/>
      <c r="BS417" s="348"/>
      <c r="BT417" s="348"/>
      <c r="BU417" s="348"/>
      <c r="BV417" s="348"/>
      <c r="BW417" s="348"/>
      <c r="BX417" s="348"/>
      <c r="BY417" s="348"/>
      <c r="BZ417" s="348"/>
      <c r="CA417" s="348"/>
      <c r="CB417" s="348"/>
      <c r="CC417" s="348"/>
      <c r="CD417" s="348"/>
      <c r="CE417" s="348"/>
      <c r="CF417" s="348"/>
      <c r="CG417" s="348"/>
      <c r="CH417" s="348"/>
      <c r="CI417" s="348"/>
      <c r="CJ417" s="348">
        <f>IF((Table1[[#This Row],["Volume
BA MC-0"]]-Table1[[#This Row],[Total Panjang Pipa Aktual
(Sum-&gt;)3]]-Table1[[#This Row],[Total Volume
tidak dapat dipasang]])&gt;=0,Table1[[#This Row],["Volume
BA MC-0"]]-Table1[[#This Row],[Total Panjang Pipa Aktual
(Sum-&gt;)3]]-Table1[[#This Row],[Total Volume
tidak dapat dipasang]],0)</f>
        <v>0</v>
      </c>
      <c r="CK417" s="544"/>
      <c r="CL417" s="349"/>
      <c r="CM417" s="353"/>
      <c r="CN417" s="349"/>
      <c r="CO417" s="349"/>
      <c r="CP417" s="411">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6.8084571395590321E-2</v>
      </c>
      <c r="CQ417" s="409">
        <f>IFERROR(Table1[[#This Row],[Progres Keg. Umum
(%)]]*Table1[[#This Row],[Nilai RAB Jaringan
(file pa aji)]],0)</f>
        <v>0</v>
      </c>
      <c r="CR417" s="409">
        <f>IFERROR(Table1[[#This Row],[Progres MOS
(%)]]*Table1[[#This Row],[Nilai RAB Jaringan
(file pa aji)]],0)</f>
        <v>0</v>
      </c>
      <c r="CS417" s="409">
        <f>IFERROR(Table1[[#This Row],[Progres Pemasangan
(%)]]*Table1[[#This Row],[Nilai RAB Jaringan
(file pa aji)]],0)</f>
        <v>0</v>
      </c>
      <c r="CT417" s="409">
        <f>IFERROR(Table1[[#This Row],[Progres Perizinan
(%)]]*Table1[[#This Row],[Nilai RAB Jaringan
(file pa aji)]],0)</f>
        <v>0</v>
      </c>
      <c r="CU417" s="789">
        <v>0</v>
      </c>
      <c r="CV417" s="299">
        <v>0</v>
      </c>
      <c r="CW417" s="519">
        <v>0</v>
      </c>
      <c r="CX417" s="789">
        <f>_xlfn.XLOOKUP(Table1[[#This Row],[Kode Program]],'[1]Breakdown VOWD Greenfield'!$E:$E,'[1]Breakdown VOWD Greenfield'!$AT:$AT)</f>
        <v>0</v>
      </c>
      <c r="CY417" s="544"/>
      <c r="CZ417" s="358">
        <v>45992</v>
      </c>
      <c r="DA417" s="358">
        <v>46019</v>
      </c>
      <c r="DB417" s="358">
        <v>45992</v>
      </c>
      <c r="DC417" s="337" t="s">
        <v>3306</v>
      </c>
      <c r="DD417" s="520">
        <v>3319683130.1399999</v>
      </c>
      <c r="DE41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7" s="358">
        <v>46013</v>
      </c>
      <c r="DG417" s="337" t="s">
        <v>3307</v>
      </c>
      <c r="DH417" s="521">
        <v>3319683130.1399999</v>
      </c>
      <c r="DI417" s="337"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7" s="358">
        <v>46020</v>
      </c>
      <c r="DK417" s="358">
        <v>46082</v>
      </c>
      <c r="DL417" s="358">
        <v>46043</v>
      </c>
      <c r="DM417" s="337" t="s">
        <v>3308</v>
      </c>
      <c r="DN417" s="352"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7" s="358">
        <v>46087</v>
      </c>
      <c r="DP417" s="352"/>
      <c r="DQ417" s="522" t="s">
        <v>762</v>
      </c>
      <c r="DR417" s="352"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17" s="358">
        <v>46020</v>
      </c>
      <c r="DT417" s="358">
        <v>0</v>
      </c>
      <c r="DU417" s="358">
        <v>46061</v>
      </c>
      <c r="DV417" s="358">
        <v>0</v>
      </c>
      <c r="DW417" s="358">
        <v>46043.76761574074</v>
      </c>
      <c r="DX417" s="337" t="s">
        <v>3308</v>
      </c>
      <c r="DY417" s="352">
        <v>47</v>
      </c>
      <c r="DZ417" s="304">
        <v>47</v>
      </c>
      <c r="EA417" s="352"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7" s="358"/>
      <c r="EC417" s="412">
        <v>45</v>
      </c>
      <c r="ED417" s="412">
        <v>45</v>
      </c>
      <c r="EE417" s="523"/>
      <c r="EF417" s="353">
        <v>0.95744680851063835</v>
      </c>
      <c r="EG417" s="307">
        <f>Table1[[#This Row],[Line PO]]/Table1[[#This Row],[Line PR]]</f>
        <v>0.95744680851063835</v>
      </c>
      <c r="EH417" s="337" t="str">
        <f>IF(Table1[[#This Row],[PO Material Aktual 
(%)]]&gt;=100%,"Selesai PO = 100%",IF(Table1[[#This Row],[PO Material Aktual 
(%)]]&gt;=50%,"Proses PO &gt; 100%",IF(Table1[[#This Row],[PO Material Aktual 
(%)]]&gt;0%,"Proses PO &gt; 50%",IF(Table1[[#This Row],[PO Material Aktual 
(%)]]=0,"Belum PO = 0%"))))</f>
        <v>Proses PO &gt; 100%</v>
      </c>
      <c r="EI417" s="337"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7" s="358">
        <v>46062</v>
      </c>
      <c r="EK417" s="358">
        <v>0</v>
      </c>
      <c r="EL417" s="358">
        <v>46152</v>
      </c>
      <c r="EM417" s="358">
        <v>0</v>
      </c>
      <c r="EN417" s="358"/>
      <c r="EO417" s="412">
        <v>14</v>
      </c>
      <c r="EP417" s="412">
        <v>14</v>
      </c>
      <c r="EQ417" s="353">
        <v>0.2978723404255319</v>
      </c>
      <c r="ER417" s="353">
        <f>Table1[[#This Row],[Line MOS (kolom bantu)]]/Table1[[#This Row],[Line PR]]</f>
        <v>0.2978723404255319</v>
      </c>
      <c r="ES417" s="337" t="str">
        <f>IF(Table1[[#This Row],[Progres MOS]]&gt;=100%,"Selesai MOS = 100%",IF(Table1[[#This Row],[Progres MOS]]&gt;=50%,"Proses MOS &gt; 100%",IF(Table1[[#This Row],[Progres MOS]]&gt;0%,"Proses MOS &gt; 50%",IF(Table1[[#This Row],[Progres MOS]]=0,"Belum MOS = 0%"))))</f>
        <v>Proses MOS &gt; 50%</v>
      </c>
      <c r="ET41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7" s="544"/>
      <c r="EV417" s="301">
        <v>46020</v>
      </c>
      <c r="EW417" s="301">
        <v>0</v>
      </c>
      <c r="EX417" s="301">
        <v>46110</v>
      </c>
      <c r="EY417" s="301">
        <v>0</v>
      </c>
      <c r="EZ417" s="322" t="s">
        <v>2769</v>
      </c>
      <c r="FA417" s="379" t="s">
        <v>2769</v>
      </c>
      <c r="FB417" s="301" t="e">
        <v>#N/A</v>
      </c>
      <c r="FC417" s="300" t="e">
        <v>#N/A</v>
      </c>
      <c r="FD417" s="301" t="e">
        <v>#N/A</v>
      </c>
      <c r="FE417" s="301" t="e">
        <v>#N/A</v>
      </c>
      <c r="FF417" s="301" t="e">
        <v>#N/A</v>
      </c>
      <c r="FG417" s="301" t="e">
        <v>#N/A</v>
      </c>
      <c r="FH417" s="301" t="e">
        <v>#N/A</v>
      </c>
      <c r="FI417" s="301" t="e">
        <v>#N/A</v>
      </c>
      <c r="FJ417" s="301" t="e">
        <v>#N/A</v>
      </c>
      <c r="FK417" s="301" t="e">
        <v>#N/A</v>
      </c>
      <c r="FL417" s="322" t="s">
        <v>2780</v>
      </c>
      <c r="FM417" s="322"/>
      <c r="FN417" s="308" t="str">
        <f>IF(Table1[[#This Row],[Tanggal Pengajuan Dokumen]]="","",Table1[[#This Row],[PLAN PERMIT
start]]-Table1[[#This Row],[Tanggal Pengajuan Dokumen]])</f>
        <v/>
      </c>
      <c r="FO417" s="322"/>
      <c r="FP417" s="286"/>
      <c r="FQ417" s="308"/>
      <c r="FR417" s="301"/>
      <c r="FS417" s="308"/>
      <c r="FT41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7" s="314">
        <f ca="1">IF(Table1[[#This Row],[Status Izin]]="Selesai",Table1[[#This Row],[PLAN PERMIT
finish]]-Table1[[#This Row],[Tanggal Terbit/ Target Izin Terbit]],ROUNDUP(Table1[[#This Row],[PLAN PERMIT
finish]]-NOW(),0))</f>
        <v>-94</v>
      </c>
      <c r="FV41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7" s="314"/>
      <c r="FX417" s="544"/>
      <c r="FY417" s="524">
        <v>46069</v>
      </c>
      <c r="FZ417" s="524">
        <v>46050</v>
      </c>
      <c r="GA417" s="337"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7" s="358">
        <v>46083</v>
      </c>
      <c r="GC417" s="354">
        <v>46112</v>
      </c>
      <c r="GD417" s="337"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17" s="358">
        <v>46090</v>
      </c>
      <c r="GF417" s="354">
        <v>46112</v>
      </c>
      <c r="GG417" s="337"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17" s="358">
        <v>46097</v>
      </c>
      <c r="GI417" s="358">
        <v>46103</v>
      </c>
      <c r="GJ417" s="354">
        <v>46125</v>
      </c>
      <c r="GK417" s="337"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7" s="358">
        <v>46111</v>
      </c>
      <c r="GM417" s="358">
        <v>0</v>
      </c>
      <c r="GN417" s="358">
        <v>46166</v>
      </c>
      <c r="GO417" s="356">
        <v>0</v>
      </c>
      <c r="GP417" s="337"/>
      <c r="GQ417" s="337"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7" s="358"/>
      <c r="GS417" s="358"/>
      <c r="GT417" s="360"/>
      <c r="GU417" s="357" t="str">
        <f>IF(Table1[[#This Row],[Hydro Tes Actual
(tanggal)]]&lt;&gt;"","Sudah","Belum")</f>
        <v>Belum</v>
      </c>
      <c r="GV417" s="356"/>
      <c r="GW417" s="356"/>
      <c r="GX417" s="358"/>
      <c r="GY417" s="357" t="str">
        <f>IF(Table1[[#This Row],[Interkoneksi Actual
(tanggal)]]&lt;&gt;"","Sudah","Belum")</f>
        <v>Belum</v>
      </c>
      <c r="GZ417" s="356"/>
      <c r="HA417" s="356"/>
      <c r="HB417" s="358"/>
      <c r="HC417" s="357" t="str">
        <f>IF(Table1[[#This Row],[Flushing Actual
(tanggal)]]&lt;&gt;"","Sudah","Belum")</f>
        <v>Belum</v>
      </c>
      <c r="HD417" s="358">
        <v>46169</v>
      </c>
      <c r="HE417" s="358">
        <v>0</v>
      </c>
      <c r="HF417" s="358">
        <v>46174</v>
      </c>
      <c r="HG417" s="354"/>
      <c r="HH417" s="337"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7" s="356"/>
      <c r="HJ417" s="356"/>
      <c r="HK417" s="358"/>
      <c r="HL417" s="358"/>
      <c r="HM417" s="358">
        <v>46191</v>
      </c>
      <c r="HN417" s="358">
        <v>46191</v>
      </c>
      <c r="HO417" s="356">
        <v>0</v>
      </c>
      <c r="HP417" s="356"/>
      <c r="HQ417" s="358"/>
      <c r="HR417" s="362"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7" s="358">
        <v>46199</v>
      </c>
      <c r="HT417" s="358"/>
      <c r="HU417" s="358">
        <v>46199</v>
      </c>
      <c r="HV417" s="423"/>
      <c r="HW417" s="524"/>
      <c r="HX417" s="337"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7" s="544"/>
      <c r="HZ417" s="322"/>
      <c r="IA417" s="306"/>
      <c r="IB417" s="545"/>
      <c r="IC417" s="585">
        <f>IFERROR(ROUND((Table1[[#This Row],[PLAN TC
finish]]-Table1[[#This Row],[PLAN MC-0
start]])/30,2),"")</f>
        <v>2.57</v>
      </c>
      <c r="ID417">
        <f>DATEDIF(Table1[[#This Row],[PLAN MC-0
start]],Table1[[#This Row],[PLAN TC
finish]],"m")</f>
        <v>2</v>
      </c>
      <c r="IG417" s="545"/>
      <c r="IH417" s="546"/>
      <c r="IJ417" s="72"/>
      <c r="IK417" s="72"/>
    </row>
    <row r="418" spans="2:262" ht="15" customHeight="1" x14ac:dyDescent="0.25">
      <c r="B418" s="281">
        <f>SUBTOTAL(3,$D$5:D418)</f>
        <v>414</v>
      </c>
      <c r="C418" s="286">
        <v>414</v>
      </c>
      <c r="D418" s="285" t="s">
        <v>673</v>
      </c>
      <c r="E418" s="308" t="s">
        <v>3309</v>
      </c>
      <c r="F418" s="308" t="s">
        <v>3310</v>
      </c>
      <c r="G418" s="319">
        <v>46300</v>
      </c>
      <c r="H418" s="308" t="s">
        <v>681</v>
      </c>
      <c r="I418" s="308" t="s">
        <v>278</v>
      </c>
      <c r="J418" s="450"/>
      <c r="K418" s="308"/>
      <c r="L418" s="286"/>
      <c r="M418" s="449" t="s">
        <v>269</v>
      </c>
      <c r="N418" s="477">
        <v>571</v>
      </c>
      <c r="O418" s="31" t="s">
        <v>252</v>
      </c>
      <c r="P41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1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8" s="35">
        <v>1</v>
      </c>
      <c r="S418" s="297">
        <f>_xlfn.XLOOKUP(Table1[[#This Row],[Nama Program]],'[2]Summary Plan'!$E:$E,'[2]Summary Plan'!$M:$M)</f>
        <v>1</v>
      </c>
      <c r="T418" s="128">
        <f>Table1[[#This Row],[Progres Total Aktual
(%)]]</f>
        <v>0.21436222597373622</v>
      </c>
      <c r="U418" s="103">
        <f>Table1[[#This Row],[Progres Aktual
(%)]]-Table1[[#This Row],[Target Progres
(%)]]</f>
        <v>-0.78563777402626378</v>
      </c>
      <c r="V418" s="75">
        <v>692</v>
      </c>
      <c r="W418" s="75">
        <f>Table1[[#This Row],[Total Panjang Pipa Aktual
(Sum-&gt;)3]]</f>
        <v>682</v>
      </c>
      <c r="X418" s="99"/>
      <c r="Y418" s="62" t="s">
        <v>3311</v>
      </c>
      <c r="Z418" s="62">
        <v>680809147</v>
      </c>
      <c r="AA418" s="479">
        <f>ROUND((Table1[[#This Row],[Nilai RAB Jaringan
(Exclude Ppn)]]-Table1[[#This Row],[RAB Perizinan]])*1.11+Table1[[#This Row],[RAB Perizinan]],0)</f>
        <v>680809146</v>
      </c>
      <c r="AB418" s="453">
        <f>SUM(Table1[[#This Row],[RAB Kegiatan Umum]:[RAB Perizinan]])</f>
        <v>613907429</v>
      </c>
      <c r="AC418" s="507">
        <v>42477312</v>
      </c>
      <c r="AD418" s="507">
        <v>424773115</v>
      </c>
      <c r="AE418" s="507">
        <v>140947002</v>
      </c>
      <c r="AF418" s="507">
        <v>5710000</v>
      </c>
      <c r="AG418" s="504"/>
      <c r="AH418" s="480">
        <f>SUM(Table1[[#This Row],[Bobot Keg Umum]:[Bobot Perizinan]])</f>
        <v>1</v>
      </c>
      <c r="AI418" s="480">
        <f>Table1[[#This Row],[RAB Kegiatan Umum]]/Table1[[#This Row],[Nilai RAB Jaringan
(Exclude Ppn)]]</f>
        <v>6.9191721737578121E-2</v>
      </c>
      <c r="AJ418" s="480">
        <f>Table1[[#This Row],[RAB Pemasangan]]/Table1[[#This Row],[Nilai RAB Jaringan
(Exclude Ppn)]]</f>
        <v>0.6919172092312309</v>
      </c>
      <c r="AK418" s="111">
        <f>Table1[[#This Row],[RAB Pengadaan]]/Table1[[#This Row],[Nilai RAB Jaringan
(Exclude Ppn)]]</f>
        <v>0.22958999246774062</v>
      </c>
      <c r="AL418" s="112">
        <f>Table1[[#This Row],[RAB Perizinan]]/Table1[[#This Row],[Nilai RAB Jaringan
(Exclude Ppn)]]</f>
        <v>9.3010765634504149E-3</v>
      </c>
      <c r="AM418" s="42"/>
      <c r="AN418" s="256"/>
      <c r="AO418" s="256">
        <f>SUM(Table1[[#This Row],[Pipa 63 mm]:[Pipa 1,800 mm]])</f>
        <v>692</v>
      </c>
      <c r="AP418" s="256">
        <v>570</v>
      </c>
      <c r="AQ418" s="256">
        <v>112</v>
      </c>
      <c r="AR418" s="256">
        <v>10</v>
      </c>
      <c r="AS418" s="256"/>
      <c r="AT418" s="256"/>
      <c r="AU418" s="256"/>
      <c r="AV418" s="256"/>
      <c r="AW418" s="256"/>
      <c r="AX418" s="256"/>
      <c r="AY418" s="256"/>
      <c r="AZ418" s="256"/>
      <c r="BA418" s="256"/>
      <c r="BB418" s="256"/>
      <c r="BC418" s="256"/>
      <c r="BD418" s="256"/>
      <c r="BE418" s="256"/>
      <c r="BF418" s="256"/>
      <c r="BG418" s="256"/>
      <c r="BH418" s="256"/>
      <c r="BI418" s="256"/>
      <c r="BJ418" s="36">
        <f>SUM(Table1[[#This Row],[Pipa 63 mm2]:[Pipa 1,800 mm21]])</f>
        <v>682</v>
      </c>
      <c r="BK418" s="32">
        <v>570</v>
      </c>
      <c r="BL418" s="32">
        <v>112</v>
      </c>
      <c r="BM418" s="32"/>
      <c r="BN418" s="32"/>
      <c r="BO418" s="32"/>
      <c r="BP418" s="32"/>
      <c r="BQ418" s="32"/>
      <c r="BR418" s="32"/>
      <c r="BS418" s="32"/>
      <c r="BT418" s="32"/>
      <c r="BU418" s="32"/>
      <c r="BV418" s="32"/>
      <c r="BW418" s="32"/>
      <c r="BX418" s="32"/>
      <c r="BY418" s="32"/>
      <c r="BZ418" s="32"/>
      <c r="CA418" s="32"/>
      <c r="CB418" s="32"/>
      <c r="CC418" s="32"/>
      <c r="CD418" s="32"/>
      <c r="CE418" s="32"/>
      <c r="CF418" s="32"/>
      <c r="CG418" s="32"/>
      <c r="CH418" s="32"/>
      <c r="CI418" s="32"/>
      <c r="CJ418" s="32">
        <f>IF((Table1[[#This Row],["Volume
BA MC-0"]]-Table1[[#This Row],[Total Panjang Pipa Aktual
(Sum-&gt;)3]]-Table1[[#This Row],[Total Volume
tidak dapat dipasang]])&gt;=0,Table1[[#This Row],["Volume
BA MC-0"]]-Table1[[#This Row],[Total Panjang Pipa Aktual
(Sum-&gt;)3]]-Table1[[#This Row],[Total Volume
tidak dapat dipasang]],0)</f>
        <v>0</v>
      </c>
      <c r="CK418" s="42"/>
      <c r="CL418" s="113"/>
      <c r="CM418" s="307"/>
      <c r="CN418" s="113"/>
      <c r="CO418" s="113"/>
      <c r="CP41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0.21436222597373622</v>
      </c>
      <c r="CQ418" s="406">
        <f>IFERROR(Table1[[#This Row],[Progres Keg. Umum
(%)]]*Table1[[#This Row],[Nilai RAB Jaringan
(file pa aji)]],0)</f>
        <v>0</v>
      </c>
      <c r="CR418" s="406">
        <f>IFERROR(Table1[[#This Row],[Progres MOS
(%)]]*Table1[[#This Row],[Nilai RAB Jaringan
(file pa aji)]],0)</f>
        <v>0</v>
      </c>
      <c r="CS418" s="406">
        <f>IFERROR(Table1[[#This Row],[Progres Pemasangan
(%)]]*Table1[[#This Row],[Nilai RAB Jaringan
(file pa aji)]],0)</f>
        <v>0</v>
      </c>
      <c r="CT418" s="406">
        <f>IFERROR(Table1[[#This Row],[Progres Perizinan
(%)]]*Table1[[#This Row],[Nilai RAB Jaringan
(file pa aji)]],0)</f>
        <v>0</v>
      </c>
      <c r="CU418" s="789">
        <v>145939763.99983838</v>
      </c>
      <c r="CV418" s="299">
        <v>145939763.99983838</v>
      </c>
      <c r="CW418" s="481">
        <v>0</v>
      </c>
      <c r="CX418" s="789">
        <f>_xlfn.XLOOKUP(Table1[[#This Row],[Kode Program]],'[1]Breakdown VOWD Greenfield'!$E:$E,'[1]Breakdown VOWD Greenfield'!$AT:$AT)</f>
        <v>0</v>
      </c>
      <c r="CY418" s="42"/>
      <c r="CZ418" s="301">
        <v>45992</v>
      </c>
      <c r="DA418" s="301">
        <v>46019</v>
      </c>
      <c r="DB418" s="301">
        <v>45979</v>
      </c>
      <c r="DC418" s="286" t="s">
        <v>3312</v>
      </c>
      <c r="DD418" s="478">
        <v>680809145</v>
      </c>
      <c r="DE41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8" s="301">
        <v>45996</v>
      </c>
      <c r="DG418" s="286" t="s">
        <v>3313</v>
      </c>
      <c r="DH418" s="478">
        <v>680809145</v>
      </c>
      <c r="DI41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18" s="301">
        <v>46020</v>
      </c>
      <c r="DK418" s="301">
        <v>46082</v>
      </c>
      <c r="DL418" s="301">
        <v>46000</v>
      </c>
      <c r="DM418" s="286" t="s">
        <v>3314</v>
      </c>
      <c r="DN41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8" s="301">
        <v>46002</v>
      </c>
      <c r="DP418" s="286" t="s">
        <v>3315</v>
      </c>
      <c r="DQ418" s="308" t="s">
        <v>365</v>
      </c>
      <c r="DR41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8" s="301">
        <v>46020</v>
      </c>
      <c r="DT418" s="301">
        <v>46164</v>
      </c>
      <c r="DU418" s="301">
        <v>46061</v>
      </c>
      <c r="DV418" s="301">
        <v>46178</v>
      </c>
      <c r="DW418" s="301">
        <v>46000</v>
      </c>
      <c r="DX418" t="s">
        <v>3316</v>
      </c>
      <c r="DY418" s="304">
        <v>29</v>
      </c>
      <c r="DZ418" s="304">
        <v>29</v>
      </c>
      <c r="EA41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8" s="301"/>
      <c r="EC418" s="302">
        <v>28</v>
      </c>
      <c r="ED418" s="302">
        <v>28</v>
      </c>
      <c r="EE418"/>
      <c r="EF418" s="307">
        <v>0.96551724137931039</v>
      </c>
      <c r="EG418" s="307">
        <f>Table1[[#This Row],[Line PO]]/Table1[[#This Row],[Line PR]]</f>
        <v>0.96551724137931039</v>
      </c>
      <c r="EH418" s="286" t="str">
        <f>IF(Table1[[#This Row],[PO Material Aktual 
(%)]]&gt;=100%,"Selesai PO = 100%",IF(Table1[[#This Row],[PO Material Aktual 
(%)]]&gt;=50%,"Proses PO &gt; 100%",IF(Table1[[#This Row],[PO Material Aktual 
(%)]]&gt;0%,"Proses PO &gt; 50%",IF(Table1[[#This Row],[PO Material Aktual 
(%)]]=0,"Belum PO = 0%"))))</f>
        <v>Proses PO &gt; 100%</v>
      </c>
      <c r="EI41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18" s="301">
        <v>46062</v>
      </c>
      <c r="EK418" s="301">
        <v>46178</v>
      </c>
      <c r="EL418" s="301">
        <v>46131</v>
      </c>
      <c r="EM418" s="301">
        <v>46183</v>
      </c>
      <c r="EN418" s="301"/>
      <c r="EO418" s="302">
        <v>28</v>
      </c>
      <c r="EP418" s="302">
        <v>28</v>
      </c>
      <c r="EQ418" s="307">
        <v>0.96551724137931039</v>
      </c>
      <c r="ER418" s="307">
        <f>Table1[[#This Row],[Line MOS (kolom bantu)]]/Table1[[#This Row],[Line PR]]</f>
        <v>0.96551724137931039</v>
      </c>
      <c r="ES418" s="286" t="str">
        <f>IF(Table1[[#This Row],[Progres MOS]]&gt;=100%,"Selesai MOS = 100%",IF(Table1[[#This Row],[Progres MOS]]&gt;=50%,"Proses MOS &gt; 100%",IF(Table1[[#This Row],[Progres MOS]]&gt;0%,"Proses MOS &gt; 50%",IF(Table1[[#This Row],[Progres MOS]]=0,"Belum MOS = 0%"))))</f>
        <v>Proses MOS &gt; 100%</v>
      </c>
      <c r="ET41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8" s="42"/>
      <c r="EV418" s="301">
        <v>46020</v>
      </c>
      <c r="EW418" s="301">
        <v>46156</v>
      </c>
      <c r="EX418" s="301">
        <v>46110</v>
      </c>
      <c r="EY418" s="301">
        <v>46186</v>
      </c>
      <c r="EZ418" s="322" t="s">
        <v>2779</v>
      </c>
      <c r="FA418" s="379" t="s">
        <v>2779</v>
      </c>
      <c r="FB418" s="301" t="e">
        <v>#N/A</v>
      </c>
      <c r="FC418" s="300" t="e">
        <v>#N/A</v>
      </c>
      <c r="FD418" s="301" t="e">
        <v>#N/A</v>
      </c>
      <c r="FE418" s="301" t="e">
        <v>#N/A</v>
      </c>
      <c r="FF418" s="301" t="e">
        <v>#N/A</v>
      </c>
      <c r="FG418" s="301" t="e">
        <v>#N/A</v>
      </c>
      <c r="FH418" s="301" t="e">
        <v>#N/A</v>
      </c>
      <c r="FI418" s="301" t="e">
        <v>#N/A</v>
      </c>
      <c r="FJ418" s="301" t="e">
        <v>#N/A</v>
      </c>
      <c r="FK418" s="301" t="e">
        <v>#N/A</v>
      </c>
      <c r="FL418" s="322" t="s">
        <v>2780</v>
      </c>
      <c r="FM418" s="322"/>
      <c r="FN418" s="308" t="str">
        <f>IF(Table1[[#This Row],[Tanggal Pengajuan Dokumen]]="","",Table1[[#This Row],[PLAN PERMIT
start]]-Table1[[#This Row],[Tanggal Pengajuan Dokumen]])</f>
        <v/>
      </c>
      <c r="FO418" s="322"/>
      <c r="FP418" s="286"/>
      <c r="FQ418" s="308"/>
      <c r="FR418" s="301"/>
      <c r="FS418" s="308"/>
      <c r="FT41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8" s="314">
        <f ca="1">IF(Table1[[#This Row],[Status Izin]]="Selesai",Table1[[#This Row],[PLAN PERMIT
finish]]-Table1[[#This Row],[Tanggal Terbit/ Target Izin Terbit]],ROUNDUP(Table1[[#This Row],[PLAN PERMIT
finish]]-NOW(),0))</f>
        <v>-94</v>
      </c>
      <c r="FV41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8" s="314"/>
      <c r="FX418" s="42"/>
      <c r="FY418" s="483">
        <v>46069</v>
      </c>
      <c r="FZ418" s="483">
        <v>46050</v>
      </c>
      <c r="GA41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8" s="301">
        <v>46083</v>
      </c>
      <c r="GC418" s="322">
        <v>46008</v>
      </c>
      <c r="GD41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8" s="301">
        <v>46090</v>
      </c>
      <c r="GF418" s="322">
        <v>46008</v>
      </c>
      <c r="GG41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8" s="301">
        <v>46097</v>
      </c>
      <c r="GI418" s="301">
        <v>46103</v>
      </c>
      <c r="GJ418" s="322">
        <v>46120</v>
      </c>
      <c r="GK41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18" s="301">
        <v>46111</v>
      </c>
      <c r="GM418" s="301">
        <v>46193</v>
      </c>
      <c r="GN418" s="301">
        <v>46138</v>
      </c>
      <c r="GO418" s="300">
        <v>46241</v>
      </c>
      <c r="GP418" s="286"/>
      <c r="GQ41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8" s="301"/>
      <c r="GS418" s="301"/>
      <c r="GT418" s="324"/>
      <c r="GU418" s="314" t="str">
        <f>IF(Table1[[#This Row],[Hydro Tes Actual
(tanggal)]]&lt;&gt;"","Sudah","Belum")</f>
        <v>Belum</v>
      </c>
      <c r="GV418" s="300"/>
      <c r="GW418" s="300"/>
      <c r="GX418" s="301"/>
      <c r="GY418" s="314" t="str">
        <f>IF(Table1[[#This Row],[Interkoneksi Actual
(tanggal)]]&lt;&gt;"","Sudah","Belum")</f>
        <v>Belum</v>
      </c>
      <c r="GZ418" s="300"/>
      <c r="HA418" s="300"/>
      <c r="HB418" s="301"/>
      <c r="HC418" s="314" t="str">
        <f>IF(Table1[[#This Row],[Flushing Actual
(tanggal)]]&lt;&gt;"","Sudah","Belum")</f>
        <v>Belum</v>
      </c>
      <c r="HD418" s="301">
        <v>46141</v>
      </c>
      <c r="HE418" s="301">
        <v>46242</v>
      </c>
      <c r="HF418" s="301">
        <v>46146</v>
      </c>
      <c r="HG418" s="322"/>
      <c r="HH41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18" s="300"/>
      <c r="HJ418" s="300"/>
      <c r="HK418" s="301"/>
      <c r="HL418" s="301"/>
      <c r="HM418" s="301">
        <v>46163</v>
      </c>
      <c r="HN418" s="301">
        <v>46163</v>
      </c>
      <c r="HO418" s="300">
        <v>46259</v>
      </c>
      <c r="HP418" s="300"/>
      <c r="HQ418" s="301"/>
      <c r="HR41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18" s="301">
        <v>46171</v>
      </c>
      <c r="HT418" s="301"/>
      <c r="HU418" s="301">
        <v>46171</v>
      </c>
      <c r="HV418" s="390"/>
      <c r="HW418" s="365"/>
      <c r="HX41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18" s="42"/>
      <c r="HZ418" s="322"/>
      <c r="IA418" s="306"/>
      <c r="IB418" s="67"/>
      <c r="IC418" s="585">
        <f>IFERROR(ROUND((Table1[[#This Row],[PLAN TC
finish]]-Table1[[#This Row],[PLAN MC-0
start]])/30,2),"")</f>
        <v>1.63</v>
      </c>
      <c r="ID418">
        <f>DATEDIF(Table1[[#This Row],[PLAN MC-0
start]],Table1[[#This Row],[PLAN TC
finish]],"m")</f>
        <v>1</v>
      </c>
      <c r="IE418" s="6"/>
      <c r="IF418" s="6"/>
      <c r="IG418" s="67"/>
      <c r="II418" s="6"/>
      <c r="IJ418" s="4"/>
      <c r="IK418" s="4"/>
      <c r="IL418" s="6"/>
      <c r="IM418" s="6"/>
      <c r="IN418" s="6"/>
      <c r="IO418" s="6"/>
      <c r="IP418" s="6"/>
      <c r="IR418" s="6"/>
      <c r="IS418" s="6"/>
      <c r="IT418" s="6"/>
      <c r="IU418" s="6"/>
      <c r="IX418" s="6"/>
      <c r="IY418" s="6"/>
      <c r="JA418" s="6"/>
      <c r="JB418" s="6"/>
    </row>
    <row r="419" spans="2:262" ht="15" customHeight="1" x14ac:dyDescent="0.25">
      <c r="B419" s="281">
        <f>SUBTOTAL(3,$D$5:D419)</f>
        <v>415</v>
      </c>
      <c r="C419" s="286">
        <v>415</v>
      </c>
      <c r="D419" s="285" t="s">
        <v>673</v>
      </c>
      <c r="E419" s="308" t="s">
        <v>3317</v>
      </c>
      <c r="F419" s="308" t="s">
        <v>3318</v>
      </c>
      <c r="G419" s="319">
        <v>46300</v>
      </c>
      <c r="H419" s="308" t="s">
        <v>681</v>
      </c>
      <c r="I419" s="308" t="s">
        <v>278</v>
      </c>
      <c r="J419" s="450"/>
      <c r="K419" s="308"/>
      <c r="L419" s="286"/>
      <c r="M419" s="325" t="s">
        <v>251</v>
      </c>
      <c r="N419" s="477">
        <v>1865</v>
      </c>
      <c r="O419" s="31" t="s">
        <v>252</v>
      </c>
      <c r="P41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1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19" s="35">
        <v>1</v>
      </c>
      <c r="S419" s="297">
        <f>_xlfn.XLOOKUP(Table1[[#This Row],[Nama Program]],'[2]Summary Plan'!$E:$E,'[2]Summary Plan'!$M:$M)</f>
        <v>1</v>
      </c>
      <c r="T419" s="128">
        <f>Table1[[#This Row],[Progres Total Aktual
(%)]]</f>
        <v>0.75588844533492761</v>
      </c>
      <c r="U419" s="103">
        <f>Table1[[#This Row],[Progres Aktual
(%)]]-Table1[[#This Row],[Target Progres
(%)]]</f>
        <v>-0.24411155466507239</v>
      </c>
      <c r="V419" s="75">
        <v>1882</v>
      </c>
      <c r="W419" s="75">
        <f>Table1[[#This Row],[Total Panjang Pipa Aktual
(Sum-&gt;)3]]</f>
        <v>1578</v>
      </c>
      <c r="X419" s="99"/>
      <c r="Y419" s="62" t="s">
        <v>3319</v>
      </c>
      <c r="Z419" s="62">
        <v>2324343476</v>
      </c>
      <c r="AA419" s="479">
        <f>ROUND((Table1[[#This Row],[Nilai RAB Jaringan
(Exclude Ppn)]]-Table1[[#This Row],[RAB Perizinan]])*1.11+Table1[[#This Row],[RAB Perizinan]],0)</f>
        <v>2324343476</v>
      </c>
      <c r="AB419" s="453">
        <f>SUM(Table1[[#This Row],[RAB Kegiatan Umum]:[RAB Perizinan]])</f>
        <v>2096545023</v>
      </c>
      <c r="AC419" s="507">
        <v>163163036</v>
      </c>
      <c r="AD419" s="507">
        <v>1631630356</v>
      </c>
      <c r="AE419" s="507">
        <v>276101631</v>
      </c>
      <c r="AF419" s="507">
        <v>25650000</v>
      </c>
      <c r="AG419" s="504"/>
      <c r="AH419" s="480">
        <f>SUM(Table1[[#This Row],[Bobot Keg Umum]:[Bobot Perizinan]])</f>
        <v>1</v>
      </c>
      <c r="AI419" s="480">
        <f>Table1[[#This Row],[RAB Kegiatan Umum]]/Table1[[#This Row],[Nilai RAB Jaringan
(Exclude Ppn)]]</f>
        <v>7.7824723156446132E-2</v>
      </c>
      <c r="AJ419" s="480">
        <f>Table1[[#This Row],[RAB Pemasangan]]/Table1[[#This Row],[Nilai RAB Jaringan
(Exclude Ppn)]]</f>
        <v>0.77824722965656057</v>
      </c>
      <c r="AK419" s="111">
        <f>Table1[[#This Row],[RAB Pengadaan]]/Table1[[#This Row],[Nilai RAB Jaringan
(Exclude Ppn)]]</f>
        <v>0.13169363308254603</v>
      </c>
      <c r="AL419" s="112">
        <f>Table1[[#This Row],[RAB Perizinan]]/Table1[[#This Row],[Nilai RAB Jaringan
(Exclude Ppn)]]</f>
        <v>1.2234414104447306E-2</v>
      </c>
      <c r="AM419" s="42"/>
      <c r="AN419" s="256"/>
      <c r="AO419" s="256">
        <f>SUM(Table1[[#This Row],[Pipa 63 mm]:[Pipa 1,800 mm]])</f>
        <v>1885</v>
      </c>
      <c r="AP419" s="256">
        <v>1229</v>
      </c>
      <c r="AQ419" s="256">
        <v>223</v>
      </c>
      <c r="AR419" s="256">
        <v>433</v>
      </c>
      <c r="AS419" s="256"/>
      <c r="AT419" s="256"/>
      <c r="AU419" s="256"/>
      <c r="AV419" s="256"/>
      <c r="AW419" s="256"/>
      <c r="AX419" s="256"/>
      <c r="AY419" s="256"/>
      <c r="AZ419" s="256"/>
      <c r="BA419" s="256"/>
      <c r="BB419" s="256"/>
      <c r="BC419" s="256"/>
      <c r="BD419" s="256"/>
      <c r="BE419" s="256"/>
      <c r="BF419" s="256"/>
      <c r="BG419" s="256"/>
      <c r="BH419" s="256"/>
      <c r="BI419" s="256"/>
      <c r="BJ419" s="36">
        <f>SUM(Table1[[#This Row],[Pipa 63 mm2]:[Pipa 1,800 mm21]])</f>
        <v>1578</v>
      </c>
      <c r="BK419" s="32">
        <v>1350</v>
      </c>
      <c r="BL419" s="32">
        <v>228</v>
      </c>
      <c r="BM419" s="32"/>
      <c r="BN419" s="32"/>
      <c r="BO419" s="32"/>
      <c r="BP419" s="32"/>
      <c r="BQ419" s="32"/>
      <c r="BR419" s="32"/>
      <c r="BS419" s="32"/>
      <c r="BT419" s="32"/>
      <c r="BU419" s="32"/>
      <c r="BV419" s="32"/>
      <c r="BW419" s="32"/>
      <c r="BX419" s="32"/>
      <c r="BY419" s="32"/>
      <c r="BZ419" s="32"/>
      <c r="CA419" s="32"/>
      <c r="CB419" s="32"/>
      <c r="CC419" s="32"/>
      <c r="CD419" s="32"/>
      <c r="CE419" s="32"/>
      <c r="CF419" s="32"/>
      <c r="CG419" s="32"/>
      <c r="CH419" s="32"/>
      <c r="CI419" s="32"/>
      <c r="CJ419" s="32">
        <f>IF((Table1[[#This Row],["Volume
BA MC-0"]]-Table1[[#This Row],[Total Panjang Pipa Aktual
(Sum-&gt;)3]]-Table1[[#This Row],[Total Volume
tidak dapat dipasang]])&gt;=0,Table1[[#This Row],["Volume
BA MC-0"]]-Table1[[#This Row],[Total Panjang Pipa Aktual
(Sum-&gt;)3]]-Table1[[#This Row],[Total Volume
tidak dapat dipasang]],0)</f>
        <v>0</v>
      </c>
      <c r="CK419" s="42"/>
      <c r="CL419" s="113"/>
      <c r="CM419" s="307"/>
      <c r="CN419" s="113"/>
      <c r="CO419" s="113"/>
      <c r="CP419"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0.75588844533492761</v>
      </c>
      <c r="CQ419" s="406">
        <f>IFERROR(Table1[[#This Row],[Progres Keg. Umum
(%)]]*Table1[[#This Row],[Nilai RAB Jaringan
(file pa aji)]],0)</f>
        <v>0</v>
      </c>
      <c r="CR419" s="406">
        <f>IFERROR(Table1[[#This Row],[Progres MOS
(%)]]*Table1[[#This Row],[Nilai RAB Jaringan
(file pa aji)]],0)</f>
        <v>0</v>
      </c>
      <c r="CS419" s="406">
        <f>IFERROR(Table1[[#This Row],[Progres Pemasangan
(%)]]*Table1[[#This Row],[Nilai RAB Jaringan
(file pa aji)]],0)</f>
        <v>0</v>
      </c>
      <c r="CT419" s="406">
        <f>IFERROR(Table1[[#This Row],[Progres Perizinan
(%)]]*Table1[[#This Row],[Nilai RAB Jaringan
(file pa aji)]],0)</f>
        <v>0</v>
      </c>
      <c r="CU419" s="789">
        <v>1756944376.4980216</v>
      </c>
      <c r="CV419" s="299">
        <v>1756944376.4980216</v>
      </c>
      <c r="CW419" s="481">
        <v>0</v>
      </c>
      <c r="CX419" s="789">
        <f>_xlfn.XLOOKUP(Table1[[#This Row],[Kode Program]],'[1]Breakdown VOWD Greenfield'!$E:$E,'[1]Breakdown VOWD Greenfield'!$AT:$AT)</f>
        <v>0</v>
      </c>
      <c r="CY419" s="42"/>
      <c r="CZ419" s="301">
        <v>46020</v>
      </c>
      <c r="DA419" s="301">
        <v>46047</v>
      </c>
      <c r="DB419" s="301">
        <v>46001</v>
      </c>
      <c r="DC419" s="286" t="s">
        <v>3320</v>
      </c>
      <c r="DD419" s="478">
        <v>2298693475.5299997</v>
      </c>
      <c r="DE41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19" s="301">
        <v>46049</v>
      </c>
      <c r="DG419" s="286" t="s">
        <v>3321</v>
      </c>
      <c r="DH419" s="478">
        <v>2298693475.5299997</v>
      </c>
      <c r="DI41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19" s="301">
        <v>46048</v>
      </c>
      <c r="DK419" s="301">
        <v>46110</v>
      </c>
      <c r="DL419" s="301">
        <v>46058</v>
      </c>
      <c r="DM419" s="286" t="s">
        <v>3322</v>
      </c>
      <c r="DN41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19" s="301">
        <v>46086</v>
      </c>
      <c r="DP419" s="286"/>
      <c r="DQ419" s="308" t="s">
        <v>365</v>
      </c>
      <c r="DR41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19" s="301">
        <v>46048</v>
      </c>
      <c r="DT419" s="301">
        <v>46162</v>
      </c>
      <c r="DU419" s="301">
        <v>46089</v>
      </c>
      <c r="DV419" s="301">
        <v>46176</v>
      </c>
      <c r="DW419" s="301">
        <v>46057</v>
      </c>
      <c r="DX419" t="s">
        <v>3323</v>
      </c>
      <c r="DY419" s="482">
        <v>56</v>
      </c>
      <c r="DZ419" s="482">
        <v>56</v>
      </c>
      <c r="EA41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19" s="301">
        <v>46162</v>
      </c>
      <c r="EC419" s="482">
        <v>56</v>
      </c>
      <c r="ED419" s="482">
        <v>56</v>
      </c>
      <c r="EE419" t="s">
        <v>3324</v>
      </c>
      <c r="EF419" s="307">
        <v>1</v>
      </c>
      <c r="EG419" s="307">
        <f>Table1[[#This Row],[Line PO]]/Table1[[#This Row],[Line PR]]</f>
        <v>1</v>
      </c>
      <c r="EH419" s="286" t="str">
        <f>IF(Table1[[#This Row],[PO Material Aktual 
(%)]]&gt;=100%,"Selesai PO = 100%",IF(Table1[[#This Row],[PO Material Aktual 
(%)]]&gt;=50%,"Proses PO &gt; 100%",IF(Table1[[#This Row],[PO Material Aktual 
(%)]]&gt;0%,"Proses PO &gt; 50%",IF(Table1[[#This Row],[PO Material Aktual 
(%)]]=0,"Belum PO = 0%"))))</f>
        <v>Selesai PO = 100%</v>
      </c>
      <c r="EI41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19" s="301">
        <v>46090</v>
      </c>
      <c r="EK419" s="301">
        <v>46176</v>
      </c>
      <c r="EL419" s="301">
        <v>46173</v>
      </c>
      <c r="EM419" s="301">
        <v>46190</v>
      </c>
      <c r="EN419" s="301"/>
      <c r="EO419" s="482">
        <v>36</v>
      </c>
      <c r="EP419" s="482">
        <v>36</v>
      </c>
      <c r="EQ419" s="307">
        <v>0.6428571428571429</v>
      </c>
      <c r="ER419" s="307">
        <f>Table1[[#This Row],[Line MOS]]/Table1[[#This Row],[Line PR]]</f>
        <v>0.6428571428571429</v>
      </c>
      <c r="ES419" s="286" t="str">
        <f>IF(Table1[[#This Row],[Progres MOS]]&gt;=100%,"Selesai MOS = 100%",IF(Table1[[#This Row],[Progres MOS]]&gt;=50%,"Proses MOS &gt; 100%",IF(Table1[[#This Row],[Progres MOS]]&gt;0%,"Proses MOS &gt; 50%",IF(Table1[[#This Row],[Progres MOS]]=0,"Belum MOS = 0%"))))</f>
        <v>Proses MOS &gt; 100%</v>
      </c>
      <c r="ET41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19" s="42"/>
      <c r="EV419" s="301">
        <v>46048</v>
      </c>
      <c r="EW419" s="301">
        <v>46156</v>
      </c>
      <c r="EX419" s="301">
        <v>46138</v>
      </c>
      <c r="EY419" s="301">
        <v>46186</v>
      </c>
      <c r="EZ419" s="322" t="s">
        <v>3302</v>
      </c>
      <c r="FA419" s="379" t="s">
        <v>3302</v>
      </c>
      <c r="FB419" s="301" t="e">
        <v>#N/A</v>
      </c>
      <c r="FC419" s="300" t="e">
        <v>#N/A</v>
      </c>
      <c r="FD419" s="301" t="e">
        <v>#N/A</v>
      </c>
      <c r="FE419" s="301" t="e">
        <v>#N/A</v>
      </c>
      <c r="FF419" s="301" t="e">
        <v>#N/A</v>
      </c>
      <c r="FG419" s="301" t="e">
        <v>#N/A</v>
      </c>
      <c r="FH419" s="301" t="e">
        <v>#N/A</v>
      </c>
      <c r="FI419" s="301" t="e">
        <v>#N/A</v>
      </c>
      <c r="FJ419" s="301" t="e">
        <v>#N/A</v>
      </c>
      <c r="FK419" s="301" t="e">
        <v>#N/A</v>
      </c>
      <c r="FL419" s="322" t="s">
        <v>2780</v>
      </c>
      <c r="FM419" s="322"/>
      <c r="FN419" s="308" t="str">
        <f>IF(Table1[[#This Row],[Tanggal Pengajuan Dokumen]]="","",Table1[[#This Row],[PLAN PERMIT
start]]-Table1[[#This Row],[Tanggal Pengajuan Dokumen]])</f>
        <v/>
      </c>
      <c r="FO419" s="322"/>
      <c r="FP419" s="286"/>
      <c r="FQ419" s="308"/>
      <c r="FR419" s="301"/>
      <c r="FS419" s="308"/>
      <c r="FT41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19" s="314">
        <f ca="1">IF(Table1[[#This Row],[Status Izin]]="Selesai",Table1[[#This Row],[PLAN PERMIT
finish]]-Table1[[#This Row],[Tanggal Terbit/ Target Izin Terbit]],ROUNDUP(Table1[[#This Row],[PLAN PERMIT
finish]]-NOW(),0))</f>
        <v>-66</v>
      </c>
      <c r="FV41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19" s="314"/>
      <c r="FX419" s="42"/>
      <c r="FY419" s="483">
        <v>46097</v>
      </c>
      <c r="FZ419" s="483">
        <v>46066</v>
      </c>
      <c r="GA41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19" s="301">
        <v>46111</v>
      </c>
      <c r="GC419" s="322">
        <v>46087</v>
      </c>
      <c r="GD41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19" s="301">
        <v>46118</v>
      </c>
      <c r="GF419" s="322">
        <v>46090</v>
      </c>
      <c r="GG41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19" s="301">
        <v>46125</v>
      </c>
      <c r="GI419" s="301">
        <v>46131</v>
      </c>
      <c r="GJ419" s="322">
        <v>46091</v>
      </c>
      <c r="GK41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19" s="301">
        <v>46139</v>
      </c>
      <c r="GM419" s="301">
        <v>46193</v>
      </c>
      <c r="GN419" s="301">
        <v>46201</v>
      </c>
      <c r="GO419" s="300">
        <v>46269</v>
      </c>
      <c r="GP419" s="286"/>
      <c r="GQ41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19" s="301"/>
      <c r="GS419" s="301"/>
      <c r="GT419" s="324"/>
      <c r="GU419" s="314" t="str">
        <f>IF(Table1[[#This Row],[Hydro Tes Actual
(tanggal)]]&lt;&gt;"","Sudah","Belum")</f>
        <v>Belum</v>
      </c>
      <c r="GV419" s="300"/>
      <c r="GW419" s="300"/>
      <c r="GX419" s="301"/>
      <c r="GY419" s="314" t="str">
        <f>IF(Table1[[#This Row],[Interkoneksi Actual
(tanggal)]]&lt;&gt;"","Sudah","Belum")</f>
        <v>Belum</v>
      </c>
      <c r="GZ419" s="300"/>
      <c r="HA419" s="300"/>
      <c r="HB419" s="301"/>
      <c r="HC419" s="314" t="str">
        <f>IF(Table1[[#This Row],[Flushing Actual
(tanggal)]]&lt;&gt;"","Sudah","Belum")</f>
        <v>Belum</v>
      </c>
      <c r="HD419" s="301">
        <v>46204</v>
      </c>
      <c r="HE419" s="301">
        <v>46270</v>
      </c>
      <c r="HF419" s="301">
        <v>46209</v>
      </c>
      <c r="HG419" s="322"/>
      <c r="HH41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19" s="300"/>
      <c r="HJ419" s="300"/>
      <c r="HK419" s="301"/>
      <c r="HL419" s="301"/>
      <c r="HM419" s="301">
        <v>46226</v>
      </c>
      <c r="HN419" s="301">
        <v>46226</v>
      </c>
      <c r="HO419" s="300">
        <v>46287</v>
      </c>
      <c r="HP419" s="300"/>
      <c r="HQ419" s="301"/>
      <c r="HR41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19" s="301">
        <v>46234</v>
      </c>
      <c r="HT419" s="301"/>
      <c r="HU419" s="301">
        <v>46234</v>
      </c>
      <c r="HV419" s="390"/>
      <c r="HW419" s="365"/>
      <c r="HX41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19" s="42"/>
      <c r="HZ419" s="322"/>
      <c r="IA419" s="306"/>
      <c r="IB419" s="67"/>
      <c r="IC419" s="585">
        <f>IFERROR(ROUND((Table1[[#This Row],[PLAN TC
finish]]-Table1[[#This Row],[PLAN MC-0
start]])/30,2),"")</f>
        <v>2.8</v>
      </c>
      <c r="ID419">
        <f>DATEDIF(Table1[[#This Row],[PLAN MC-0
start]],Table1[[#This Row],[PLAN TC
finish]],"m")</f>
        <v>2</v>
      </c>
      <c r="IE419" s="6"/>
      <c r="IF419" s="6"/>
      <c r="IG419" s="67"/>
      <c r="II419" s="6"/>
      <c r="IJ419" s="4"/>
      <c r="IK419" s="4"/>
      <c r="IL419" s="6"/>
      <c r="IM419" s="6"/>
      <c r="IN419" s="6"/>
      <c r="IO419" s="6"/>
      <c r="IP419" s="6"/>
      <c r="IR419" s="6"/>
      <c r="IS419" s="6"/>
      <c r="IT419" s="6"/>
      <c r="IU419" s="6"/>
      <c r="IX419" s="6"/>
      <c r="IY419" s="6"/>
      <c r="JA419" s="6"/>
      <c r="JB419" s="6"/>
    </row>
    <row r="420" spans="2:262" ht="15" customHeight="1" x14ac:dyDescent="0.25">
      <c r="B420" s="281">
        <f>SUBTOTAL(3,$D$5:D420)</f>
        <v>416</v>
      </c>
      <c r="C420" s="286">
        <v>416</v>
      </c>
      <c r="D420" s="285" t="s">
        <v>673</v>
      </c>
      <c r="E420" s="308" t="s">
        <v>3325</v>
      </c>
      <c r="F420" s="308" t="s">
        <v>3326</v>
      </c>
      <c r="G420" s="319">
        <v>46300</v>
      </c>
      <c r="H420" s="308" t="s">
        <v>681</v>
      </c>
      <c r="I420" s="308" t="s">
        <v>278</v>
      </c>
      <c r="J420" s="450"/>
      <c r="K420" s="308"/>
      <c r="L420" s="286"/>
      <c r="M420" s="325" t="s">
        <v>251</v>
      </c>
      <c r="N420" s="477">
        <v>384</v>
      </c>
      <c r="O420" s="31" t="s">
        <v>252</v>
      </c>
      <c r="P42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0" s="35">
        <v>0.99351713828167221</v>
      </c>
      <c r="S420" s="297">
        <f>_xlfn.XLOOKUP(Table1[[#This Row],[Kode Program]],'[2]Summary Plan'!$C:$C,'[2]Summary Plan'!$M:$M)</f>
        <v>1.0000000000000002</v>
      </c>
      <c r="T420" s="128">
        <f>Table1[[#This Row],[Progres Total Aktual
(%)]]</f>
        <v>0.15762041852061595</v>
      </c>
      <c r="U420" s="103">
        <f>Table1[[#This Row],[Progres Aktual
(%)]]-Table1[[#This Row],[Target Progres
(%)]]</f>
        <v>-0.8423795814793843</v>
      </c>
      <c r="V420" s="75">
        <v>453</v>
      </c>
      <c r="W420" s="75">
        <f>Table1[[#This Row],[Total Panjang Pipa Aktual
(Sum-&gt;)3]]</f>
        <v>0</v>
      </c>
      <c r="X420" s="99"/>
      <c r="Y420" s="62" t="s">
        <v>3327</v>
      </c>
      <c r="Z420" s="62">
        <v>545631617</v>
      </c>
      <c r="AA420" s="479">
        <f>ROUND((Table1[[#This Row],[Nilai RAB Jaringan
(Exclude Ppn)]]-Table1[[#This Row],[RAB Perizinan]])*1.11+Table1[[#This Row],[RAB Perizinan]],0)</f>
        <v>545631616</v>
      </c>
      <c r="AB420" s="453">
        <f>SUM(Table1[[#This Row],[RAB Kegiatan Umum]:[RAB Perizinan]])</f>
        <v>491940555</v>
      </c>
      <c r="AC420" s="507">
        <v>31867156</v>
      </c>
      <c r="AD420" s="507">
        <v>318671556</v>
      </c>
      <c r="AE420" s="507">
        <v>137561843</v>
      </c>
      <c r="AF420" s="507">
        <v>3840000</v>
      </c>
      <c r="AG420" s="504"/>
      <c r="AH420" s="480">
        <f>SUM(Table1[[#This Row],[Bobot Keg Umum]:[Bobot Perizinan]])</f>
        <v>1</v>
      </c>
      <c r="AI420" s="480">
        <f>Table1[[#This Row],[RAB Kegiatan Umum]]/Table1[[#This Row],[Nilai RAB Jaringan
(Exclude Ppn)]]</f>
        <v>6.4778469016444476E-2</v>
      </c>
      <c r="AJ420" s="480">
        <f>Table1[[#This Row],[RAB Pemasangan]]/Table1[[#This Row],[Nilai RAB Jaringan
(Exclude Ppn)]]</f>
        <v>0.64778468203338102</v>
      </c>
      <c r="AK420" s="111">
        <f>Table1[[#This Row],[RAB Pengadaan]]/Table1[[#This Row],[Nilai RAB Jaringan
(Exclude Ppn)]]</f>
        <v>0.27963102777732973</v>
      </c>
      <c r="AL420" s="112">
        <f>Table1[[#This Row],[RAB Perizinan]]/Table1[[#This Row],[Nilai RAB Jaringan
(Exclude Ppn)]]</f>
        <v>7.805821172844756E-3</v>
      </c>
      <c r="AM420" s="42"/>
      <c r="AN420" s="256"/>
      <c r="AO420" s="256">
        <f>SUM(Table1[[#This Row],[Pipa 63 mm]:[Pipa 1,800 mm]])</f>
        <v>453</v>
      </c>
      <c r="AP420" s="256">
        <v>453</v>
      </c>
      <c r="AQ420" s="256"/>
      <c r="AR420" s="256"/>
      <c r="AS420" s="256"/>
      <c r="AT420" s="256"/>
      <c r="AU420" s="256"/>
      <c r="AV420" s="256"/>
      <c r="AW420" s="256"/>
      <c r="AX420" s="256"/>
      <c r="AY420" s="256"/>
      <c r="AZ420" s="256"/>
      <c r="BA420" s="256"/>
      <c r="BB420" s="256"/>
      <c r="BC420" s="256"/>
      <c r="BD420" s="256"/>
      <c r="BE420" s="256"/>
      <c r="BF420" s="256"/>
      <c r="BG420" s="256"/>
      <c r="BH420" s="256"/>
      <c r="BI420" s="256"/>
      <c r="BJ420" s="36">
        <f>SUM(Table1[[#This Row],[Pipa 63 mm2]:[Pipa 1,800 mm21]])</f>
        <v>0</v>
      </c>
      <c r="BK420" s="32"/>
      <c r="BL420" s="32"/>
      <c r="BM420" s="32"/>
      <c r="BN420" s="32"/>
      <c r="BO420" s="32"/>
      <c r="BP420" s="32"/>
      <c r="BQ420" s="32"/>
      <c r="BR420" s="32"/>
      <c r="BS420" s="32"/>
      <c r="BT420" s="32"/>
      <c r="BU420" s="32"/>
      <c r="BV420" s="32"/>
      <c r="BW420" s="32"/>
      <c r="BX420" s="32"/>
      <c r="BY420" s="32"/>
      <c r="BZ420" s="32"/>
      <c r="CA420" s="32"/>
      <c r="CB420" s="32"/>
      <c r="CC420" s="32"/>
      <c r="CD420" s="32"/>
      <c r="CE420" s="32"/>
      <c r="CF420" s="32"/>
      <c r="CG420" s="32"/>
      <c r="CH420" s="32"/>
      <c r="CI420" s="32"/>
      <c r="CJ420" s="32">
        <f>IF((Table1[[#This Row],["Volume
BA MC-0"]]-Table1[[#This Row],[Total Panjang Pipa Aktual
(Sum-&gt;)3]]-Table1[[#This Row],[Total Volume
tidak dapat dipasang]])&gt;=0,Table1[[#This Row],["Volume
BA MC-0"]]-Table1[[#This Row],[Total Panjang Pipa Aktual
(Sum-&gt;)3]]-Table1[[#This Row],[Total Volume
tidak dapat dipasang]],0)</f>
        <v>0</v>
      </c>
      <c r="CK420" s="42"/>
      <c r="CL420" s="113"/>
      <c r="CM420" s="307"/>
      <c r="CN420" s="113"/>
      <c r="CO420" s="113"/>
      <c r="CP420"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0.15762041852061595</v>
      </c>
      <c r="CQ420" s="406">
        <f>IFERROR(Table1[[#This Row],[Progres Keg. Umum
(%)]]*Table1[[#This Row],[Nilai RAB Jaringan
(file pa aji)]],0)</f>
        <v>0</v>
      </c>
      <c r="CR420" s="406">
        <f>IFERROR(Table1[[#This Row],[Progres MOS
(%)]]*Table1[[#This Row],[Nilai RAB Jaringan
(file pa aji)]],0)</f>
        <v>0</v>
      </c>
      <c r="CS420" s="406">
        <f>IFERROR(Table1[[#This Row],[Progres Pemasangan
(%)]]*Table1[[#This Row],[Nilai RAB Jaringan
(file pa aji)]],0)</f>
        <v>0</v>
      </c>
      <c r="CT420" s="406">
        <f>IFERROR(Table1[[#This Row],[Progres Perizinan
(%)]]*Table1[[#This Row],[Nilai RAB Jaringan
(file pa aji)]],0)</f>
        <v>0</v>
      </c>
      <c r="CU420" s="789">
        <v>86002683.672000006</v>
      </c>
      <c r="CV420" s="299">
        <v>86002683.672000006</v>
      </c>
      <c r="CW420" s="481">
        <v>0</v>
      </c>
      <c r="CX420" s="789">
        <f>_xlfn.XLOOKUP(Table1[[#This Row],[Kode Program]],'[1]Breakdown VOWD Greenfield'!$E:$E,'[1]Breakdown VOWD Greenfield'!$AT:$AT)</f>
        <v>0</v>
      </c>
      <c r="CY420" s="42"/>
      <c r="CZ420" s="301">
        <v>46020</v>
      </c>
      <c r="DA420" s="301">
        <v>46047</v>
      </c>
      <c r="DB420" s="301">
        <v>46001</v>
      </c>
      <c r="DC420" s="286" t="s">
        <v>3328</v>
      </c>
      <c r="DD420" s="478">
        <v>31146904007.049999</v>
      </c>
      <c r="DE42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0" s="301">
        <v>46013</v>
      </c>
      <c r="DG420" s="286" t="s">
        <v>3329</v>
      </c>
      <c r="DH420" s="478">
        <v>31146904007.049999</v>
      </c>
      <c r="DI42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0" s="301">
        <v>46048</v>
      </c>
      <c r="DK420" s="301">
        <v>46110</v>
      </c>
      <c r="DL420" s="301">
        <v>46056</v>
      </c>
      <c r="DM420" s="286" t="s">
        <v>3330</v>
      </c>
      <c r="DN42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0" s="301">
        <v>46083</v>
      </c>
      <c r="DP420" s="286"/>
      <c r="DQ420" s="308" t="s">
        <v>365</v>
      </c>
      <c r="DR42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0" s="301">
        <v>46048</v>
      </c>
      <c r="DT420" s="301">
        <v>46164</v>
      </c>
      <c r="DU420" s="301">
        <v>46089</v>
      </c>
      <c r="DV420" s="301">
        <v>46178</v>
      </c>
      <c r="DW420" s="301">
        <v>46057</v>
      </c>
      <c r="DX420" s="396" t="s">
        <v>3331</v>
      </c>
      <c r="DY420" s="482">
        <v>23</v>
      </c>
      <c r="DZ420" s="482">
        <v>23</v>
      </c>
      <c r="EA42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0" s="301">
        <v>46161</v>
      </c>
      <c r="EC420" s="304">
        <v>23</v>
      </c>
      <c r="ED420" s="304">
        <v>23</v>
      </c>
      <c r="EE420" t="s">
        <v>3332</v>
      </c>
      <c r="EF420" s="307">
        <v>1</v>
      </c>
      <c r="EG420" s="307">
        <f>Table1[[#This Row],[Line PO]]/Table1[[#This Row],[Line PR]]</f>
        <v>1</v>
      </c>
      <c r="EH420" s="286" t="str">
        <f>IF(Table1[[#This Row],[PO Material Aktual 
(%)]]&gt;=100%,"Selesai PO = 100%",IF(Table1[[#This Row],[PO Material Aktual 
(%)]]&gt;=50%,"Proses PO &gt; 100%",IF(Table1[[#This Row],[PO Material Aktual 
(%)]]&gt;0%,"Proses PO &gt; 50%",IF(Table1[[#This Row],[PO Material Aktual 
(%)]]=0,"Belum PO = 0%"))))</f>
        <v>Selesai PO = 100%</v>
      </c>
      <c r="EI42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0" s="301">
        <v>46090</v>
      </c>
      <c r="EK420" s="301">
        <v>46178</v>
      </c>
      <c r="EL420" s="301">
        <v>46159</v>
      </c>
      <c r="EM420" s="301">
        <v>46183</v>
      </c>
      <c r="EN420" s="301"/>
      <c r="EO420" s="482">
        <v>14</v>
      </c>
      <c r="EP420" s="482">
        <v>14</v>
      </c>
      <c r="EQ420" s="307">
        <v>0.60869565217391308</v>
      </c>
      <c r="ER420" s="307">
        <f>Table1[[#This Row],[Line MOS]]/Table1[[#This Row],[Line PR]]</f>
        <v>0.60869565217391308</v>
      </c>
      <c r="ES420" s="286" t="str">
        <f>IF(Table1[[#This Row],[Progres MOS]]&gt;=100%,"Selesai MOS = 100%",IF(Table1[[#This Row],[Progres MOS]]&gt;=50%,"Proses MOS &gt; 100%",IF(Table1[[#This Row],[Progres MOS]]&gt;0%,"Proses MOS &gt; 50%",IF(Table1[[#This Row],[Progres MOS]]=0,"Belum MOS = 0%"))))</f>
        <v>Proses MOS &gt; 100%</v>
      </c>
      <c r="ET42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0" s="42"/>
      <c r="EV420" s="301">
        <v>46048</v>
      </c>
      <c r="EW420" s="301">
        <v>46156</v>
      </c>
      <c r="EX420" s="301">
        <v>46138</v>
      </c>
      <c r="EY420" s="301">
        <v>46186</v>
      </c>
      <c r="EZ420" s="322" t="s">
        <v>3302</v>
      </c>
      <c r="FA420" s="379" t="s">
        <v>3302</v>
      </c>
      <c r="FB420" s="301" t="e">
        <v>#N/A</v>
      </c>
      <c r="FC420" s="300" t="e">
        <v>#N/A</v>
      </c>
      <c r="FD420" s="301" t="e">
        <v>#N/A</v>
      </c>
      <c r="FE420" s="301" t="e">
        <v>#N/A</v>
      </c>
      <c r="FF420" s="301" t="e">
        <v>#N/A</v>
      </c>
      <c r="FG420" s="301" t="e">
        <v>#N/A</v>
      </c>
      <c r="FH420" s="301" t="e">
        <v>#N/A</v>
      </c>
      <c r="FI420" s="301" t="e">
        <v>#N/A</v>
      </c>
      <c r="FJ420" s="301" t="e">
        <v>#N/A</v>
      </c>
      <c r="FK420" s="301" t="e">
        <v>#N/A</v>
      </c>
      <c r="FL420" s="322" t="s">
        <v>2780</v>
      </c>
      <c r="FM420" s="322"/>
      <c r="FN420" s="308" t="str">
        <f>IF(Table1[[#This Row],[Tanggal Pengajuan Dokumen]]="","",Table1[[#This Row],[PLAN PERMIT
start]]-Table1[[#This Row],[Tanggal Pengajuan Dokumen]])</f>
        <v/>
      </c>
      <c r="FO420" s="322"/>
      <c r="FP420" s="286"/>
      <c r="FQ420" s="308"/>
      <c r="FR420" s="301"/>
      <c r="FS420" s="308"/>
      <c r="FT42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0" s="314">
        <f ca="1">IF(Table1[[#This Row],[Status Izin]]="Selesai",Table1[[#This Row],[PLAN PERMIT
finish]]-Table1[[#This Row],[Tanggal Terbit/ Target Izin Terbit]],ROUNDUP(Table1[[#This Row],[PLAN PERMIT
finish]]-NOW(),0))</f>
        <v>-66</v>
      </c>
      <c r="FV42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0" s="314"/>
      <c r="FX420" s="42"/>
      <c r="FY420" s="483">
        <v>46097</v>
      </c>
      <c r="FZ420" s="483">
        <v>46066</v>
      </c>
      <c r="GA42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0" s="301">
        <v>46111</v>
      </c>
      <c r="GC420" s="322">
        <v>46087</v>
      </c>
      <c r="GD42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0" s="301">
        <v>46118</v>
      </c>
      <c r="GF420" s="322">
        <v>46090</v>
      </c>
      <c r="GG42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0" s="301">
        <v>46125</v>
      </c>
      <c r="GI420" s="301">
        <v>46131</v>
      </c>
      <c r="GJ420" s="322">
        <v>46090</v>
      </c>
      <c r="GK42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0" s="301">
        <v>46139</v>
      </c>
      <c r="GM420" s="301">
        <v>46193</v>
      </c>
      <c r="GN420" s="301">
        <v>46166</v>
      </c>
      <c r="GO420" s="300">
        <v>46241</v>
      </c>
      <c r="GP420" s="286"/>
      <c r="GQ42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0" s="301"/>
      <c r="GS420" s="301"/>
      <c r="GT420" s="324"/>
      <c r="GU420" s="314" t="str">
        <f>IF(Table1[[#This Row],[Hydro Tes Actual
(tanggal)]]&lt;&gt;"","Sudah","Belum")</f>
        <v>Belum</v>
      </c>
      <c r="GV420" s="300"/>
      <c r="GW420" s="300"/>
      <c r="GX420" s="301"/>
      <c r="GY420" s="314" t="str">
        <f>IF(Table1[[#This Row],[Interkoneksi Actual
(tanggal)]]&lt;&gt;"","Sudah","Belum")</f>
        <v>Belum</v>
      </c>
      <c r="GZ420" s="300"/>
      <c r="HA420" s="300"/>
      <c r="HB420" s="301"/>
      <c r="HC420" s="314" t="str">
        <f>IF(Table1[[#This Row],[Flushing Actual
(tanggal)]]&lt;&gt;"","Sudah","Belum")</f>
        <v>Belum</v>
      </c>
      <c r="HD420" s="301">
        <v>46169</v>
      </c>
      <c r="HE420" s="301">
        <v>46242</v>
      </c>
      <c r="HF420" s="301">
        <v>46174</v>
      </c>
      <c r="HG420" s="322"/>
      <c r="HH42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0" s="300"/>
      <c r="HJ420" s="300"/>
      <c r="HK420" s="301"/>
      <c r="HL420" s="301"/>
      <c r="HM420" s="301">
        <v>46191</v>
      </c>
      <c r="HN420" s="301">
        <v>46191</v>
      </c>
      <c r="HO420" s="300">
        <v>46259</v>
      </c>
      <c r="HP420" s="300"/>
      <c r="HQ420" s="301"/>
      <c r="HR42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0" s="301">
        <v>46199</v>
      </c>
      <c r="HT420" s="301"/>
      <c r="HU420" s="301">
        <v>46199</v>
      </c>
      <c r="HV420" s="390"/>
      <c r="HW420" s="365"/>
      <c r="HX42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20" s="42"/>
      <c r="HZ420" s="322"/>
      <c r="IA420" s="306"/>
      <c r="IB420" s="67"/>
      <c r="IC420" s="585">
        <f>IFERROR(ROUND((Table1[[#This Row],[PLAN TC
finish]]-Table1[[#This Row],[PLAN MC-0
start]])/30,2),"")</f>
        <v>1.63</v>
      </c>
      <c r="ID420">
        <f>DATEDIF(Table1[[#This Row],[PLAN MC-0
start]],Table1[[#This Row],[PLAN TC
finish]],"m")</f>
        <v>1</v>
      </c>
      <c r="IE420" s="6"/>
      <c r="IF420" s="6"/>
      <c r="IG420" s="67"/>
      <c r="II420" s="6"/>
      <c r="IJ420" s="4"/>
      <c r="IK420" s="4"/>
      <c r="IL420" s="6"/>
      <c r="IM420" s="6"/>
      <c r="IN420" s="6"/>
      <c r="IO420" s="6"/>
      <c r="IP420" s="6"/>
      <c r="IR420" s="6"/>
      <c r="IS420" s="6"/>
      <c r="IT420" s="6"/>
      <c r="IU420" s="6"/>
      <c r="IX420" s="6"/>
      <c r="IY420" s="6"/>
      <c r="JA420" s="6"/>
      <c r="JB420" s="6"/>
    </row>
    <row r="421" spans="2:262" ht="15" customHeight="1" x14ac:dyDescent="0.25">
      <c r="B421" s="281">
        <f>SUBTOTAL(3,$D$5:D421)</f>
        <v>417</v>
      </c>
      <c r="C421" s="286">
        <v>417</v>
      </c>
      <c r="D421" s="285" t="s">
        <v>673</v>
      </c>
      <c r="E421" s="308" t="s">
        <v>3333</v>
      </c>
      <c r="F421" s="308" t="s">
        <v>3334</v>
      </c>
      <c r="G421" s="319">
        <v>46300</v>
      </c>
      <c r="H421" s="308" t="s">
        <v>681</v>
      </c>
      <c r="I421" s="308" t="s">
        <v>278</v>
      </c>
      <c r="J421" s="450"/>
      <c r="K421" s="308"/>
      <c r="L421" s="286"/>
      <c r="M421" s="325" t="s">
        <v>251</v>
      </c>
      <c r="N421" s="477">
        <v>418</v>
      </c>
      <c r="O421" s="31" t="s">
        <v>252</v>
      </c>
      <c r="P42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1" s="35">
        <v>0.99330440123375507</v>
      </c>
      <c r="S421" s="297">
        <f>_xlfn.XLOOKUP(Table1[[#This Row],[Kode Program]],'[2]Summary Plan'!$C:$C,'[2]Summary Plan'!$M:$M)</f>
        <v>1.0000000000000002</v>
      </c>
      <c r="T421" s="128">
        <f>Table1[[#This Row],[Progres Total Aktual
(%)]]</f>
        <v>0.14912255170669966</v>
      </c>
      <c r="U421" s="103">
        <f>Table1[[#This Row],[Progres Aktual
(%)]]-Table1[[#This Row],[Target Progres
(%)]]</f>
        <v>-0.85087744829330059</v>
      </c>
      <c r="V421" s="75">
        <v>373</v>
      </c>
      <c r="W421" s="75">
        <f>Table1[[#This Row],[Total Panjang Pipa Aktual
(Sum-&gt;)3]]</f>
        <v>0</v>
      </c>
      <c r="X421" s="99"/>
      <c r="Y421" s="62" t="s">
        <v>3335</v>
      </c>
      <c r="Z421" s="62">
        <v>598104818</v>
      </c>
      <c r="AA421" s="479">
        <f>ROUND((Table1[[#This Row],[Nilai RAB Jaringan
(Exclude Ppn)]]-Table1[[#This Row],[RAB Perizinan]])*1.11+Table1[[#This Row],[RAB Perizinan]],0)</f>
        <v>598104817</v>
      </c>
      <c r="AB421" s="453">
        <f>SUM(Table1[[#This Row],[RAB Kegiatan Umum]:[RAB Perizinan]])</f>
        <v>539247403</v>
      </c>
      <c r="AC421" s="507">
        <v>36078107</v>
      </c>
      <c r="AD421" s="507">
        <v>360781063</v>
      </c>
      <c r="AE421" s="507">
        <v>138208233</v>
      </c>
      <c r="AF421" s="507">
        <v>4180000</v>
      </c>
      <c r="AG421" s="504"/>
      <c r="AH421" s="480">
        <f>SUM(Table1[[#This Row],[Bobot Keg Umum]:[Bobot Perizinan]])</f>
        <v>1</v>
      </c>
      <c r="AI421" s="480">
        <f>Table1[[#This Row],[RAB Kegiatan Umum]]/Table1[[#This Row],[Nilai RAB Jaringan
(Exclude Ppn)]]</f>
        <v>6.6904554012288869E-2</v>
      </c>
      <c r="AJ421" s="480">
        <f>Table1[[#This Row],[RAB Pemasangan]]/Table1[[#This Row],[Nilai RAB Jaringan
(Exclude Ppn)]]</f>
        <v>0.66904552714183396</v>
      </c>
      <c r="AK421" s="111">
        <f>Table1[[#This Row],[RAB Pengadaan]]/Table1[[#This Row],[Nilai RAB Jaringan
(Exclude Ppn)]]</f>
        <v>0.25629837479254397</v>
      </c>
      <c r="AL421" s="112">
        <f>Table1[[#This Row],[RAB Perizinan]]/Table1[[#This Row],[Nilai RAB Jaringan
(Exclude Ppn)]]</f>
        <v>7.7515440533331599E-3</v>
      </c>
      <c r="AM421" s="42"/>
      <c r="AN421" s="256"/>
      <c r="AO421" s="256">
        <f>SUM(Table1[[#This Row],[Pipa 63 mm]:[Pipa 1,800 mm]])</f>
        <v>373</v>
      </c>
      <c r="AP421" s="256">
        <v>373</v>
      </c>
      <c r="AQ421" s="256"/>
      <c r="AR421" s="256"/>
      <c r="AS421" s="256"/>
      <c r="AT421" s="256"/>
      <c r="AU421" s="256"/>
      <c r="AV421" s="256"/>
      <c r="AW421" s="256"/>
      <c r="AX421" s="256"/>
      <c r="AY421" s="256"/>
      <c r="AZ421" s="256"/>
      <c r="BA421" s="256"/>
      <c r="BB421" s="256"/>
      <c r="BC421" s="256"/>
      <c r="BD421" s="256"/>
      <c r="BE421" s="256"/>
      <c r="BF421" s="256"/>
      <c r="BG421" s="256"/>
      <c r="BH421" s="256"/>
      <c r="BI421" s="256"/>
      <c r="BJ421" s="36">
        <f>SUM(Table1[[#This Row],[Pipa 63 mm2]:[Pipa 1,800 mm21]])</f>
        <v>0</v>
      </c>
      <c r="BK421" s="32"/>
      <c r="BL421" s="32"/>
      <c r="BM421" s="32"/>
      <c r="BN421" s="32"/>
      <c r="BO421" s="32"/>
      <c r="BP421" s="32"/>
      <c r="BQ421" s="32"/>
      <c r="BR421" s="32"/>
      <c r="BS421" s="32"/>
      <c r="BT421" s="32"/>
      <c r="BU421" s="32"/>
      <c r="BV421" s="32"/>
      <c r="BW421" s="32"/>
      <c r="BX421" s="32"/>
      <c r="BY421" s="32"/>
      <c r="BZ421" s="32"/>
      <c r="CA421" s="32"/>
      <c r="CB421" s="32"/>
      <c r="CC421" s="32"/>
      <c r="CD421" s="32"/>
      <c r="CE421" s="32"/>
      <c r="CF421" s="32"/>
      <c r="CG421" s="32"/>
      <c r="CH421" s="32"/>
      <c r="CI421" s="32"/>
      <c r="CJ421" s="32">
        <f>IF((Table1[[#This Row],["Volume
BA MC-0"]]-Table1[[#This Row],[Total Panjang Pipa Aktual
(Sum-&gt;)3]]-Table1[[#This Row],[Total Volume
tidak dapat dipasang]])&gt;=0,Table1[[#This Row],["Volume
BA MC-0"]]-Table1[[#This Row],[Total Panjang Pipa Aktual
(Sum-&gt;)3]]-Table1[[#This Row],[Total Volume
tidak dapat dipasang]],0)</f>
        <v>0</v>
      </c>
      <c r="CK421" s="42"/>
      <c r="CL421" s="113"/>
      <c r="CM421" s="307"/>
      <c r="CN421" s="113"/>
      <c r="CO421" s="113"/>
      <c r="CP421"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0.14912255170669966</v>
      </c>
      <c r="CQ421" s="406">
        <f>IFERROR(Table1[[#This Row],[Progres Keg. Umum
(%)]]*Table1[[#This Row],[Nilai RAB Jaringan
(file pa aji)]],0)</f>
        <v>0</v>
      </c>
      <c r="CR421" s="406">
        <f>IFERROR(Table1[[#This Row],[Progres MOS
(%)]]*Table1[[#This Row],[Nilai RAB Jaringan
(file pa aji)]],0)</f>
        <v>0</v>
      </c>
      <c r="CS421" s="406">
        <f>IFERROR(Table1[[#This Row],[Progres Pemasangan
(%)]]*Table1[[#This Row],[Nilai RAB Jaringan
(file pa aji)]],0)</f>
        <v>0</v>
      </c>
      <c r="CT421" s="406">
        <f>IFERROR(Table1[[#This Row],[Progres Perizinan
(%)]]*Table1[[#This Row],[Nilai RAB Jaringan
(file pa aji)]],0)</f>
        <v>0</v>
      </c>
      <c r="CU421" s="789">
        <v>89190916.499108642</v>
      </c>
      <c r="CV421" s="299">
        <v>89190916.499108642</v>
      </c>
      <c r="CW421" s="481">
        <v>0</v>
      </c>
      <c r="CX421" s="789">
        <f>_xlfn.XLOOKUP(Table1[[#This Row],[Kode Program]],'[1]Breakdown VOWD Greenfield'!$E:$E,'[1]Breakdown VOWD Greenfield'!$AT:$AT)</f>
        <v>0</v>
      </c>
      <c r="CY421" s="42"/>
      <c r="CZ421" s="301">
        <v>46020</v>
      </c>
      <c r="DA421" s="301">
        <v>46047</v>
      </c>
      <c r="DB421" s="301">
        <v>46031</v>
      </c>
      <c r="DC421" s="286" t="s">
        <v>3336</v>
      </c>
      <c r="DD421" s="478">
        <v>8044434896.3299999</v>
      </c>
      <c r="DE42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1" s="301">
        <v>46063</v>
      </c>
      <c r="DG421" s="286" t="s">
        <v>3337</v>
      </c>
      <c r="DH421" s="478">
        <f>593924817.33+4180000</f>
        <v>598104817.33000004</v>
      </c>
      <c r="DI42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1" s="301">
        <v>46048</v>
      </c>
      <c r="DK421" s="301">
        <v>46110</v>
      </c>
      <c r="DL421" s="301">
        <v>46073</v>
      </c>
      <c r="DM421" s="286" t="s">
        <v>3338</v>
      </c>
      <c r="DN42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1" s="301">
        <v>46083</v>
      </c>
      <c r="DP421" s="286"/>
      <c r="DQ421" s="308" t="s">
        <v>365</v>
      </c>
      <c r="DR42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1" s="301">
        <v>46048</v>
      </c>
      <c r="DT421" s="301">
        <v>46164</v>
      </c>
      <c r="DU421" s="301">
        <v>46089</v>
      </c>
      <c r="DV421" s="301">
        <v>46178</v>
      </c>
      <c r="DW421" s="301">
        <v>46073</v>
      </c>
      <c r="DX421" t="s">
        <v>3339</v>
      </c>
      <c r="DY421" s="482">
        <v>34</v>
      </c>
      <c r="DZ421" s="482">
        <v>34</v>
      </c>
      <c r="EA42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1" s="301">
        <v>46162</v>
      </c>
      <c r="EC421" s="482">
        <v>34</v>
      </c>
      <c r="ED421" s="482">
        <v>34</v>
      </c>
      <c r="EE421" t="s">
        <v>3340</v>
      </c>
      <c r="EF421" s="307">
        <v>1</v>
      </c>
      <c r="EG421" s="307">
        <f>Table1[[#This Row],[Line PO]]/Table1[[#This Row],[Line PR]]</f>
        <v>1</v>
      </c>
      <c r="EH421" s="286" t="str">
        <f>IF(Table1[[#This Row],[PO Material Aktual 
(%)]]&gt;=100%,"Selesai PO = 100%",IF(Table1[[#This Row],[PO Material Aktual 
(%)]]&gt;=50%,"Proses PO &gt; 100%",IF(Table1[[#This Row],[PO Material Aktual 
(%)]]&gt;0%,"Proses PO &gt; 50%",IF(Table1[[#This Row],[PO Material Aktual 
(%)]]=0,"Belum PO = 0%"))))</f>
        <v>Selesai PO = 100%</v>
      </c>
      <c r="EI42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1" s="301">
        <v>46090</v>
      </c>
      <c r="EK421" s="301">
        <v>46178</v>
      </c>
      <c r="EL421" s="301">
        <v>46159</v>
      </c>
      <c r="EM421" s="301">
        <v>46183</v>
      </c>
      <c r="EN421" s="301"/>
      <c r="EO421" s="482">
        <v>19</v>
      </c>
      <c r="EP421" s="482">
        <v>19</v>
      </c>
      <c r="EQ421" s="307">
        <v>0.55882352941176472</v>
      </c>
      <c r="ER421" s="307">
        <f>Table1[[#This Row],[Line MOS]]/Table1[[#This Row],[Line PR]]</f>
        <v>0.55882352941176472</v>
      </c>
      <c r="ES421" s="286" t="str">
        <f>IF(Table1[[#This Row],[Progres MOS]]&gt;=100%,"Selesai MOS = 100%",IF(Table1[[#This Row],[Progres MOS]]&gt;=50%,"Proses MOS &gt; 100%",IF(Table1[[#This Row],[Progres MOS]]&gt;0%,"Proses MOS &gt; 50%",IF(Table1[[#This Row],[Progres MOS]]=0,"Belum MOS = 0%"))))</f>
        <v>Proses MOS &gt; 100%</v>
      </c>
      <c r="ET42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1" s="42"/>
      <c r="EV421" s="301">
        <v>46048</v>
      </c>
      <c r="EW421" s="301">
        <v>46156</v>
      </c>
      <c r="EX421" s="301">
        <v>46138</v>
      </c>
      <c r="EY421" s="301">
        <v>46186</v>
      </c>
      <c r="EZ421" s="322" t="s">
        <v>3302</v>
      </c>
      <c r="FA421" s="379" t="s">
        <v>3302</v>
      </c>
      <c r="FB421" s="301" t="e">
        <v>#N/A</v>
      </c>
      <c r="FC421" s="300" t="e">
        <v>#N/A</v>
      </c>
      <c r="FD421" s="301" t="e">
        <v>#N/A</v>
      </c>
      <c r="FE421" s="301" t="e">
        <v>#N/A</v>
      </c>
      <c r="FF421" s="301" t="e">
        <v>#N/A</v>
      </c>
      <c r="FG421" s="301" t="e">
        <v>#N/A</v>
      </c>
      <c r="FH421" s="301" t="e">
        <v>#N/A</v>
      </c>
      <c r="FI421" s="301" t="e">
        <v>#N/A</v>
      </c>
      <c r="FJ421" s="301" t="e">
        <v>#N/A</v>
      </c>
      <c r="FK421" s="301" t="e">
        <v>#N/A</v>
      </c>
      <c r="FL421" s="322" t="s">
        <v>2780</v>
      </c>
      <c r="FM421" s="322"/>
      <c r="FN421" s="308" t="str">
        <f>IF(Table1[[#This Row],[Tanggal Pengajuan Dokumen]]="","",Table1[[#This Row],[PLAN PERMIT
start]]-Table1[[#This Row],[Tanggal Pengajuan Dokumen]])</f>
        <v/>
      </c>
      <c r="FO421" s="322"/>
      <c r="FP421" s="286"/>
      <c r="FQ421" s="308"/>
      <c r="FR421" s="301"/>
      <c r="FS421" s="308"/>
      <c r="FT42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1" s="314">
        <f ca="1">IF(Table1[[#This Row],[Status Izin]]="Selesai",Table1[[#This Row],[PLAN PERMIT
finish]]-Table1[[#This Row],[Tanggal Terbit/ Target Izin Terbit]],ROUNDUP(Table1[[#This Row],[PLAN PERMIT
finish]]-NOW(),0))</f>
        <v>-66</v>
      </c>
      <c r="FV42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1" s="314"/>
      <c r="FX421" s="42"/>
      <c r="FY421" s="483">
        <v>46097</v>
      </c>
      <c r="FZ421" s="483">
        <v>46066</v>
      </c>
      <c r="GA42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1" s="301">
        <v>46111</v>
      </c>
      <c r="GC421" s="322">
        <v>46090</v>
      </c>
      <c r="GD42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1" s="301">
        <v>46118</v>
      </c>
      <c r="GF421" s="322">
        <v>46090</v>
      </c>
      <c r="GG42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1" s="301">
        <v>46125</v>
      </c>
      <c r="GI421" s="301">
        <v>46131</v>
      </c>
      <c r="GJ421" s="322">
        <v>46090</v>
      </c>
      <c r="GK42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1" s="301">
        <v>46139</v>
      </c>
      <c r="GM421" s="301">
        <v>46193</v>
      </c>
      <c r="GN421" s="301">
        <v>46166</v>
      </c>
      <c r="GO421" s="300">
        <v>46241</v>
      </c>
      <c r="GP421" s="286"/>
      <c r="GQ42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1" s="301"/>
      <c r="GS421" s="301"/>
      <c r="GT421" s="324"/>
      <c r="GU421" s="314" t="str">
        <f>IF(Table1[[#This Row],[Hydro Tes Actual
(tanggal)]]&lt;&gt;"","Sudah","Belum")</f>
        <v>Belum</v>
      </c>
      <c r="GV421" s="300"/>
      <c r="GW421" s="300"/>
      <c r="GX421" s="301"/>
      <c r="GY421" s="314" t="str">
        <f>IF(Table1[[#This Row],[Interkoneksi Actual
(tanggal)]]&lt;&gt;"","Sudah","Belum")</f>
        <v>Belum</v>
      </c>
      <c r="GZ421" s="300"/>
      <c r="HA421" s="300"/>
      <c r="HB421" s="301"/>
      <c r="HC421" s="314" t="str">
        <f>IF(Table1[[#This Row],[Flushing Actual
(tanggal)]]&lt;&gt;"","Sudah","Belum")</f>
        <v>Belum</v>
      </c>
      <c r="HD421" s="301">
        <v>46169</v>
      </c>
      <c r="HE421" s="301">
        <v>46242</v>
      </c>
      <c r="HF421" s="301">
        <v>46174</v>
      </c>
      <c r="HG421" s="322"/>
      <c r="HH42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1" s="300"/>
      <c r="HJ421" s="300"/>
      <c r="HK421" s="301"/>
      <c r="HL421" s="301"/>
      <c r="HM421" s="301">
        <v>46191</v>
      </c>
      <c r="HN421" s="301">
        <v>46191</v>
      </c>
      <c r="HO421" s="300">
        <v>46259</v>
      </c>
      <c r="HP421" s="300"/>
      <c r="HQ421" s="301"/>
      <c r="HR42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1" s="301">
        <v>46199</v>
      </c>
      <c r="HT421" s="301"/>
      <c r="HU421" s="301">
        <v>46199</v>
      </c>
      <c r="HV421" s="390"/>
      <c r="HW421" s="365"/>
      <c r="HX42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21" s="42"/>
      <c r="HZ421" s="322"/>
      <c r="IA421" s="306"/>
      <c r="IB421" s="67"/>
      <c r="IC421" s="585">
        <f>IFERROR(ROUND((Table1[[#This Row],[PLAN TC
finish]]-Table1[[#This Row],[PLAN MC-0
start]])/30,2),"")</f>
        <v>1.63</v>
      </c>
      <c r="ID421">
        <f>DATEDIF(Table1[[#This Row],[PLAN MC-0
start]],Table1[[#This Row],[PLAN TC
finish]],"m")</f>
        <v>1</v>
      </c>
      <c r="IE421" s="6"/>
      <c r="IF421" s="6"/>
      <c r="IG421" s="67"/>
      <c r="II421" s="6"/>
      <c r="IJ421" s="4"/>
      <c r="IK421" s="4"/>
      <c r="IL421" s="6"/>
      <c r="IM421" s="6"/>
      <c r="IN421" s="6"/>
      <c r="IO421" s="6"/>
      <c r="IP421" s="6"/>
      <c r="IR421" s="6"/>
      <c r="IS421" s="6"/>
      <c r="IT421" s="6"/>
      <c r="IU421" s="6"/>
      <c r="IX421" s="6"/>
      <c r="IY421" s="6"/>
      <c r="JA421" s="6"/>
      <c r="JB421" s="6"/>
    </row>
    <row r="422" spans="2:262" ht="15" customHeight="1" x14ac:dyDescent="0.25">
      <c r="B422" s="281">
        <f>SUBTOTAL(3,$D$5:D422)</f>
        <v>418</v>
      </c>
      <c r="C422" s="286">
        <v>418</v>
      </c>
      <c r="D422" s="285" t="s">
        <v>673</v>
      </c>
      <c r="E422" s="308" t="s">
        <v>3341</v>
      </c>
      <c r="F422" s="308" t="s">
        <v>3342</v>
      </c>
      <c r="G422" s="319">
        <v>46300</v>
      </c>
      <c r="H422" s="308" t="s">
        <v>681</v>
      </c>
      <c r="I422" s="308" t="s">
        <v>278</v>
      </c>
      <c r="J422" s="450"/>
      <c r="K422" s="308"/>
      <c r="L422" s="286"/>
      <c r="M422" s="325" t="s">
        <v>251</v>
      </c>
      <c r="N422" s="477">
        <v>149</v>
      </c>
      <c r="O422" s="31" t="s">
        <v>252</v>
      </c>
      <c r="P42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2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2" s="35">
        <v>0.99356829886752174</v>
      </c>
      <c r="S422" s="297">
        <f>_xlfn.XLOOKUP(Table1[[#This Row],[Kode Program]],'[2]Summary Plan'!$C:$C,'[2]Summary Plan'!$M:$M)</f>
        <v>1</v>
      </c>
      <c r="T422" s="128">
        <f>Table1[[#This Row],[Progres Total Aktual
(%)]]</f>
        <v>0.21862473107794705</v>
      </c>
      <c r="U422" s="103">
        <f>Table1[[#This Row],[Progres Aktual
(%)]]-Table1[[#This Row],[Target Progres
(%)]]</f>
        <v>-0.781375268922053</v>
      </c>
      <c r="V422" s="75">
        <v>156</v>
      </c>
      <c r="W422" s="75">
        <f>Table1[[#This Row],[Total Panjang Pipa Aktual
(Sum-&gt;)3]]</f>
        <v>0</v>
      </c>
      <c r="X422" s="99"/>
      <c r="Y422" s="62" t="s">
        <v>3343</v>
      </c>
      <c r="Z422" s="62">
        <v>237561186</v>
      </c>
      <c r="AA422" s="479">
        <f>ROUND((Table1[[#This Row],[Nilai RAB Jaringan
(Exclude Ppn)]]-Table1[[#This Row],[RAB Perizinan]])*1.11+Table1[[#This Row],[RAB Perizinan]],0)</f>
        <v>237561186</v>
      </c>
      <c r="AB422" s="453">
        <f>SUM(Table1[[#This Row],[RAB Kegiatan Umum]:[RAB Perizinan]])</f>
        <v>214166744</v>
      </c>
      <c r="AC422" s="507">
        <v>13765068</v>
      </c>
      <c r="AD422" s="507">
        <v>137650678</v>
      </c>
      <c r="AE422" s="507">
        <v>61260998</v>
      </c>
      <c r="AF422" s="507">
        <v>1490000</v>
      </c>
      <c r="AG422" s="504"/>
      <c r="AH422" s="480">
        <f>SUM(Table1[[#This Row],[Bobot Keg Umum]:[Bobot Perizinan]])</f>
        <v>1</v>
      </c>
      <c r="AI422" s="480">
        <f>Table1[[#This Row],[RAB Kegiatan Umum]]/Table1[[#This Row],[Nilai RAB Jaringan
(Exclude Ppn)]]</f>
        <v>6.4272667842398531E-2</v>
      </c>
      <c r="AJ422" s="480">
        <f>Table1[[#This Row],[RAB Pemasangan]]/Table1[[#This Row],[Nilai RAB Jaringan
(Exclude Ppn)]]</f>
        <v>0.64272666908546738</v>
      </c>
      <c r="AK422" s="111">
        <f>Table1[[#This Row],[RAB Pengadaan]]/Table1[[#This Row],[Nilai RAB Jaringan
(Exclude Ppn)]]</f>
        <v>0.28604346714072471</v>
      </c>
      <c r="AL422" s="112">
        <f>Table1[[#This Row],[RAB Perizinan]]/Table1[[#This Row],[Nilai RAB Jaringan
(Exclude Ppn)]]</f>
        <v>6.9571959314094073E-3</v>
      </c>
      <c r="AM422" s="42"/>
      <c r="AN422" s="256"/>
      <c r="AO422" s="256">
        <f>SUM(Table1[[#This Row],[Pipa 63 mm]:[Pipa 1,800 mm]])</f>
        <v>156</v>
      </c>
      <c r="AP422" s="256">
        <f>79+77</f>
        <v>156</v>
      </c>
      <c r="AQ422" s="256"/>
      <c r="AR422" s="256"/>
      <c r="AS422" s="256"/>
      <c r="AT422" s="256"/>
      <c r="AU422" s="256"/>
      <c r="AV422" s="256"/>
      <c r="AW422" s="256"/>
      <c r="AX422" s="256"/>
      <c r="AY422" s="256"/>
      <c r="AZ422" s="256"/>
      <c r="BA422" s="256"/>
      <c r="BB422" s="256"/>
      <c r="BC422" s="256"/>
      <c r="BD422" s="256"/>
      <c r="BE422" s="256"/>
      <c r="BF422" s="256"/>
      <c r="BG422" s="256"/>
      <c r="BH422" s="256"/>
      <c r="BI422" s="256"/>
      <c r="BJ422" s="36">
        <f>SUM(Table1[[#This Row],[Pipa 63 mm2]:[Pipa 1,800 mm21]])</f>
        <v>0</v>
      </c>
      <c r="BK422" s="32"/>
      <c r="BL422" s="32"/>
      <c r="BM422" s="32"/>
      <c r="BN422" s="32"/>
      <c r="BO422" s="32"/>
      <c r="BP422" s="32"/>
      <c r="BQ422" s="32"/>
      <c r="BR422" s="32"/>
      <c r="BS422" s="32"/>
      <c r="BT422" s="32"/>
      <c r="BU422" s="32"/>
      <c r="BV422" s="32"/>
      <c r="BW422" s="32"/>
      <c r="BX422" s="32"/>
      <c r="BY422" s="32"/>
      <c r="BZ422" s="32"/>
      <c r="CA422" s="32"/>
      <c r="CB422" s="32"/>
      <c r="CC422" s="32"/>
      <c r="CD422" s="32"/>
      <c r="CE422" s="32"/>
      <c r="CF422" s="32"/>
      <c r="CG422" s="32"/>
      <c r="CH422" s="32"/>
      <c r="CI422" s="32"/>
      <c r="CJ422" s="32">
        <f>IF((Table1[[#This Row],["Volume
BA MC-0"]]-Table1[[#This Row],[Total Panjang Pipa Aktual
(Sum-&gt;)3]]-Table1[[#This Row],[Total Volume
tidak dapat dipasang]])&gt;=0,Table1[[#This Row],["Volume
BA MC-0"]]-Table1[[#This Row],[Total Panjang Pipa Aktual
(Sum-&gt;)3]]-Table1[[#This Row],[Total Volume
tidak dapat dipasang]],0)</f>
        <v>0</v>
      </c>
      <c r="CK422" s="42"/>
      <c r="CL422" s="113"/>
      <c r="CM422" s="307"/>
      <c r="CN422" s="113"/>
      <c r="CO422" s="113"/>
      <c r="CP422"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0.21862473107794705</v>
      </c>
      <c r="CQ422" s="406">
        <f>IFERROR(Table1[[#This Row],[Progres Keg. Umum
(%)]]*Table1[[#This Row],[Nilai RAB Jaringan
(file pa aji)]],0)</f>
        <v>0</v>
      </c>
      <c r="CR422" s="406">
        <f>IFERROR(Table1[[#This Row],[Progres MOS
(%)]]*Table1[[#This Row],[Nilai RAB Jaringan
(file pa aji)]],0)</f>
        <v>0</v>
      </c>
      <c r="CS422" s="406">
        <f>IFERROR(Table1[[#This Row],[Progres Pemasangan
(%)]]*Table1[[#This Row],[Nilai RAB Jaringan
(file pa aji)]],0)</f>
        <v>0</v>
      </c>
      <c r="CT422" s="406">
        <f>IFERROR(Table1[[#This Row],[Progres Perizinan
(%)]]*Table1[[#This Row],[Nilai RAB Jaringan
(file pa aji)]],0)</f>
        <v>0</v>
      </c>
      <c r="CU422" s="789">
        <v>51936750.403808162</v>
      </c>
      <c r="CV422" s="299">
        <v>51936750.403808162</v>
      </c>
      <c r="CW422" s="481">
        <v>0</v>
      </c>
      <c r="CX422" s="789">
        <f>_xlfn.XLOOKUP(Table1[[#This Row],[Kode Program]],'[1]Breakdown VOWD Greenfield'!$E:$E,'[1]Breakdown VOWD Greenfield'!$AT:$AT)</f>
        <v>0</v>
      </c>
      <c r="CY422" s="42"/>
      <c r="CZ422" s="301">
        <v>46020</v>
      </c>
      <c r="DA422" s="301">
        <v>46047</v>
      </c>
      <c r="DB422" s="301">
        <v>46001</v>
      </c>
      <c r="DC422" s="286" t="s">
        <v>3344</v>
      </c>
      <c r="DD422" s="478">
        <v>24858616598.84</v>
      </c>
      <c r="DE42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2" s="301">
        <v>46063</v>
      </c>
      <c r="DG422" s="286" t="s">
        <v>3345</v>
      </c>
      <c r="DH422" s="478">
        <f>236071185.84+1490000</f>
        <v>237561185.84</v>
      </c>
      <c r="DI42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2" s="301">
        <v>46048</v>
      </c>
      <c r="DK422" s="301">
        <v>46110</v>
      </c>
      <c r="DL422" s="301">
        <v>46073</v>
      </c>
      <c r="DM422" s="286" t="s">
        <v>3346</v>
      </c>
      <c r="DN42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2" s="301">
        <v>46087</v>
      </c>
      <c r="DP422" s="286"/>
      <c r="DQ422" s="308" t="s">
        <v>1671</v>
      </c>
      <c r="DR42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2" s="301">
        <v>46048</v>
      </c>
      <c r="DT422" s="301">
        <v>46164</v>
      </c>
      <c r="DU422" s="301">
        <v>46089</v>
      </c>
      <c r="DV422" s="301">
        <v>46178</v>
      </c>
      <c r="DW422" s="301">
        <v>46072</v>
      </c>
      <c r="DX422" t="s">
        <v>3347</v>
      </c>
      <c r="DY422" s="482">
        <v>31</v>
      </c>
      <c r="DZ422" s="482">
        <v>31</v>
      </c>
      <c r="EA42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2" s="301">
        <v>46162</v>
      </c>
      <c r="EC422" s="482">
        <v>31</v>
      </c>
      <c r="ED422" s="482">
        <v>31</v>
      </c>
      <c r="EE422" s="100" t="s">
        <v>3348</v>
      </c>
      <c r="EF422" s="307">
        <v>1</v>
      </c>
      <c r="EG422" s="307">
        <f>Table1[[#This Row],[Line PO]]/Table1[[#This Row],[Line PR]]</f>
        <v>1</v>
      </c>
      <c r="EH422" s="286" t="str">
        <f>IF(Table1[[#This Row],[PO Material Aktual 
(%)]]&gt;=100%,"Selesai PO = 100%",IF(Table1[[#This Row],[PO Material Aktual 
(%)]]&gt;=50%,"Proses PO &gt; 100%",IF(Table1[[#This Row],[PO Material Aktual 
(%)]]&gt;0%,"Proses PO &gt; 50%",IF(Table1[[#This Row],[PO Material Aktual 
(%)]]=0,"Belum PO = 0%"))))</f>
        <v>Selesai PO = 100%</v>
      </c>
      <c r="EI42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2" s="301">
        <v>46090</v>
      </c>
      <c r="EK422" s="301">
        <v>46178</v>
      </c>
      <c r="EL422" s="301">
        <v>46159</v>
      </c>
      <c r="EM422" s="301">
        <v>46183</v>
      </c>
      <c r="EN422" s="301"/>
      <c r="EO422" s="482">
        <v>22</v>
      </c>
      <c r="EP422" s="482">
        <v>22</v>
      </c>
      <c r="EQ422" s="307">
        <v>0.70967741935483875</v>
      </c>
      <c r="ER422" s="307">
        <f>Table1[[#This Row],[Line MOS]]/Table1[[#This Row],[Line PR]]</f>
        <v>0.70967741935483875</v>
      </c>
      <c r="ES422" s="286" t="str">
        <f>IF(Table1[[#This Row],[Progres MOS]]&gt;=100%,"Selesai MOS = 100%",IF(Table1[[#This Row],[Progres MOS]]&gt;=50%,"Proses MOS &gt; 100%",IF(Table1[[#This Row],[Progres MOS]]&gt;0%,"Proses MOS &gt; 50%",IF(Table1[[#This Row],[Progres MOS]]=0,"Belum MOS = 0%"))))</f>
        <v>Proses MOS &gt; 100%</v>
      </c>
      <c r="ET42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2" s="42"/>
      <c r="EV422" s="301">
        <v>46048</v>
      </c>
      <c r="EW422" s="301">
        <v>46156</v>
      </c>
      <c r="EX422" s="301">
        <v>46138</v>
      </c>
      <c r="EY422" s="301">
        <v>46186</v>
      </c>
      <c r="EZ422" s="322" t="s">
        <v>3302</v>
      </c>
      <c r="FA422" s="379" t="s">
        <v>3302</v>
      </c>
      <c r="FB422" s="301" t="e">
        <v>#N/A</v>
      </c>
      <c r="FC422" s="300" t="e">
        <v>#N/A</v>
      </c>
      <c r="FD422" s="301" t="e">
        <v>#N/A</v>
      </c>
      <c r="FE422" s="301" t="e">
        <v>#N/A</v>
      </c>
      <c r="FF422" s="301" t="e">
        <v>#N/A</v>
      </c>
      <c r="FG422" s="301" t="e">
        <v>#N/A</v>
      </c>
      <c r="FH422" s="301" t="e">
        <v>#N/A</v>
      </c>
      <c r="FI422" s="301" t="e">
        <v>#N/A</v>
      </c>
      <c r="FJ422" s="301" t="e">
        <v>#N/A</v>
      </c>
      <c r="FK422" s="301" t="e">
        <v>#N/A</v>
      </c>
      <c r="FL422" s="322" t="s">
        <v>2780</v>
      </c>
      <c r="FM422" s="322"/>
      <c r="FN422" s="308" t="str">
        <f>IF(Table1[[#This Row],[Tanggal Pengajuan Dokumen]]="","",Table1[[#This Row],[PLAN PERMIT
start]]-Table1[[#This Row],[Tanggal Pengajuan Dokumen]])</f>
        <v/>
      </c>
      <c r="FO422" s="322"/>
      <c r="FP422" s="286"/>
      <c r="FQ422" s="308"/>
      <c r="FR422" s="301"/>
      <c r="FS422" s="308"/>
      <c r="FT42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2" s="314">
        <f ca="1">IF(Table1[[#This Row],[Status Izin]]="Selesai",Table1[[#This Row],[PLAN PERMIT
finish]]-Table1[[#This Row],[Tanggal Terbit/ Target Izin Terbit]],ROUNDUP(Table1[[#This Row],[PLAN PERMIT
finish]]-NOW(),0))</f>
        <v>-66</v>
      </c>
      <c r="FV42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2" s="314"/>
      <c r="FX422" s="42"/>
      <c r="FY422" s="483">
        <v>46097</v>
      </c>
      <c r="FZ422" s="483">
        <v>46066</v>
      </c>
      <c r="GA42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2" s="301">
        <v>46111</v>
      </c>
      <c r="GC422" s="322">
        <v>46087</v>
      </c>
      <c r="GD42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2" s="301">
        <v>46118</v>
      </c>
      <c r="GF422" s="322">
        <v>46087</v>
      </c>
      <c r="GG42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2" s="301">
        <v>46125</v>
      </c>
      <c r="GI422" s="301">
        <v>46131</v>
      </c>
      <c r="GJ422" s="322">
        <v>46091</v>
      </c>
      <c r="GK42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2" s="301">
        <v>46139</v>
      </c>
      <c r="GM422" s="301">
        <v>46193</v>
      </c>
      <c r="GN422" s="301">
        <v>46166</v>
      </c>
      <c r="GO422" s="300">
        <v>46241</v>
      </c>
      <c r="GP422" s="286"/>
      <c r="GQ42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2" s="301"/>
      <c r="GS422" s="301"/>
      <c r="GT422" s="324">
        <v>46195</v>
      </c>
      <c r="GU422" s="314" t="str">
        <f>IF(Table1[[#This Row],[Hydro Tes Actual
(tanggal)]]&lt;&gt;"","Sudah","Belum")</f>
        <v>Sudah</v>
      </c>
      <c r="GV422" s="300"/>
      <c r="GW422" s="300"/>
      <c r="GX422" s="301"/>
      <c r="GY422" s="314" t="str">
        <f>IF(Table1[[#This Row],[Interkoneksi Actual
(tanggal)]]&lt;&gt;"","Sudah","Belum")</f>
        <v>Belum</v>
      </c>
      <c r="GZ422" s="300"/>
      <c r="HA422" s="300"/>
      <c r="HB422" s="301"/>
      <c r="HC422" s="314" t="str">
        <f>IF(Table1[[#This Row],[Flushing Actual
(tanggal)]]&lt;&gt;"","Sudah","Belum")</f>
        <v>Belum</v>
      </c>
      <c r="HD422" s="301">
        <v>46169</v>
      </c>
      <c r="HE422" s="301">
        <v>46242</v>
      </c>
      <c r="HF422" s="301">
        <v>46174</v>
      </c>
      <c r="HG422" s="322"/>
      <c r="HH42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22" s="300"/>
      <c r="HJ422" s="300"/>
      <c r="HK422" s="301"/>
      <c r="HL422" s="301"/>
      <c r="HM422" s="301">
        <v>46191</v>
      </c>
      <c r="HN422" s="301">
        <v>46191</v>
      </c>
      <c r="HO422" s="300">
        <v>46259</v>
      </c>
      <c r="HP422" s="300"/>
      <c r="HQ422" s="301"/>
      <c r="HR42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22" s="301">
        <v>46199</v>
      </c>
      <c r="HT422" s="301"/>
      <c r="HU422" s="301">
        <v>46199</v>
      </c>
      <c r="HV422" s="390"/>
      <c r="HW422" s="365"/>
      <c r="HX42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22" s="42"/>
      <c r="HZ422" s="322"/>
      <c r="IA422" s="306"/>
      <c r="IB422" s="67"/>
      <c r="IC422" s="585">
        <f>IFERROR(ROUND((Table1[[#This Row],[PLAN TC
finish]]-Table1[[#This Row],[PLAN MC-0
start]])/30,2),"")</f>
        <v>1.63</v>
      </c>
      <c r="ID422">
        <f>DATEDIF(Table1[[#This Row],[PLAN MC-0
start]],Table1[[#This Row],[PLAN TC
finish]],"m")</f>
        <v>1</v>
      </c>
      <c r="IE422" s="6"/>
      <c r="IF422" s="6"/>
      <c r="IG422" s="67"/>
      <c r="II422" s="6"/>
      <c r="IJ422" s="4"/>
      <c r="IK422" s="4"/>
      <c r="IL422" s="6"/>
      <c r="IM422" s="6"/>
      <c r="IN422" s="6"/>
      <c r="IO422" s="6"/>
      <c r="IP422" s="6"/>
      <c r="IR422" s="6"/>
      <c r="IS422" s="6"/>
      <c r="IT422" s="6"/>
      <c r="IU422" s="6"/>
      <c r="IX422" s="6"/>
      <c r="IY422" s="6"/>
      <c r="JA422" s="6"/>
      <c r="JB422" s="6"/>
    </row>
    <row r="423" spans="2:262" ht="15" customHeight="1" x14ac:dyDescent="0.25">
      <c r="B423" s="281">
        <f>SUBTOTAL(3,$D$5:D423)</f>
        <v>419</v>
      </c>
      <c r="C423" s="286">
        <v>419</v>
      </c>
      <c r="D423" s="285" t="s">
        <v>673</v>
      </c>
      <c r="E423" s="308" t="s">
        <v>3349</v>
      </c>
      <c r="F423" s="308" t="s">
        <v>3350</v>
      </c>
      <c r="G423" s="319">
        <v>46300</v>
      </c>
      <c r="H423" s="308" t="s">
        <v>681</v>
      </c>
      <c r="I423" s="308" t="s">
        <v>278</v>
      </c>
      <c r="J423" s="450"/>
      <c r="K423" s="308"/>
      <c r="L423" s="286"/>
      <c r="M423" s="325" t="s">
        <v>251</v>
      </c>
      <c r="N423" s="477">
        <v>1041</v>
      </c>
      <c r="O423" s="31" t="s">
        <v>252</v>
      </c>
      <c r="P42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
      </c>
      <c r="Q42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3" s="35">
        <v>0.75287042427451401</v>
      </c>
      <c r="S423" s="297">
        <f>_xlfn.XLOOKUP(Table1[[#This Row],[Kode Program]],'[2]Summary Plan'!$C:$C,'[2]Summary Plan'!$M:$M)</f>
        <v>0.87572099063164965</v>
      </c>
      <c r="T423" s="128">
        <f>Table1[[#This Row],[Progres Total Aktual
(%)]]</f>
        <v>0.12326338449413601</v>
      </c>
      <c r="U423" s="103">
        <f>Table1[[#This Row],[Progres Aktual
(%)]]-Table1[[#This Row],[Target Progres
(%)]]</f>
        <v>-0.75245760613751367</v>
      </c>
      <c r="V423" s="75">
        <v>1046</v>
      </c>
      <c r="W423" s="75">
        <f>Table1[[#This Row],[Total Panjang Pipa Aktual
(Sum-&gt;)3]]</f>
        <v>0</v>
      </c>
      <c r="X423" s="99"/>
      <c r="Y423" s="62" t="s">
        <v>3351</v>
      </c>
      <c r="Z423" s="62">
        <v>1152177863</v>
      </c>
      <c r="AA423" s="479">
        <f>ROUND((Table1[[#This Row],[Nilai RAB Jaringan
(Exclude Ppn)]]-Table1[[#This Row],[RAB Perizinan]])*1.11+Table1[[#This Row],[RAB Perizinan]],0)</f>
        <v>1152177863</v>
      </c>
      <c r="AB423" s="453">
        <f>SUM(Table1[[#This Row],[RAB Kegiatan Umum]:[RAB Perizinan]])</f>
        <v>1039029696</v>
      </c>
      <c r="AC423" s="507">
        <v>74420470</v>
      </c>
      <c r="AD423" s="507">
        <v>744204692</v>
      </c>
      <c r="AE423" s="507">
        <v>209994534</v>
      </c>
      <c r="AF423" s="507">
        <v>10410000</v>
      </c>
      <c r="AG423" s="504"/>
      <c r="AH423" s="480">
        <f>SUM(Table1[[#This Row],[Bobot Keg Umum]:[Bobot Perizinan]])</f>
        <v>0.99999999999999989</v>
      </c>
      <c r="AI423" s="480">
        <f>Table1[[#This Row],[RAB Kegiatan Umum]]/Table1[[#This Row],[Nilai RAB Jaringan
(Exclude Ppn)]]</f>
        <v>7.1624969225133672E-2</v>
      </c>
      <c r="AJ423" s="480">
        <f>Table1[[#This Row],[RAB Pemasangan]]/Table1[[#This Row],[Nilai RAB Jaringan
(Exclude Ppn)]]</f>
        <v>0.71624968455184557</v>
      </c>
      <c r="AK423" s="111">
        <f>Table1[[#This Row],[RAB Pengadaan]]/Table1[[#This Row],[Nilai RAB Jaringan
(Exclude Ppn)]]</f>
        <v>0.20210638330013619</v>
      </c>
      <c r="AL423" s="112">
        <f>Table1[[#This Row],[RAB Perizinan]]/Table1[[#This Row],[Nilai RAB Jaringan
(Exclude Ppn)]]</f>
        <v>1.0018962922884544E-2</v>
      </c>
      <c r="AM423" s="42"/>
      <c r="AN423" s="256"/>
      <c r="AO423" s="256">
        <f>SUM(Table1[[#This Row],[Pipa 63 mm]:[Pipa 1,800 mm]])</f>
        <v>1046</v>
      </c>
      <c r="AP423" s="256">
        <v>1018</v>
      </c>
      <c r="AQ423" s="256">
        <v>28</v>
      </c>
      <c r="AR423" s="256"/>
      <c r="AS423" s="256"/>
      <c r="AT423" s="256"/>
      <c r="AU423" s="256"/>
      <c r="AV423" s="256"/>
      <c r="AW423" s="256"/>
      <c r="AX423" s="256"/>
      <c r="AY423" s="256"/>
      <c r="AZ423" s="256"/>
      <c r="BA423" s="256"/>
      <c r="BB423" s="256"/>
      <c r="BC423" s="256"/>
      <c r="BD423" s="256"/>
      <c r="BE423" s="256"/>
      <c r="BF423" s="256"/>
      <c r="BG423" s="256"/>
      <c r="BH423" s="256"/>
      <c r="BI423" s="256"/>
      <c r="BJ423" s="36">
        <f>SUM(Table1[[#This Row],[Pipa 63 mm2]:[Pipa 1,800 mm21]])</f>
        <v>0</v>
      </c>
      <c r="BK423" s="32"/>
      <c r="BL423" s="32"/>
      <c r="BM423" s="32"/>
      <c r="BN423" s="32"/>
      <c r="BO423" s="32"/>
      <c r="BP423" s="32"/>
      <c r="BQ423" s="32"/>
      <c r="BR423" s="32"/>
      <c r="BS423" s="32"/>
      <c r="BT423" s="32"/>
      <c r="BU423" s="32"/>
      <c r="BV423" s="32"/>
      <c r="BW423" s="32"/>
      <c r="BX423" s="32"/>
      <c r="BY423" s="32"/>
      <c r="BZ423" s="32"/>
      <c r="CA423" s="32"/>
      <c r="CB423" s="32"/>
      <c r="CC423" s="32"/>
      <c r="CD423" s="32"/>
      <c r="CE423" s="32"/>
      <c r="CF423" s="32"/>
      <c r="CG423" s="32"/>
      <c r="CH423" s="32"/>
      <c r="CI423" s="32"/>
      <c r="CJ423" s="32">
        <f>IF((Table1[[#This Row],["Volume
BA MC-0"]]-Table1[[#This Row],[Total Panjang Pipa Aktual
(Sum-&gt;)3]]-Table1[[#This Row],[Total Volume
tidak dapat dipasang]])&gt;=0,Table1[[#This Row],["Volume
BA MC-0"]]-Table1[[#This Row],[Total Panjang Pipa Aktual
(Sum-&gt;)3]]-Table1[[#This Row],[Total Volume
tidak dapat dipasang]],0)</f>
        <v>0</v>
      </c>
      <c r="CK423" s="42"/>
      <c r="CL423" s="113"/>
      <c r="CM423" s="307"/>
      <c r="CN423" s="113"/>
      <c r="CO423" s="113"/>
      <c r="CP423"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0.12326338449413601</v>
      </c>
      <c r="CQ423" s="406">
        <f>IFERROR(Table1[[#This Row],[Progres Keg. Umum
(%)]]*Table1[[#This Row],[Nilai RAB Jaringan
(file pa aji)]],0)</f>
        <v>0</v>
      </c>
      <c r="CR423" s="406">
        <f>IFERROR(Table1[[#This Row],[Progres MOS
(%)]]*Table1[[#This Row],[Nilai RAB Jaringan
(file pa aji)]],0)</f>
        <v>0</v>
      </c>
      <c r="CS423" s="406">
        <f>IFERROR(Table1[[#This Row],[Progres Pemasangan
(%)]]*Table1[[#This Row],[Nilai RAB Jaringan
(file pa aji)]],0)</f>
        <v>0</v>
      </c>
      <c r="CT423" s="406">
        <f>IFERROR(Table1[[#This Row],[Progres Perizinan
(%)]]*Table1[[#This Row],[Nilai RAB Jaringan
(file pa aji)]],0)</f>
        <v>0</v>
      </c>
      <c r="CU423" s="789">
        <v>142021342.93260098</v>
      </c>
      <c r="CV423" s="299">
        <v>142021342.93260098</v>
      </c>
      <c r="CW423" s="481">
        <v>0</v>
      </c>
      <c r="CX423" s="789">
        <f>_xlfn.XLOOKUP(Table1[[#This Row],[Kode Program]],'[1]Breakdown VOWD Greenfield'!$E:$E,'[1]Breakdown VOWD Greenfield'!$AT:$AT)</f>
        <v>0</v>
      </c>
      <c r="CY423" s="42"/>
      <c r="CZ423" s="301">
        <v>46020</v>
      </c>
      <c r="DA423" s="301">
        <v>46047</v>
      </c>
      <c r="DB423" s="301">
        <v>46031</v>
      </c>
      <c r="DC423" s="286" t="s">
        <v>3352</v>
      </c>
      <c r="DD423" s="478">
        <v>1152177862.5599999</v>
      </c>
      <c r="DE42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3" s="301">
        <v>46050</v>
      </c>
      <c r="DG423" s="286" t="s">
        <v>3353</v>
      </c>
      <c r="DH423" s="478">
        <v>1152177862.5599999</v>
      </c>
      <c r="DI42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23" s="301">
        <v>46048</v>
      </c>
      <c r="DK423" s="301">
        <v>46110</v>
      </c>
      <c r="DL423" s="301">
        <v>46057</v>
      </c>
      <c r="DM423" s="286" t="s">
        <v>3354</v>
      </c>
      <c r="DN42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3" s="301">
        <v>46086</v>
      </c>
      <c r="DP423" s="286"/>
      <c r="DQ423" s="308" t="s">
        <v>1671</v>
      </c>
      <c r="DR42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3" s="301">
        <v>46048</v>
      </c>
      <c r="DT423" s="301">
        <v>46162</v>
      </c>
      <c r="DU423" s="301">
        <v>46089</v>
      </c>
      <c r="DV423" s="301">
        <v>46176</v>
      </c>
      <c r="DW423" s="301">
        <v>46059</v>
      </c>
      <c r="DX423" t="s">
        <v>3355</v>
      </c>
      <c r="DY423" s="482">
        <v>52</v>
      </c>
      <c r="DZ423" s="482">
        <v>52</v>
      </c>
      <c r="EA42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3" s="301">
        <v>46162</v>
      </c>
      <c r="EC423" s="304">
        <v>52</v>
      </c>
      <c r="ED423" s="304">
        <v>52</v>
      </c>
      <c r="EE423" s="117" t="s">
        <v>3356</v>
      </c>
      <c r="EF423" s="307">
        <v>1</v>
      </c>
      <c r="EG423" s="307">
        <f>Table1[[#This Row],[Line PO]]/Table1[[#This Row],[Line PR]]</f>
        <v>1</v>
      </c>
      <c r="EH423" s="286" t="str">
        <f>IF(Table1[[#This Row],[PO Material Aktual 
(%)]]&gt;=100%,"Selesai PO = 100%",IF(Table1[[#This Row],[PO Material Aktual 
(%)]]&gt;=50%,"Proses PO &gt; 100%",IF(Table1[[#This Row],[PO Material Aktual 
(%)]]&gt;0%,"Proses PO &gt; 50%",IF(Table1[[#This Row],[PO Material Aktual 
(%)]]=0,"Belum PO = 0%"))))</f>
        <v>Selesai PO = 100%</v>
      </c>
      <c r="EI42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3" s="301">
        <v>46090</v>
      </c>
      <c r="EK423" s="301">
        <v>46176</v>
      </c>
      <c r="EL423" s="301">
        <v>46173</v>
      </c>
      <c r="EM423" s="301">
        <v>46190</v>
      </c>
      <c r="EN423" s="301"/>
      <c r="EO423" s="482">
        <v>37</v>
      </c>
      <c r="EP423" s="482">
        <v>37</v>
      </c>
      <c r="EQ423" s="307">
        <v>0.71153846153846156</v>
      </c>
      <c r="ER423" s="307">
        <f>Table1[[#This Row],[Line MOS]]/Table1[[#This Row],[Line PR]]</f>
        <v>0.71153846153846156</v>
      </c>
      <c r="ES423" s="286" t="str">
        <f>IF(Table1[[#This Row],[Progres MOS]]&gt;=100%,"Selesai MOS = 100%",IF(Table1[[#This Row],[Progres MOS]]&gt;=50%,"Proses MOS &gt; 100%",IF(Table1[[#This Row],[Progres MOS]]&gt;0%,"Proses MOS &gt; 50%",IF(Table1[[#This Row],[Progres MOS]]=0,"Belum MOS = 0%"))))</f>
        <v>Proses MOS &gt; 100%</v>
      </c>
      <c r="ET42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3" s="42"/>
      <c r="EV423" s="301">
        <v>46048</v>
      </c>
      <c r="EW423" s="301">
        <v>46156</v>
      </c>
      <c r="EX423" s="301">
        <v>46138</v>
      </c>
      <c r="EY423" s="301">
        <v>46186</v>
      </c>
      <c r="EZ423" s="322" t="s">
        <v>3302</v>
      </c>
      <c r="FA423" s="379" t="s">
        <v>3302</v>
      </c>
      <c r="FB423" s="301" t="e">
        <v>#N/A</v>
      </c>
      <c r="FC423" s="300" t="e">
        <v>#N/A</v>
      </c>
      <c r="FD423" s="301" t="e">
        <v>#N/A</v>
      </c>
      <c r="FE423" s="301" t="e">
        <v>#N/A</v>
      </c>
      <c r="FF423" s="301" t="e">
        <v>#N/A</v>
      </c>
      <c r="FG423" s="301" t="e">
        <v>#N/A</v>
      </c>
      <c r="FH423" s="301" t="e">
        <v>#N/A</v>
      </c>
      <c r="FI423" s="301" t="e">
        <v>#N/A</v>
      </c>
      <c r="FJ423" s="301" t="e">
        <v>#N/A</v>
      </c>
      <c r="FK423" s="301" t="e">
        <v>#N/A</v>
      </c>
      <c r="FL423" s="322" t="s">
        <v>2780</v>
      </c>
      <c r="FM423" s="322"/>
      <c r="FN423" s="308" t="str">
        <f>IF(Table1[[#This Row],[Tanggal Pengajuan Dokumen]]="","",Table1[[#This Row],[PLAN PERMIT
start]]-Table1[[#This Row],[Tanggal Pengajuan Dokumen]])</f>
        <v/>
      </c>
      <c r="FO423" s="322"/>
      <c r="FP423" s="286"/>
      <c r="FQ423" s="308"/>
      <c r="FR423" s="301"/>
      <c r="FS423" s="308"/>
      <c r="FT42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3" s="314">
        <f ca="1">IF(Table1[[#This Row],[Status Izin]]="Selesai",Table1[[#This Row],[PLAN PERMIT
finish]]-Table1[[#This Row],[Tanggal Terbit/ Target Izin Terbit]],ROUNDUP(Table1[[#This Row],[PLAN PERMIT
finish]]-NOW(),0))</f>
        <v>-66</v>
      </c>
      <c r="FV42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3" s="314"/>
      <c r="FX423" s="42"/>
      <c r="FY423" s="483">
        <v>46097</v>
      </c>
      <c r="FZ423" s="483">
        <v>46066</v>
      </c>
      <c r="GA42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3" s="301">
        <v>46111</v>
      </c>
      <c r="GC423" s="322">
        <v>46087</v>
      </c>
      <c r="GD42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3" s="301">
        <v>46118</v>
      </c>
      <c r="GF423" s="322">
        <v>46087</v>
      </c>
      <c r="GG42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3" s="301">
        <v>46125</v>
      </c>
      <c r="GI423" s="301">
        <v>46131</v>
      </c>
      <c r="GJ423" s="322">
        <v>46091</v>
      </c>
      <c r="GK42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3" s="301">
        <v>46139</v>
      </c>
      <c r="GM423" s="301">
        <v>46193</v>
      </c>
      <c r="GN423" s="301">
        <v>46201</v>
      </c>
      <c r="GO423" s="300">
        <v>46269</v>
      </c>
      <c r="GP423" s="286"/>
      <c r="GQ42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23" s="301"/>
      <c r="GS423" s="301"/>
      <c r="GT423" s="324"/>
      <c r="GU423" s="314" t="str">
        <f>IF(Table1[[#This Row],[Hydro Tes Actual
(tanggal)]]&lt;&gt;"","Sudah","Belum")</f>
        <v>Belum</v>
      </c>
      <c r="GV423" s="300"/>
      <c r="GW423" s="300"/>
      <c r="GX423" s="301"/>
      <c r="GY423" s="314" t="str">
        <f>IF(Table1[[#This Row],[Interkoneksi Actual
(tanggal)]]&lt;&gt;"","Sudah","Belum")</f>
        <v>Belum</v>
      </c>
      <c r="GZ423" s="300"/>
      <c r="HA423" s="300"/>
      <c r="HB423" s="301"/>
      <c r="HC423" s="314" t="str">
        <f>IF(Table1[[#This Row],[Flushing Actual
(tanggal)]]&lt;&gt;"","Sudah","Belum")</f>
        <v>Belum</v>
      </c>
      <c r="HD423" s="301">
        <v>46204</v>
      </c>
      <c r="HE423" s="301">
        <v>46270</v>
      </c>
      <c r="HF423" s="301">
        <v>46209</v>
      </c>
      <c r="HG423" s="322"/>
      <c r="HH42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3" s="300"/>
      <c r="HJ423" s="300"/>
      <c r="HK423" s="301"/>
      <c r="HL423" s="301"/>
      <c r="HM423" s="301">
        <v>46226</v>
      </c>
      <c r="HN423" s="301">
        <v>46226</v>
      </c>
      <c r="HO423" s="300">
        <v>46287</v>
      </c>
      <c r="HP423" s="300"/>
      <c r="HQ423" s="301"/>
      <c r="HR42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3" s="301">
        <v>46234</v>
      </c>
      <c r="HT423" s="301"/>
      <c r="HU423" s="301">
        <v>46234</v>
      </c>
      <c r="HV423" s="390"/>
      <c r="HW423" s="365"/>
      <c r="HX42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3" s="42"/>
      <c r="HZ423" s="322"/>
      <c r="IA423" s="306"/>
      <c r="IB423" s="67"/>
      <c r="IC423" s="585">
        <f>IFERROR(ROUND((Table1[[#This Row],[PLAN TC
finish]]-Table1[[#This Row],[PLAN MC-0
start]])/30,2),"")</f>
        <v>2.8</v>
      </c>
      <c r="ID423">
        <f>DATEDIF(Table1[[#This Row],[PLAN MC-0
start]],Table1[[#This Row],[PLAN TC
finish]],"m")</f>
        <v>2</v>
      </c>
      <c r="IE423" s="6"/>
      <c r="IF423" s="6"/>
      <c r="IG423" s="67"/>
      <c r="II423" s="6"/>
      <c r="IJ423" s="4"/>
      <c r="IK423" s="4"/>
      <c r="IL423" s="6"/>
      <c r="IM423" s="6"/>
      <c r="IN423" s="6"/>
      <c r="IO423" s="6"/>
      <c r="IP423" s="6"/>
      <c r="IR423" s="6"/>
      <c r="IS423" s="6"/>
      <c r="IT423" s="6"/>
      <c r="IU423" s="6"/>
      <c r="IX423" s="6"/>
      <c r="IY423" s="6"/>
      <c r="JA423" s="6"/>
      <c r="JB423" s="6"/>
    </row>
    <row r="424" spans="2:262" ht="15" customHeight="1" x14ac:dyDescent="0.25">
      <c r="B424" s="281">
        <f>SUBTOTAL(3,$D$5:D424)</f>
        <v>420</v>
      </c>
      <c r="C424" s="286">
        <v>420</v>
      </c>
      <c r="D424" s="285" t="s">
        <v>673</v>
      </c>
      <c r="E424" s="308" t="s">
        <v>3357</v>
      </c>
      <c r="F424" s="308" t="s">
        <v>3358</v>
      </c>
      <c r="G424" s="319">
        <v>46300</v>
      </c>
      <c r="H424" s="308" t="s">
        <v>681</v>
      </c>
      <c r="I424" s="308" t="s">
        <v>278</v>
      </c>
      <c r="J424" s="450"/>
      <c r="K424" s="308"/>
      <c r="L424" s="286"/>
      <c r="M424" s="325" t="s">
        <v>251</v>
      </c>
      <c r="N424" s="477">
        <v>706</v>
      </c>
      <c r="O424" s="31" t="s">
        <v>252</v>
      </c>
      <c r="P42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4" s="35">
        <v>0.20845496254675819</v>
      </c>
      <c r="S424" s="297">
        <f>_xlfn.XLOOKUP(Table1[[#This Row],[Nama Program]],'[2]Summary Plan'!$E:$E,'[2]Summary Plan'!$M:$M)</f>
        <v>0.22626816781162712</v>
      </c>
      <c r="T424" s="128">
        <f>Table1[[#This Row],[Progres Total Aktual
(%)]]</f>
        <v>0.18788796516475681</v>
      </c>
      <c r="U424" s="103">
        <f>Table1[[#This Row],[Progres Aktual
(%)]]-Table1[[#This Row],[Target Progres
(%)]]</f>
        <v>-3.8380202646870309E-2</v>
      </c>
      <c r="V424" s="75">
        <v>705</v>
      </c>
      <c r="W424" s="75">
        <f>Table1[[#This Row],[Total Panjang Pipa Aktual
(Sum-&gt;)3]]</f>
        <v>48</v>
      </c>
      <c r="X424" s="99"/>
      <c r="Y424" s="62" t="s">
        <v>3359</v>
      </c>
      <c r="Z424" s="62">
        <v>1008009930</v>
      </c>
      <c r="AA424" s="479">
        <f>ROUND((Table1[[#This Row],[Nilai RAB Jaringan
(Exclude Ppn)]]-Table1[[#This Row],[RAB Perizinan]])*1.11+Table1[[#This Row],[RAB Perizinan]],0)</f>
        <v>1008009929</v>
      </c>
      <c r="AB424" s="453">
        <f>SUM(Table1[[#This Row],[RAB Kegiatan Umum]:[RAB Perizinan]])</f>
        <v>908816693</v>
      </c>
      <c r="AC424" s="507">
        <v>58431761</v>
      </c>
      <c r="AD424" s="507">
        <v>584317608</v>
      </c>
      <c r="AE424" s="507">
        <v>259007324</v>
      </c>
      <c r="AF424" s="507">
        <v>7060000</v>
      </c>
      <c r="AG424" s="504"/>
      <c r="AH424" s="480">
        <f>SUM(Table1[[#This Row],[Bobot Keg Umum]:[Bobot Perizinan]])</f>
        <v>1</v>
      </c>
      <c r="AI424" s="480">
        <f>Table1[[#This Row],[RAB Kegiatan Umum]]/Table1[[#This Row],[Nilai RAB Jaringan
(Exclude Ppn)]]</f>
        <v>6.4294330694033591E-2</v>
      </c>
      <c r="AJ424" s="480">
        <f>Table1[[#This Row],[RAB Pemasangan]]/Table1[[#This Row],[Nilai RAB Jaringan
(Exclude Ppn)]]</f>
        <v>0.64294330473967209</v>
      </c>
      <c r="AK424" s="111">
        <f>Table1[[#This Row],[RAB Pengadaan]]/Table1[[#This Row],[Nilai RAB Jaringan
(Exclude Ppn)]]</f>
        <v>0.28499402134111107</v>
      </c>
      <c r="AL424" s="112">
        <f>Table1[[#This Row],[RAB Perizinan]]/Table1[[#This Row],[Nilai RAB Jaringan
(Exclude Ppn)]]</f>
        <v>7.7683432251832545E-3</v>
      </c>
      <c r="AM424" s="42"/>
      <c r="AN424" s="256"/>
      <c r="AO424" s="256">
        <f>SUM(Table1[[#This Row],[Pipa 63 mm]:[Pipa 1,800 mm]])</f>
        <v>705</v>
      </c>
      <c r="AP424" s="256">
        <v>705</v>
      </c>
      <c r="AQ424" s="256"/>
      <c r="AR424" s="256"/>
      <c r="AS424" s="256"/>
      <c r="AT424" s="256"/>
      <c r="AU424" s="256"/>
      <c r="AV424" s="256"/>
      <c r="AW424" s="256"/>
      <c r="AX424" s="256"/>
      <c r="AY424" s="256"/>
      <c r="AZ424" s="256"/>
      <c r="BA424" s="256"/>
      <c r="BB424" s="256"/>
      <c r="BC424" s="256"/>
      <c r="BD424" s="256"/>
      <c r="BE424" s="256"/>
      <c r="BF424" s="256"/>
      <c r="BG424" s="256"/>
      <c r="BH424" s="256"/>
      <c r="BI424" s="256"/>
      <c r="BJ424" s="36">
        <f>SUM(Table1[[#This Row],[Pipa 63 mm2]:[Pipa 1,800 mm21]])</f>
        <v>48</v>
      </c>
      <c r="BK424" s="32">
        <v>48</v>
      </c>
      <c r="BL424" s="32"/>
      <c r="BM424" s="32"/>
      <c r="BN424" s="32"/>
      <c r="BO424" s="32"/>
      <c r="BP424" s="32"/>
      <c r="BQ424" s="32"/>
      <c r="BR424" s="32"/>
      <c r="BS424" s="32"/>
      <c r="BT424" s="32"/>
      <c r="BU424" s="32"/>
      <c r="BV424" s="32"/>
      <c r="BW424" s="32"/>
      <c r="BX424" s="32"/>
      <c r="BY424" s="32"/>
      <c r="BZ424" s="32"/>
      <c r="CA424" s="32"/>
      <c r="CB424" s="32"/>
      <c r="CC424" s="32"/>
      <c r="CD424" s="32"/>
      <c r="CE424" s="32"/>
      <c r="CF424" s="32"/>
      <c r="CG424" s="32"/>
      <c r="CH424" s="32"/>
      <c r="CI424" s="32"/>
      <c r="CJ424" s="32">
        <f>IF((Table1[[#This Row],["Volume
BA MC-0"]]-Table1[[#This Row],[Total Panjang Pipa Aktual
(Sum-&gt;)3]]-Table1[[#This Row],[Total Volume
tidak dapat dipasang]])&gt;=0,Table1[[#This Row],["Volume
BA MC-0"]]-Table1[[#This Row],[Total Panjang Pipa Aktual
(Sum-&gt;)3]]-Table1[[#This Row],[Total Volume
tidak dapat dipasang]],0)</f>
        <v>0</v>
      </c>
      <c r="CK424" s="42"/>
      <c r="CL424" s="113"/>
      <c r="CM424" s="307"/>
      <c r="CN424" s="113"/>
      <c r="CO424" s="113"/>
      <c r="CP424"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0.18788796516475681</v>
      </c>
      <c r="CQ424" s="406">
        <f>IFERROR(Table1[[#This Row],[Progres Keg. Umum
(%)]]*Table1[[#This Row],[Nilai RAB Jaringan
(file pa aji)]],0)</f>
        <v>0</v>
      </c>
      <c r="CR424" s="406">
        <f>IFERROR(Table1[[#This Row],[Progres MOS
(%)]]*Table1[[#This Row],[Nilai RAB Jaringan
(file pa aji)]],0)</f>
        <v>0</v>
      </c>
      <c r="CS424" s="406">
        <f>IFERROR(Table1[[#This Row],[Progres Pemasangan
(%)]]*Table1[[#This Row],[Nilai RAB Jaringan
(file pa aji)]],0)</f>
        <v>0</v>
      </c>
      <c r="CT424" s="406">
        <f>IFERROR(Table1[[#This Row],[Progres Perizinan
(%)]]*Table1[[#This Row],[Nilai RAB Jaringan
(file pa aji)]],0)</f>
        <v>0</v>
      </c>
      <c r="CU424" s="789">
        <v>189392934.42568099</v>
      </c>
      <c r="CV424" s="299">
        <v>189392934.42568099</v>
      </c>
      <c r="CW424" s="481">
        <v>0</v>
      </c>
      <c r="CX424" s="789">
        <f>_xlfn.XLOOKUP(Table1[[#This Row],[Kode Program]],'[1]Breakdown VOWD Greenfield'!$E:$E,'[1]Breakdown VOWD Greenfield'!$AT:$AT)</f>
        <v>0</v>
      </c>
      <c r="CY424" s="42"/>
      <c r="CZ424" s="301">
        <v>46048</v>
      </c>
      <c r="DA424" s="301">
        <v>46075</v>
      </c>
      <c r="DB424" s="301">
        <v>46021</v>
      </c>
      <c r="DC424" s="286" t="s">
        <v>3360</v>
      </c>
      <c r="DD424" s="478">
        <v>21698050262.23</v>
      </c>
      <c r="DE42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4" s="301">
        <v>46042</v>
      </c>
      <c r="DG424" s="286" t="s">
        <v>3361</v>
      </c>
      <c r="DH424" s="478">
        <v>21698050262.23</v>
      </c>
      <c r="DI42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4" s="301">
        <v>46076</v>
      </c>
      <c r="DK424" s="301">
        <v>46173</v>
      </c>
      <c r="DL424" s="301">
        <v>46062</v>
      </c>
      <c r="DM424" s="286" t="s">
        <v>3362</v>
      </c>
      <c r="DN42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4" s="301">
        <v>46086</v>
      </c>
      <c r="DP424" s="286"/>
      <c r="DQ424" s="308" t="s">
        <v>312</v>
      </c>
      <c r="DR42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4" s="301">
        <v>46076</v>
      </c>
      <c r="DT424" s="301">
        <v>46164</v>
      </c>
      <c r="DU424" s="301">
        <v>46117</v>
      </c>
      <c r="DV424" s="301">
        <v>46178</v>
      </c>
      <c r="DW424" s="301">
        <v>46062</v>
      </c>
      <c r="DX424" t="s">
        <v>3363</v>
      </c>
      <c r="DY424" s="482">
        <v>47</v>
      </c>
      <c r="DZ424" s="482">
        <v>47</v>
      </c>
      <c r="EA42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4" s="301"/>
      <c r="EC424" s="304">
        <v>47</v>
      </c>
      <c r="ED424" s="304">
        <v>47</v>
      </c>
      <c r="EE424"/>
      <c r="EF424" s="307">
        <v>1</v>
      </c>
      <c r="EG424" s="307">
        <f>Table1[[#This Row],[Line PO]]/Table1[[#This Row],[Line PR]]</f>
        <v>1</v>
      </c>
      <c r="EH424" s="286" t="str">
        <f>IF(Table1[[#This Row],[PO Material Aktual 
(%)]]&gt;=100%,"Selesai PO = 100%",IF(Table1[[#This Row],[PO Material Aktual 
(%)]]&gt;=50%,"Proses PO &gt; 100%",IF(Table1[[#This Row],[PO Material Aktual 
(%)]]&gt;0%,"Proses PO &gt; 50%",IF(Table1[[#This Row],[PO Material Aktual 
(%)]]=0,"Belum PO = 0%"))))</f>
        <v>Selesai PO = 100%</v>
      </c>
      <c r="EI42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4" s="301">
        <v>46118</v>
      </c>
      <c r="EK424" s="301">
        <v>46178</v>
      </c>
      <c r="EL424" s="301">
        <v>46201</v>
      </c>
      <c r="EM424" s="301">
        <v>46183</v>
      </c>
      <c r="EN424" s="301"/>
      <c r="EO424" s="482">
        <v>26</v>
      </c>
      <c r="EP424" s="482">
        <v>26</v>
      </c>
      <c r="EQ424" s="307">
        <v>0.55319148936170215</v>
      </c>
      <c r="ER424" s="307">
        <f>Table1[[#This Row],[Line MOS]]/Table1[[#This Row],[Line PR]]</f>
        <v>0.55319148936170215</v>
      </c>
      <c r="ES424" s="286" t="str">
        <f>IF(Table1[[#This Row],[Progres MOS]]&gt;=100%,"Selesai MOS = 100%",IF(Table1[[#This Row],[Progres MOS]]&gt;=50%,"Proses MOS &gt; 100%",IF(Table1[[#This Row],[Progres MOS]]&gt;0%,"Proses MOS &gt; 50%",IF(Table1[[#This Row],[Progres MOS]]=0,"Belum MOS = 0%"))))</f>
        <v>Proses MOS &gt; 100%</v>
      </c>
      <c r="ET42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4" s="42"/>
      <c r="EV424" s="301">
        <v>46076</v>
      </c>
      <c r="EW424" s="301">
        <v>46156</v>
      </c>
      <c r="EX424" s="301">
        <v>46201</v>
      </c>
      <c r="EY424" s="301">
        <v>46186</v>
      </c>
      <c r="EZ424" s="322" t="s">
        <v>3302</v>
      </c>
      <c r="FA424" s="379" t="s">
        <v>3302</v>
      </c>
      <c r="FB424" s="301" t="e">
        <v>#N/A</v>
      </c>
      <c r="FC424" s="300" t="e">
        <v>#N/A</v>
      </c>
      <c r="FD424" s="301" t="e">
        <v>#N/A</v>
      </c>
      <c r="FE424" s="301" t="e">
        <v>#N/A</v>
      </c>
      <c r="FF424" s="301" t="e">
        <v>#N/A</v>
      </c>
      <c r="FG424" s="301" t="e">
        <v>#N/A</v>
      </c>
      <c r="FH424" s="301" t="e">
        <v>#N/A</v>
      </c>
      <c r="FI424" s="301" t="e">
        <v>#N/A</v>
      </c>
      <c r="FJ424" s="301" t="e">
        <v>#N/A</v>
      </c>
      <c r="FK424" s="301" t="e">
        <v>#N/A</v>
      </c>
      <c r="FL424" s="322" t="s">
        <v>2780</v>
      </c>
      <c r="FM424" s="322"/>
      <c r="FN424" s="308" t="str">
        <f>IF(Table1[[#This Row],[Tanggal Pengajuan Dokumen]]="","",Table1[[#This Row],[PLAN PERMIT
start]]-Table1[[#This Row],[Tanggal Pengajuan Dokumen]])</f>
        <v/>
      </c>
      <c r="FO424" s="322"/>
      <c r="FP424" s="286"/>
      <c r="FQ424" s="308"/>
      <c r="FR424" s="301"/>
      <c r="FS424" s="308"/>
      <c r="FT42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4" s="314">
        <f ca="1">IF(Table1[[#This Row],[Status Izin]]="Selesai",Table1[[#This Row],[PLAN PERMIT
finish]]-Table1[[#This Row],[Tanggal Terbit/ Target Izin Terbit]],ROUNDUP(Table1[[#This Row],[PLAN PERMIT
finish]]-NOW(),0))</f>
        <v>-3</v>
      </c>
      <c r="FV42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4" s="314"/>
      <c r="FX424" s="42"/>
      <c r="FY424" s="483">
        <v>46160</v>
      </c>
      <c r="FZ424" s="483">
        <v>46066</v>
      </c>
      <c r="GA42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4" s="301">
        <v>46174</v>
      </c>
      <c r="GC424" s="322">
        <v>46090</v>
      </c>
      <c r="GD42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4" s="301">
        <v>46181</v>
      </c>
      <c r="GF424" s="322">
        <v>46090</v>
      </c>
      <c r="GG42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4" s="301">
        <v>46188</v>
      </c>
      <c r="GI424" s="301">
        <v>46194</v>
      </c>
      <c r="GJ424" s="322">
        <v>46092</v>
      </c>
      <c r="GK42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4" s="301">
        <v>46202</v>
      </c>
      <c r="GM424" s="301">
        <v>46193</v>
      </c>
      <c r="GN424" s="301">
        <v>46222</v>
      </c>
      <c r="GO424" s="300">
        <v>46241</v>
      </c>
      <c r="GP424" s="286"/>
      <c r="GQ42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4" s="301"/>
      <c r="GS424" s="301"/>
      <c r="GT424" s="324"/>
      <c r="GU424" s="314" t="str">
        <f>IF(Table1[[#This Row],[Hydro Tes Actual
(tanggal)]]&lt;&gt;"","Sudah","Belum")</f>
        <v>Belum</v>
      </c>
      <c r="GV424" s="300"/>
      <c r="GW424" s="300"/>
      <c r="GX424" s="301"/>
      <c r="GY424" s="314" t="str">
        <f>IF(Table1[[#This Row],[Interkoneksi Actual
(tanggal)]]&lt;&gt;"","Sudah","Belum")</f>
        <v>Belum</v>
      </c>
      <c r="GZ424" s="300"/>
      <c r="HA424" s="300"/>
      <c r="HB424" s="301"/>
      <c r="HC424" s="314" t="str">
        <f>IF(Table1[[#This Row],[Flushing Actual
(tanggal)]]&lt;&gt;"","Sudah","Belum")</f>
        <v>Belum</v>
      </c>
      <c r="HD424" s="301">
        <v>46225</v>
      </c>
      <c r="HE424" s="301">
        <v>46242</v>
      </c>
      <c r="HF424" s="301">
        <v>46230</v>
      </c>
      <c r="HG424" s="322"/>
      <c r="HH42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4" s="300"/>
      <c r="HJ424" s="300"/>
      <c r="HK424" s="301"/>
      <c r="HL424" s="301"/>
      <c r="HM424" s="301">
        <v>46247</v>
      </c>
      <c r="HN424" s="301">
        <v>46247</v>
      </c>
      <c r="HO424" s="300">
        <v>46259</v>
      </c>
      <c r="HP424" s="300"/>
      <c r="HQ424" s="301"/>
      <c r="HR42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4" s="301">
        <v>46255</v>
      </c>
      <c r="HT424" s="301"/>
      <c r="HU424" s="301">
        <v>46255</v>
      </c>
      <c r="HV424" s="390"/>
      <c r="HW424" s="365"/>
      <c r="HX42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4" s="42"/>
      <c r="HZ424" s="322"/>
      <c r="IA424" s="306"/>
      <c r="IB424" s="67"/>
      <c r="IC424" s="585">
        <f>IFERROR(ROUND((Table1[[#This Row],[PLAN TC
finish]]-Table1[[#This Row],[PLAN MC-0
start]])/30,2),"")</f>
        <v>1.4</v>
      </c>
      <c r="ID424">
        <f>DATEDIF(Table1[[#This Row],[PLAN MC-0
start]],Table1[[#This Row],[PLAN TC
finish]],"m")</f>
        <v>1</v>
      </c>
      <c r="IE424" s="6"/>
      <c r="IF424" s="6"/>
      <c r="IG424" s="67"/>
      <c r="II424" s="6"/>
      <c r="IJ424" s="4"/>
      <c r="IK424" s="4"/>
      <c r="IL424" s="6"/>
      <c r="IM424" s="6"/>
      <c r="IN424" s="6"/>
      <c r="IO424" s="6"/>
      <c r="IP424" s="6"/>
      <c r="IR424" s="6"/>
      <c r="IS424" s="6"/>
      <c r="IT424" s="6"/>
      <c r="IU424" s="6"/>
      <c r="IX424" s="6"/>
      <c r="IY424" s="6"/>
      <c r="JA424" s="6"/>
      <c r="JB424" s="6"/>
    </row>
    <row r="425" spans="2:262" ht="15" customHeight="1" x14ac:dyDescent="0.25">
      <c r="B425" s="281">
        <f>SUBTOTAL(3,$D$5:D425)</f>
        <v>421</v>
      </c>
      <c r="C425" s="286">
        <v>421</v>
      </c>
      <c r="D425" s="285" t="s">
        <v>673</v>
      </c>
      <c r="E425" s="308" t="s">
        <v>3364</v>
      </c>
      <c r="F425" s="308" t="s">
        <v>3365</v>
      </c>
      <c r="G425" s="319">
        <v>46300</v>
      </c>
      <c r="H425" s="308" t="s">
        <v>681</v>
      </c>
      <c r="I425" s="308" t="s">
        <v>278</v>
      </c>
      <c r="J425" s="450"/>
      <c r="K425" s="308"/>
      <c r="L425" s="286"/>
      <c r="M425" s="325" t="s">
        <v>251</v>
      </c>
      <c r="N425" s="477">
        <v>772</v>
      </c>
      <c r="O425" s="31" t="s">
        <v>252</v>
      </c>
      <c r="P42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5" s="35">
        <v>0.13184227045610944</v>
      </c>
      <c r="S425" s="297">
        <f>_xlfn.XLOOKUP(Table1[[#This Row],[Nama Program]],'[2]Summary Plan'!$E:$E,'[2]Summary Plan'!$M:$M)</f>
        <v>0.14323366684343036</v>
      </c>
      <c r="T425" s="128">
        <f>Table1[[#This Row],[Progres Total Aktual
(%)]]</f>
        <v>0.10722386820515817</v>
      </c>
      <c r="U425" s="103">
        <f>Table1[[#This Row],[Progres Aktual
(%)]]-Table1[[#This Row],[Target Progres
(%)]]</f>
        <v>-3.6009798638272195E-2</v>
      </c>
      <c r="V425" s="75">
        <v>821</v>
      </c>
      <c r="W425" s="75">
        <f>Table1[[#This Row],[Total Panjang Pipa Aktual
(Sum-&gt;)3]]</f>
        <v>0</v>
      </c>
      <c r="X425" s="99"/>
      <c r="Y425" s="62" t="s">
        <v>3366</v>
      </c>
      <c r="Z425" s="62">
        <v>870569306</v>
      </c>
      <c r="AA425" s="479">
        <f>ROUND((Table1[[#This Row],[Nilai RAB Jaringan
(Exclude Ppn)]]-Table1[[#This Row],[RAB Perizinan]])*1.11+Table1[[#This Row],[RAB Perizinan]],0)</f>
        <v>870569306</v>
      </c>
      <c r="AB425" s="453">
        <f>SUM(Table1[[#This Row],[RAB Kegiatan Umum]:[RAB Perizinan]])</f>
        <v>785061717</v>
      </c>
      <c r="AC425" s="507">
        <v>58184492</v>
      </c>
      <c r="AD425" s="507">
        <v>581844912</v>
      </c>
      <c r="AE425" s="507">
        <v>137312313</v>
      </c>
      <c r="AF425" s="507">
        <v>7720000</v>
      </c>
      <c r="AG425" s="504"/>
      <c r="AH425" s="480">
        <f>SUM(Table1[[#This Row],[Bobot Keg Umum]:[Bobot Perizinan]])</f>
        <v>1</v>
      </c>
      <c r="AI425" s="480">
        <f>Table1[[#This Row],[RAB Kegiatan Umum]]/Table1[[#This Row],[Nilai RAB Jaringan
(Exclude Ppn)]]</f>
        <v>7.4114545060665588E-2</v>
      </c>
      <c r="AJ425" s="480">
        <f>Table1[[#This Row],[RAB Pemasangan]]/Table1[[#This Row],[Nilai RAB Jaringan
(Exclude Ppn)]]</f>
        <v>0.74114544041637431</v>
      </c>
      <c r="AK425" s="111">
        <f>Table1[[#This Row],[RAB Pengadaan]]/Table1[[#This Row],[Nilai RAB Jaringan
(Exclude Ppn)]]</f>
        <v>0.17490639274160402</v>
      </c>
      <c r="AL425" s="112">
        <f>Table1[[#This Row],[RAB Perizinan]]/Table1[[#This Row],[Nilai RAB Jaringan
(Exclude Ppn)]]</f>
        <v>9.833621781356076E-3</v>
      </c>
      <c r="AM425" s="42"/>
      <c r="AN425" s="256"/>
      <c r="AO425" s="256">
        <f>SUM(Table1[[#This Row],[Pipa 63 mm]:[Pipa 1,800 mm]])</f>
        <v>818</v>
      </c>
      <c r="AP425" s="256">
        <f>35+221</f>
        <v>256</v>
      </c>
      <c r="AQ425" s="256">
        <v>562</v>
      </c>
      <c r="AR425" s="256"/>
      <c r="AS425" s="256"/>
      <c r="AT425" s="256"/>
      <c r="AU425" s="256"/>
      <c r="AV425" s="256"/>
      <c r="AW425" s="256"/>
      <c r="AX425" s="256"/>
      <c r="AY425" s="256"/>
      <c r="AZ425" s="256"/>
      <c r="BA425" s="256"/>
      <c r="BB425" s="256"/>
      <c r="BC425" s="256"/>
      <c r="BD425" s="256"/>
      <c r="BE425" s="256"/>
      <c r="BF425" s="256"/>
      <c r="BG425" s="256"/>
      <c r="BH425" s="256"/>
      <c r="BI425" s="256"/>
      <c r="BJ425" s="36">
        <f>SUM(Table1[[#This Row],[Pipa 63 mm2]:[Pipa 1,800 mm21]])</f>
        <v>0</v>
      </c>
      <c r="BK425" s="32"/>
      <c r="BL425" s="32"/>
      <c r="BM425" s="32"/>
      <c r="BN425" s="32"/>
      <c r="BO425" s="32"/>
      <c r="BP425" s="32"/>
      <c r="BQ425" s="32"/>
      <c r="BR425" s="32"/>
      <c r="BS425" s="32"/>
      <c r="BT425" s="32"/>
      <c r="BU425" s="32"/>
      <c r="BV425" s="32"/>
      <c r="BW425" s="32"/>
      <c r="BX425" s="32"/>
      <c r="BY425" s="32"/>
      <c r="BZ425" s="32"/>
      <c r="CA425" s="32"/>
      <c r="CB425" s="32"/>
      <c r="CC425" s="32"/>
      <c r="CD425" s="32"/>
      <c r="CE425" s="32"/>
      <c r="CF425" s="32"/>
      <c r="CG425" s="32"/>
      <c r="CH425" s="32"/>
      <c r="CI425" s="32"/>
      <c r="CJ425" s="32">
        <f>IF((Table1[[#This Row],["Volume
BA MC-0"]]-Table1[[#This Row],[Total Panjang Pipa Aktual
(Sum-&gt;)3]]-Table1[[#This Row],[Total Volume
tidak dapat dipasang]])&gt;=0,Table1[[#This Row],["Volume
BA MC-0"]]-Table1[[#This Row],[Total Panjang Pipa Aktual
(Sum-&gt;)3]]-Table1[[#This Row],[Total Volume
tidak dapat dipasang]],0)</f>
        <v>0</v>
      </c>
      <c r="CK425" s="42"/>
      <c r="CL425" s="113"/>
      <c r="CM425" s="307"/>
      <c r="CN425" s="113"/>
      <c r="CO425" s="113"/>
      <c r="CP425"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0.10722386820515817</v>
      </c>
      <c r="CQ425" s="406">
        <f>IFERROR(Table1[[#This Row],[Progres Keg. Umum
(%)]]*Table1[[#This Row],[Nilai RAB Jaringan
(file pa aji)]],0)</f>
        <v>0</v>
      </c>
      <c r="CR425" s="406">
        <f>IFERROR(Table1[[#This Row],[Progres MOS
(%)]]*Table1[[#This Row],[Nilai RAB Jaringan
(file pa aji)]],0)</f>
        <v>0</v>
      </c>
      <c r="CS425" s="406">
        <f>IFERROR(Table1[[#This Row],[Progres Pemasangan
(%)]]*Table1[[#This Row],[Nilai RAB Jaringan
(file pa aji)]],0)</f>
        <v>0</v>
      </c>
      <c r="CT425" s="406">
        <f>IFERROR(Table1[[#This Row],[Progres Perizinan
(%)]]*Table1[[#This Row],[Nilai RAB Jaringan
(file pa aji)]],0)</f>
        <v>0</v>
      </c>
      <c r="CU425" s="789">
        <v>93345808.530000016</v>
      </c>
      <c r="CV425" s="299">
        <v>93345808.530000016</v>
      </c>
      <c r="CW425" s="481">
        <v>0</v>
      </c>
      <c r="CX425" s="789">
        <f>_xlfn.XLOOKUP(Table1[[#This Row],[Kode Program]],'[1]Breakdown VOWD Greenfield'!$E:$E,'[1]Breakdown VOWD Greenfield'!$AT:$AT)</f>
        <v>0</v>
      </c>
      <c r="CY425" s="42"/>
      <c r="CZ425" s="301">
        <v>46048</v>
      </c>
      <c r="DA425" s="301">
        <v>46075</v>
      </c>
      <c r="DB425" s="301">
        <v>46031</v>
      </c>
      <c r="DC425" s="505" t="s">
        <v>3367</v>
      </c>
      <c r="DD425" s="478">
        <f>862849305.8+7720000</f>
        <v>870569305.79999995</v>
      </c>
      <c r="DE42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5" s="301">
        <v>46049</v>
      </c>
      <c r="DG425" s="505" t="s">
        <v>3368</v>
      </c>
      <c r="DH425" s="478">
        <f>862849305.8+7720000</f>
        <v>870569305.79999995</v>
      </c>
      <c r="DI42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5" s="301">
        <v>46076</v>
      </c>
      <c r="DK425" s="301">
        <v>46173</v>
      </c>
      <c r="DL425" s="301">
        <v>46058</v>
      </c>
      <c r="DM425" s="286" t="s">
        <v>3322</v>
      </c>
      <c r="DN42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5" s="301">
        <v>46086</v>
      </c>
      <c r="DP425" s="286"/>
      <c r="DQ425" s="308" t="s">
        <v>312</v>
      </c>
      <c r="DR42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5" s="301">
        <v>46076</v>
      </c>
      <c r="DT425" s="301">
        <v>46164</v>
      </c>
      <c r="DU425" s="301">
        <v>46117</v>
      </c>
      <c r="DV425" s="301">
        <v>46178</v>
      </c>
      <c r="DW425" s="301">
        <v>45771</v>
      </c>
      <c r="DX425" t="s">
        <v>3369</v>
      </c>
      <c r="DY425" s="482">
        <v>40</v>
      </c>
      <c r="DZ425" s="482">
        <v>40</v>
      </c>
      <c r="EA42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5" s="301">
        <v>46162</v>
      </c>
      <c r="EC425" s="482">
        <v>40</v>
      </c>
      <c r="ED425" s="482">
        <v>40</v>
      </c>
      <c r="EE425" t="s">
        <v>3370</v>
      </c>
      <c r="EF425" s="307">
        <v>1</v>
      </c>
      <c r="EG425" s="307">
        <f>Table1[[#This Row],[Line PO]]/Table1[[#This Row],[Line PR]]</f>
        <v>1</v>
      </c>
      <c r="EH425" s="286" t="str">
        <f>IF(Table1[[#This Row],[PO Material Aktual 
(%)]]&gt;=100%,"Selesai PO = 100%",IF(Table1[[#This Row],[PO Material Aktual 
(%)]]&gt;=50%,"Proses PO &gt; 100%",IF(Table1[[#This Row],[PO Material Aktual 
(%)]]&gt;0%,"Proses PO &gt; 50%",IF(Table1[[#This Row],[PO Material Aktual 
(%)]]=0,"Belum PO = 0%"))))</f>
        <v>Selesai PO = 100%</v>
      </c>
      <c r="EI42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25" s="301">
        <v>46118</v>
      </c>
      <c r="EK425" s="301">
        <v>46178</v>
      </c>
      <c r="EL425" s="301">
        <v>46201</v>
      </c>
      <c r="EM425" s="301">
        <v>46183</v>
      </c>
      <c r="EN425" s="301"/>
      <c r="EO425" s="482">
        <v>30</v>
      </c>
      <c r="EP425" s="482">
        <v>30</v>
      </c>
      <c r="EQ425" s="307">
        <v>0.75</v>
      </c>
      <c r="ER425" s="307">
        <f>Table1[[#This Row],[Line MOS]]/Table1[[#This Row],[Line PR]]</f>
        <v>0.75</v>
      </c>
      <c r="ES425" s="286" t="str">
        <f>IF(Table1[[#This Row],[Progres MOS]]&gt;=100%,"Selesai MOS = 100%",IF(Table1[[#This Row],[Progres MOS]]&gt;=50%,"Proses MOS &gt; 100%",IF(Table1[[#This Row],[Progres MOS]]&gt;0%,"Proses MOS &gt; 50%",IF(Table1[[#This Row],[Progres MOS]]=0,"Belum MOS = 0%"))))</f>
        <v>Proses MOS &gt; 100%</v>
      </c>
      <c r="ET42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5" s="42"/>
      <c r="EV425" s="301">
        <v>46076</v>
      </c>
      <c r="EW425" s="301">
        <v>46156</v>
      </c>
      <c r="EX425" s="301">
        <v>46201</v>
      </c>
      <c r="EY425" s="301">
        <v>46186</v>
      </c>
      <c r="EZ425" s="322" t="s">
        <v>3302</v>
      </c>
      <c r="FA425" s="379" t="s">
        <v>3302</v>
      </c>
      <c r="FB425" s="301" t="e">
        <v>#N/A</v>
      </c>
      <c r="FC425" s="300" t="e">
        <v>#N/A</v>
      </c>
      <c r="FD425" s="301" t="e">
        <v>#N/A</v>
      </c>
      <c r="FE425" s="301" t="e">
        <v>#N/A</v>
      </c>
      <c r="FF425" s="301" t="e">
        <v>#N/A</v>
      </c>
      <c r="FG425" s="301" t="e">
        <v>#N/A</v>
      </c>
      <c r="FH425" s="301" t="e">
        <v>#N/A</v>
      </c>
      <c r="FI425" s="301" t="e">
        <v>#N/A</v>
      </c>
      <c r="FJ425" s="301" t="e">
        <v>#N/A</v>
      </c>
      <c r="FK425" s="301" t="e">
        <v>#N/A</v>
      </c>
      <c r="FL425" s="322" t="s">
        <v>2780</v>
      </c>
      <c r="FM425" s="322"/>
      <c r="FN425" s="308" t="str">
        <f>IF(Table1[[#This Row],[Tanggal Pengajuan Dokumen]]="","",Table1[[#This Row],[PLAN PERMIT
start]]-Table1[[#This Row],[Tanggal Pengajuan Dokumen]])</f>
        <v/>
      </c>
      <c r="FO425" s="322"/>
      <c r="FP425" s="286"/>
      <c r="FQ425" s="308"/>
      <c r="FR425" s="301"/>
      <c r="FS425" s="308"/>
      <c r="FT42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5" s="314">
        <f ca="1">IF(Table1[[#This Row],[Status Izin]]="Selesai",Table1[[#This Row],[PLAN PERMIT
finish]]-Table1[[#This Row],[Tanggal Terbit/ Target Izin Terbit]],ROUNDUP(Table1[[#This Row],[PLAN PERMIT
finish]]-NOW(),0))</f>
        <v>-3</v>
      </c>
      <c r="FV42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5" s="314"/>
      <c r="FX425" s="42"/>
      <c r="FY425" s="483">
        <v>46160</v>
      </c>
      <c r="FZ425" s="483">
        <v>46066</v>
      </c>
      <c r="GA42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5" s="301">
        <v>46174</v>
      </c>
      <c r="GC425" s="322">
        <v>46090</v>
      </c>
      <c r="GD42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5" s="301">
        <v>46181</v>
      </c>
      <c r="GF425" s="322">
        <v>46090</v>
      </c>
      <c r="GG42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5" s="301">
        <v>46188</v>
      </c>
      <c r="GI425" s="301">
        <v>46194</v>
      </c>
      <c r="GJ425" s="322">
        <v>46092</v>
      </c>
      <c r="GK42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5" s="301">
        <v>46202</v>
      </c>
      <c r="GM425" s="301">
        <v>46193</v>
      </c>
      <c r="GN425" s="301">
        <v>46222</v>
      </c>
      <c r="GO425" s="300">
        <v>46241</v>
      </c>
      <c r="GP425" s="286"/>
      <c r="GQ42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5" s="301"/>
      <c r="GS425" s="301"/>
      <c r="GT425" s="324"/>
      <c r="GU425" s="314" t="str">
        <f>IF(Table1[[#This Row],[Hydro Tes Actual
(tanggal)]]&lt;&gt;"","Sudah","Belum")</f>
        <v>Belum</v>
      </c>
      <c r="GV425" s="300"/>
      <c r="GW425" s="300"/>
      <c r="GX425" s="301"/>
      <c r="GY425" s="314" t="str">
        <f>IF(Table1[[#This Row],[Interkoneksi Actual
(tanggal)]]&lt;&gt;"","Sudah","Belum")</f>
        <v>Belum</v>
      </c>
      <c r="GZ425" s="300"/>
      <c r="HA425" s="300"/>
      <c r="HB425" s="301"/>
      <c r="HC425" s="314" t="str">
        <f>IF(Table1[[#This Row],[Flushing Actual
(tanggal)]]&lt;&gt;"","Sudah","Belum")</f>
        <v>Belum</v>
      </c>
      <c r="HD425" s="301">
        <v>46225</v>
      </c>
      <c r="HE425" s="301">
        <v>46242</v>
      </c>
      <c r="HF425" s="301">
        <v>46230</v>
      </c>
      <c r="HG425" s="322"/>
      <c r="HH42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5" s="300"/>
      <c r="HJ425" s="300"/>
      <c r="HK425" s="301"/>
      <c r="HL425" s="301"/>
      <c r="HM425" s="301">
        <v>46247</v>
      </c>
      <c r="HN425" s="301">
        <v>46247</v>
      </c>
      <c r="HO425" s="300">
        <v>46259</v>
      </c>
      <c r="HP425" s="300"/>
      <c r="HQ425" s="301"/>
      <c r="HR42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5" s="301">
        <v>46255</v>
      </c>
      <c r="HT425" s="301"/>
      <c r="HU425" s="301">
        <v>46255</v>
      </c>
      <c r="HV425" s="390"/>
      <c r="HW425" s="365"/>
      <c r="HX42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5" s="42"/>
      <c r="HZ425" s="322"/>
      <c r="IA425" s="306"/>
      <c r="IB425" s="67"/>
      <c r="IC425" s="585">
        <f>IFERROR(ROUND((Table1[[#This Row],[PLAN TC
finish]]-Table1[[#This Row],[PLAN MC-0
start]])/30,2),"")</f>
        <v>1.4</v>
      </c>
      <c r="ID425">
        <f>DATEDIF(Table1[[#This Row],[PLAN MC-0
start]],Table1[[#This Row],[PLAN TC
finish]],"m")</f>
        <v>1</v>
      </c>
      <c r="IE425" s="6"/>
      <c r="IF425" s="6"/>
      <c r="IG425" s="67"/>
      <c r="II425" s="6"/>
      <c r="IJ425" s="4"/>
      <c r="IK425" s="4"/>
      <c r="IL425" s="6"/>
      <c r="IM425" s="6"/>
      <c r="IN425" s="6"/>
      <c r="IO425" s="6"/>
      <c r="IP425" s="6"/>
      <c r="IR425" s="6"/>
      <c r="IS425" s="6"/>
      <c r="IT425" s="6"/>
      <c r="IU425" s="6"/>
      <c r="IX425" s="6"/>
      <c r="IY425" s="6"/>
      <c r="JA425" s="6"/>
      <c r="JB425" s="6"/>
    </row>
    <row r="426" spans="2:262" ht="15" customHeight="1" x14ac:dyDescent="0.25">
      <c r="B426" s="281">
        <f>SUBTOTAL(3,$D$5:D426)</f>
        <v>422</v>
      </c>
      <c r="C426" s="286">
        <v>422</v>
      </c>
      <c r="D426" s="285" t="s">
        <v>673</v>
      </c>
      <c r="E426" s="308" t="s">
        <v>3371</v>
      </c>
      <c r="F426" s="308" t="s">
        <v>3372</v>
      </c>
      <c r="G426" s="319">
        <v>46300</v>
      </c>
      <c r="H426" s="308" t="s">
        <v>681</v>
      </c>
      <c r="I426" s="308" t="s">
        <v>278</v>
      </c>
      <c r="J426" s="450"/>
      <c r="K426" s="308"/>
      <c r="L426" s="286"/>
      <c r="M426" s="325" t="s">
        <v>251</v>
      </c>
      <c r="N426" s="477">
        <v>1126</v>
      </c>
      <c r="O426" s="31" t="s">
        <v>252</v>
      </c>
      <c r="P42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6" s="35">
        <v>9.5479509150201786E-2</v>
      </c>
      <c r="S426" s="297">
        <f>_xlfn.XLOOKUP(Table1[[#This Row],[Nama Program]],'[2]Summary Plan'!$E:$E,'[2]Summary Plan'!$M:$M)</f>
        <v>0.11027583749484837</v>
      </c>
      <c r="T426" s="128">
        <f>Table1[[#This Row],[Progres Total Aktual
(%)]]</f>
        <v>0.12664666783453407</v>
      </c>
      <c r="U426" s="103">
        <f>Table1[[#This Row],[Progres Aktual
(%)]]-Table1[[#This Row],[Target Progres
(%)]]</f>
        <v>1.6370830339685699E-2</v>
      </c>
      <c r="V426" s="75">
        <v>1201</v>
      </c>
      <c r="W426" s="75">
        <f>Table1[[#This Row],[Total Panjang Pipa Aktual
(Sum-&gt;)3]]</f>
        <v>0</v>
      </c>
      <c r="X426" s="99"/>
      <c r="Y426" s="62" t="s">
        <v>3373</v>
      </c>
      <c r="Z426" s="62">
        <v>1378787051</v>
      </c>
      <c r="AA426" s="479">
        <f>ROUND((Table1[[#This Row],[Nilai RAB Jaringan
(Exclude Ppn)]]-Table1[[#This Row],[RAB Perizinan]])*1.11+Table1[[#This Row],[RAB Perizinan]],0)</f>
        <v>1378787051</v>
      </c>
      <c r="AB426" s="453">
        <f>SUM(Table1[[#This Row],[RAB Kegiatan Umum]:[RAB Perizinan]])</f>
        <v>1243266352</v>
      </c>
      <c r="AC426" s="507">
        <v>85690196</v>
      </c>
      <c r="AD426" s="507">
        <v>856901953</v>
      </c>
      <c r="AE426" s="507">
        <v>289414203</v>
      </c>
      <c r="AF426" s="507">
        <v>11260000</v>
      </c>
      <c r="AG426" s="504"/>
      <c r="AH426" s="480">
        <f>SUM(Table1[[#This Row],[Bobot Keg Umum]:[Bobot Perizinan]])</f>
        <v>1</v>
      </c>
      <c r="AI426" s="480">
        <f>Table1[[#This Row],[RAB Kegiatan Umum]]/Table1[[#This Row],[Nilai RAB Jaringan
(Exclude Ppn)]]</f>
        <v>6.8923441756589904E-2</v>
      </c>
      <c r="AJ426" s="480">
        <f>Table1[[#This Row],[RAB Pemasangan]]/Table1[[#This Row],[Nilai RAB Jaringan
(Exclude Ppn)]]</f>
        <v>0.68923441193556889</v>
      </c>
      <c r="AK426" s="111">
        <f>Table1[[#This Row],[RAB Pengadaan]]/Table1[[#This Row],[Nilai RAB Jaringan
(Exclude Ppn)]]</f>
        <v>0.23278535812895546</v>
      </c>
      <c r="AL426" s="112">
        <f>Table1[[#This Row],[RAB Perizinan]]/Table1[[#This Row],[Nilai RAB Jaringan
(Exclude Ppn)]]</f>
        <v>9.0567881788857427E-3</v>
      </c>
      <c r="AM426" s="42"/>
      <c r="AN426" s="256"/>
      <c r="AO426" s="256">
        <f>SUM(Table1[[#This Row],[Pipa 63 mm]:[Pipa 1,800 mm]])</f>
        <v>1201</v>
      </c>
      <c r="AP426" s="256">
        <v>1201</v>
      </c>
      <c r="AQ426" s="256"/>
      <c r="AR426" s="256"/>
      <c r="AS426" s="256"/>
      <c r="AT426" s="256"/>
      <c r="AU426" s="256"/>
      <c r="AV426" s="256"/>
      <c r="AW426" s="256"/>
      <c r="AX426" s="256"/>
      <c r="AY426" s="256"/>
      <c r="AZ426" s="256"/>
      <c r="BA426" s="256"/>
      <c r="BB426" s="256"/>
      <c r="BC426" s="256"/>
      <c r="BD426" s="256"/>
      <c r="BE426" s="256"/>
      <c r="BF426" s="256"/>
      <c r="BG426" s="256"/>
      <c r="BH426" s="256"/>
      <c r="BI426" s="256"/>
      <c r="BJ426" s="36">
        <f>SUM(Table1[[#This Row],[Pipa 63 mm2]:[Pipa 1,800 mm21]])</f>
        <v>0</v>
      </c>
      <c r="BK426" s="32"/>
      <c r="BL426" s="32"/>
      <c r="BM426" s="32"/>
      <c r="BN426" s="32"/>
      <c r="BO426" s="32"/>
      <c r="BP426" s="32"/>
      <c r="BQ426" s="32"/>
      <c r="BR426" s="32"/>
      <c r="BS426" s="32"/>
      <c r="BT426" s="32"/>
      <c r="BU426" s="32"/>
      <c r="BV426" s="32"/>
      <c r="BW426" s="32"/>
      <c r="BX426" s="32"/>
      <c r="BY426" s="32"/>
      <c r="BZ426" s="32"/>
      <c r="CA426" s="32"/>
      <c r="CB426" s="32"/>
      <c r="CC426" s="32"/>
      <c r="CD426" s="32"/>
      <c r="CE426" s="32"/>
      <c r="CF426" s="32"/>
      <c r="CG426" s="32"/>
      <c r="CH426" s="32"/>
      <c r="CI426" s="32"/>
      <c r="CJ426" s="32">
        <f>IF((Table1[[#This Row],["Volume
BA MC-0"]]-Table1[[#This Row],[Total Panjang Pipa Aktual
(Sum-&gt;)3]]-Table1[[#This Row],[Total Volume
tidak dapat dipasang]])&gt;=0,Table1[[#This Row],["Volume
BA MC-0"]]-Table1[[#This Row],[Total Panjang Pipa Aktual
(Sum-&gt;)3]]-Table1[[#This Row],[Total Volume
tidak dapat dipasang]],0)</f>
        <v>0</v>
      </c>
      <c r="CK426" s="42"/>
      <c r="CL426" s="113"/>
      <c r="CM426" s="307"/>
      <c r="CN426" s="113"/>
      <c r="CO426" s="113"/>
      <c r="CP426" s="297">
        <f>IFERROR(IF(Table1[[#This Row],[Nilai RNA Update]]&gt;0,Table1[[#This Row],[Nilai RNA Update]]/Table1[[#This Row],[Nilai RNA Update]],IF(Table1[[#This Row],[VOWD Total
(Rp)]]=0,IF(LEFT(Table1[[#This Row],[Review PO Material BPM]],6)="Proses",Table1[[#This Row],[Progres MOS]]*80%*Table1[[#This Row],[Bobot Pengadaan]],Table1[[#This Row],[Progres MOS]]*60%*Table1[[#This Row],[Bobot Pengadaan]]),Table1[[#This Row],[VOWD Total
(Rp)]]/Table1[[#This Row],[Kontrol Nilai RAB Jaringan
(Include Ppn)]])),0)</f>
        <v>0.12664666783453407</v>
      </c>
      <c r="CQ426" s="406">
        <f>IFERROR(Table1[[#This Row],[Progres Keg. Umum
(%)]]*Table1[[#This Row],[Nilai RAB Jaringan
(file pa aji)]],0)</f>
        <v>0</v>
      </c>
      <c r="CR426" s="406">
        <f>IFERROR(Table1[[#This Row],[Progres MOS
(%)]]*Table1[[#This Row],[Nilai RAB Jaringan
(file pa aji)]],0)</f>
        <v>0</v>
      </c>
      <c r="CS426" s="406">
        <f>IFERROR(Table1[[#This Row],[Progres Pemasangan
(%)]]*Table1[[#This Row],[Nilai RAB Jaringan
(file pa aji)]],0)</f>
        <v>0</v>
      </c>
      <c r="CT426" s="406">
        <f>IFERROR(Table1[[#This Row],[Progres Perizinan
(%)]]*Table1[[#This Row],[Nilai RAB Jaringan
(file pa aji)]],0)</f>
        <v>0</v>
      </c>
      <c r="CU426" s="789">
        <v>174618785.66255379</v>
      </c>
      <c r="CV426" s="299">
        <v>174618785.66255379</v>
      </c>
      <c r="CW426" s="481">
        <v>0</v>
      </c>
      <c r="CX426" s="789">
        <f>_xlfn.XLOOKUP(Table1[[#This Row],[Kode Program]],'[1]Breakdown VOWD Greenfield'!$E:$E,'[1]Breakdown VOWD Greenfield'!$AT:$AT)</f>
        <v>0</v>
      </c>
      <c r="CY426" s="42"/>
      <c r="CZ426" s="301">
        <v>46048</v>
      </c>
      <c r="DA426" s="301">
        <v>46075</v>
      </c>
      <c r="DB426" s="301">
        <v>46031</v>
      </c>
      <c r="DC426" s="505" t="s">
        <v>3374</v>
      </c>
      <c r="DD426" s="478">
        <f>1367527050.6+11260000</f>
        <v>1378787050.5999999</v>
      </c>
      <c r="DE42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6" s="301">
        <v>46049</v>
      </c>
      <c r="DG426" s="505" t="s">
        <v>3375</v>
      </c>
      <c r="DH426" s="478">
        <f>1367527050.6+11260000</f>
        <v>1378787050.5999999</v>
      </c>
      <c r="DI42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6" s="301">
        <v>46076</v>
      </c>
      <c r="DK426" s="301">
        <v>46173</v>
      </c>
      <c r="DL426" s="301">
        <v>46059</v>
      </c>
      <c r="DM426" s="286" t="s">
        <v>3376</v>
      </c>
      <c r="DN42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6" s="301">
        <v>46086</v>
      </c>
      <c r="DP426" s="286"/>
      <c r="DQ426" s="308" t="s">
        <v>312</v>
      </c>
      <c r="DR42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6" s="301">
        <v>46076</v>
      </c>
      <c r="DT426" s="301">
        <v>46162</v>
      </c>
      <c r="DU426" s="301">
        <v>46117</v>
      </c>
      <c r="DV426" s="301">
        <v>46176</v>
      </c>
      <c r="DW426" s="301">
        <v>46060</v>
      </c>
      <c r="DX426" t="s">
        <v>3377</v>
      </c>
      <c r="DY426" s="482">
        <v>47</v>
      </c>
      <c r="DZ426" s="482">
        <v>47</v>
      </c>
      <c r="EA42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6" s="301"/>
      <c r="EC426" s="304">
        <v>47</v>
      </c>
      <c r="ED426" s="304">
        <v>47</v>
      </c>
      <c r="EE426" s="100"/>
      <c r="EF426" s="307">
        <v>1</v>
      </c>
      <c r="EG426" s="307">
        <f>Table1[[#This Row],[Line PO]]/Table1[[#This Row],[Line PR]]</f>
        <v>1</v>
      </c>
      <c r="EH426" s="286" t="str">
        <f>IF(Table1[[#This Row],[PO Material Aktual 
(%)]]&gt;=100%,"Selesai PO = 100%",IF(Table1[[#This Row],[PO Material Aktual 
(%)]]&gt;=50%,"Proses PO &gt; 100%",IF(Table1[[#This Row],[PO Material Aktual 
(%)]]&gt;0%,"Proses PO &gt; 50%",IF(Table1[[#This Row],[PO Material Aktual 
(%)]]=0,"Belum PO = 0%"))))</f>
        <v>Selesai PO = 100%</v>
      </c>
      <c r="EI42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6" s="301">
        <v>46118</v>
      </c>
      <c r="EK426" s="301">
        <v>46176</v>
      </c>
      <c r="EL426" s="301">
        <v>46236</v>
      </c>
      <c r="EM426" s="301">
        <v>46190</v>
      </c>
      <c r="EN426" s="301"/>
      <c r="EO426" s="482">
        <v>18</v>
      </c>
      <c r="EP426" s="482">
        <v>18</v>
      </c>
      <c r="EQ426" s="307">
        <v>0.38297872340425532</v>
      </c>
      <c r="ER426" s="307">
        <f>Table1[[#This Row],[Line MOS]]/Table1[[#This Row],[Line PR]]</f>
        <v>0.38297872340425532</v>
      </c>
      <c r="ES426" s="286" t="str">
        <f>IF(Table1[[#This Row],[Progres MOS]]&gt;=100%,"Selesai MOS = 100%",IF(Table1[[#This Row],[Progres MOS]]&gt;=50%,"Proses MOS &gt; 100%",IF(Table1[[#This Row],[Progres MOS]]&gt;0%,"Proses MOS &gt; 50%",IF(Table1[[#This Row],[Progres MOS]]=0,"Belum MOS = 0%"))))</f>
        <v>Proses MOS &gt; 50%</v>
      </c>
      <c r="ET42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6" s="42"/>
      <c r="EV426" s="301">
        <v>46076</v>
      </c>
      <c r="EW426" s="301">
        <v>46156</v>
      </c>
      <c r="EX426" s="301">
        <v>46201</v>
      </c>
      <c r="EY426" s="301">
        <v>46186</v>
      </c>
      <c r="EZ426" s="322" t="s">
        <v>3302</v>
      </c>
      <c r="FA426" s="379" t="s">
        <v>3302</v>
      </c>
      <c r="FB426" s="301" t="e">
        <v>#N/A</v>
      </c>
      <c r="FC426" s="300" t="e">
        <v>#N/A</v>
      </c>
      <c r="FD426" s="301" t="e">
        <v>#N/A</v>
      </c>
      <c r="FE426" s="301" t="e">
        <v>#N/A</v>
      </c>
      <c r="FF426" s="301" t="e">
        <v>#N/A</v>
      </c>
      <c r="FG426" s="301" t="e">
        <v>#N/A</v>
      </c>
      <c r="FH426" s="301" t="e">
        <v>#N/A</v>
      </c>
      <c r="FI426" s="301" t="e">
        <v>#N/A</v>
      </c>
      <c r="FJ426" s="301" t="e">
        <v>#N/A</v>
      </c>
      <c r="FK426" s="301" t="e">
        <v>#N/A</v>
      </c>
      <c r="FL426" s="322" t="s">
        <v>2780</v>
      </c>
      <c r="FM426" s="322"/>
      <c r="FN426" s="308" t="str">
        <f>IF(Table1[[#This Row],[Tanggal Pengajuan Dokumen]]="","",Table1[[#This Row],[PLAN PERMIT
start]]-Table1[[#This Row],[Tanggal Pengajuan Dokumen]])</f>
        <v/>
      </c>
      <c r="FO426" s="322"/>
      <c r="FP426" s="286"/>
      <c r="FQ426" s="308"/>
      <c r="FR426" s="301"/>
      <c r="FS426" s="308"/>
      <c r="FT42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6" s="314">
        <f ca="1">IF(Table1[[#This Row],[Status Izin]]="Selesai",Table1[[#This Row],[PLAN PERMIT
finish]]-Table1[[#This Row],[Tanggal Terbit/ Target Izin Terbit]],ROUNDUP(Table1[[#This Row],[PLAN PERMIT
finish]]-NOW(),0))</f>
        <v>-3</v>
      </c>
      <c r="FV42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6" s="314"/>
      <c r="FX426" s="42"/>
      <c r="FY426" s="483">
        <v>46160</v>
      </c>
      <c r="FZ426" s="483">
        <v>46066</v>
      </c>
      <c r="GA42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6" s="301">
        <v>46174</v>
      </c>
      <c r="GC426" s="322">
        <v>46090</v>
      </c>
      <c r="GD42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6" s="301">
        <v>46181</v>
      </c>
      <c r="GF426" s="322">
        <v>46090</v>
      </c>
      <c r="GG42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6" s="301">
        <v>46188</v>
      </c>
      <c r="GI426" s="301">
        <v>46194</v>
      </c>
      <c r="GJ426" s="322">
        <v>46092</v>
      </c>
      <c r="GK42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6" s="301">
        <v>46202</v>
      </c>
      <c r="GM426" s="301">
        <v>46193</v>
      </c>
      <c r="GN426" s="301">
        <v>46222</v>
      </c>
      <c r="GO426" s="300">
        <v>46269</v>
      </c>
      <c r="GP426" s="286"/>
      <c r="GQ42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6" s="301"/>
      <c r="GS426" s="301"/>
      <c r="GT426" s="324"/>
      <c r="GU426" s="314" t="str">
        <f>IF(Table1[[#This Row],[Hydro Tes Actual
(tanggal)]]&lt;&gt;"","Sudah","Belum")</f>
        <v>Belum</v>
      </c>
      <c r="GV426" s="300"/>
      <c r="GW426" s="300"/>
      <c r="GX426" s="301"/>
      <c r="GY426" s="314" t="str">
        <f>IF(Table1[[#This Row],[Interkoneksi Actual
(tanggal)]]&lt;&gt;"","Sudah","Belum")</f>
        <v>Belum</v>
      </c>
      <c r="GZ426" s="300"/>
      <c r="HA426" s="300"/>
      <c r="HB426" s="301"/>
      <c r="HC426" s="314" t="str">
        <f>IF(Table1[[#This Row],[Flushing Actual
(tanggal)]]&lt;&gt;"","Sudah","Belum")</f>
        <v>Belum</v>
      </c>
      <c r="HD426" s="301">
        <v>46225</v>
      </c>
      <c r="HE426" s="301">
        <v>46270</v>
      </c>
      <c r="HF426" s="301">
        <v>46230</v>
      </c>
      <c r="HG426" s="322"/>
      <c r="HH42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6" s="300"/>
      <c r="HJ426" s="300"/>
      <c r="HK426" s="301"/>
      <c r="HL426" s="301"/>
      <c r="HM426" s="301">
        <v>46247</v>
      </c>
      <c r="HN426" s="301">
        <v>46247</v>
      </c>
      <c r="HO426" s="300">
        <v>46287</v>
      </c>
      <c r="HP426" s="300"/>
      <c r="HQ426" s="301"/>
      <c r="HR42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6" s="301">
        <v>46255</v>
      </c>
      <c r="HT426" s="301"/>
      <c r="HU426" s="301">
        <v>46255</v>
      </c>
      <c r="HV426" s="390"/>
      <c r="HW426" s="365"/>
      <c r="HX42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6" s="42"/>
      <c r="HZ426" s="322"/>
      <c r="IA426" s="306"/>
      <c r="IB426" s="67"/>
      <c r="IC426" s="585">
        <f>IFERROR(ROUND((Table1[[#This Row],[PLAN TC
finish]]-Table1[[#This Row],[PLAN MC-0
start]])/30,2),"")</f>
        <v>1.4</v>
      </c>
      <c r="ID426">
        <f>DATEDIF(Table1[[#This Row],[PLAN MC-0
start]],Table1[[#This Row],[PLAN TC
finish]],"m")</f>
        <v>1</v>
      </c>
      <c r="IE426" s="6"/>
      <c r="IF426" s="6"/>
      <c r="IG426" s="67"/>
      <c r="II426" s="6"/>
      <c r="IJ426" s="4"/>
      <c r="IK426" s="4"/>
      <c r="IL426" s="6"/>
      <c r="IM426" s="6"/>
      <c r="IN426" s="6"/>
      <c r="IO426" s="6"/>
      <c r="IP426" s="6"/>
      <c r="IR426" s="6"/>
      <c r="IS426" s="6"/>
      <c r="IT426" s="6"/>
      <c r="IU426" s="6"/>
      <c r="IX426" s="6"/>
      <c r="IY426" s="6"/>
      <c r="JA426" s="6"/>
      <c r="JB426" s="6"/>
    </row>
    <row r="427" spans="2:262" ht="15" customHeight="1" x14ac:dyDescent="0.25">
      <c r="B427" s="281">
        <f>SUBTOTAL(3,$D$5:D427)</f>
        <v>423</v>
      </c>
      <c r="C427" s="286">
        <v>423</v>
      </c>
      <c r="D427" s="285" t="s">
        <v>673</v>
      </c>
      <c r="E427" s="431" t="s">
        <v>3378</v>
      </c>
      <c r="F427" s="308" t="s">
        <v>3379</v>
      </c>
      <c r="G427" s="319">
        <v>46300</v>
      </c>
      <c r="H427" s="308" t="s">
        <v>681</v>
      </c>
      <c r="I427" s="431" t="s">
        <v>278</v>
      </c>
      <c r="J427" s="488"/>
      <c r="K427" s="431"/>
      <c r="L427" s="304"/>
      <c r="M427" s="449" t="s">
        <v>269</v>
      </c>
      <c r="N427" s="477">
        <v>185</v>
      </c>
      <c r="O427" s="31" t="s">
        <v>252</v>
      </c>
      <c r="P427"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7" s="35">
        <v>0.20993260543875644</v>
      </c>
      <c r="S427" s="297">
        <f>_xlfn.XLOOKUP(Table1[[#This Row],[Nama Program]],'[2]Summary Plan'!$E:$E,'[2]Summary Plan'!$M:$M)</f>
        <v>0.22784900833261551</v>
      </c>
      <c r="T427" s="129">
        <f>Table1[[#This Row],[Progres Total Aktual
(%)]]</f>
        <v>0.10211560854233809</v>
      </c>
      <c r="U427" s="104">
        <f>Table1[[#This Row],[Progres Aktual
(%)]]-Table1[[#This Row],[Target Progres
(%)]]</f>
        <v>-0.12573339979027742</v>
      </c>
      <c r="V427" s="101">
        <v>200</v>
      </c>
      <c r="W427" s="101">
        <f>Table1[[#This Row],[Total Panjang Pipa Aktual
(Sum-&gt;)3]]</f>
        <v>0</v>
      </c>
      <c r="X427" s="102"/>
      <c r="Y427" s="62" t="s">
        <v>3380</v>
      </c>
      <c r="Z427" s="62">
        <v>296736552</v>
      </c>
      <c r="AA427" s="489">
        <f>ROUND((Table1[[#This Row],[Nilai RAB Jaringan
(Exclude Ppn)]]-Table1[[#This Row],[RAB Perizinan]])*1.11+Table1[[#This Row],[RAB Perizinan]],0)</f>
        <v>296736552</v>
      </c>
      <c r="AB427" s="475">
        <f>SUM(Table1[[#This Row],[RAB Kegiatan Umum]:[RAB Perizinan]])</f>
        <v>267513560</v>
      </c>
      <c r="AC427" s="507">
        <v>17146795</v>
      </c>
      <c r="AD427" s="456">
        <f>139012109+ 32455833</f>
        <v>171467942</v>
      </c>
      <c r="AE427" s="507">
        <v>77048823</v>
      </c>
      <c r="AF427" s="507">
        <v>1850000</v>
      </c>
      <c r="AG427" s="508"/>
      <c r="AH427" s="490">
        <f>SUM(Table1[[#This Row],[Bobot Keg Umum]:[Bobot Perizinan]])</f>
        <v>1</v>
      </c>
      <c r="AI427" s="490">
        <f>Table1[[#This Row],[RAB Kegiatan Umum]]/Table1[[#This Row],[Nilai RAB Jaringan
(Exclude Ppn)]]</f>
        <v>6.4096919049636214E-2</v>
      </c>
      <c r="AJ427" s="490">
        <f>Table1[[#This Row],[RAB Pemasangan]]/Table1[[#This Row],[Nilai RAB Jaringan
(Exclude Ppn)]]</f>
        <v>0.64096916059133602</v>
      </c>
      <c r="AK427" s="491">
        <f>Table1[[#This Row],[RAB Pengadaan]]/Table1[[#This Row],[Nilai RAB Jaringan
(Exclude Ppn)]]</f>
        <v>0.28801838306813304</v>
      </c>
      <c r="AL427" s="492">
        <f>Table1[[#This Row],[RAB Perizinan]]/Table1[[#This Row],[Nilai RAB Jaringan
(Exclude Ppn)]]</f>
        <v>6.9155372908947122E-3</v>
      </c>
      <c r="AM427" s="42"/>
      <c r="AN427" s="440"/>
      <c r="AO427" s="440">
        <f>SUM(Table1[[#This Row],[Pipa 63 mm]:[Pipa 1,800 mm]])</f>
        <v>200</v>
      </c>
      <c r="AP427" s="440">
        <v>200</v>
      </c>
      <c r="AQ427" s="440"/>
      <c r="AR427" s="440"/>
      <c r="AS427" s="440"/>
      <c r="AT427" s="440"/>
      <c r="AU427" s="440"/>
      <c r="AV427" s="440"/>
      <c r="AW427" s="440"/>
      <c r="AX427" s="440"/>
      <c r="AY427" s="440"/>
      <c r="AZ427" s="440"/>
      <c r="BA427" s="440"/>
      <c r="BB427" s="440"/>
      <c r="BC427" s="440"/>
      <c r="BD427" s="440"/>
      <c r="BE427" s="440"/>
      <c r="BF427" s="440"/>
      <c r="BG427" s="440"/>
      <c r="BH427" s="440"/>
      <c r="BI427" s="440"/>
      <c r="BJ427" s="493">
        <f>SUM(Table1[[#This Row],[Pipa 63 mm2]:[Pipa 1,800 mm21]])</f>
        <v>0</v>
      </c>
      <c r="BK427" s="441"/>
      <c r="BL427" s="441"/>
      <c r="BM427" s="441"/>
      <c r="BN427" s="441"/>
      <c r="BO427" s="441"/>
      <c r="BP427" s="441"/>
      <c r="BQ427" s="441"/>
      <c r="BR427" s="441"/>
      <c r="BS427" s="441"/>
      <c r="BT427" s="441"/>
      <c r="BU427" s="441"/>
      <c r="BV427" s="441"/>
      <c r="BW427" s="441"/>
      <c r="BX427" s="441"/>
      <c r="BY427" s="441"/>
      <c r="BZ427" s="441"/>
      <c r="CA427" s="441"/>
      <c r="CB427" s="441"/>
      <c r="CC427" s="441"/>
      <c r="CD427" s="441"/>
      <c r="CE427" s="441"/>
      <c r="CF427" s="441"/>
      <c r="CG427" s="441"/>
      <c r="CH427" s="441"/>
      <c r="CI427" s="441"/>
      <c r="CJ427" s="441">
        <f>IF((Table1[[#This Row],["Volume
BA MC-0"]]-Table1[[#This Row],[Total Panjang Pipa Aktual
(Sum-&gt;)3]]-Table1[[#This Row],[Total Volume
tidak dapat dipasang]])&gt;=0,Table1[[#This Row],["Volume
BA MC-0"]]-Table1[[#This Row],[Total Panjang Pipa Aktual
(Sum-&gt;)3]]-Table1[[#This Row],[Total Volume
tidak dapat dipasang]],0)</f>
        <v>0</v>
      </c>
      <c r="CK427" s="42"/>
      <c r="CL427" s="442"/>
      <c r="CM427" s="445"/>
      <c r="CN427" s="442"/>
      <c r="CO427" s="442"/>
      <c r="CP42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0.10211560854233809</v>
      </c>
      <c r="CQ427" s="435">
        <f>IFERROR(Table1[[#This Row],[Progres Keg. Umum
(%)]]*Table1[[#This Row],[Nilai RAB Jaringan
(file pa aji)]],0)</f>
        <v>0</v>
      </c>
      <c r="CR427" s="435">
        <f>IFERROR(Table1[[#This Row],[Progres MOS
(%)]]*Table1[[#This Row],[Nilai RAB Jaringan
(file pa aji)]],0)</f>
        <v>0</v>
      </c>
      <c r="CS427" s="435">
        <f>IFERROR(Table1[[#This Row],[Progres Pemasangan
(%)]]*Table1[[#This Row],[Nilai RAB Jaringan
(file pa aji)]],0)</f>
        <v>0</v>
      </c>
      <c r="CT427" s="435">
        <f>IFERROR(Table1[[#This Row],[Progres Perizinan
(%)]]*Table1[[#This Row],[Nilai RAB Jaringan
(file pa aji)]],0)</f>
        <v>0</v>
      </c>
      <c r="CU427" s="789">
        <v>0</v>
      </c>
      <c r="CV427" s="299">
        <v>0</v>
      </c>
      <c r="CW427" s="494">
        <v>0</v>
      </c>
      <c r="CX427" s="789">
        <f>_xlfn.XLOOKUP(Table1[[#This Row],[Kode Program]],'[1]Breakdown VOWD Greenfield'!$E:$E,'[1]Breakdown VOWD Greenfield'!$AT:$AT)</f>
        <v>0</v>
      </c>
      <c r="CY427" s="42"/>
      <c r="CZ427" s="301">
        <v>46048</v>
      </c>
      <c r="DA427" s="301">
        <v>46075</v>
      </c>
      <c r="DB427" s="390">
        <v>46030</v>
      </c>
      <c r="DC427" s="505" t="s">
        <v>3381</v>
      </c>
      <c r="DD427" s="495">
        <f>294886551.6+1850000</f>
        <v>296736551.60000002</v>
      </c>
      <c r="DE42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7" s="390">
        <v>46042</v>
      </c>
      <c r="DG427" s="505" t="s">
        <v>3382</v>
      </c>
      <c r="DH427" s="495">
        <f>294886551.6+1850000</f>
        <v>296736551.60000002</v>
      </c>
      <c r="DI427"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7" s="301">
        <v>46076</v>
      </c>
      <c r="DK427" s="301">
        <v>46173</v>
      </c>
      <c r="DL427" s="301">
        <v>46058</v>
      </c>
      <c r="DM427" s="304" t="s">
        <v>3383</v>
      </c>
      <c r="DN42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7" s="301">
        <v>46086</v>
      </c>
      <c r="DP427" s="304"/>
      <c r="DQ427" s="431" t="s">
        <v>762</v>
      </c>
      <c r="DR42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7" s="301">
        <v>46076</v>
      </c>
      <c r="DT427" s="301">
        <v>46164</v>
      </c>
      <c r="DU427" s="301">
        <v>46117</v>
      </c>
      <c r="DV427" s="301">
        <v>46178</v>
      </c>
      <c r="DW427" s="301">
        <v>46058</v>
      </c>
      <c r="DX427" t="s">
        <v>3384</v>
      </c>
      <c r="DY427" s="304">
        <v>22</v>
      </c>
      <c r="DZ427" s="304">
        <v>22</v>
      </c>
      <c r="EA42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7" s="390"/>
      <c r="EC427" s="302">
        <v>21</v>
      </c>
      <c r="ED427" s="302">
        <v>21</v>
      </c>
      <c r="EE427" s="496"/>
      <c r="EF427" s="445">
        <v>0.95454545454545459</v>
      </c>
      <c r="EG427" s="307">
        <f>Table1[[#This Row],[Line PO]]/Table1[[#This Row],[Line PR]]</f>
        <v>0.95454545454545459</v>
      </c>
      <c r="EH427" s="286" t="str">
        <f>IF(Table1[[#This Row],[PO Material Aktual 
(%)]]&gt;=100%,"Selesai PO = 100%",IF(Table1[[#This Row],[PO Material Aktual 
(%)]]&gt;=50%,"Proses PO &gt; 100%",IF(Table1[[#This Row],[PO Material Aktual 
(%)]]&gt;0%,"Proses PO &gt; 50%",IF(Table1[[#This Row],[PO Material Aktual 
(%)]]=0,"Belum PO = 0%"))))</f>
        <v>Proses PO &gt; 100%</v>
      </c>
      <c r="EI42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7" s="301">
        <v>46118</v>
      </c>
      <c r="EK427" s="301">
        <v>46178</v>
      </c>
      <c r="EL427" s="301">
        <v>46201</v>
      </c>
      <c r="EM427" s="390">
        <v>46183</v>
      </c>
      <c r="EN427" s="390"/>
      <c r="EO427" s="302">
        <v>13</v>
      </c>
      <c r="EP427" s="302">
        <v>13</v>
      </c>
      <c r="EQ427" s="307">
        <v>0.59090909090909094</v>
      </c>
      <c r="ER427" s="307">
        <f>Table1[[#This Row],[Line MOS (kolom bantu)]]/Table1[[#This Row],[Line PR]]</f>
        <v>0.59090909090909094</v>
      </c>
      <c r="ES427" s="286" t="str">
        <f>IF(Table1[[#This Row],[Progres MOS]]&gt;=100%,"Selesai MOS = 100%",IF(Table1[[#This Row],[Progres MOS]]&gt;=50%,"Proses MOS &gt; 100%",IF(Table1[[#This Row],[Progres MOS]]&gt;0%,"Proses MOS &gt; 50%",IF(Table1[[#This Row],[Progres MOS]]=0,"Belum MOS = 0%"))))</f>
        <v>Proses MOS &gt; 100%</v>
      </c>
      <c r="ET42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27" s="42"/>
      <c r="EV427" s="301">
        <v>46076</v>
      </c>
      <c r="EW427" s="301">
        <v>46156</v>
      </c>
      <c r="EX427" s="301">
        <v>46201</v>
      </c>
      <c r="EY427" s="390">
        <v>46186</v>
      </c>
      <c r="EZ427" s="447" t="s">
        <v>2769</v>
      </c>
      <c r="FA427" s="379" t="s">
        <v>2769</v>
      </c>
      <c r="FB427" s="390" t="e">
        <v>#N/A</v>
      </c>
      <c r="FC427" s="300" t="e">
        <v>#N/A</v>
      </c>
      <c r="FD427" s="390" t="e">
        <v>#N/A</v>
      </c>
      <c r="FE427" s="390" t="e">
        <v>#N/A</v>
      </c>
      <c r="FF427" s="390" t="e">
        <v>#N/A</v>
      </c>
      <c r="FG427" s="390" t="e">
        <v>#N/A</v>
      </c>
      <c r="FH427" s="390" t="e">
        <v>#N/A</v>
      </c>
      <c r="FI427" s="390" t="e">
        <v>#N/A</v>
      </c>
      <c r="FJ427" s="390" t="e">
        <v>#N/A</v>
      </c>
      <c r="FK427" s="390" t="e">
        <v>#N/A</v>
      </c>
      <c r="FL427" s="322" t="s">
        <v>2780</v>
      </c>
      <c r="FM427" s="447"/>
      <c r="FN427" s="431" t="str">
        <f>IF(Table1[[#This Row],[Tanggal Pengajuan Dokumen]]="","",Table1[[#This Row],[PLAN PERMIT
start]]-Table1[[#This Row],[Tanggal Pengajuan Dokumen]])</f>
        <v/>
      </c>
      <c r="FO427" s="447"/>
      <c r="FP427" s="304"/>
      <c r="FQ427" s="431"/>
      <c r="FR427" s="390"/>
      <c r="FS427" s="431"/>
      <c r="FT427"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7" s="446">
        <f ca="1">IF(Table1[[#This Row],[Status Izin]]="Selesai",Table1[[#This Row],[PLAN PERMIT
finish]]-Table1[[#This Row],[Tanggal Terbit/ Target Izin Terbit]],ROUNDUP(Table1[[#This Row],[PLAN PERMIT
finish]]-NOW(),0))</f>
        <v>-3</v>
      </c>
      <c r="FV427"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7" s="446"/>
      <c r="FX427" s="42"/>
      <c r="FY427" s="483">
        <v>46160</v>
      </c>
      <c r="FZ427" s="483">
        <v>46097</v>
      </c>
      <c r="GA42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7" s="301">
        <v>46174</v>
      </c>
      <c r="GC427" s="447">
        <v>46112</v>
      </c>
      <c r="GD427"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7" s="301">
        <v>46181</v>
      </c>
      <c r="GF427" s="447">
        <v>46112</v>
      </c>
      <c r="GG427"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7" s="301">
        <v>46188</v>
      </c>
      <c r="GI427" s="301">
        <v>46194</v>
      </c>
      <c r="GJ427" s="447">
        <v>46125</v>
      </c>
      <c r="GK427"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7" s="301">
        <v>46202</v>
      </c>
      <c r="GM427" s="301">
        <v>46193</v>
      </c>
      <c r="GN427" s="301">
        <v>46222</v>
      </c>
      <c r="GO427" s="300">
        <v>46241</v>
      </c>
      <c r="GP427" s="304"/>
      <c r="GQ427"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7" s="390"/>
      <c r="GS427" s="390"/>
      <c r="GT427" s="389"/>
      <c r="GU427" s="446" t="str">
        <f>IF(Table1[[#This Row],[Hydro Tes Actual
(tanggal)]]&lt;&gt;"","Sudah","Belum")</f>
        <v>Belum</v>
      </c>
      <c r="GV427" s="497"/>
      <c r="GW427" s="497"/>
      <c r="GX427" s="390"/>
      <c r="GY427" s="446" t="str">
        <f>IF(Table1[[#This Row],[Interkoneksi Actual
(tanggal)]]&lt;&gt;"","Sudah","Belum")</f>
        <v>Belum</v>
      </c>
      <c r="GZ427" s="497"/>
      <c r="HA427" s="497"/>
      <c r="HB427" s="390"/>
      <c r="HC427" s="446" t="str">
        <f>IF(Table1[[#This Row],[Flushing Actual
(tanggal)]]&lt;&gt;"","Sudah","Belum")</f>
        <v>Belum</v>
      </c>
      <c r="HD427" s="301">
        <v>46225</v>
      </c>
      <c r="HE427" s="301">
        <v>46242</v>
      </c>
      <c r="HF427" s="301">
        <v>46230</v>
      </c>
      <c r="HG427" s="447"/>
      <c r="HH427"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7" s="497"/>
      <c r="HJ427" s="497"/>
      <c r="HK427" s="390"/>
      <c r="HL427" s="390"/>
      <c r="HM427" s="301">
        <v>46247</v>
      </c>
      <c r="HN427" s="301">
        <v>46247</v>
      </c>
      <c r="HO427" s="300">
        <v>46259</v>
      </c>
      <c r="HP427" s="497"/>
      <c r="HQ427" s="390"/>
      <c r="HR427"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7" s="301">
        <v>46255</v>
      </c>
      <c r="HT427" s="301"/>
      <c r="HU427" s="301">
        <v>46255</v>
      </c>
      <c r="HV427" s="390"/>
      <c r="HW427" s="317"/>
      <c r="HX427"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7" s="42"/>
      <c r="HZ427" s="447"/>
      <c r="IA427" s="306"/>
      <c r="IB427" s="67"/>
      <c r="IC427" s="585">
        <f>IFERROR(ROUND((Table1[[#This Row],[PLAN TC
finish]]-Table1[[#This Row],[PLAN MC-0
start]])/30,2),"")</f>
        <v>1.4</v>
      </c>
      <c r="ID427">
        <f>DATEDIF(Table1[[#This Row],[PLAN MC-0
start]],Table1[[#This Row],[PLAN TC
finish]],"m")</f>
        <v>1</v>
      </c>
      <c r="IE427" s="6"/>
      <c r="IF427" s="6"/>
      <c r="IG427" s="67"/>
      <c r="II427" s="6"/>
      <c r="IJ427" s="4"/>
      <c r="IK427" s="4"/>
      <c r="IL427" s="6"/>
      <c r="IM427" s="6"/>
      <c r="IN427" s="6"/>
      <c r="IO427" s="6"/>
      <c r="IP427" s="6"/>
      <c r="IR427" s="6"/>
      <c r="IS427" s="6"/>
      <c r="IT427" s="6"/>
      <c r="IU427" s="6"/>
      <c r="IX427" s="6"/>
      <c r="IY427" s="6"/>
      <c r="JA427" s="6"/>
      <c r="JB427" s="6"/>
    </row>
    <row r="428" spans="2:262" ht="15" customHeight="1" x14ac:dyDescent="0.25">
      <c r="B428" s="281">
        <f>SUBTOTAL(3,$D$5:D428)</f>
        <v>424</v>
      </c>
      <c r="C428" s="286">
        <v>424</v>
      </c>
      <c r="D428" s="285" t="s">
        <v>673</v>
      </c>
      <c r="E428" s="431" t="s">
        <v>3385</v>
      </c>
      <c r="F428" s="308" t="s">
        <v>3386</v>
      </c>
      <c r="G428" s="319">
        <v>46300</v>
      </c>
      <c r="H428" s="308" t="s">
        <v>681</v>
      </c>
      <c r="I428" s="431" t="s">
        <v>278</v>
      </c>
      <c r="J428" s="488"/>
      <c r="K428" s="431"/>
      <c r="L428" s="304"/>
      <c r="M428" s="449" t="s">
        <v>269</v>
      </c>
      <c r="N428" s="477">
        <v>1245</v>
      </c>
      <c r="O428" s="31" t="s">
        <v>252</v>
      </c>
      <c r="P428"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28" s="35">
        <v>6.7947678766671127E-2</v>
      </c>
      <c r="S428" s="297">
        <f>_xlfn.XLOOKUP(Table1[[#This Row],[Nama Program]],'[2]Summary Plan'!$E:$E,'[2]Summary Plan'!$M:$M)</f>
        <v>7.8373792876341691E-2</v>
      </c>
      <c r="T428" s="129">
        <f>Table1[[#This Row],[Progres Total Aktual
(%)]]</f>
        <v>6.708203002985387E-2</v>
      </c>
      <c r="U428" s="104">
        <f>Table1[[#This Row],[Progres Aktual
(%)]]-Table1[[#This Row],[Target Progres
(%)]]</f>
        <v>-1.1291762846487821E-2</v>
      </c>
      <c r="V428" s="101">
        <v>1282</v>
      </c>
      <c r="W428" s="101">
        <f>Table1[[#This Row],[Total Panjang Pipa Aktual
(Sum-&gt;)3]]</f>
        <v>0</v>
      </c>
      <c r="X428" s="102"/>
      <c r="Y428" s="498" t="s">
        <v>3387</v>
      </c>
      <c r="Z428" s="499">
        <v>1408158270</v>
      </c>
      <c r="AA428" s="489">
        <f>ROUND((Table1[[#This Row],[Nilai RAB Jaringan
(Exclude Ppn)]]-Table1[[#This Row],[RAB Perizinan]])*1.11+Table1[[#This Row],[RAB Perizinan]],0)</f>
        <v>1408158269</v>
      </c>
      <c r="AB428" s="475">
        <f>SUM(Table1[[#This Row],[RAB Kegiatan Umum]:[RAB Perizinan]])</f>
        <v>1269844837</v>
      </c>
      <c r="AC428" s="507">
        <v>95967619</v>
      </c>
      <c r="AD428" s="456">
        <v>959676185</v>
      </c>
      <c r="AE428" s="507">
        <v>201751033</v>
      </c>
      <c r="AF428" s="507">
        <v>12450000</v>
      </c>
      <c r="AG428" s="508"/>
      <c r="AH428" s="490">
        <f>SUM(Table1[[#This Row],[Bobot Keg Umum]:[Bobot Perizinan]])</f>
        <v>1</v>
      </c>
      <c r="AI428" s="490">
        <f>Table1[[#This Row],[RAB Kegiatan Umum]]/Table1[[#This Row],[Nilai RAB Jaringan
(Exclude Ppn)]]</f>
        <v>7.5574287663934481E-2</v>
      </c>
      <c r="AJ428" s="490">
        <f>Table1[[#This Row],[RAB Pemasangan]]/Table1[[#This Row],[Nilai RAB Jaringan
(Exclude Ppn)]]</f>
        <v>0.75574287270185592</v>
      </c>
      <c r="AK428" s="491">
        <f>Table1[[#This Row],[RAB Pengadaan]]/Table1[[#This Row],[Nilai RAB Jaringan
(Exclude Ppn)]]</f>
        <v>0.15887849217596969</v>
      </c>
      <c r="AL428" s="492">
        <f>Table1[[#This Row],[RAB Perizinan]]/Table1[[#This Row],[Nilai RAB Jaringan
(Exclude Ppn)]]</f>
        <v>9.8043474582398919E-3</v>
      </c>
      <c r="AM428" s="42"/>
      <c r="AN428" s="440"/>
      <c r="AO428" s="440">
        <f>SUM(Table1[[#This Row],[Pipa 63 mm]:[Pipa 1,800 mm]])</f>
        <v>1282</v>
      </c>
      <c r="AP428" s="440">
        <v>66</v>
      </c>
      <c r="AQ428" s="440">
        <v>1216</v>
      </c>
      <c r="AR428" s="440"/>
      <c r="AS428" s="440"/>
      <c r="AT428" s="440"/>
      <c r="AU428" s="440"/>
      <c r="AV428" s="440"/>
      <c r="AW428" s="440"/>
      <c r="AX428" s="440"/>
      <c r="AY428" s="440"/>
      <c r="AZ428" s="440"/>
      <c r="BA428" s="440"/>
      <c r="BB428" s="440"/>
      <c r="BC428" s="440"/>
      <c r="BD428" s="440"/>
      <c r="BE428" s="440"/>
      <c r="BF428" s="440"/>
      <c r="BG428" s="440"/>
      <c r="BH428" s="440"/>
      <c r="BI428" s="440"/>
      <c r="BJ428" s="493">
        <f>SUM(Table1[[#This Row],[Pipa 63 mm2]:[Pipa 1,800 mm21]])</f>
        <v>0</v>
      </c>
      <c r="BK428" s="441"/>
      <c r="BL428" s="441"/>
      <c r="BM428" s="441"/>
      <c r="BN428" s="441"/>
      <c r="BO428" s="441"/>
      <c r="BP428" s="441"/>
      <c r="BQ428" s="441"/>
      <c r="BR428" s="441"/>
      <c r="BS428" s="441"/>
      <c r="BT428" s="441"/>
      <c r="BU428" s="441"/>
      <c r="BV428" s="441"/>
      <c r="BW428" s="441"/>
      <c r="BX428" s="441"/>
      <c r="BY428" s="441"/>
      <c r="BZ428" s="441"/>
      <c r="CA428" s="441"/>
      <c r="CB428" s="441"/>
      <c r="CC428" s="441"/>
      <c r="CD428" s="441"/>
      <c r="CE428" s="441"/>
      <c r="CF428" s="441"/>
      <c r="CG428" s="441"/>
      <c r="CH428" s="441"/>
      <c r="CI428" s="441"/>
      <c r="CJ428" s="441">
        <f>IF((Table1[[#This Row],["Volume
BA MC-0"]]-Table1[[#This Row],[Total Panjang Pipa Aktual
(Sum-&gt;)3]]-Table1[[#This Row],[Total Volume
tidak dapat dipasang]])&gt;=0,Table1[[#This Row],["Volume
BA MC-0"]]-Table1[[#This Row],[Total Panjang Pipa Aktual
(Sum-&gt;)3]]-Table1[[#This Row],[Total Volume
tidak dapat dipasang]],0)</f>
        <v>0</v>
      </c>
      <c r="CK428" s="42"/>
      <c r="CL428" s="442"/>
      <c r="CM428" s="445"/>
      <c r="CN428" s="442"/>
      <c r="CO428" s="442"/>
      <c r="CP42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6.708203002985387E-2</v>
      </c>
      <c r="CQ428" s="435">
        <f>IFERROR(Table1[[#This Row],[Progres Keg. Umum
(%)]]*Table1[[#This Row],[Nilai RAB Jaringan
(file pa aji)]],0)</f>
        <v>0</v>
      </c>
      <c r="CR428" s="435">
        <f>IFERROR(Table1[[#This Row],[Progres MOS
(%)]]*Table1[[#This Row],[Nilai RAB Jaringan
(file pa aji)]],0)</f>
        <v>0</v>
      </c>
      <c r="CS428" s="435">
        <f>IFERROR(Table1[[#This Row],[Progres Pemasangan
(%)]]*Table1[[#This Row],[Nilai RAB Jaringan
(file pa aji)]],0)</f>
        <v>0</v>
      </c>
      <c r="CT428" s="435">
        <f>IFERROR(Table1[[#This Row],[Progres Perizinan
(%)]]*Table1[[#This Row],[Nilai RAB Jaringan
(file pa aji)]],0)</f>
        <v>0</v>
      </c>
      <c r="CU428" s="789">
        <v>0</v>
      </c>
      <c r="CV428" s="299">
        <v>0</v>
      </c>
      <c r="CW428" s="494">
        <v>0</v>
      </c>
      <c r="CX428" s="789">
        <f>_xlfn.XLOOKUP(Table1[[#This Row],[Kode Program]],'[1]Breakdown VOWD Greenfield'!$E:$E,'[1]Breakdown VOWD Greenfield'!$AT:$AT)</f>
        <v>0</v>
      </c>
      <c r="CY428" s="42"/>
      <c r="CZ428" s="301">
        <v>46048</v>
      </c>
      <c r="DA428" s="301">
        <v>46075</v>
      </c>
      <c r="DB428" s="390">
        <v>46049</v>
      </c>
      <c r="DC428" s="505" t="s">
        <v>3388</v>
      </c>
      <c r="DD428" s="495">
        <f>12450000+1395708269</f>
        <v>1408158269</v>
      </c>
      <c r="DE42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8" s="390">
        <v>46052</v>
      </c>
      <c r="DG428" s="505" t="s">
        <v>3389</v>
      </c>
      <c r="DH428" s="495">
        <f>12450000+1395708269</f>
        <v>1408158269</v>
      </c>
      <c r="DI428"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8" s="301">
        <v>46076</v>
      </c>
      <c r="DK428" s="301">
        <v>46173</v>
      </c>
      <c r="DL428" s="301">
        <v>46065</v>
      </c>
      <c r="DM428" s="304" t="s">
        <v>3390</v>
      </c>
      <c r="DN42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8" s="301">
        <v>46086</v>
      </c>
      <c r="DP428" s="304"/>
      <c r="DQ428" s="431" t="s">
        <v>762</v>
      </c>
      <c r="DR42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8" s="301">
        <v>46076</v>
      </c>
      <c r="DT428" s="301">
        <v>46162</v>
      </c>
      <c r="DU428" s="301">
        <v>46117</v>
      </c>
      <c r="DV428" s="301">
        <v>46176</v>
      </c>
      <c r="DW428" s="301">
        <v>46065</v>
      </c>
      <c r="DX428" t="s">
        <v>3391</v>
      </c>
      <c r="DY428" s="304">
        <v>27</v>
      </c>
      <c r="DZ428" s="304">
        <v>27</v>
      </c>
      <c r="EA42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8" s="390"/>
      <c r="EC428" s="302">
        <v>24</v>
      </c>
      <c r="ED428" s="302">
        <v>24</v>
      </c>
      <c r="EE428" s="496"/>
      <c r="EF428" s="445">
        <v>0.88888888888888884</v>
      </c>
      <c r="EG428" s="307">
        <f>Table1[[#This Row],[Line PO]]/Table1[[#This Row],[Line PR]]</f>
        <v>0.88888888888888884</v>
      </c>
      <c r="EH428" s="286" t="str">
        <f>IF(Table1[[#This Row],[PO Material Aktual 
(%)]]&gt;=100%,"Selesai PO = 100%",IF(Table1[[#This Row],[PO Material Aktual 
(%)]]&gt;=50%,"Proses PO &gt; 100%",IF(Table1[[#This Row],[PO Material Aktual 
(%)]]&gt;0%,"Proses PO &gt; 50%",IF(Table1[[#This Row],[PO Material Aktual 
(%)]]=0,"Belum PO = 0%"))))</f>
        <v>Proses PO &gt; 100%</v>
      </c>
      <c r="EI42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8" s="301">
        <v>46118</v>
      </c>
      <c r="EK428" s="301">
        <v>46176</v>
      </c>
      <c r="EL428" s="301">
        <v>46236</v>
      </c>
      <c r="EM428" s="390">
        <v>46190</v>
      </c>
      <c r="EN428" s="390"/>
      <c r="EO428" s="302">
        <v>19</v>
      </c>
      <c r="EP428" s="302">
        <v>19</v>
      </c>
      <c r="EQ428" s="307">
        <v>0.70370370370370372</v>
      </c>
      <c r="ER428" s="307">
        <f>Table1[[#This Row],[Line MOS (kolom bantu)]]/Table1[[#This Row],[Line PR]]</f>
        <v>0.70370370370370372</v>
      </c>
      <c r="ES428" s="286" t="str">
        <f>IF(Table1[[#This Row],[Progres MOS]]&gt;=100%,"Selesai MOS = 100%",IF(Table1[[#This Row],[Progres MOS]]&gt;=50%,"Proses MOS &gt; 100%",IF(Table1[[#This Row],[Progres MOS]]&gt;0%,"Proses MOS &gt; 50%",IF(Table1[[#This Row],[Progres MOS]]=0,"Belum MOS = 0%"))))</f>
        <v>Proses MOS &gt; 100%</v>
      </c>
      <c r="ET42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8" s="42"/>
      <c r="EV428" s="301"/>
      <c r="EW428" s="301">
        <v>46156</v>
      </c>
      <c r="EX428" s="301"/>
      <c r="EY428" s="390">
        <v>46186</v>
      </c>
      <c r="EZ428" s="447" t="s">
        <v>2769</v>
      </c>
      <c r="FA428" s="379" t="s">
        <v>2769</v>
      </c>
      <c r="FB428" s="390" t="e">
        <v>#N/A</v>
      </c>
      <c r="FC428" s="300" t="e">
        <v>#N/A</v>
      </c>
      <c r="FD428" s="390" t="e">
        <v>#N/A</v>
      </c>
      <c r="FE428" s="390" t="e">
        <v>#N/A</v>
      </c>
      <c r="FF428" s="390" t="e">
        <v>#N/A</v>
      </c>
      <c r="FG428" s="390" t="e">
        <v>#N/A</v>
      </c>
      <c r="FH428" s="390" t="e">
        <v>#N/A</v>
      </c>
      <c r="FI428" s="390" t="e">
        <v>#N/A</v>
      </c>
      <c r="FJ428" s="390" t="e">
        <v>#N/A</v>
      </c>
      <c r="FK428" s="390" t="e">
        <v>#N/A</v>
      </c>
      <c r="FL428" s="322"/>
      <c r="FM428" s="447"/>
      <c r="FN428" s="431" t="str">
        <f>IF(Table1[[#This Row],[Tanggal Pengajuan Dokumen]]="","",Table1[[#This Row],[PLAN PERMIT
start]]-Table1[[#This Row],[Tanggal Pengajuan Dokumen]])</f>
        <v/>
      </c>
      <c r="FO428" s="447"/>
      <c r="FP428" s="304"/>
      <c r="FQ428" s="431"/>
      <c r="FR428" s="390"/>
      <c r="FS428" s="431"/>
      <c r="FT428"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8" s="446">
        <f ca="1">IF(Table1[[#This Row],[Status Izin]]="Selesai",Table1[[#This Row],[PLAN PERMIT
finish]]-Table1[[#This Row],[Tanggal Terbit/ Target Izin Terbit]],ROUNDUP(Table1[[#This Row],[PLAN PERMIT
finish]]-NOW(),0))</f>
        <v>-46204</v>
      </c>
      <c r="FV428"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8" s="446"/>
      <c r="FX428" s="42"/>
      <c r="FY428" s="483">
        <v>46160</v>
      </c>
      <c r="FZ428" s="483">
        <v>46097</v>
      </c>
      <c r="GA42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8" s="301">
        <v>46174</v>
      </c>
      <c r="GC428" s="447">
        <v>46112</v>
      </c>
      <c r="GD428"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8" s="301">
        <v>46181</v>
      </c>
      <c r="GF428" s="447">
        <v>46112</v>
      </c>
      <c r="GG428"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8" s="301">
        <v>46188</v>
      </c>
      <c r="GI428" s="301">
        <v>46194</v>
      </c>
      <c r="GJ428" s="447">
        <v>46125</v>
      </c>
      <c r="GK428"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8" s="301">
        <v>46202</v>
      </c>
      <c r="GM428" s="301">
        <v>46193</v>
      </c>
      <c r="GN428" s="301">
        <v>46222</v>
      </c>
      <c r="GO428" s="300">
        <v>46269</v>
      </c>
      <c r="GP428" s="304"/>
      <c r="GQ428"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8" s="390"/>
      <c r="GS428" s="390"/>
      <c r="GT428" s="389"/>
      <c r="GU428" s="446" t="str">
        <f>IF(Table1[[#This Row],[Hydro Tes Actual
(tanggal)]]&lt;&gt;"","Sudah","Belum")</f>
        <v>Belum</v>
      </c>
      <c r="GV428" s="497"/>
      <c r="GW428" s="497"/>
      <c r="GX428" s="390"/>
      <c r="GY428" s="446" t="str">
        <f>IF(Table1[[#This Row],[Interkoneksi Actual
(tanggal)]]&lt;&gt;"","Sudah","Belum")</f>
        <v>Belum</v>
      </c>
      <c r="GZ428" s="497"/>
      <c r="HA428" s="497"/>
      <c r="HB428" s="390"/>
      <c r="HC428" s="446" t="str">
        <f>IF(Table1[[#This Row],[Flushing Actual
(tanggal)]]&lt;&gt;"","Sudah","Belum")</f>
        <v>Belum</v>
      </c>
      <c r="HD428" s="301">
        <v>46225</v>
      </c>
      <c r="HE428" s="301">
        <v>46270</v>
      </c>
      <c r="HF428" s="301">
        <v>46230</v>
      </c>
      <c r="HG428" s="447"/>
      <c r="HH428"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8" s="497"/>
      <c r="HJ428" s="497"/>
      <c r="HK428" s="390"/>
      <c r="HL428" s="390"/>
      <c r="HM428" s="301">
        <v>46247</v>
      </c>
      <c r="HN428" s="301">
        <v>46247</v>
      </c>
      <c r="HO428" s="300">
        <v>46287</v>
      </c>
      <c r="HP428" s="497"/>
      <c r="HQ428" s="390"/>
      <c r="HR428"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8" s="301">
        <v>46255</v>
      </c>
      <c r="HT428" s="301"/>
      <c r="HU428" s="301">
        <v>46255</v>
      </c>
      <c r="HV428" s="390"/>
      <c r="HW428" s="317"/>
      <c r="HX428"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8" s="42"/>
      <c r="HZ428" s="447"/>
      <c r="IA428" s="306"/>
      <c r="IB428" s="67"/>
      <c r="IC428" s="585">
        <f>IFERROR(ROUND((Table1[[#This Row],[PLAN TC
finish]]-Table1[[#This Row],[PLAN MC-0
start]])/30,2),"")</f>
        <v>1.4</v>
      </c>
      <c r="ID428">
        <f>DATEDIF(Table1[[#This Row],[PLAN MC-0
start]],Table1[[#This Row],[PLAN TC
finish]],"m")</f>
        <v>1</v>
      </c>
      <c r="IE428" s="6"/>
      <c r="IF428" s="6"/>
      <c r="IG428" s="67"/>
      <c r="II428" s="6"/>
      <c r="IJ428" s="4"/>
      <c r="IK428" s="4"/>
      <c r="IL428" s="6"/>
      <c r="IM428" s="6"/>
      <c r="IN428" s="6"/>
      <c r="IO428" s="6"/>
      <c r="IP428" s="6"/>
      <c r="IR428" s="6"/>
      <c r="IS428" s="6"/>
      <c r="IT428" s="6"/>
      <c r="IU428" s="6"/>
      <c r="IX428" s="6"/>
      <c r="IY428" s="6"/>
      <c r="JA428" s="6"/>
      <c r="JB428" s="6"/>
    </row>
    <row r="429" spans="2:262" ht="15" customHeight="1" x14ac:dyDescent="0.25">
      <c r="B429" s="281">
        <f>SUBTOTAL(3,$D$5:D429)</f>
        <v>425</v>
      </c>
      <c r="C429" s="286">
        <v>425</v>
      </c>
      <c r="D429" s="285" t="s">
        <v>673</v>
      </c>
      <c r="E429" s="431" t="s">
        <v>3392</v>
      </c>
      <c r="F429" s="308" t="s">
        <v>3393</v>
      </c>
      <c r="G429" s="319">
        <v>46300</v>
      </c>
      <c r="H429" s="308" t="s">
        <v>681</v>
      </c>
      <c r="I429" s="431" t="s">
        <v>278</v>
      </c>
      <c r="J429" s="488"/>
      <c r="K429" s="431"/>
      <c r="L429" s="304"/>
      <c r="M429" s="449" t="s">
        <v>269</v>
      </c>
      <c r="N429" s="477">
        <v>1012</v>
      </c>
      <c r="O429" s="31" t="s">
        <v>252</v>
      </c>
      <c r="P429"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2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29" s="35">
        <v>6.794634067722341E-2</v>
      </c>
      <c r="S429" s="297">
        <f>_xlfn.XLOOKUP(Table1[[#This Row],[Nama Program]],'[2]Summary Plan'!$E:$E,'[2]Summary Plan'!$M:$M)</f>
        <v>7.8357805598068223E-2</v>
      </c>
      <c r="T429" s="129">
        <f>Table1[[#This Row],[Progres Total Aktual
(%)]]</f>
        <v>5.2970065462267395E-2</v>
      </c>
      <c r="U429" s="104">
        <f>Table1[[#This Row],[Progres Aktual
(%)]]-Table1[[#This Row],[Target Progres
(%)]]</f>
        <v>-2.5387740135800828E-2</v>
      </c>
      <c r="V429" s="101">
        <v>1041</v>
      </c>
      <c r="W429" s="101">
        <f>Table1[[#This Row],[Total Panjang Pipa Aktual
(Sum-&gt;)3]]</f>
        <v>131</v>
      </c>
      <c r="X429" s="102"/>
      <c r="Y429" s="501" t="s">
        <v>3394</v>
      </c>
      <c r="Z429" s="499">
        <v>1092475342</v>
      </c>
      <c r="AA429" s="489">
        <f>ROUND((Table1[[#This Row],[Nilai RAB Jaringan
(Exclude Ppn)]]-Table1[[#This Row],[RAB Perizinan]])*1.11+Table1[[#This Row],[RAB Perizinan]],0)</f>
        <v>1092475341</v>
      </c>
      <c r="AB429" s="475">
        <f>SUM(Table1[[#This Row],[RAB Kegiatan Umum]:[RAB Perizinan]])</f>
        <v>985214902</v>
      </c>
      <c r="AC429" s="507">
        <v>74500481</v>
      </c>
      <c r="AD429" s="456">
        <v>745004801</v>
      </c>
      <c r="AE429" s="507">
        <v>155589620</v>
      </c>
      <c r="AF429" s="507">
        <v>10120000</v>
      </c>
      <c r="AG429" s="508"/>
      <c r="AH429" s="490">
        <f>SUM(Table1[[#This Row],[Bobot Keg Umum]:[Bobot Perizinan]])</f>
        <v>1</v>
      </c>
      <c r="AI429" s="490">
        <f>Table1[[#This Row],[RAB Kegiatan Umum]]/Table1[[#This Row],[Nilai RAB Jaringan
(Exclude Ppn)]]</f>
        <v>7.5618508052165051E-2</v>
      </c>
      <c r="AJ429" s="490">
        <f>Table1[[#This Row],[RAB Pemasangan]]/Table1[[#This Row],[Nilai RAB Jaringan
(Exclude Ppn)]]</f>
        <v>0.75618507138658775</v>
      </c>
      <c r="AK429" s="491">
        <f>Table1[[#This Row],[RAB Pengadaan]]/Table1[[#This Row],[Nilai RAB Jaringan
(Exclude Ppn)]]</f>
        <v>0.15792454994758087</v>
      </c>
      <c r="AL429" s="492">
        <f>Table1[[#This Row],[RAB Perizinan]]/Table1[[#This Row],[Nilai RAB Jaringan
(Exclude Ppn)]]</f>
        <v>1.0271870613666377E-2</v>
      </c>
      <c r="AM429" s="42"/>
      <c r="AN429" s="440"/>
      <c r="AO429" s="440">
        <f>SUM(Table1[[#This Row],[Pipa 63 mm]:[Pipa 1,800 mm]])</f>
        <v>1041</v>
      </c>
      <c r="AP429" s="440">
        <v>971</v>
      </c>
      <c r="AQ429" s="440">
        <v>51</v>
      </c>
      <c r="AR429" s="440">
        <v>19</v>
      </c>
      <c r="AS429" s="440"/>
      <c r="AT429" s="440"/>
      <c r="AU429" s="440"/>
      <c r="AV429" s="440"/>
      <c r="AW429" s="440"/>
      <c r="AX429" s="440"/>
      <c r="AY429" s="440"/>
      <c r="AZ429" s="440"/>
      <c r="BA429" s="440"/>
      <c r="BB429" s="440"/>
      <c r="BC429" s="440"/>
      <c r="BD429" s="440"/>
      <c r="BE429" s="440"/>
      <c r="BF429" s="440"/>
      <c r="BG429" s="440"/>
      <c r="BH429" s="440"/>
      <c r="BI429" s="440"/>
      <c r="BJ429" s="493">
        <f>SUM(Table1[[#This Row],[Pipa 63 mm2]:[Pipa 1,800 mm21]])</f>
        <v>131</v>
      </c>
      <c r="BK429" s="441">
        <v>131</v>
      </c>
      <c r="BL429" s="441"/>
      <c r="BM429" s="441"/>
      <c r="BN429" s="441"/>
      <c r="BO429" s="441"/>
      <c r="BP429" s="441"/>
      <c r="BQ429" s="441"/>
      <c r="BR429" s="441"/>
      <c r="BS429" s="441"/>
      <c r="BT429" s="441"/>
      <c r="BU429" s="441"/>
      <c r="BV429" s="441"/>
      <c r="BW429" s="441"/>
      <c r="BX429" s="441"/>
      <c r="BY429" s="441"/>
      <c r="BZ429" s="441"/>
      <c r="CA429" s="441"/>
      <c r="CB429" s="441"/>
      <c r="CC429" s="441"/>
      <c r="CD429" s="441"/>
      <c r="CE429" s="441"/>
      <c r="CF429" s="441"/>
      <c r="CG429" s="441"/>
      <c r="CH429" s="441"/>
      <c r="CI429" s="441"/>
      <c r="CJ429" s="441">
        <f>IF((Table1[[#This Row],["Volume
BA MC-0"]]-Table1[[#This Row],[Total Panjang Pipa Aktual
(Sum-&gt;)3]]-Table1[[#This Row],[Total Volume
tidak dapat dipasang]])&gt;=0,Table1[[#This Row],["Volume
BA MC-0"]]-Table1[[#This Row],[Total Panjang Pipa Aktual
(Sum-&gt;)3]]-Table1[[#This Row],[Total Volume
tidak dapat dipasang]],0)</f>
        <v>0</v>
      </c>
      <c r="CK429" s="42"/>
      <c r="CL429" s="442"/>
      <c r="CM429" s="445"/>
      <c r="CN429" s="442"/>
      <c r="CO429" s="442"/>
      <c r="CP42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5.2970065462267395E-2</v>
      </c>
      <c r="CQ429" s="435">
        <f>IFERROR(Table1[[#This Row],[Progres Keg. Umum
(%)]]*Table1[[#This Row],[Nilai RAB Jaringan
(file pa aji)]],0)</f>
        <v>0</v>
      </c>
      <c r="CR429" s="435">
        <f>IFERROR(Table1[[#This Row],[Progres MOS
(%)]]*Table1[[#This Row],[Nilai RAB Jaringan
(file pa aji)]],0)</f>
        <v>0</v>
      </c>
      <c r="CS429" s="435">
        <f>IFERROR(Table1[[#This Row],[Progres Pemasangan
(%)]]*Table1[[#This Row],[Nilai RAB Jaringan
(file pa aji)]],0)</f>
        <v>0</v>
      </c>
      <c r="CT429" s="435">
        <f>IFERROR(Table1[[#This Row],[Progres Perizinan
(%)]]*Table1[[#This Row],[Nilai RAB Jaringan
(file pa aji)]],0)</f>
        <v>0</v>
      </c>
      <c r="CU429" s="789">
        <v>57868490.328682892</v>
      </c>
      <c r="CV429" s="299">
        <v>57868490.328682892</v>
      </c>
      <c r="CW429" s="494">
        <v>0</v>
      </c>
      <c r="CX429" s="789">
        <f>_xlfn.XLOOKUP(Table1[[#This Row],[Kode Program]],'[1]Breakdown VOWD Greenfield'!$E:$E,'[1]Breakdown VOWD Greenfield'!$AT:$AT)</f>
        <v>0</v>
      </c>
      <c r="CY429" s="42"/>
      <c r="CZ429" s="301">
        <v>46048</v>
      </c>
      <c r="DA429" s="301">
        <v>46075</v>
      </c>
      <c r="DB429" s="390">
        <v>46049</v>
      </c>
      <c r="DC429" s="505" t="s">
        <v>3395</v>
      </c>
      <c r="DD429" s="495">
        <f>10120000+1082355341</f>
        <v>1092475341</v>
      </c>
      <c r="DE42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29" s="390">
        <v>46062</v>
      </c>
      <c r="DG429" s="505" t="s">
        <v>3396</v>
      </c>
      <c r="DH429" s="495">
        <f>10120000+1082355341</f>
        <v>1092475341</v>
      </c>
      <c r="DI429"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29" s="301">
        <v>46076</v>
      </c>
      <c r="DK429" s="301">
        <v>46173</v>
      </c>
      <c r="DL429" s="301">
        <v>46066</v>
      </c>
      <c r="DM429" s="304" t="s">
        <v>3397</v>
      </c>
      <c r="DN42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29" s="301">
        <v>46086</v>
      </c>
      <c r="DP429" s="286"/>
      <c r="DQ429" s="308" t="s">
        <v>365</v>
      </c>
      <c r="DR42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29" s="301">
        <v>46076</v>
      </c>
      <c r="DT429" s="301">
        <v>46162</v>
      </c>
      <c r="DU429" s="301">
        <v>46117</v>
      </c>
      <c r="DV429" s="301">
        <v>46176</v>
      </c>
      <c r="DW429" s="301">
        <v>46066</v>
      </c>
      <c r="DX429" t="s">
        <v>3398</v>
      </c>
      <c r="DY429" s="304">
        <v>29</v>
      </c>
      <c r="DZ429" s="304">
        <v>29</v>
      </c>
      <c r="EA42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29" s="390"/>
      <c r="EC429" s="302">
        <v>27</v>
      </c>
      <c r="ED429" s="302">
        <v>27</v>
      </c>
      <c r="EE429" s="496"/>
      <c r="EF429" s="445">
        <v>0.93103448275862066</v>
      </c>
      <c r="EG429" s="307">
        <f>Table1[[#This Row],[Line PO]]/Table1[[#This Row],[Line PR]]</f>
        <v>0.93103448275862066</v>
      </c>
      <c r="EH429" s="286" t="str">
        <f>IF(Table1[[#This Row],[PO Material Aktual 
(%)]]&gt;=100%,"Selesai PO = 100%",IF(Table1[[#This Row],[PO Material Aktual 
(%)]]&gt;=50%,"Proses PO &gt; 100%",IF(Table1[[#This Row],[PO Material Aktual 
(%)]]&gt;0%,"Proses PO &gt; 50%",IF(Table1[[#This Row],[PO Material Aktual 
(%)]]=0,"Belum PO = 0%"))))</f>
        <v>Proses PO &gt; 100%</v>
      </c>
      <c r="EI42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29" s="301">
        <v>46118</v>
      </c>
      <c r="EK429" s="301">
        <v>46176</v>
      </c>
      <c r="EL429" s="301">
        <v>46236</v>
      </c>
      <c r="EM429" s="390">
        <v>46190</v>
      </c>
      <c r="EN429" s="390"/>
      <c r="EO429" s="302">
        <v>10</v>
      </c>
      <c r="EP429" s="302">
        <v>10</v>
      </c>
      <c r="EQ429" s="307">
        <v>0.34482758620689657</v>
      </c>
      <c r="ER429" s="307">
        <f>Table1[[#This Row],[Line MOS (kolom bantu)]]/Table1[[#This Row],[Line PR]]</f>
        <v>0.34482758620689657</v>
      </c>
      <c r="ES429" s="286" t="str">
        <f>IF(Table1[[#This Row],[Progres MOS]]&gt;=100%,"Selesai MOS = 100%",IF(Table1[[#This Row],[Progres MOS]]&gt;=50%,"Proses MOS &gt; 100%",IF(Table1[[#This Row],[Progres MOS]]&gt;0%,"Proses MOS &gt; 50%",IF(Table1[[#This Row],[Progres MOS]]=0,"Belum MOS = 0%"))))</f>
        <v>Proses MOS &gt; 50%</v>
      </c>
      <c r="ET42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29" s="42"/>
      <c r="EV429" s="301"/>
      <c r="EW429" s="301">
        <v>46156</v>
      </c>
      <c r="EX429" s="301"/>
      <c r="EY429" s="390">
        <v>46186</v>
      </c>
      <c r="EZ429" s="447" t="s">
        <v>2769</v>
      </c>
      <c r="FA429" s="379" t="s">
        <v>2769</v>
      </c>
      <c r="FB429" s="390" t="e">
        <v>#N/A</v>
      </c>
      <c r="FC429" s="300" t="e">
        <v>#N/A</v>
      </c>
      <c r="FD429" s="390" t="e">
        <v>#N/A</v>
      </c>
      <c r="FE429" s="390" t="e">
        <v>#N/A</v>
      </c>
      <c r="FF429" s="390" t="e">
        <v>#N/A</v>
      </c>
      <c r="FG429" s="390" t="e">
        <v>#N/A</v>
      </c>
      <c r="FH429" s="390" t="e">
        <v>#N/A</v>
      </c>
      <c r="FI429" s="390" t="e">
        <v>#N/A</v>
      </c>
      <c r="FJ429" s="390" t="e">
        <v>#N/A</v>
      </c>
      <c r="FK429" s="390" t="e">
        <v>#N/A</v>
      </c>
      <c r="FL429" s="322"/>
      <c r="FM429" s="447"/>
      <c r="FN429" s="431" t="str">
        <f>IF(Table1[[#This Row],[Tanggal Pengajuan Dokumen]]="","",Table1[[#This Row],[PLAN PERMIT
start]]-Table1[[#This Row],[Tanggal Pengajuan Dokumen]])</f>
        <v/>
      </c>
      <c r="FO429" s="447"/>
      <c r="FP429" s="304"/>
      <c r="FQ429" s="431"/>
      <c r="FR429" s="390"/>
      <c r="FS429" s="431"/>
      <c r="FT429"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29" s="446">
        <f ca="1">IF(Table1[[#This Row],[Status Izin]]="Selesai",Table1[[#This Row],[PLAN PERMIT
finish]]-Table1[[#This Row],[Tanggal Terbit/ Target Izin Terbit]],ROUNDUP(Table1[[#This Row],[PLAN PERMIT
finish]]-NOW(),0))</f>
        <v>-46204</v>
      </c>
      <c r="FV429"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29" s="446"/>
      <c r="FX429" s="42"/>
      <c r="FY429" s="483">
        <v>46160</v>
      </c>
      <c r="FZ429" s="483">
        <v>46097</v>
      </c>
      <c r="GA42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29" s="301">
        <v>46174</v>
      </c>
      <c r="GC429" s="447">
        <v>46112</v>
      </c>
      <c r="GD429"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29" s="301">
        <v>46181</v>
      </c>
      <c r="GF429" s="447">
        <v>46112</v>
      </c>
      <c r="GG429"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29" s="301">
        <v>46188</v>
      </c>
      <c r="GI429" s="301">
        <v>46194</v>
      </c>
      <c r="GJ429" s="447">
        <v>46119</v>
      </c>
      <c r="GK429"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29" s="301">
        <v>46202</v>
      </c>
      <c r="GM429" s="301">
        <v>46193</v>
      </c>
      <c r="GN429" s="301">
        <v>46222</v>
      </c>
      <c r="GO429" s="300">
        <v>46269</v>
      </c>
      <c r="GP429" s="304"/>
      <c r="GQ429"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29" s="390"/>
      <c r="GS429" s="390"/>
      <c r="GT429" s="389"/>
      <c r="GU429" s="446" t="str">
        <f>IF(Table1[[#This Row],[Hydro Tes Actual
(tanggal)]]&lt;&gt;"","Sudah","Belum")</f>
        <v>Belum</v>
      </c>
      <c r="GV429" s="497"/>
      <c r="GW429" s="497"/>
      <c r="GX429" s="390"/>
      <c r="GY429" s="446" t="str">
        <f>IF(Table1[[#This Row],[Interkoneksi Actual
(tanggal)]]&lt;&gt;"","Sudah","Belum")</f>
        <v>Belum</v>
      </c>
      <c r="GZ429" s="497"/>
      <c r="HA429" s="497"/>
      <c r="HB429" s="390"/>
      <c r="HC429" s="446" t="str">
        <f>IF(Table1[[#This Row],[Flushing Actual
(tanggal)]]&lt;&gt;"","Sudah","Belum")</f>
        <v>Belum</v>
      </c>
      <c r="HD429" s="301">
        <v>46225</v>
      </c>
      <c r="HE429" s="301">
        <v>46270</v>
      </c>
      <c r="HF429" s="301">
        <v>46230</v>
      </c>
      <c r="HG429" s="447"/>
      <c r="HH429"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29" s="497"/>
      <c r="HJ429" s="497"/>
      <c r="HK429" s="390"/>
      <c r="HL429" s="390"/>
      <c r="HM429" s="301">
        <v>46247</v>
      </c>
      <c r="HN429" s="301">
        <v>46247</v>
      </c>
      <c r="HO429" s="300">
        <v>46287</v>
      </c>
      <c r="HP429" s="497"/>
      <c r="HQ429" s="390"/>
      <c r="HR429"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29" s="301">
        <v>46255</v>
      </c>
      <c r="HT429" s="301"/>
      <c r="HU429" s="301">
        <v>46255</v>
      </c>
      <c r="HV429" s="390"/>
      <c r="HW429" s="317"/>
      <c r="HX429"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29" s="42"/>
      <c r="HZ429" s="447"/>
      <c r="IA429" s="306"/>
      <c r="IB429" s="67"/>
      <c r="IC429" s="585">
        <f>IFERROR(ROUND((Table1[[#This Row],[PLAN TC
finish]]-Table1[[#This Row],[PLAN MC-0
start]])/30,2),"")</f>
        <v>1.4</v>
      </c>
      <c r="ID429">
        <f>DATEDIF(Table1[[#This Row],[PLAN MC-0
start]],Table1[[#This Row],[PLAN TC
finish]],"m")</f>
        <v>1</v>
      </c>
      <c r="IE429" s="6"/>
      <c r="IF429" s="6"/>
      <c r="IG429" s="67"/>
      <c r="II429" s="6"/>
      <c r="IJ429" s="4"/>
      <c r="IK429" s="4"/>
      <c r="IL429" s="6"/>
      <c r="IM429" s="6"/>
      <c r="IN429" s="6"/>
      <c r="IO429" s="6"/>
      <c r="IP429" s="6"/>
      <c r="IR429" s="6"/>
      <c r="IS429" s="6"/>
      <c r="IT429" s="6"/>
      <c r="IU429" s="6"/>
      <c r="IX429" s="6"/>
      <c r="IY429" s="6"/>
      <c r="JA429" s="6"/>
      <c r="JB429" s="6"/>
    </row>
    <row r="430" spans="2:262" ht="15" customHeight="1" x14ac:dyDescent="0.25">
      <c r="B430" s="281">
        <f>SUBTOTAL(3,$D$5:D430)</f>
        <v>426</v>
      </c>
      <c r="C430" s="286">
        <v>426</v>
      </c>
      <c r="D430" s="285" t="s">
        <v>673</v>
      </c>
      <c r="E430" s="431" t="s">
        <v>3399</v>
      </c>
      <c r="F430" s="308" t="s">
        <v>3400</v>
      </c>
      <c r="G430" s="319">
        <v>46300</v>
      </c>
      <c r="H430" s="308" t="s">
        <v>681</v>
      </c>
      <c r="I430" s="431" t="s">
        <v>278</v>
      </c>
      <c r="J430" s="488"/>
      <c r="K430" s="431"/>
      <c r="L430" s="304"/>
      <c r="M430" s="449" t="s">
        <v>269</v>
      </c>
      <c r="N430" s="477">
        <v>106</v>
      </c>
      <c r="O430" s="31" t="s">
        <v>252</v>
      </c>
      <c r="P430"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0" s="35">
        <v>0.23134020033527294</v>
      </c>
      <c r="S430" s="297">
        <f>_xlfn.XLOOKUP(Table1[[#This Row],[Nama Program]],'[2]Summary Plan'!$E:$E,'[2]Summary Plan'!$M:$M)</f>
        <v>0.25102081330935866</v>
      </c>
      <c r="T430" s="129">
        <f>Table1[[#This Row],[Progres Total Aktual
(%)]]</f>
        <v>0.17962717269216913</v>
      </c>
      <c r="U430" s="104">
        <f>Table1[[#This Row],[Progres Aktual
(%)]]-Table1[[#This Row],[Target Progres
(%)]]</f>
        <v>-7.139364061718953E-2</v>
      </c>
      <c r="V430" s="101">
        <v>106</v>
      </c>
      <c r="W430" s="101">
        <f>Table1[[#This Row],[Total Panjang Pipa Aktual
(Sum-&gt;)3]]</f>
        <v>0</v>
      </c>
      <c r="X430" s="102"/>
      <c r="Y430" s="501" t="s">
        <v>3394</v>
      </c>
      <c r="Z430" s="499">
        <v>228391200</v>
      </c>
      <c r="AA430" s="489">
        <f>ROUND((Table1[[#This Row],[Nilai RAB Jaringan
(Exclude Ppn)]]-Table1[[#This Row],[RAB Perizinan]])*1.11+Table1[[#This Row],[RAB Perizinan]],0)</f>
        <v>228391199</v>
      </c>
      <c r="AB430" s="475">
        <f>SUM(Table1[[#This Row],[RAB Kegiatan Umum]:[RAB Perizinan]])</f>
        <v>205862882</v>
      </c>
      <c r="AC430" s="507">
        <v>12627619</v>
      </c>
      <c r="AD430" s="456">
        <v>126276182</v>
      </c>
      <c r="AE430" s="507">
        <v>65899081</v>
      </c>
      <c r="AF430" s="507">
        <v>1060000</v>
      </c>
      <c r="AG430" s="508"/>
      <c r="AH430" s="490">
        <f>SUM(Table1[[#This Row],[Bobot Keg Umum]:[Bobot Perizinan]])</f>
        <v>1</v>
      </c>
      <c r="AI430" s="490">
        <f>Table1[[#This Row],[RAB Kegiatan Umum]]/Table1[[#This Row],[Nilai RAB Jaringan
(Exclude Ppn)]]</f>
        <v>6.1339950540476744E-2</v>
      </c>
      <c r="AJ430" s="490">
        <f>Table1[[#This Row],[RAB Pemasangan]]/Table1[[#This Row],[Nilai RAB Jaringan
(Exclude Ppn)]]</f>
        <v>0.61339946654394939</v>
      </c>
      <c r="AK430" s="491">
        <f>Table1[[#This Row],[RAB Pengadaan]]/Table1[[#This Row],[Nilai RAB Jaringan
(Exclude Ppn)]]</f>
        <v>0.32011152452436764</v>
      </c>
      <c r="AL430" s="492">
        <f>Table1[[#This Row],[RAB Perizinan]]/Table1[[#This Row],[Nilai RAB Jaringan
(Exclude Ppn)]]</f>
        <v>5.1490583912062399E-3</v>
      </c>
      <c r="AM430" s="42"/>
      <c r="AN430" s="440"/>
      <c r="AO430" s="440">
        <f>SUM(Table1[[#This Row],[Pipa 63 mm]:[Pipa 1,800 mm]])</f>
        <v>106</v>
      </c>
      <c r="AP430" s="440"/>
      <c r="AQ430" s="440"/>
      <c r="AR430" s="440">
        <v>106</v>
      </c>
      <c r="AS430" s="440"/>
      <c r="AT430" s="440"/>
      <c r="AU430" s="440"/>
      <c r="AV430" s="440"/>
      <c r="AW430" s="440"/>
      <c r="AX430" s="440"/>
      <c r="AY430" s="440"/>
      <c r="AZ430" s="440"/>
      <c r="BA430" s="440"/>
      <c r="BB430" s="440"/>
      <c r="BC430" s="440"/>
      <c r="BD430" s="440"/>
      <c r="BE430" s="440"/>
      <c r="BF430" s="440"/>
      <c r="BG430" s="440"/>
      <c r="BH430" s="440"/>
      <c r="BI430" s="440"/>
      <c r="BJ430" s="493">
        <f>SUM(Table1[[#This Row],[Pipa 63 mm2]:[Pipa 1,800 mm21]])</f>
        <v>0</v>
      </c>
      <c r="BK430" s="441"/>
      <c r="BL430" s="441"/>
      <c r="BM430" s="441"/>
      <c r="BN430" s="441"/>
      <c r="BO430" s="441"/>
      <c r="BP430" s="441"/>
      <c r="BQ430" s="441"/>
      <c r="BR430" s="441"/>
      <c r="BS430" s="441"/>
      <c r="BT430" s="441"/>
      <c r="BU430" s="441"/>
      <c r="BV430" s="441"/>
      <c r="BW430" s="441"/>
      <c r="BX430" s="441"/>
      <c r="BY430" s="441"/>
      <c r="BZ430" s="441"/>
      <c r="CA430" s="441"/>
      <c r="CB430" s="441"/>
      <c r="CC430" s="441"/>
      <c r="CD430" s="441"/>
      <c r="CE430" s="441"/>
      <c r="CF430" s="441"/>
      <c r="CG430" s="441"/>
      <c r="CH430" s="441"/>
      <c r="CI430" s="441"/>
      <c r="CJ430" s="441">
        <f>IF((Table1[[#This Row],["Volume
BA MC-0"]]-Table1[[#This Row],[Total Panjang Pipa Aktual
(Sum-&gt;)3]]-Table1[[#This Row],[Total Volume
tidak dapat dipasang]])&gt;=0,Table1[[#This Row],["Volume
BA MC-0"]]-Table1[[#This Row],[Total Panjang Pipa Aktual
(Sum-&gt;)3]]-Table1[[#This Row],[Total Volume
tidak dapat dipasang]],0)</f>
        <v>0</v>
      </c>
      <c r="CK430" s="42"/>
      <c r="CL430" s="442"/>
      <c r="CM430" s="445"/>
      <c r="CN430" s="442"/>
      <c r="CO430" s="442"/>
      <c r="CP43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0.17962717269216913</v>
      </c>
      <c r="CQ430" s="435">
        <f>IFERROR(Table1[[#This Row],[Progres Keg. Umum
(%)]]*Table1[[#This Row],[Nilai RAB Jaringan
(file pa aji)]],0)</f>
        <v>0</v>
      </c>
      <c r="CR430" s="435">
        <f>IFERROR(Table1[[#This Row],[Progres MOS
(%)]]*Table1[[#This Row],[Nilai RAB Jaringan
(file pa aji)]],0)</f>
        <v>0</v>
      </c>
      <c r="CS430" s="435">
        <f>IFERROR(Table1[[#This Row],[Progres Pemasangan
(%)]]*Table1[[#This Row],[Nilai RAB Jaringan
(file pa aji)]],0)</f>
        <v>0</v>
      </c>
      <c r="CT430" s="435">
        <f>IFERROR(Table1[[#This Row],[Progres Perizinan
(%)]]*Table1[[#This Row],[Nilai RAB Jaringan
(file pa aji)]],0)</f>
        <v>0</v>
      </c>
      <c r="CU430" s="789">
        <v>41025265.344144568</v>
      </c>
      <c r="CV430" s="299">
        <v>41025265.344144568</v>
      </c>
      <c r="CW430" s="494">
        <v>0</v>
      </c>
      <c r="CX430" s="789">
        <f>_xlfn.XLOOKUP(Table1[[#This Row],[Kode Program]],'[1]Breakdown VOWD Greenfield'!$E:$E,'[1]Breakdown VOWD Greenfield'!$AT:$AT)</f>
        <v>0</v>
      </c>
      <c r="CY430" s="42"/>
      <c r="CZ430" s="301">
        <v>46048</v>
      </c>
      <c r="DA430" s="301">
        <v>46075</v>
      </c>
      <c r="DB430" s="390">
        <v>46049</v>
      </c>
      <c r="DC430" s="505" t="s">
        <v>3401</v>
      </c>
      <c r="DD430" s="495">
        <f>1060000+227331199</f>
        <v>228391199</v>
      </c>
      <c r="DE43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0" s="390">
        <v>46052</v>
      </c>
      <c r="DG430" s="505" t="s">
        <v>3402</v>
      </c>
      <c r="DH430" s="495">
        <f>1060000+227331199</f>
        <v>228391199</v>
      </c>
      <c r="DI430"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0" s="301">
        <v>46076</v>
      </c>
      <c r="DK430" s="301">
        <v>46173</v>
      </c>
      <c r="DL430" s="301">
        <v>46065</v>
      </c>
      <c r="DM430" s="304" t="s">
        <v>3403</v>
      </c>
      <c r="DN43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0" s="301">
        <v>46083</v>
      </c>
      <c r="DP430" s="286"/>
      <c r="DQ430" s="308" t="s">
        <v>365</v>
      </c>
      <c r="DR43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0" s="301">
        <v>46076</v>
      </c>
      <c r="DT430" s="301">
        <v>46164</v>
      </c>
      <c r="DU430" s="301">
        <v>46117</v>
      </c>
      <c r="DV430" s="301">
        <v>46178</v>
      </c>
      <c r="DW430" s="301">
        <v>46065</v>
      </c>
      <c r="DX430" s="396" t="s">
        <v>3404</v>
      </c>
      <c r="DY430" s="304">
        <v>22</v>
      </c>
      <c r="DZ430" s="304">
        <v>22</v>
      </c>
      <c r="EA43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0" s="390"/>
      <c r="EC430" s="302">
        <v>21</v>
      </c>
      <c r="ED430" s="302">
        <v>21</v>
      </c>
      <c r="EE430" s="496"/>
      <c r="EF430" s="445">
        <v>0.95454545454545459</v>
      </c>
      <c r="EG430" s="307">
        <f>Table1[[#This Row],[Line PO]]/Table1[[#This Row],[Line PR]]</f>
        <v>0.95454545454545459</v>
      </c>
      <c r="EH430" s="286" t="str">
        <f>IF(Table1[[#This Row],[PO Material Aktual 
(%)]]&gt;=100%,"Selesai PO = 100%",IF(Table1[[#This Row],[PO Material Aktual 
(%)]]&gt;=50%,"Proses PO &gt; 100%",IF(Table1[[#This Row],[PO Material Aktual 
(%)]]&gt;0%,"Proses PO &gt; 50%",IF(Table1[[#This Row],[PO Material Aktual 
(%)]]=0,"Belum PO = 0%"))))</f>
        <v>Proses PO &gt; 100%</v>
      </c>
      <c r="EI43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0" s="301">
        <v>46118</v>
      </c>
      <c r="EK430" s="301">
        <v>46178</v>
      </c>
      <c r="EL430" s="301">
        <v>46201</v>
      </c>
      <c r="EM430" s="390">
        <v>46183</v>
      </c>
      <c r="EN430" s="390"/>
      <c r="EO430" s="302">
        <v>14</v>
      </c>
      <c r="EP430" s="302">
        <v>14</v>
      </c>
      <c r="EQ430" s="307">
        <v>0.63636363636363635</v>
      </c>
      <c r="ER430" s="307">
        <f>Table1[[#This Row],[Line MOS (kolom bantu)]]/Table1[[#This Row],[Line PR]]</f>
        <v>0.63636363636363635</v>
      </c>
      <c r="ES430" s="286" t="str">
        <f>IF(Table1[[#This Row],[Progres MOS]]&gt;=100%,"Selesai MOS = 100%",IF(Table1[[#This Row],[Progres MOS]]&gt;=50%,"Proses MOS &gt; 100%",IF(Table1[[#This Row],[Progres MOS]]&gt;0%,"Proses MOS &gt; 50%",IF(Table1[[#This Row],[Progres MOS]]=0,"Belum MOS = 0%"))))</f>
        <v>Proses MOS &gt; 100%</v>
      </c>
      <c r="ET43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0" s="42"/>
      <c r="EV430" s="301"/>
      <c r="EW430" s="301">
        <v>46156</v>
      </c>
      <c r="EX430" s="301"/>
      <c r="EY430" s="390">
        <v>46186</v>
      </c>
      <c r="EZ430" s="447" t="s">
        <v>2769</v>
      </c>
      <c r="FA430" s="379" t="s">
        <v>2769</v>
      </c>
      <c r="FB430" s="390" t="e">
        <v>#N/A</v>
      </c>
      <c r="FC430" s="300" t="e">
        <v>#N/A</v>
      </c>
      <c r="FD430" s="390" t="e">
        <v>#N/A</v>
      </c>
      <c r="FE430" s="390" t="e">
        <v>#N/A</v>
      </c>
      <c r="FF430" s="390" t="e">
        <v>#N/A</v>
      </c>
      <c r="FG430" s="390" t="e">
        <v>#N/A</v>
      </c>
      <c r="FH430" s="390" t="e">
        <v>#N/A</v>
      </c>
      <c r="FI430" s="390" t="e">
        <v>#N/A</v>
      </c>
      <c r="FJ430" s="390" t="e">
        <v>#N/A</v>
      </c>
      <c r="FK430" s="390" t="e">
        <v>#N/A</v>
      </c>
      <c r="FL430" s="322"/>
      <c r="FM430" s="447"/>
      <c r="FN430" s="431" t="str">
        <f>IF(Table1[[#This Row],[Tanggal Pengajuan Dokumen]]="","",Table1[[#This Row],[PLAN PERMIT
start]]-Table1[[#This Row],[Tanggal Pengajuan Dokumen]])</f>
        <v/>
      </c>
      <c r="FO430" s="447"/>
      <c r="FP430" s="304"/>
      <c r="FQ430" s="431"/>
      <c r="FR430" s="390"/>
      <c r="FS430" s="431"/>
      <c r="FT430"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0" s="446">
        <f ca="1">IF(Table1[[#This Row],[Status Izin]]="Selesai",Table1[[#This Row],[PLAN PERMIT
finish]]-Table1[[#This Row],[Tanggal Terbit/ Target Izin Terbit]],ROUNDUP(Table1[[#This Row],[PLAN PERMIT
finish]]-NOW(),0))</f>
        <v>-46204</v>
      </c>
      <c r="FV430"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0" s="446"/>
      <c r="FX430" s="42"/>
      <c r="FY430" s="483">
        <v>46160</v>
      </c>
      <c r="FZ430" s="483">
        <v>46097</v>
      </c>
      <c r="GA430"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0" s="301">
        <v>46174</v>
      </c>
      <c r="GC430" s="447">
        <v>46112</v>
      </c>
      <c r="GD430"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0" s="301">
        <v>46181</v>
      </c>
      <c r="GF430" s="447">
        <v>46112</v>
      </c>
      <c r="GG430"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0" s="301">
        <v>46188</v>
      </c>
      <c r="GI430" s="301">
        <v>46194</v>
      </c>
      <c r="GJ430" s="447">
        <v>46119</v>
      </c>
      <c r="GK430"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0" s="301">
        <v>46202</v>
      </c>
      <c r="GM430" s="301">
        <v>46193</v>
      </c>
      <c r="GN430" s="301">
        <v>46222</v>
      </c>
      <c r="GO430" s="300">
        <v>46241</v>
      </c>
      <c r="GP430" s="304"/>
      <c r="GQ430"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0" s="390"/>
      <c r="GS430" s="390"/>
      <c r="GT430" s="389"/>
      <c r="GU430" s="446" t="str">
        <f>IF(Table1[[#This Row],[Hydro Tes Actual
(tanggal)]]&lt;&gt;"","Sudah","Belum")</f>
        <v>Belum</v>
      </c>
      <c r="GV430" s="497"/>
      <c r="GW430" s="497"/>
      <c r="GX430" s="390"/>
      <c r="GY430" s="446" t="str">
        <f>IF(Table1[[#This Row],[Interkoneksi Actual
(tanggal)]]&lt;&gt;"","Sudah","Belum")</f>
        <v>Belum</v>
      </c>
      <c r="GZ430" s="497"/>
      <c r="HA430" s="497"/>
      <c r="HB430" s="390"/>
      <c r="HC430" s="446" t="str">
        <f>IF(Table1[[#This Row],[Flushing Actual
(tanggal)]]&lt;&gt;"","Sudah","Belum")</f>
        <v>Belum</v>
      </c>
      <c r="HD430" s="301">
        <v>46225</v>
      </c>
      <c r="HE430" s="301">
        <v>46242</v>
      </c>
      <c r="HF430" s="301">
        <v>46230</v>
      </c>
      <c r="HG430" s="447"/>
      <c r="HH430"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0" s="497"/>
      <c r="HJ430" s="497"/>
      <c r="HK430" s="390"/>
      <c r="HL430" s="390"/>
      <c r="HM430" s="301">
        <v>46247</v>
      </c>
      <c r="HN430" s="301">
        <v>46247</v>
      </c>
      <c r="HO430" s="300">
        <v>46259</v>
      </c>
      <c r="HP430" s="497"/>
      <c r="HQ430" s="390"/>
      <c r="HR430"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0" s="301">
        <v>46255</v>
      </c>
      <c r="HT430" s="301"/>
      <c r="HU430" s="301">
        <v>46255</v>
      </c>
      <c r="HV430" s="390"/>
      <c r="HW430" s="317"/>
      <c r="HX430"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0" s="42"/>
      <c r="HZ430" s="447"/>
      <c r="IA430" s="306"/>
      <c r="IB430" s="67"/>
      <c r="IC430" s="585">
        <f>IFERROR(ROUND((Table1[[#This Row],[PLAN TC
finish]]-Table1[[#This Row],[PLAN MC-0
start]])/30,2),"")</f>
        <v>1.4</v>
      </c>
      <c r="ID430">
        <f>DATEDIF(Table1[[#This Row],[PLAN MC-0
start]],Table1[[#This Row],[PLAN TC
finish]],"m")</f>
        <v>1</v>
      </c>
      <c r="IE430" s="6"/>
      <c r="IF430" s="6"/>
      <c r="IG430" s="67"/>
      <c r="II430" s="6"/>
      <c r="IJ430" s="4"/>
      <c r="IK430" s="4"/>
      <c r="IL430" s="6"/>
      <c r="IM430" s="6"/>
      <c r="IN430" s="6"/>
      <c r="IO430" s="6"/>
      <c r="IP430" s="6"/>
      <c r="IR430" s="6"/>
      <c r="IS430" s="6"/>
      <c r="IT430" s="6"/>
      <c r="IU430" s="6"/>
      <c r="IX430" s="6"/>
      <c r="IY430" s="6"/>
      <c r="JA430" s="6"/>
      <c r="JB430" s="6"/>
    </row>
    <row r="431" spans="2:262" ht="15" customHeight="1" x14ac:dyDescent="0.25">
      <c r="B431" s="281">
        <f>SUBTOTAL(3,$D$5:D431)</f>
        <v>427</v>
      </c>
      <c r="C431" s="286">
        <v>427</v>
      </c>
      <c r="D431" s="285" t="s">
        <v>673</v>
      </c>
      <c r="E431" s="431" t="s">
        <v>3405</v>
      </c>
      <c r="F431" s="308" t="s">
        <v>3406</v>
      </c>
      <c r="G431" s="319">
        <v>46300</v>
      </c>
      <c r="H431" s="308" t="s">
        <v>681</v>
      </c>
      <c r="I431" s="431" t="s">
        <v>278</v>
      </c>
      <c r="J431" s="488"/>
      <c r="K431" s="431"/>
      <c r="L431" s="304"/>
      <c r="M431" s="449" t="s">
        <v>269</v>
      </c>
      <c r="N431" s="477">
        <v>15</v>
      </c>
      <c r="O431" s="31" t="s">
        <v>252</v>
      </c>
      <c r="P43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1" s="35">
        <v>0.51179616647442272</v>
      </c>
      <c r="S431" s="297">
        <f>_xlfn.XLOOKUP(Table1[[#This Row],[Nama Program]],'[2]Summary Plan'!$E:$E,'[2]Summary Plan'!$M:$M)</f>
        <v>0.55506897298094193</v>
      </c>
      <c r="T431" s="129">
        <f>Table1[[#This Row],[Progres Total Aktual
(%)]]</f>
        <v>0.17275764424343712</v>
      </c>
      <c r="U431" s="104">
        <f>Table1[[#This Row],[Progres Aktual
(%)]]-Table1[[#This Row],[Target Progres
(%)]]</f>
        <v>-0.38231132873750484</v>
      </c>
      <c r="V431" s="101">
        <v>15</v>
      </c>
      <c r="W431" s="101">
        <f>Table1[[#This Row],[Total Panjang Pipa Aktual
(Sum-&gt;)3]]</f>
        <v>0</v>
      </c>
      <c r="X431" s="102"/>
      <c r="Y431" s="501" t="s">
        <v>3407</v>
      </c>
      <c r="Z431" s="499">
        <v>188411072</v>
      </c>
      <c r="AA431" s="489">
        <f>ROUND((Table1[[#This Row],[Nilai RAB Jaringan
(Exclude Ppn)]]-Table1[[#This Row],[RAB Perizinan]])*1.11+Table1[[#This Row],[RAB Perizinan]],0)</f>
        <v>188411072</v>
      </c>
      <c r="AB431" s="475">
        <f>SUM(Table1[[#This Row],[RAB Kegiatan Umum]:[RAB Perizinan]])</f>
        <v>169754569</v>
      </c>
      <c r="AC431" s="507">
        <v>4310113</v>
      </c>
      <c r="AD431" s="456">
        <v>43101125</v>
      </c>
      <c r="AE431" s="507">
        <v>122193331</v>
      </c>
      <c r="AF431" s="507">
        <v>150000</v>
      </c>
      <c r="AG431" s="508"/>
      <c r="AH431" s="490">
        <f>SUM(Table1[[#This Row],[Bobot Keg Umum]:[Bobot Perizinan]])</f>
        <v>1.0000000000000002</v>
      </c>
      <c r="AI431" s="490">
        <f>Table1[[#This Row],[RAB Kegiatan Umum]]/Table1[[#This Row],[Nilai RAB Jaringan
(Exclude Ppn)]]</f>
        <v>2.5390262102459229E-2</v>
      </c>
      <c r="AJ431" s="490">
        <f>Table1[[#This Row],[RAB Pemasangan]]/Table1[[#This Row],[Nilai RAB Jaringan
(Exclude Ppn)]]</f>
        <v>0.25390259157030409</v>
      </c>
      <c r="AK431" s="491">
        <f>Table1[[#This Row],[RAB Pengadaan]]/Table1[[#This Row],[Nilai RAB Jaringan
(Exclude Ppn)]]</f>
        <v>0.71982351768098807</v>
      </c>
      <c r="AL431" s="492">
        <f>Table1[[#This Row],[RAB Perizinan]]/Table1[[#This Row],[Nilai RAB Jaringan
(Exclude Ppn)]]</f>
        <v>8.8362864624869097E-4</v>
      </c>
      <c r="AM431" s="42"/>
      <c r="AN431" s="440"/>
      <c r="AO431" s="440">
        <f>SUM(Table1[[#This Row],[Pipa 63 mm]:[Pipa 1,800 mm]])</f>
        <v>15</v>
      </c>
      <c r="AP431" s="440">
        <v>15</v>
      </c>
      <c r="AQ431" s="440"/>
      <c r="AR431" s="440"/>
      <c r="AS431" s="440"/>
      <c r="AT431" s="440"/>
      <c r="AU431" s="440"/>
      <c r="AV431" s="440"/>
      <c r="AW431" s="440"/>
      <c r="AX431" s="440"/>
      <c r="AY431" s="440"/>
      <c r="AZ431" s="440"/>
      <c r="BA431" s="440"/>
      <c r="BB431" s="440"/>
      <c r="BC431" s="440"/>
      <c r="BD431" s="440"/>
      <c r="BE431" s="440"/>
      <c r="BF431" s="440"/>
      <c r="BG431" s="440"/>
      <c r="BH431" s="440"/>
      <c r="BI431" s="440"/>
      <c r="BJ431" s="493">
        <f>SUM(Table1[[#This Row],[Pipa 63 mm2]:[Pipa 1,800 mm21]])</f>
        <v>0</v>
      </c>
      <c r="BK431" s="441"/>
      <c r="BL431" s="441"/>
      <c r="BM431" s="441"/>
      <c r="BN431" s="441"/>
      <c r="BO431" s="441"/>
      <c r="BP431" s="441"/>
      <c r="BQ431" s="441"/>
      <c r="BR431" s="441"/>
      <c r="BS431" s="441"/>
      <c r="BT431" s="441"/>
      <c r="BU431" s="441"/>
      <c r="BV431" s="441"/>
      <c r="BW431" s="441"/>
      <c r="BX431" s="441"/>
      <c r="BY431" s="441"/>
      <c r="BZ431" s="441"/>
      <c r="CA431" s="441"/>
      <c r="CB431" s="441"/>
      <c r="CC431" s="441"/>
      <c r="CD431" s="441"/>
      <c r="CE431" s="441"/>
      <c r="CF431" s="441"/>
      <c r="CG431" s="441"/>
      <c r="CH431" s="441"/>
      <c r="CI431" s="441"/>
      <c r="CJ431" s="441">
        <f>IF((Table1[[#This Row],["Volume
BA MC-0"]]-Table1[[#This Row],[Total Panjang Pipa Aktual
(Sum-&gt;)3]]-Table1[[#This Row],[Total Volume
tidak dapat dipasang]])&gt;=0,Table1[[#This Row],["Volume
BA MC-0"]]-Table1[[#This Row],[Total Panjang Pipa Aktual
(Sum-&gt;)3]]-Table1[[#This Row],[Total Volume
tidak dapat dipasang]],0)</f>
        <v>0</v>
      </c>
      <c r="CK431" s="42"/>
      <c r="CL431" s="442"/>
      <c r="CM431" s="445"/>
      <c r="CN431" s="442"/>
      <c r="CO431" s="442"/>
      <c r="CP431"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0.17275764424343712</v>
      </c>
      <c r="CQ431" s="435">
        <f>IFERROR(Table1[[#This Row],[Progres Keg. Umum
(%)]]*Table1[[#This Row],[Nilai RAB Jaringan
(file pa aji)]],0)</f>
        <v>0</v>
      </c>
      <c r="CR431" s="435">
        <f>IFERROR(Table1[[#This Row],[Progres MOS
(%)]]*Table1[[#This Row],[Nilai RAB Jaringan
(file pa aji)]],0)</f>
        <v>0</v>
      </c>
      <c r="CS431" s="435">
        <f>IFERROR(Table1[[#This Row],[Progres Pemasangan
(%)]]*Table1[[#This Row],[Nilai RAB Jaringan
(file pa aji)]],0)</f>
        <v>0</v>
      </c>
      <c r="CT431" s="435">
        <f>IFERROR(Table1[[#This Row],[Progres Perizinan
(%)]]*Table1[[#This Row],[Nilai RAB Jaringan
(file pa aji)]],0)</f>
        <v>0</v>
      </c>
      <c r="CU431" s="789">
        <v>0</v>
      </c>
      <c r="CV431" s="299">
        <v>0</v>
      </c>
      <c r="CW431" s="494">
        <v>0</v>
      </c>
      <c r="CX431" s="789">
        <f>_xlfn.XLOOKUP(Table1[[#This Row],[Kode Program]],'[1]Breakdown VOWD Greenfield'!$E:$E,'[1]Breakdown VOWD Greenfield'!$AT:$AT)</f>
        <v>0</v>
      </c>
      <c r="CY431" s="42"/>
      <c r="CZ431" s="301">
        <v>46048</v>
      </c>
      <c r="DA431" s="301">
        <v>46075</v>
      </c>
      <c r="DB431" s="390">
        <v>46049</v>
      </c>
      <c r="DC431" s="505" t="s">
        <v>3408</v>
      </c>
      <c r="DD431" s="495">
        <f>188261071+150000</f>
        <v>188411071</v>
      </c>
      <c r="DE43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1" s="390">
        <v>46063</v>
      </c>
      <c r="DG431" s="505" t="s">
        <v>3409</v>
      </c>
      <c r="DH431" s="495">
        <f>188261071+150000</f>
        <v>188411071</v>
      </c>
      <c r="DI43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1" s="301">
        <v>46076</v>
      </c>
      <c r="DK431" s="301">
        <v>46173</v>
      </c>
      <c r="DL431" s="301">
        <v>46066</v>
      </c>
      <c r="DM431" s="304" t="s">
        <v>3410</v>
      </c>
      <c r="DN43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1" s="301">
        <v>46086</v>
      </c>
      <c r="DP431" s="304"/>
      <c r="DQ431" s="431" t="s">
        <v>762</v>
      </c>
      <c r="DR43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1" s="301">
        <v>46076</v>
      </c>
      <c r="DT431" s="301">
        <v>46164</v>
      </c>
      <c r="DU431" s="301">
        <v>46117</v>
      </c>
      <c r="DV431" s="301">
        <v>46178</v>
      </c>
      <c r="DW431" s="301">
        <v>46066</v>
      </c>
      <c r="DX431" s="396" t="s">
        <v>3411</v>
      </c>
      <c r="DY431" s="304">
        <v>25</v>
      </c>
      <c r="DZ431" s="304">
        <v>25</v>
      </c>
      <c r="EA43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1" s="423"/>
      <c r="EC431" s="302">
        <v>23</v>
      </c>
      <c r="ED431" s="302">
        <v>23</v>
      </c>
      <c r="EE431" s="117"/>
      <c r="EF431" s="445">
        <v>0.92</v>
      </c>
      <c r="EG431" s="307">
        <f>Table1[[#This Row],[Line PO]]/Table1[[#This Row],[Line PR]]</f>
        <v>0.92</v>
      </c>
      <c r="EH431" s="286" t="str">
        <f>IF(Table1[[#This Row],[PO Material Aktual 
(%)]]&gt;=100%,"Selesai PO = 100%",IF(Table1[[#This Row],[PO Material Aktual 
(%)]]&gt;=50%,"Proses PO &gt; 100%",IF(Table1[[#This Row],[PO Material Aktual 
(%)]]&gt;0%,"Proses PO &gt; 50%",IF(Table1[[#This Row],[PO Material Aktual 
(%)]]=0,"Belum PO = 0%"))))</f>
        <v>Proses PO &gt; 100%</v>
      </c>
      <c r="EI43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1" s="301">
        <v>46118</v>
      </c>
      <c r="EK431" s="301">
        <v>46178</v>
      </c>
      <c r="EL431" s="301">
        <v>46201</v>
      </c>
      <c r="EM431" s="390">
        <v>46183</v>
      </c>
      <c r="EN431" s="390"/>
      <c r="EO431" s="302">
        <v>10</v>
      </c>
      <c r="EP431" s="302">
        <v>10</v>
      </c>
      <c r="EQ431" s="307">
        <v>0.4</v>
      </c>
      <c r="ER431" s="307">
        <f>Table1[[#This Row],[Line MOS (kolom bantu)]]/Table1[[#This Row],[Line PR]]</f>
        <v>0.4</v>
      </c>
      <c r="ES431" s="286" t="str">
        <f>IF(Table1[[#This Row],[Progres MOS]]&gt;=100%,"Selesai MOS = 100%",IF(Table1[[#This Row],[Progres MOS]]&gt;=50%,"Proses MOS &gt; 100%",IF(Table1[[#This Row],[Progres MOS]]&gt;0%,"Proses MOS &gt; 50%",IF(Table1[[#This Row],[Progres MOS]]=0,"Belum MOS = 0%"))))</f>
        <v>Proses MOS &gt; 50%</v>
      </c>
      <c r="ET43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1" s="42"/>
      <c r="EV431" s="301"/>
      <c r="EW431" s="301">
        <v>46156</v>
      </c>
      <c r="EX431" s="301"/>
      <c r="EY431" s="390">
        <v>46186</v>
      </c>
      <c r="EZ431" s="447" t="s">
        <v>2769</v>
      </c>
      <c r="FA431" s="379" t="s">
        <v>2769</v>
      </c>
      <c r="FB431" s="390" t="e">
        <v>#N/A</v>
      </c>
      <c r="FC431" s="300" t="e">
        <v>#N/A</v>
      </c>
      <c r="FD431" s="390" t="e">
        <v>#N/A</v>
      </c>
      <c r="FE431" s="390" t="e">
        <v>#N/A</v>
      </c>
      <c r="FF431" s="390" t="e">
        <v>#N/A</v>
      </c>
      <c r="FG431" s="390" t="e">
        <v>#N/A</v>
      </c>
      <c r="FH431" s="390" t="e">
        <v>#N/A</v>
      </c>
      <c r="FI431" s="390" t="e">
        <v>#N/A</v>
      </c>
      <c r="FJ431" s="390" t="e">
        <v>#N/A</v>
      </c>
      <c r="FK431" s="390" t="e">
        <v>#N/A</v>
      </c>
      <c r="FL431" s="322"/>
      <c r="FM431" s="447"/>
      <c r="FN431" s="431" t="str">
        <f>IF(Table1[[#This Row],[Tanggal Pengajuan Dokumen]]="","",Table1[[#This Row],[PLAN PERMIT
start]]-Table1[[#This Row],[Tanggal Pengajuan Dokumen]])</f>
        <v/>
      </c>
      <c r="FO431" s="447"/>
      <c r="FP431" s="304"/>
      <c r="FQ431" s="431"/>
      <c r="FR431" s="390"/>
      <c r="FS431" s="431"/>
      <c r="FT43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1" s="446">
        <f ca="1">IF(Table1[[#This Row],[Status Izin]]="Selesai",Table1[[#This Row],[PLAN PERMIT
finish]]-Table1[[#This Row],[Tanggal Terbit/ Target Izin Terbit]],ROUNDUP(Table1[[#This Row],[PLAN PERMIT
finish]]-NOW(),0))</f>
        <v>-46204</v>
      </c>
      <c r="FV43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1" s="446"/>
      <c r="FX431" s="42"/>
      <c r="FY431" s="483">
        <v>46160</v>
      </c>
      <c r="FZ431" s="483">
        <v>46097</v>
      </c>
      <c r="GA431"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1" s="301">
        <v>46174</v>
      </c>
      <c r="GC431" s="447">
        <v>46112</v>
      </c>
      <c r="GD43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1" s="301">
        <v>46181</v>
      </c>
      <c r="GF431" s="447">
        <v>46112</v>
      </c>
      <c r="GG43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1" s="301">
        <v>46188</v>
      </c>
      <c r="GI431" s="301">
        <v>46194</v>
      </c>
      <c r="GJ431" s="447">
        <v>46125</v>
      </c>
      <c r="GK43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1" s="301">
        <v>46202</v>
      </c>
      <c r="GM431" s="301">
        <v>46193</v>
      </c>
      <c r="GN431" s="301">
        <v>46222</v>
      </c>
      <c r="GO431" s="300">
        <v>46241</v>
      </c>
      <c r="GP431" s="304"/>
      <c r="GQ43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1" s="390"/>
      <c r="GS431" s="390"/>
      <c r="GT431" s="389"/>
      <c r="GU431" s="446" t="str">
        <f>IF(Table1[[#This Row],[Hydro Tes Actual
(tanggal)]]&lt;&gt;"","Sudah","Belum")</f>
        <v>Belum</v>
      </c>
      <c r="GV431" s="497"/>
      <c r="GW431" s="497"/>
      <c r="GX431" s="390"/>
      <c r="GY431" s="446" t="str">
        <f>IF(Table1[[#This Row],[Interkoneksi Actual
(tanggal)]]&lt;&gt;"","Sudah","Belum")</f>
        <v>Belum</v>
      </c>
      <c r="GZ431" s="497"/>
      <c r="HA431" s="497"/>
      <c r="HB431" s="390"/>
      <c r="HC431" s="446" t="str">
        <f>IF(Table1[[#This Row],[Flushing Actual
(tanggal)]]&lt;&gt;"","Sudah","Belum")</f>
        <v>Belum</v>
      </c>
      <c r="HD431" s="301">
        <v>46225</v>
      </c>
      <c r="HE431" s="301">
        <v>46242</v>
      </c>
      <c r="HF431" s="301">
        <v>46230</v>
      </c>
      <c r="HG431" s="447"/>
      <c r="HH43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1" s="497"/>
      <c r="HJ431" s="497"/>
      <c r="HK431" s="390"/>
      <c r="HL431" s="390"/>
      <c r="HM431" s="301">
        <v>46247</v>
      </c>
      <c r="HN431" s="301">
        <v>46247</v>
      </c>
      <c r="HO431" s="300">
        <v>46259</v>
      </c>
      <c r="HP431" s="497"/>
      <c r="HQ431" s="390"/>
      <c r="HR43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1" s="301">
        <v>46255</v>
      </c>
      <c r="HT431" s="301"/>
      <c r="HU431" s="301">
        <v>46255</v>
      </c>
      <c r="HV431" s="390"/>
      <c r="HW431" s="317"/>
      <c r="HX43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1" s="42"/>
      <c r="HZ431" s="447"/>
      <c r="IA431" s="306"/>
      <c r="IB431" s="67"/>
      <c r="IC431" s="585">
        <f>IFERROR(ROUND((Table1[[#This Row],[PLAN TC
finish]]-Table1[[#This Row],[PLAN MC-0
start]])/30,2),"")</f>
        <v>1.4</v>
      </c>
      <c r="ID431">
        <f>DATEDIF(Table1[[#This Row],[PLAN MC-0
start]],Table1[[#This Row],[PLAN TC
finish]],"m")</f>
        <v>1</v>
      </c>
      <c r="IE431" s="6"/>
      <c r="IF431" s="6"/>
      <c r="IG431" s="67"/>
      <c r="II431" s="6"/>
      <c r="IJ431" s="4"/>
      <c r="IK431" s="4"/>
      <c r="IL431" s="6"/>
      <c r="IM431" s="6"/>
      <c r="IN431" s="6"/>
      <c r="IO431" s="6"/>
      <c r="IP431" s="6"/>
      <c r="IR431" s="6"/>
      <c r="IS431" s="6"/>
      <c r="IT431" s="6"/>
      <c r="IU431" s="6"/>
      <c r="IX431" s="6"/>
      <c r="IY431" s="6"/>
      <c r="JA431" s="6"/>
      <c r="JB431" s="6"/>
    </row>
    <row r="432" spans="2:262" ht="15" customHeight="1" x14ac:dyDescent="0.25">
      <c r="B432" s="281">
        <f>SUBTOTAL(3,$D$5:D432)</f>
        <v>428</v>
      </c>
      <c r="C432" s="286"/>
      <c r="D432" s="285" t="s">
        <v>673</v>
      </c>
      <c r="E432" s="431" t="s">
        <v>3412</v>
      </c>
      <c r="F432" s="308" t="s">
        <v>3413</v>
      </c>
      <c r="G432" s="319">
        <v>46300</v>
      </c>
      <c r="H432" s="308" t="s">
        <v>681</v>
      </c>
      <c r="I432" s="431"/>
      <c r="J432" s="488"/>
      <c r="K432" s="431"/>
      <c r="L432" s="304"/>
      <c r="M432" s="449"/>
      <c r="N432" s="477">
        <v>40</v>
      </c>
      <c r="O432" s="31" t="s">
        <v>252</v>
      </c>
      <c r="P432"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2"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2" s="35">
        <v>0</v>
      </c>
      <c r="S432" s="297">
        <v>0</v>
      </c>
      <c r="T432" s="129">
        <f>Table1[[#This Row],[Progres Total Aktual
(%)]]</f>
        <v>0</v>
      </c>
      <c r="U432" s="104">
        <f>Table1[[#This Row],[Progres Aktual
(%)]]-Table1[[#This Row],[Target Progres
(%)]]</f>
        <v>0</v>
      </c>
      <c r="V432" s="101">
        <f>Table1[[#This Row],["Volume
BA MC-0"]]</f>
        <v>0</v>
      </c>
      <c r="W432" s="101">
        <f>Table1[[#This Row],[Total Panjang Pipa Aktual
(Sum-&gt;)3]]</f>
        <v>0</v>
      </c>
      <c r="X432" s="102"/>
      <c r="Y432" s="501"/>
      <c r="Z432" s="499"/>
      <c r="AA432" s="489">
        <f>ROUND((Table1[[#This Row],[Nilai RAB Jaringan
(Exclude Ppn)]]-Table1[[#This Row],[RAB Perizinan]])*1.11+Table1[[#This Row],[RAB Perizinan]],0)</f>
        <v>0</v>
      </c>
      <c r="AB432" s="475">
        <f>SUM(Table1[[#This Row],[RAB Kegiatan Umum]:[RAB Perizinan]])</f>
        <v>0</v>
      </c>
      <c r="AC432" s="525"/>
      <c r="AD432" s="526"/>
      <c r="AE432" s="525"/>
      <c r="AF432" s="525"/>
      <c r="AG432" s="508"/>
      <c r="AH432" s="490" t="e">
        <f>SUM(Table1[[#This Row],[Bobot Keg Umum]:[Bobot Perizinan]])</f>
        <v>#DIV/0!</v>
      </c>
      <c r="AI432" s="490" t="e">
        <f>Table1[[#This Row],[RAB Kegiatan Umum]]/Table1[[#This Row],[Nilai RAB Jaringan
(Exclude Ppn)]]</f>
        <v>#DIV/0!</v>
      </c>
      <c r="AJ432" s="490" t="e">
        <f>Table1[[#This Row],[RAB Pemasangan]]/Table1[[#This Row],[Nilai RAB Jaringan
(Exclude Ppn)]]</f>
        <v>#DIV/0!</v>
      </c>
      <c r="AK432" s="491" t="e">
        <f>Table1[[#This Row],[RAB Pengadaan]]/Table1[[#This Row],[Nilai RAB Jaringan
(Exclude Ppn)]]</f>
        <v>#DIV/0!</v>
      </c>
      <c r="AL432" s="492" t="e">
        <f>Table1[[#This Row],[RAB Perizinan]]/Table1[[#This Row],[Nilai RAB Jaringan
(Exclude Ppn)]]</f>
        <v>#DIV/0!</v>
      </c>
      <c r="AM432" s="42"/>
      <c r="AN432" s="440"/>
      <c r="AO432" s="440">
        <f>SUM(Table1[[#This Row],[Pipa 63 mm]:[Pipa 1,800 mm]])</f>
        <v>0</v>
      </c>
      <c r="AP432" s="440"/>
      <c r="AQ432" s="440"/>
      <c r="AR432" s="440"/>
      <c r="AS432" s="440"/>
      <c r="AT432" s="440"/>
      <c r="AU432" s="440"/>
      <c r="AV432" s="440"/>
      <c r="AW432" s="440"/>
      <c r="AX432" s="440"/>
      <c r="AY432" s="440"/>
      <c r="AZ432" s="440"/>
      <c r="BA432" s="440"/>
      <c r="BB432" s="440"/>
      <c r="BC432" s="440"/>
      <c r="BD432" s="440"/>
      <c r="BE432" s="440"/>
      <c r="BF432" s="440"/>
      <c r="BG432" s="440"/>
      <c r="BH432" s="440"/>
      <c r="BI432" s="440"/>
      <c r="BJ432" s="493">
        <f>SUM(Table1[[#This Row],[Pipa 63 mm2]:[Pipa 1,800 mm21]])</f>
        <v>0</v>
      </c>
      <c r="BK432" s="441"/>
      <c r="BL432" s="441"/>
      <c r="BM432" s="441"/>
      <c r="BN432" s="441"/>
      <c r="BO432" s="441"/>
      <c r="BP432" s="441"/>
      <c r="BQ432" s="441"/>
      <c r="BR432" s="441"/>
      <c r="BS432" s="441"/>
      <c r="BT432" s="441"/>
      <c r="BU432" s="441"/>
      <c r="BV432" s="441"/>
      <c r="BW432" s="441"/>
      <c r="BX432" s="441"/>
      <c r="BY432" s="441"/>
      <c r="BZ432" s="441"/>
      <c r="CA432" s="441"/>
      <c r="CB432" s="441"/>
      <c r="CC432" s="441"/>
      <c r="CD432" s="441"/>
      <c r="CE432" s="441"/>
      <c r="CF432" s="441"/>
      <c r="CG432" s="441"/>
      <c r="CH432" s="441"/>
      <c r="CI432" s="441"/>
      <c r="CJ432" s="441">
        <f>IF((Table1[[#This Row],["Volume
BA MC-0"]]-Table1[[#This Row],[Total Panjang Pipa Aktual
(Sum-&gt;)3]]-Table1[[#This Row],[Total Volume
tidak dapat dipasang]])&gt;=0,Table1[[#This Row],["Volume
BA MC-0"]]-Table1[[#This Row],[Total Panjang Pipa Aktual
(Sum-&gt;)3]]-Table1[[#This Row],[Total Volume
tidak dapat dipasang]],0)</f>
        <v>0</v>
      </c>
      <c r="CK432" s="42"/>
      <c r="CL432" s="442"/>
      <c r="CM432" s="445"/>
      <c r="CN432" s="442"/>
      <c r="CO432" s="442"/>
      <c r="CP432" s="297"/>
      <c r="CQ432" s="435">
        <f>IFERROR(Table1[[#This Row],[Progres Keg. Umum
(%)]]*Table1[[#This Row],[Nilai RAB Jaringan
(file pa aji)]],0)</f>
        <v>0</v>
      </c>
      <c r="CR432" s="435">
        <f>IFERROR(Table1[[#This Row],[Progres MOS
(%)]]*Table1[[#This Row],[Nilai RAB Jaringan
(file pa aji)]],0)</f>
        <v>0</v>
      </c>
      <c r="CS432" s="435">
        <f>IFERROR(Table1[[#This Row],[Progres Pemasangan
(%)]]*Table1[[#This Row],[Nilai RAB Jaringan
(file pa aji)]],0)</f>
        <v>0</v>
      </c>
      <c r="CT432" s="435">
        <f>IFERROR(Table1[[#This Row],[Progres Perizinan
(%)]]*Table1[[#This Row],[Nilai RAB Jaringan
(file pa aji)]],0)</f>
        <v>0</v>
      </c>
      <c r="CU432" s="789">
        <v>0</v>
      </c>
      <c r="CV432" s="406">
        <v>0</v>
      </c>
      <c r="CW432" s="494">
        <v>0</v>
      </c>
      <c r="CX432" s="789">
        <f>_xlfn.XLOOKUP(Table1[[#This Row],[Kode Program]],'[1]Breakdown VOWD Greenfield'!$E:$E,'[1]Breakdown VOWD Greenfield'!$AT:$AT)</f>
        <v>0</v>
      </c>
      <c r="CY432" s="42"/>
      <c r="CZ432" s="301"/>
      <c r="DA432" s="301"/>
      <c r="DB432" s="390">
        <v>46178</v>
      </c>
      <c r="DC432" s="505" t="s">
        <v>3414</v>
      </c>
      <c r="DD432" s="495"/>
      <c r="DE43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2" s="390"/>
      <c r="DG432" s="505"/>
      <c r="DH432" s="495"/>
      <c r="DI432"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2" s="301"/>
      <c r="DK432" s="301"/>
      <c r="DL432" s="301"/>
      <c r="DM432" s="304"/>
      <c r="DN432"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2" s="301"/>
      <c r="DP432" s="304"/>
      <c r="DQ432" s="431"/>
      <c r="DR432"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2" s="301"/>
      <c r="DT432" s="301">
        <v>46164</v>
      </c>
      <c r="DU432" s="301"/>
      <c r="DV432" s="301">
        <v>46178</v>
      </c>
      <c r="DW432" s="301"/>
      <c r="DX432" s="304"/>
      <c r="DY432" s="304"/>
      <c r="DZ432" s="304"/>
      <c r="EA432"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2" s="390"/>
      <c r="EC432" s="302"/>
      <c r="ED432" s="302"/>
      <c r="EE432" s="496"/>
      <c r="EF432" s="445"/>
      <c r="EG432" s="307"/>
      <c r="EH432" s="286" t="str">
        <f>IF(Table1[[#This Row],[PO Material Aktual 
(%)]]&gt;=100%,"Selesai PO = 100%",IF(Table1[[#This Row],[PO Material Aktual 
(%)]]&gt;=50%,"Proses PO &gt; 100%",IF(Table1[[#This Row],[PO Material Aktual 
(%)]]&gt;0%,"Proses PO &gt; 50%",IF(Table1[[#This Row],[PO Material Aktual 
(%)]]=0,"Belum PO = 0%"))))</f>
        <v>Belum PO = 0%</v>
      </c>
      <c r="EI43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2" s="301"/>
      <c r="EK432" s="301">
        <v>46178</v>
      </c>
      <c r="EL432" s="301"/>
      <c r="EM432" s="390">
        <v>46193</v>
      </c>
      <c r="EN432" s="390"/>
      <c r="EO432" s="302"/>
      <c r="EP432" s="302"/>
      <c r="EQ432" s="307"/>
      <c r="ER432" s="307"/>
      <c r="ES432" s="286" t="str">
        <f>IF(Table1[[#This Row],[Progres MOS]]&gt;=100%,"Selesai MOS = 100%",IF(Table1[[#This Row],[Progres MOS]]&gt;=50%,"Proses MOS &gt; 100%",IF(Table1[[#This Row],[Progres MOS]]&gt;0%,"Proses MOS &gt; 50%",IF(Table1[[#This Row],[Progres MOS]]=0,"Belum MOS = 0%"))))</f>
        <v>Belum MOS = 0%</v>
      </c>
      <c r="ET43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2" s="42"/>
      <c r="EV432" s="301"/>
      <c r="EW432" s="301">
        <v>46159</v>
      </c>
      <c r="EX432" s="301"/>
      <c r="EY432" s="390">
        <v>46189</v>
      </c>
      <c r="EZ432" s="447" t="s">
        <v>2769</v>
      </c>
      <c r="FA432" s="379" t="s">
        <v>2769</v>
      </c>
      <c r="FB432" s="390"/>
      <c r="FC432" s="300"/>
      <c r="FD432" s="390"/>
      <c r="FE432" s="390"/>
      <c r="FF432" s="390"/>
      <c r="FG432" s="390"/>
      <c r="FH432" s="390"/>
      <c r="FI432" s="390"/>
      <c r="FJ432" s="390"/>
      <c r="FK432" s="390"/>
      <c r="FL432" s="322"/>
      <c r="FM432" s="447"/>
      <c r="FN432" s="431" t="str">
        <f>IF(Table1[[#This Row],[Tanggal Pengajuan Dokumen]]="","",Table1[[#This Row],[PLAN PERMIT
start]]-Table1[[#This Row],[Tanggal Pengajuan Dokumen]])</f>
        <v/>
      </c>
      <c r="FO432" s="447"/>
      <c r="FP432" s="304"/>
      <c r="FQ432" s="431"/>
      <c r="FR432" s="390"/>
      <c r="FS432" s="431"/>
      <c r="FT432"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2" s="446">
        <f ca="1">IF(Table1[[#This Row],[Status Izin]]="Selesai",Table1[[#This Row],[PLAN PERMIT
finish]]-Table1[[#This Row],[Tanggal Terbit/ Target Izin Terbit]],ROUNDUP(Table1[[#This Row],[PLAN PERMIT
finish]]-NOW(),0))</f>
        <v>-46204</v>
      </c>
      <c r="FV432"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2" s="446"/>
      <c r="FX432" s="42"/>
      <c r="FY432" s="483"/>
      <c r="FZ432" s="483"/>
      <c r="GA432"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2" s="301"/>
      <c r="GC432" s="447">
        <v>46191</v>
      </c>
      <c r="GD432"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2" s="301"/>
      <c r="GF432" s="447">
        <v>46191</v>
      </c>
      <c r="GG432"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2" s="301"/>
      <c r="GI432" s="301"/>
      <c r="GJ432" s="447">
        <v>46192</v>
      </c>
      <c r="GK432"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2" s="301"/>
      <c r="GM432" s="301">
        <v>46196</v>
      </c>
      <c r="GN432" s="301"/>
      <c r="GO432" s="300">
        <v>46216</v>
      </c>
      <c r="GP432" s="304"/>
      <c r="GQ432"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2" s="390"/>
      <c r="GS432" s="390"/>
      <c r="GT432" s="389"/>
      <c r="GU432" s="446" t="str">
        <f>IF(Table1[[#This Row],[Hydro Tes Actual
(tanggal)]]&lt;&gt;"","Sudah","Belum")</f>
        <v>Belum</v>
      </c>
      <c r="GV432" s="497"/>
      <c r="GW432" s="497"/>
      <c r="GX432" s="390"/>
      <c r="GY432" s="446" t="str">
        <f>IF(Table1[[#This Row],[Interkoneksi Actual
(tanggal)]]&lt;&gt;"","Sudah","Belum")</f>
        <v>Belum</v>
      </c>
      <c r="GZ432" s="497"/>
      <c r="HA432" s="497"/>
      <c r="HB432" s="390"/>
      <c r="HC432" s="446" t="str">
        <f>IF(Table1[[#This Row],[Flushing Actual
(tanggal)]]&lt;&gt;"","Sudah","Belum")</f>
        <v>Belum</v>
      </c>
      <c r="HD432" s="301"/>
      <c r="HE432" s="301">
        <v>46217</v>
      </c>
      <c r="HF432" s="301"/>
      <c r="HG432" s="447"/>
      <c r="HH432"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2" s="497"/>
      <c r="HJ432" s="497"/>
      <c r="HK432" s="390"/>
      <c r="HL432" s="390"/>
      <c r="HM432" s="301"/>
      <c r="HN432" s="301"/>
      <c r="HO432" s="300">
        <v>46234</v>
      </c>
      <c r="HP432" s="497"/>
      <c r="HQ432" s="390"/>
      <c r="HR432"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2" s="301"/>
      <c r="HT432" s="301"/>
      <c r="HU432" s="301"/>
      <c r="HV432" s="390"/>
      <c r="HW432" s="317"/>
      <c r="HX432"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2" s="42"/>
      <c r="HZ432" s="447"/>
      <c r="IA432" s="306"/>
      <c r="IB432" s="67"/>
      <c r="IC432" s="585">
        <f>IFERROR(ROUND((Table1[[#This Row],[PLAN TC
finish]]-Table1[[#This Row],[PLAN MC-0
start]])/30,2),"")</f>
        <v>0</v>
      </c>
      <c r="ID432">
        <f>DATEDIF(Table1[[#This Row],[PLAN MC-0
start]],Table1[[#This Row],[PLAN TC
finish]],"m")</f>
        <v>0</v>
      </c>
      <c r="IE432" s="6"/>
      <c r="IF432" s="6"/>
      <c r="IG432" s="67"/>
      <c r="II432" s="6"/>
      <c r="IJ432" s="4"/>
      <c r="IK432" s="4"/>
      <c r="IL432" s="6"/>
      <c r="IM432" s="6"/>
      <c r="IN432" s="6"/>
      <c r="IO432" s="6"/>
      <c r="IP432" s="6"/>
      <c r="IR432" s="6"/>
      <c r="IS432" s="6"/>
      <c r="IT432" s="6"/>
      <c r="IU432" s="6"/>
      <c r="IX432" s="6"/>
      <c r="IY432" s="6"/>
      <c r="JA432" s="6"/>
      <c r="JB432" s="6"/>
    </row>
    <row r="433" spans="2:262" ht="15" customHeight="1" x14ac:dyDescent="0.25">
      <c r="B433" s="281">
        <f>SUBTOTAL(3,$D$5:D433)</f>
        <v>429</v>
      </c>
      <c r="C433" s="286"/>
      <c r="D433" s="285" t="s">
        <v>673</v>
      </c>
      <c r="E433" s="431" t="s">
        <v>3415</v>
      </c>
      <c r="F433" s="308" t="s">
        <v>3416</v>
      </c>
      <c r="G433" s="319">
        <v>46300</v>
      </c>
      <c r="H433" s="308" t="s">
        <v>681</v>
      </c>
      <c r="I433" s="431"/>
      <c r="J433" s="488"/>
      <c r="K433" s="431"/>
      <c r="L433" s="304"/>
      <c r="M433" s="449"/>
      <c r="N433" s="477">
        <v>268</v>
      </c>
      <c r="O433" s="31" t="s">
        <v>252</v>
      </c>
      <c r="P433"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3"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3" s="35">
        <v>0</v>
      </c>
      <c r="S433" s="297">
        <v>0</v>
      </c>
      <c r="T433" s="129">
        <f>Table1[[#This Row],[Progres Total Aktual
(%)]]</f>
        <v>0</v>
      </c>
      <c r="U433" s="104">
        <f>Table1[[#This Row],[Progres Aktual
(%)]]-Table1[[#This Row],[Target Progres
(%)]]</f>
        <v>0</v>
      </c>
      <c r="V433" s="101">
        <f>Table1[[#This Row],["Volume
BA MC-0"]]</f>
        <v>0</v>
      </c>
      <c r="W433" s="101">
        <f>Table1[[#This Row],[Total Panjang Pipa Aktual
(Sum-&gt;)3]]</f>
        <v>0</v>
      </c>
      <c r="X433" s="102"/>
      <c r="Y433" s="501"/>
      <c r="Z433" s="499"/>
      <c r="AA433" s="489">
        <f>ROUND((Table1[[#This Row],[Nilai RAB Jaringan
(Exclude Ppn)]]-Table1[[#This Row],[RAB Perizinan]])*1.11+Table1[[#This Row],[RAB Perizinan]],0)</f>
        <v>0</v>
      </c>
      <c r="AB433" s="475">
        <f>SUM(Table1[[#This Row],[RAB Kegiatan Umum]:[RAB Perizinan]])</f>
        <v>0</v>
      </c>
      <c r="AC433" s="525"/>
      <c r="AD433" s="526"/>
      <c r="AE433" s="525"/>
      <c r="AF433" s="525"/>
      <c r="AG433" s="508"/>
      <c r="AH433" s="490" t="e">
        <f>SUM(Table1[[#This Row],[Bobot Keg Umum]:[Bobot Perizinan]])</f>
        <v>#DIV/0!</v>
      </c>
      <c r="AI433" s="490" t="e">
        <f>Table1[[#This Row],[RAB Kegiatan Umum]]/Table1[[#This Row],[Nilai RAB Jaringan
(Exclude Ppn)]]</f>
        <v>#DIV/0!</v>
      </c>
      <c r="AJ433" s="490" t="e">
        <f>Table1[[#This Row],[RAB Pemasangan]]/Table1[[#This Row],[Nilai RAB Jaringan
(Exclude Ppn)]]</f>
        <v>#DIV/0!</v>
      </c>
      <c r="AK433" s="491" t="e">
        <f>Table1[[#This Row],[RAB Pengadaan]]/Table1[[#This Row],[Nilai RAB Jaringan
(Exclude Ppn)]]</f>
        <v>#DIV/0!</v>
      </c>
      <c r="AL433" s="492" t="e">
        <f>Table1[[#This Row],[RAB Perizinan]]/Table1[[#This Row],[Nilai RAB Jaringan
(Exclude Ppn)]]</f>
        <v>#DIV/0!</v>
      </c>
      <c r="AM433" s="42"/>
      <c r="AN433" s="440"/>
      <c r="AO433" s="440">
        <f>SUM(Table1[[#This Row],[Pipa 63 mm]:[Pipa 1,800 mm]])</f>
        <v>0</v>
      </c>
      <c r="AP433" s="440"/>
      <c r="AQ433" s="440"/>
      <c r="AR433" s="440"/>
      <c r="AS433" s="440"/>
      <c r="AT433" s="440"/>
      <c r="AU433" s="440"/>
      <c r="AV433" s="440"/>
      <c r="AW433" s="440"/>
      <c r="AX433" s="440"/>
      <c r="AY433" s="440"/>
      <c r="AZ433" s="440"/>
      <c r="BA433" s="440"/>
      <c r="BB433" s="440"/>
      <c r="BC433" s="440"/>
      <c r="BD433" s="440"/>
      <c r="BE433" s="440"/>
      <c r="BF433" s="440"/>
      <c r="BG433" s="440"/>
      <c r="BH433" s="440"/>
      <c r="BI433" s="440"/>
      <c r="BJ433" s="493">
        <f>SUM(Table1[[#This Row],[Pipa 63 mm2]:[Pipa 1,800 mm21]])</f>
        <v>0</v>
      </c>
      <c r="BK433" s="441"/>
      <c r="BL433" s="441"/>
      <c r="BM433" s="441"/>
      <c r="BN433" s="441"/>
      <c r="BO433" s="441"/>
      <c r="BP433" s="441"/>
      <c r="BQ433" s="441"/>
      <c r="BR433" s="441"/>
      <c r="BS433" s="441"/>
      <c r="BT433" s="441"/>
      <c r="BU433" s="441"/>
      <c r="BV433" s="441"/>
      <c r="BW433" s="441"/>
      <c r="BX433" s="441"/>
      <c r="BY433" s="441"/>
      <c r="BZ433" s="441"/>
      <c r="CA433" s="441"/>
      <c r="CB433" s="441"/>
      <c r="CC433" s="441"/>
      <c r="CD433" s="441"/>
      <c r="CE433" s="441"/>
      <c r="CF433" s="441"/>
      <c r="CG433" s="441"/>
      <c r="CH433" s="441"/>
      <c r="CI433" s="441"/>
      <c r="CJ433" s="441">
        <f>IF((Table1[[#This Row],["Volume
BA MC-0"]]-Table1[[#This Row],[Total Panjang Pipa Aktual
(Sum-&gt;)3]]-Table1[[#This Row],[Total Volume
tidak dapat dipasang]])&gt;=0,Table1[[#This Row],["Volume
BA MC-0"]]-Table1[[#This Row],[Total Panjang Pipa Aktual
(Sum-&gt;)3]]-Table1[[#This Row],[Total Volume
tidak dapat dipasang]],0)</f>
        <v>0</v>
      </c>
      <c r="CK433" s="42"/>
      <c r="CL433" s="442"/>
      <c r="CM433" s="445"/>
      <c r="CN433" s="442"/>
      <c r="CO433" s="442"/>
      <c r="CP433" s="297"/>
      <c r="CQ433" s="435">
        <f>IFERROR(Table1[[#This Row],[Progres Keg. Umum
(%)]]*Table1[[#This Row],[Nilai RAB Jaringan
(file pa aji)]],0)</f>
        <v>0</v>
      </c>
      <c r="CR433" s="435">
        <f>IFERROR(Table1[[#This Row],[Progres MOS
(%)]]*Table1[[#This Row],[Nilai RAB Jaringan
(file pa aji)]],0)</f>
        <v>0</v>
      </c>
      <c r="CS433" s="435">
        <f>IFERROR(Table1[[#This Row],[Progres Pemasangan
(%)]]*Table1[[#This Row],[Nilai RAB Jaringan
(file pa aji)]],0)</f>
        <v>0</v>
      </c>
      <c r="CT433" s="435">
        <f>IFERROR(Table1[[#This Row],[Progres Perizinan
(%)]]*Table1[[#This Row],[Nilai RAB Jaringan
(file pa aji)]],0)</f>
        <v>0</v>
      </c>
      <c r="CU433" s="789">
        <v>0</v>
      </c>
      <c r="CV433" s="406">
        <v>0</v>
      </c>
      <c r="CW433" s="494">
        <v>0</v>
      </c>
      <c r="CX433" s="789">
        <f>_xlfn.XLOOKUP(Table1[[#This Row],[Kode Program]],'[1]Breakdown VOWD Greenfield'!$E:$E,'[1]Breakdown VOWD Greenfield'!$AT:$AT)</f>
        <v>0</v>
      </c>
      <c r="CY433" s="42"/>
      <c r="CZ433" s="301"/>
      <c r="DA433" s="301"/>
      <c r="DB433" s="390">
        <v>46178</v>
      </c>
      <c r="DC433" s="505" t="s">
        <v>3417</v>
      </c>
      <c r="DD433" s="495"/>
      <c r="DE43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3" s="390"/>
      <c r="DG433" s="505"/>
      <c r="DH433" s="495"/>
      <c r="DI433"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3" s="301"/>
      <c r="DK433" s="301"/>
      <c r="DL433" s="301"/>
      <c r="DM433" s="304"/>
      <c r="DN433"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3" s="301"/>
      <c r="DP433" s="304"/>
      <c r="DQ433" s="431"/>
      <c r="DR433"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3" s="301"/>
      <c r="DT433" s="301">
        <v>46164</v>
      </c>
      <c r="DU433" s="301"/>
      <c r="DV433" s="301">
        <v>46178</v>
      </c>
      <c r="DW433" s="301"/>
      <c r="DX433" s="304"/>
      <c r="DY433" s="304"/>
      <c r="DZ433" s="304"/>
      <c r="EA433"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3" s="390"/>
      <c r="EC433" s="302"/>
      <c r="ED433" s="302"/>
      <c r="EE433" s="496"/>
      <c r="EF433" s="445"/>
      <c r="EG433" s="307"/>
      <c r="EH433" s="286" t="str">
        <f>IF(Table1[[#This Row],[PO Material Aktual 
(%)]]&gt;=100%,"Selesai PO = 100%",IF(Table1[[#This Row],[PO Material Aktual 
(%)]]&gt;=50%,"Proses PO &gt; 100%",IF(Table1[[#This Row],[PO Material Aktual 
(%)]]&gt;0%,"Proses PO &gt; 50%",IF(Table1[[#This Row],[PO Material Aktual 
(%)]]=0,"Belum PO = 0%"))))</f>
        <v>Belum PO = 0%</v>
      </c>
      <c r="EI43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3" s="301"/>
      <c r="EK433" s="301">
        <v>46178</v>
      </c>
      <c r="EL433" s="301"/>
      <c r="EM433" s="390">
        <v>46193</v>
      </c>
      <c r="EN433" s="390"/>
      <c r="EO433" s="302"/>
      <c r="EP433" s="302"/>
      <c r="EQ433" s="307"/>
      <c r="ER433" s="307"/>
      <c r="ES433" s="286" t="str">
        <f>IF(Table1[[#This Row],[Progres MOS]]&gt;=100%,"Selesai MOS = 100%",IF(Table1[[#This Row],[Progres MOS]]&gt;=50%,"Proses MOS &gt; 100%",IF(Table1[[#This Row],[Progres MOS]]&gt;0%,"Proses MOS &gt; 50%",IF(Table1[[#This Row],[Progres MOS]]=0,"Belum MOS = 0%"))))</f>
        <v>Belum MOS = 0%</v>
      </c>
      <c r="ET43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3" s="42"/>
      <c r="EV433" s="301"/>
      <c r="EW433" s="301">
        <v>46159</v>
      </c>
      <c r="EX433" s="301"/>
      <c r="EY433" s="390">
        <v>46189</v>
      </c>
      <c r="EZ433" s="447" t="s">
        <v>2769</v>
      </c>
      <c r="FA433" s="379" t="s">
        <v>2769</v>
      </c>
      <c r="FB433" s="390"/>
      <c r="FC433" s="300"/>
      <c r="FD433" s="390"/>
      <c r="FE433" s="390"/>
      <c r="FF433" s="390"/>
      <c r="FG433" s="390"/>
      <c r="FH433" s="390"/>
      <c r="FI433" s="390"/>
      <c r="FJ433" s="390"/>
      <c r="FK433" s="390"/>
      <c r="FL433" s="322"/>
      <c r="FM433" s="447"/>
      <c r="FN433" s="431" t="str">
        <f>IF(Table1[[#This Row],[Tanggal Pengajuan Dokumen]]="","",Table1[[#This Row],[PLAN PERMIT
start]]-Table1[[#This Row],[Tanggal Pengajuan Dokumen]])</f>
        <v/>
      </c>
      <c r="FO433" s="447"/>
      <c r="FP433" s="304"/>
      <c r="FQ433" s="431"/>
      <c r="FR433" s="390"/>
      <c r="FS433" s="431"/>
      <c r="FT433"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3" s="446">
        <f ca="1">IF(Table1[[#This Row],[Status Izin]]="Selesai",Table1[[#This Row],[PLAN PERMIT
finish]]-Table1[[#This Row],[Tanggal Terbit/ Target Izin Terbit]],ROUNDUP(Table1[[#This Row],[PLAN PERMIT
finish]]-NOW(),0))</f>
        <v>-46204</v>
      </c>
      <c r="FV433"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3" s="446"/>
      <c r="FX433" s="42"/>
      <c r="FY433" s="483"/>
      <c r="FZ433" s="483"/>
      <c r="GA433"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3" s="301"/>
      <c r="GC433" s="447">
        <v>46191</v>
      </c>
      <c r="GD433"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3" s="301"/>
      <c r="GF433" s="447">
        <v>46191</v>
      </c>
      <c r="GG433"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3" s="301"/>
      <c r="GI433" s="301"/>
      <c r="GJ433" s="447">
        <v>46192</v>
      </c>
      <c r="GK433"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3" s="301"/>
      <c r="GM433" s="301">
        <v>46196</v>
      </c>
      <c r="GN433" s="301"/>
      <c r="GO433" s="300">
        <v>46216</v>
      </c>
      <c r="GP433" s="304"/>
      <c r="GQ433"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3" s="390"/>
      <c r="GS433" s="390"/>
      <c r="GT433" s="389"/>
      <c r="GU433" s="446" t="str">
        <f>IF(Table1[[#This Row],[Hydro Tes Actual
(tanggal)]]&lt;&gt;"","Sudah","Belum")</f>
        <v>Belum</v>
      </c>
      <c r="GV433" s="497"/>
      <c r="GW433" s="497"/>
      <c r="GX433" s="390"/>
      <c r="GY433" s="446" t="str">
        <f>IF(Table1[[#This Row],[Interkoneksi Actual
(tanggal)]]&lt;&gt;"","Sudah","Belum")</f>
        <v>Belum</v>
      </c>
      <c r="GZ433" s="497"/>
      <c r="HA433" s="497"/>
      <c r="HB433" s="390"/>
      <c r="HC433" s="446" t="str">
        <f>IF(Table1[[#This Row],[Flushing Actual
(tanggal)]]&lt;&gt;"","Sudah","Belum")</f>
        <v>Belum</v>
      </c>
      <c r="HD433" s="301"/>
      <c r="HE433" s="301">
        <v>46217</v>
      </c>
      <c r="HF433" s="301"/>
      <c r="HG433" s="447"/>
      <c r="HH433"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3" s="497"/>
      <c r="HJ433" s="497"/>
      <c r="HK433" s="390"/>
      <c r="HL433" s="390"/>
      <c r="HM433" s="301"/>
      <c r="HN433" s="301"/>
      <c r="HO433" s="300">
        <v>46234</v>
      </c>
      <c r="HP433" s="497"/>
      <c r="HQ433" s="390"/>
      <c r="HR433"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3" s="301"/>
      <c r="HT433" s="301"/>
      <c r="HU433" s="301"/>
      <c r="HV433" s="390"/>
      <c r="HW433" s="317"/>
      <c r="HX433"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3" s="42"/>
      <c r="HZ433" s="447"/>
      <c r="IA433" s="306"/>
      <c r="IB433" s="67"/>
      <c r="IC433" s="585">
        <f>IFERROR(ROUND((Table1[[#This Row],[PLAN TC
finish]]-Table1[[#This Row],[PLAN MC-0
start]])/30,2),"")</f>
        <v>0</v>
      </c>
      <c r="ID433">
        <f>DATEDIF(Table1[[#This Row],[PLAN MC-0
start]],Table1[[#This Row],[PLAN TC
finish]],"m")</f>
        <v>0</v>
      </c>
      <c r="IE433" s="6"/>
      <c r="IF433" s="6"/>
      <c r="IG433" s="67"/>
      <c r="II433" s="6"/>
      <c r="IJ433" s="4"/>
      <c r="IK433" s="4"/>
      <c r="IL433" s="6"/>
      <c r="IM433" s="6"/>
      <c r="IN433" s="6"/>
      <c r="IO433" s="6"/>
      <c r="IP433" s="6"/>
      <c r="IR433" s="6"/>
      <c r="IS433" s="6"/>
      <c r="IT433" s="6"/>
      <c r="IU433" s="6"/>
      <c r="IX433" s="6"/>
      <c r="IY433" s="6"/>
      <c r="JA433" s="6"/>
      <c r="JB433" s="6"/>
    </row>
    <row r="434" spans="2:262" ht="15" customHeight="1" x14ac:dyDescent="0.25">
      <c r="B434" s="281">
        <f>SUBTOTAL(3,$D$5:D434)</f>
        <v>430</v>
      </c>
      <c r="C434" s="286"/>
      <c r="D434" s="285" t="s">
        <v>673</v>
      </c>
      <c r="E434" s="431" t="s">
        <v>3418</v>
      </c>
      <c r="F434" s="308" t="s">
        <v>3419</v>
      </c>
      <c r="G434" s="319">
        <v>46300</v>
      </c>
      <c r="H434" s="308" t="s">
        <v>681</v>
      </c>
      <c r="I434" s="431"/>
      <c r="J434" s="488"/>
      <c r="K434" s="431"/>
      <c r="L434" s="304"/>
      <c r="M434" s="449"/>
      <c r="N434" s="477">
        <v>287</v>
      </c>
      <c r="O434" s="31" t="s">
        <v>252</v>
      </c>
      <c r="P43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4"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4" s="35">
        <v>0</v>
      </c>
      <c r="S434" s="297">
        <v>0</v>
      </c>
      <c r="T434" s="129">
        <f>Table1[[#This Row],[Progres Total Aktual
(%)]]</f>
        <v>0</v>
      </c>
      <c r="U434" s="104">
        <f>Table1[[#This Row],[Progres Aktual
(%)]]-Table1[[#This Row],[Target Progres
(%)]]</f>
        <v>0</v>
      </c>
      <c r="V434" s="101">
        <f>Table1[[#This Row],["Volume
BA MC-0"]]</f>
        <v>0</v>
      </c>
      <c r="W434" s="101">
        <f>Table1[[#This Row],[Total Panjang Pipa Aktual
(Sum-&gt;)3]]</f>
        <v>0</v>
      </c>
      <c r="X434" s="102"/>
      <c r="Y434" s="501"/>
      <c r="Z434" s="499"/>
      <c r="AA434" s="489">
        <f>ROUND((Table1[[#This Row],[Nilai RAB Jaringan
(Exclude Ppn)]]-Table1[[#This Row],[RAB Perizinan]])*1.11+Table1[[#This Row],[RAB Perizinan]],0)</f>
        <v>0</v>
      </c>
      <c r="AB434" s="475">
        <f>SUM(Table1[[#This Row],[RAB Kegiatan Umum]:[RAB Perizinan]])</f>
        <v>0</v>
      </c>
      <c r="AC434" s="525"/>
      <c r="AD434" s="526"/>
      <c r="AE434" s="525"/>
      <c r="AF434" s="525"/>
      <c r="AG434" s="508"/>
      <c r="AH434" s="490" t="e">
        <f>SUM(Table1[[#This Row],[Bobot Keg Umum]:[Bobot Perizinan]])</f>
        <v>#DIV/0!</v>
      </c>
      <c r="AI434" s="490" t="e">
        <f>Table1[[#This Row],[RAB Kegiatan Umum]]/Table1[[#This Row],[Nilai RAB Jaringan
(Exclude Ppn)]]</f>
        <v>#DIV/0!</v>
      </c>
      <c r="AJ434" s="490" t="e">
        <f>Table1[[#This Row],[RAB Pemasangan]]/Table1[[#This Row],[Nilai RAB Jaringan
(Exclude Ppn)]]</f>
        <v>#DIV/0!</v>
      </c>
      <c r="AK434" s="491" t="e">
        <f>Table1[[#This Row],[RAB Pengadaan]]/Table1[[#This Row],[Nilai RAB Jaringan
(Exclude Ppn)]]</f>
        <v>#DIV/0!</v>
      </c>
      <c r="AL434" s="492" t="e">
        <f>Table1[[#This Row],[RAB Perizinan]]/Table1[[#This Row],[Nilai RAB Jaringan
(Exclude Ppn)]]</f>
        <v>#DIV/0!</v>
      </c>
      <c r="AM434" s="42"/>
      <c r="AN434" s="440"/>
      <c r="AO434" s="440">
        <f>SUM(Table1[[#This Row],[Pipa 63 mm]:[Pipa 1,800 mm]])</f>
        <v>0</v>
      </c>
      <c r="AP434" s="440"/>
      <c r="AQ434" s="440"/>
      <c r="AR434" s="440"/>
      <c r="AS434" s="440"/>
      <c r="AT434" s="440"/>
      <c r="AU434" s="440"/>
      <c r="AV434" s="440"/>
      <c r="AW434" s="440"/>
      <c r="AX434" s="440"/>
      <c r="AY434" s="440"/>
      <c r="AZ434" s="440"/>
      <c r="BA434" s="440"/>
      <c r="BB434" s="440"/>
      <c r="BC434" s="440"/>
      <c r="BD434" s="440"/>
      <c r="BE434" s="440"/>
      <c r="BF434" s="440"/>
      <c r="BG434" s="440"/>
      <c r="BH434" s="440"/>
      <c r="BI434" s="440"/>
      <c r="BJ434" s="493">
        <f>SUM(Table1[[#This Row],[Pipa 63 mm2]:[Pipa 1,800 mm21]])</f>
        <v>0</v>
      </c>
      <c r="BK434" s="441"/>
      <c r="BL434" s="441"/>
      <c r="BM434" s="441"/>
      <c r="BN434" s="441"/>
      <c r="BO434" s="441"/>
      <c r="BP434" s="441"/>
      <c r="BQ434" s="441"/>
      <c r="BR434" s="441"/>
      <c r="BS434" s="441"/>
      <c r="BT434" s="441"/>
      <c r="BU434" s="441"/>
      <c r="BV434" s="441"/>
      <c r="BW434" s="441"/>
      <c r="BX434" s="441"/>
      <c r="BY434" s="441"/>
      <c r="BZ434" s="441"/>
      <c r="CA434" s="441"/>
      <c r="CB434" s="441"/>
      <c r="CC434" s="441"/>
      <c r="CD434" s="441"/>
      <c r="CE434" s="441"/>
      <c r="CF434" s="441"/>
      <c r="CG434" s="441"/>
      <c r="CH434" s="441"/>
      <c r="CI434" s="441"/>
      <c r="CJ434" s="441">
        <f>IF((Table1[[#This Row],["Volume
BA MC-0"]]-Table1[[#This Row],[Total Panjang Pipa Aktual
(Sum-&gt;)3]]-Table1[[#This Row],[Total Volume
tidak dapat dipasang]])&gt;=0,Table1[[#This Row],["Volume
BA MC-0"]]-Table1[[#This Row],[Total Panjang Pipa Aktual
(Sum-&gt;)3]]-Table1[[#This Row],[Total Volume
tidak dapat dipasang]],0)</f>
        <v>0</v>
      </c>
      <c r="CK434" s="42"/>
      <c r="CL434" s="442"/>
      <c r="CM434" s="445"/>
      <c r="CN434" s="442"/>
      <c r="CO434" s="442"/>
      <c r="CP434" s="297"/>
      <c r="CQ434" s="435">
        <f>IFERROR(Table1[[#This Row],[Progres Keg. Umum
(%)]]*Table1[[#This Row],[Nilai RAB Jaringan
(file pa aji)]],0)</f>
        <v>0</v>
      </c>
      <c r="CR434" s="435">
        <f>IFERROR(Table1[[#This Row],[Progres MOS
(%)]]*Table1[[#This Row],[Nilai RAB Jaringan
(file pa aji)]],0)</f>
        <v>0</v>
      </c>
      <c r="CS434" s="435">
        <f>IFERROR(Table1[[#This Row],[Progres Pemasangan
(%)]]*Table1[[#This Row],[Nilai RAB Jaringan
(file pa aji)]],0)</f>
        <v>0</v>
      </c>
      <c r="CT434" s="435">
        <f>IFERROR(Table1[[#This Row],[Progres Perizinan
(%)]]*Table1[[#This Row],[Nilai RAB Jaringan
(file pa aji)]],0)</f>
        <v>0</v>
      </c>
      <c r="CU434" s="789">
        <v>0</v>
      </c>
      <c r="CV434" s="406">
        <v>0</v>
      </c>
      <c r="CW434" s="494">
        <v>0</v>
      </c>
      <c r="CX434" s="789">
        <f>_xlfn.XLOOKUP(Table1[[#This Row],[Kode Program]],'[1]Breakdown VOWD Greenfield'!$E:$E,'[1]Breakdown VOWD Greenfield'!$AT:$AT)</f>
        <v>0</v>
      </c>
      <c r="CY434" s="42"/>
      <c r="CZ434" s="301"/>
      <c r="DA434" s="301"/>
      <c r="DB434" s="390">
        <v>46178</v>
      </c>
      <c r="DC434" s="505" t="s">
        <v>3420</v>
      </c>
      <c r="DD434" s="495"/>
      <c r="DE43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4" s="390"/>
      <c r="DG434" s="505"/>
      <c r="DH434" s="495"/>
      <c r="DI43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34" s="301"/>
      <c r="DK434" s="301"/>
      <c r="DL434" s="301"/>
      <c r="DM434" s="304"/>
      <c r="DN43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34" s="301"/>
      <c r="DP434" s="304"/>
      <c r="DQ434" s="431"/>
      <c r="DR43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34" s="301"/>
      <c r="DT434" s="301">
        <v>46164</v>
      </c>
      <c r="DU434" s="301"/>
      <c r="DV434" s="301">
        <v>46178</v>
      </c>
      <c r="DW434" s="301"/>
      <c r="DX434" s="304"/>
      <c r="DY434" s="304"/>
      <c r="DZ434" s="304"/>
      <c r="EA43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34" s="390"/>
      <c r="EC434" s="302"/>
      <c r="ED434" s="302"/>
      <c r="EE434" s="496"/>
      <c r="EF434" s="445"/>
      <c r="EG434" s="307"/>
      <c r="EH434" s="286" t="str">
        <f>IF(Table1[[#This Row],[PO Material Aktual 
(%)]]&gt;=100%,"Selesai PO = 100%",IF(Table1[[#This Row],[PO Material Aktual 
(%)]]&gt;=50%,"Proses PO &gt; 100%",IF(Table1[[#This Row],[PO Material Aktual 
(%)]]&gt;0%,"Proses PO &gt; 50%",IF(Table1[[#This Row],[PO Material Aktual 
(%)]]=0,"Belum PO = 0%"))))</f>
        <v>Belum PO = 0%</v>
      </c>
      <c r="EI43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4" s="301"/>
      <c r="EK434" s="301">
        <v>46178</v>
      </c>
      <c r="EL434" s="301"/>
      <c r="EM434" s="390">
        <v>46193</v>
      </c>
      <c r="EN434" s="390"/>
      <c r="EO434" s="302"/>
      <c r="EP434" s="302"/>
      <c r="EQ434" s="307"/>
      <c r="ER434" s="307"/>
      <c r="ES434" s="286" t="str">
        <f>IF(Table1[[#This Row],[Progres MOS]]&gt;=100%,"Selesai MOS = 100%",IF(Table1[[#This Row],[Progres MOS]]&gt;=50%,"Proses MOS &gt; 100%",IF(Table1[[#This Row],[Progres MOS]]&gt;0%,"Proses MOS &gt; 50%",IF(Table1[[#This Row],[Progres MOS]]=0,"Belum MOS = 0%"))))</f>
        <v>Belum MOS = 0%</v>
      </c>
      <c r="ET43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4" s="42"/>
      <c r="EV434" s="301"/>
      <c r="EW434" s="301">
        <v>46159</v>
      </c>
      <c r="EX434" s="301"/>
      <c r="EY434" s="390">
        <v>46189</v>
      </c>
      <c r="EZ434" s="447" t="s">
        <v>2769</v>
      </c>
      <c r="FA434" s="379" t="s">
        <v>2769</v>
      </c>
      <c r="FB434" s="390"/>
      <c r="FC434" s="300"/>
      <c r="FD434" s="390"/>
      <c r="FE434" s="390"/>
      <c r="FF434" s="390"/>
      <c r="FG434" s="390"/>
      <c r="FH434" s="390"/>
      <c r="FI434" s="390"/>
      <c r="FJ434" s="390"/>
      <c r="FK434" s="390"/>
      <c r="FL434" s="322"/>
      <c r="FM434" s="447"/>
      <c r="FN434" s="431" t="str">
        <f>IF(Table1[[#This Row],[Tanggal Pengajuan Dokumen]]="","",Table1[[#This Row],[PLAN PERMIT
start]]-Table1[[#This Row],[Tanggal Pengajuan Dokumen]])</f>
        <v/>
      </c>
      <c r="FO434" s="447"/>
      <c r="FP434" s="304"/>
      <c r="FQ434" s="431"/>
      <c r="FR434" s="390"/>
      <c r="FS434" s="431"/>
      <c r="FT43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4" s="446">
        <f ca="1">IF(Table1[[#This Row],[Status Izin]]="Selesai",Table1[[#This Row],[PLAN PERMIT
finish]]-Table1[[#This Row],[Tanggal Terbit/ Target Izin Terbit]],ROUNDUP(Table1[[#This Row],[PLAN PERMIT
finish]]-NOW(),0))</f>
        <v>-46204</v>
      </c>
      <c r="FV43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4" s="446"/>
      <c r="FX434" s="42"/>
      <c r="FY434" s="483"/>
      <c r="FZ434" s="483"/>
      <c r="GA434"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34" s="301"/>
      <c r="GC434" s="447">
        <v>46191</v>
      </c>
      <c r="GD43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4" s="301"/>
      <c r="GF434" s="447">
        <v>46191</v>
      </c>
      <c r="GG43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4" s="301"/>
      <c r="GI434" s="301"/>
      <c r="GJ434" s="447">
        <v>46192</v>
      </c>
      <c r="GK43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4" s="301"/>
      <c r="GM434" s="301">
        <v>46196</v>
      </c>
      <c r="GN434" s="301"/>
      <c r="GO434" s="300">
        <v>46216</v>
      </c>
      <c r="GP434" s="304"/>
      <c r="GQ43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4" s="390"/>
      <c r="GS434" s="390"/>
      <c r="GT434" s="389"/>
      <c r="GU434" s="446" t="str">
        <f>IF(Table1[[#This Row],[Hydro Tes Actual
(tanggal)]]&lt;&gt;"","Sudah","Belum")</f>
        <v>Belum</v>
      </c>
      <c r="GV434" s="497"/>
      <c r="GW434" s="497"/>
      <c r="GX434" s="390"/>
      <c r="GY434" s="446" t="str">
        <f>IF(Table1[[#This Row],[Interkoneksi Actual
(tanggal)]]&lt;&gt;"","Sudah","Belum")</f>
        <v>Belum</v>
      </c>
      <c r="GZ434" s="497"/>
      <c r="HA434" s="497"/>
      <c r="HB434" s="390"/>
      <c r="HC434" s="446" t="str">
        <f>IF(Table1[[#This Row],[Flushing Actual
(tanggal)]]&lt;&gt;"","Sudah","Belum")</f>
        <v>Belum</v>
      </c>
      <c r="HD434" s="301"/>
      <c r="HE434" s="301">
        <v>46217</v>
      </c>
      <c r="HF434" s="301"/>
      <c r="HG434" s="447"/>
      <c r="HH43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4" s="497"/>
      <c r="HJ434" s="497"/>
      <c r="HK434" s="390"/>
      <c r="HL434" s="390"/>
      <c r="HM434" s="301"/>
      <c r="HN434" s="301"/>
      <c r="HO434" s="300">
        <v>46234</v>
      </c>
      <c r="HP434" s="497"/>
      <c r="HQ434" s="390"/>
      <c r="HR43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4" s="301"/>
      <c r="HT434" s="301"/>
      <c r="HU434" s="301"/>
      <c r="HV434" s="390"/>
      <c r="HW434" s="317"/>
      <c r="HX43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4" s="42"/>
      <c r="HZ434" s="447"/>
      <c r="IA434" s="306"/>
      <c r="IB434" s="67"/>
      <c r="IC434" s="585">
        <f>IFERROR(ROUND((Table1[[#This Row],[PLAN TC
finish]]-Table1[[#This Row],[PLAN MC-0
start]])/30,2),"")</f>
        <v>0</v>
      </c>
      <c r="ID434">
        <f>DATEDIF(Table1[[#This Row],[PLAN MC-0
start]],Table1[[#This Row],[PLAN TC
finish]],"m")</f>
        <v>0</v>
      </c>
      <c r="IE434" s="6"/>
      <c r="IF434" s="6"/>
      <c r="IG434" s="67"/>
      <c r="II434" s="6"/>
      <c r="IJ434" s="4"/>
      <c r="IK434" s="4"/>
      <c r="IL434" s="6"/>
      <c r="IM434" s="6"/>
      <c r="IN434" s="6"/>
      <c r="IO434" s="6"/>
      <c r="IP434" s="6"/>
      <c r="IR434" s="6"/>
      <c r="IS434" s="6"/>
      <c r="IT434" s="6"/>
      <c r="IU434" s="6"/>
      <c r="IX434" s="6"/>
      <c r="IY434" s="6"/>
      <c r="JA434" s="6"/>
      <c r="JB434" s="6"/>
    </row>
    <row r="435" spans="2:262" ht="15" customHeight="1" x14ac:dyDescent="0.25">
      <c r="B435" s="281">
        <f>SUBTOTAL(3,$D$5:D435)</f>
        <v>431</v>
      </c>
      <c r="C435" s="286">
        <v>428</v>
      </c>
      <c r="D435" s="285" t="s">
        <v>629</v>
      </c>
      <c r="E435" s="308" t="s">
        <v>3421</v>
      </c>
      <c r="F435" s="308" t="s">
        <v>3422</v>
      </c>
      <c r="G435" s="319">
        <v>46300</v>
      </c>
      <c r="H435" s="308" t="s">
        <v>681</v>
      </c>
      <c r="I435" s="308" t="s">
        <v>278</v>
      </c>
      <c r="J435" s="450"/>
      <c r="K435" s="308" t="s">
        <v>915</v>
      </c>
      <c r="L435" s="286" t="s">
        <v>250</v>
      </c>
      <c r="M435" s="325" t="s">
        <v>269</v>
      </c>
      <c r="N435" s="477">
        <v>1723</v>
      </c>
      <c r="O435" s="31" t="s">
        <v>252</v>
      </c>
      <c r="P43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5" s="35">
        <v>0.99999999999999989</v>
      </c>
      <c r="S435" s="297">
        <f>_xlfn.XLOOKUP(Table1[[#This Row],[Nama Program]],'[2]Summary Plan'!$E:$E,'[2]Summary Plan'!$M:$M)</f>
        <v>0.99999999999999989</v>
      </c>
      <c r="T435" s="128">
        <f>Table1[[#This Row],[Progres Total Aktual
(%)]]</f>
        <v>1</v>
      </c>
      <c r="U435" s="103">
        <f>Table1[[#This Row],[Progres Aktual
(%)]]-Table1[[#This Row],[Target Progres
(%)]]</f>
        <v>0</v>
      </c>
      <c r="V435" s="590">
        <f>Table1[[#This Row],["Volume
BA MC-0"]]</f>
        <v>1756.6</v>
      </c>
      <c r="W435" s="75">
        <f>Table1[[#This Row],[Total Panjang Pipa Aktual
(Sum-&gt;)3]]</f>
        <v>1941.4</v>
      </c>
      <c r="X435" s="99"/>
      <c r="Y435" s="62" t="s">
        <v>3423</v>
      </c>
      <c r="Z435" s="62">
        <v>1900517720</v>
      </c>
      <c r="AA435" s="479">
        <f>ROUND((Table1[[#This Row],[Nilai RAB Jaringan
(Exclude Ppn)]]-Table1[[#This Row],[RAB Perizinan]])*1.11+Table1[[#This Row],[RAB Perizinan]],0)</f>
        <v>1900517719</v>
      </c>
      <c r="AB435" s="406">
        <f>SUM(Table1[[#This Row],[RAB Kegiatan Umum]:[RAB Perizinan]])</f>
        <v>1713885603</v>
      </c>
      <c r="AC435" s="527">
        <v>130682118</v>
      </c>
      <c r="AD435" s="527">
        <v>1306821178</v>
      </c>
      <c r="AE435" s="527">
        <v>259152307</v>
      </c>
      <c r="AF435" s="527">
        <v>17230000</v>
      </c>
      <c r="AG435" s="406"/>
      <c r="AH435" s="480">
        <f>SUM(Table1[[#This Row],[Bobot Keg Umum]:[Bobot Perizinan]])</f>
        <v>1</v>
      </c>
      <c r="AI435" s="480">
        <f>Table1[[#This Row],[RAB Kegiatan Umum]]/Table1[[#This Row],[Nilai RAB Jaringan
(Exclude Ppn)]]</f>
        <v>7.6249031890607458E-2</v>
      </c>
      <c r="AJ435" s="480">
        <f>Table1[[#This Row],[RAB Pemasangan]]/Table1[[#This Row],[Nilai RAB Jaringan
(Exclude Ppn)]]</f>
        <v>0.76249031773913556</v>
      </c>
      <c r="AK435" s="111">
        <f>Table1[[#This Row],[RAB Pengadaan]]/Table1[[#This Row],[Nilai RAB Jaringan
(Exclude Ppn)]]</f>
        <v>0.1512074706423682</v>
      </c>
      <c r="AL435" s="112">
        <f>Table1[[#This Row],[RAB Perizinan]]/Table1[[#This Row],[Nilai RAB Jaringan
(Exclude Ppn)]]</f>
        <v>1.0053179727888759E-2</v>
      </c>
      <c r="AM435" s="42"/>
      <c r="AN435" s="256">
        <v>1756.6</v>
      </c>
      <c r="AO435" s="256">
        <f>SUM(Table1[[#This Row],[Pipa 63 mm]:[Pipa 1,800 mm]])</f>
        <v>1756.6</v>
      </c>
      <c r="AP435" s="256">
        <v>1756.6</v>
      </c>
      <c r="AQ435" s="256"/>
      <c r="AR435" s="256"/>
      <c r="AS435" s="256"/>
      <c r="AT435" s="256"/>
      <c r="AU435" s="256"/>
      <c r="AV435" s="256"/>
      <c r="AW435" s="256"/>
      <c r="AX435" s="256"/>
      <c r="AY435" s="256"/>
      <c r="AZ435" s="256"/>
      <c r="BA435" s="256"/>
      <c r="BB435" s="256"/>
      <c r="BC435" s="256"/>
      <c r="BD435" s="256"/>
      <c r="BE435" s="256"/>
      <c r="BF435" s="256"/>
      <c r="BG435" s="256"/>
      <c r="BH435" s="256"/>
      <c r="BI435" s="256"/>
      <c r="BJ435" s="36">
        <f>SUM(Table1[[#This Row],[Pipa 63 mm2]:[Pipa 1,800 mm21]])</f>
        <v>1941.4</v>
      </c>
      <c r="BK435" s="32">
        <v>1941.4</v>
      </c>
      <c r="BL435" s="32"/>
      <c r="BM435" s="32"/>
      <c r="BN435" s="32"/>
      <c r="BO435" s="32"/>
      <c r="BP435" s="32"/>
      <c r="BQ435" s="32"/>
      <c r="BR435" s="32"/>
      <c r="BS435" s="32"/>
      <c r="BT435" s="32"/>
      <c r="BU435" s="32"/>
      <c r="BV435" s="32"/>
      <c r="BW435" s="32"/>
      <c r="BX435" s="32"/>
      <c r="BY435" s="32"/>
      <c r="BZ435" s="32"/>
      <c r="CA435" s="32"/>
      <c r="CB435" s="32"/>
      <c r="CC435" s="32"/>
      <c r="CD435" s="32"/>
      <c r="CE435" s="32"/>
      <c r="CF435" s="32"/>
      <c r="CG435" s="32"/>
      <c r="CH435" s="32"/>
      <c r="CI435" s="32"/>
      <c r="CJ435" s="32">
        <f>IF((Table1[[#This Row],["Volume
BA MC-0"]]-Table1[[#This Row],[Total Panjang Pipa Aktual
(Sum-&gt;)3]]-Table1[[#This Row],[Total Volume
tidak dapat dipasang]])&gt;=0,Table1[[#This Row],["Volume
BA MC-0"]]-Table1[[#This Row],[Total Panjang Pipa Aktual
(Sum-&gt;)3]]-Table1[[#This Row],[Total Volume
tidak dapat dipasang]],0)</f>
        <v>0</v>
      </c>
      <c r="CK435" s="42"/>
      <c r="CL435" s="113"/>
      <c r="CM435" s="307"/>
      <c r="CN435" s="113"/>
      <c r="CO435" s="113"/>
      <c r="CP435"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5" s="406">
        <f>IFERROR(Table1[[#This Row],[Progres Keg. Umum
(%)]]*Table1[[#This Row],[Nilai RAB Jaringan
(file pa aji)]],0)</f>
        <v>0</v>
      </c>
      <c r="CR435" s="406">
        <f>IFERROR(Table1[[#This Row],[Progres MOS
(%)]]*Table1[[#This Row],[Nilai RAB Jaringan
(file pa aji)]],0)</f>
        <v>0</v>
      </c>
      <c r="CS435" s="406">
        <f>IFERROR(Table1[[#This Row],[Progres Pemasangan
(%)]]*Table1[[#This Row],[Nilai RAB Jaringan
(file pa aji)]],0)</f>
        <v>0</v>
      </c>
      <c r="CT435" s="406">
        <f>IFERROR(Table1[[#This Row],[Progres Perizinan
(%)]]*Table1[[#This Row],[Nilai RAB Jaringan
(file pa aji)]],0)</f>
        <v>0</v>
      </c>
      <c r="CU435" s="789">
        <v>2091811493</v>
      </c>
      <c r="CV435" s="406">
        <v>2091811493</v>
      </c>
      <c r="CW435" s="481">
        <v>2091811493</v>
      </c>
      <c r="CX435" s="789">
        <f>_xlfn.XLOOKUP(Table1[[#This Row],[Kode Program]],'[1]Breakdown VOWD Greenfield'!$E:$E,'[1]Breakdown VOWD Greenfield'!$AT:$AT)</f>
        <v>2091811493</v>
      </c>
      <c r="CY435" s="42"/>
      <c r="CZ435" s="301">
        <v>45957</v>
      </c>
      <c r="DA435" s="301">
        <v>45984</v>
      </c>
      <c r="DB435" s="301">
        <v>45959</v>
      </c>
      <c r="DC435" s="286" t="s">
        <v>3424</v>
      </c>
      <c r="DD435" s="478">
        <v>1883287720</v>
      </c>
      <c r="DE43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5" s="365">
        <v>45978</v>
      </c>
      <c r="DG435" s="327" t="s">
        <v>3425</v>
      </c>
      <c r="DH435" s="478">
        <v>1883287720</v>
      </c>
      <c r="DI43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5" s="301">
        <v>45985</v>
      </c>
      <c r="DK435" s="301">
        <v>46047</v>
      </c>
      <c r="DL435" s="301">
        <v>46006</v>
      </c>
      <c r="DM435" s="286" t="s">
        <v>3426</v>
      </c>
      <c r="DN43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5" s="301">
        <v>46027</v>
      </c>
      <c r="DP435" s="286" t="s">
        <v>3427</v>
      </c>
      <c r="DQ435" s="308" t="s">
        <v>365</v>
      </c>
      <c r="DR43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5" s="301">
        <v>45985</v>
      </c>
      <c r="DT435" s="301">
        <v>46154</v>
      </c>
      <c r="DU435" s="301">
        <v>46026</v>
      </c>
      <c r="DV435" s="301">
        <v>46168</v>
      </c>
      <c r="DW435" s="301">
        <v>46006</v>
      </c>
      <c r="DX435" s="396" t="s">
        <v>3428</v>
      </c>
      <c r="DY435" s="304">
        <v>26</v>
      </c>
      <c r="DZ435" s="304">
        <v>26</v>
      </c>
      <c r="EA43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5" s="301">
        <v>46072</v>
      </c>
      <c r="EC435" s="302">
        <v>26</v>
      </c>
      <c r="ED435" s="302">
        <v>26</v>
      </c>
      <c r="EE435" s="395" t="s">
        <v>3429</v>
      </c>
      <c r="EF435" s="307">
        <v>1</v>
      </c>
      <c r="EG435" s="307">
        <f>Table1[[#This Row],[Line PO (kolom  bantu)2]]/Table1[[#This Row],[Line PR]]</f>
        <v>1</v>
      </c>
      <c r="EH435" s="286" t="str">
        <f>IF(Table1[[#This Row],[PO Material Aktual 
(%)]]&gt;=100%,"Selesai PO = 100%",IF(Table1[[#This Row],[PO Material Aktual 
(%)]]&gt;=50%,"Proses PO &gt; 100%",IF(Table1[[#This Row],[PO Material Aktual 
(%)]]&gt;0%,"Proses PO &gt; 50%",IF(Table1[[#This Row],[PO Material Aktual 
(%)]]=0,"Belum PO = 0%"))))</f>
        <v>Selesai PO = 100%</v>
      </c>
      <c r="EI43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5" s="301">
        <v>46027</v>
      </c>
      <c r="EK435" s="301">
        <v>46168</v>
      </c>
      <c r="EL435" s="301">
        <v>46124</v>
      </c>
      <c r="EM435" s="301">
        <v>46183</v>
      </c>
      <c r="EN435" s="301"/>
      <c r="EO435" s="302">
        <v>23</v>
      </c>
      <c r="EP435" s="302">
        <v>23</v>
      </c>
      <c r="EQ435" s="307">
        <v>0.88461538461538458</v>
      </c>
      <c r="ER435" s="307">
        <f>Table1[[#This Row],[Line MOS (kolom bantu)]]/Table1[[#This Row],[Line PR]]</f>
        <v>0.88461538461538458</v>
      </c>
      <c r="ES435" s="286" t="str">
        <f>IF(Table1[[#This Row],[Progres MOS]]&gt;=100%,"Selesai MOS = 100%",IF(Table1[[#This Row],[Progres MOS]]&gt;=50%,"Proses MOS &gt; 100%",IF(Table1[[#This Row],[Progres MOS]]&gt;0%,"Proses MOS &gt; 50%",IF(Table1[[#This Row],[Progres MOS]]=0,"Belum MOS = 0%"))))</f>
        <v>Proses MOS &gt; 100%</v>
      </c>
      <c r="ET43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5" s="42"/>
      <c r="EV435" s="301">
        <v>45985</v>
      </c>
      <c r="EW435" s="301">
        <v>46149</v>
      </c>
      <c r="EX435" s="301">
        <v>46075</v>
      </c>
      <c r="EY435" s="301">
        <v>46179</v>
      </c>
      <c r="EZ435" s="322" t="s">
        <v>2769</v>
      </c>
      <c r="FA435" s="379" t="s">
        <v>2769</v>
      </c>
      <c r="FB435" s="301" t="s">
        <v>260</v>
      </c>
      <c r="FC435" s="300">
        <v>45995</v>
      </c>
      <c r="FD435" s="301" t="s">
        <v>260</v>
      </c>
      <c r="FE435" s="301">
        <v>46079</v>
      </c>
      <c r="FF435" s="301"/>
      <c r="FG435" s="301"/>
      <c r="FH435" s="301"/>
      <c r="FI435" s="301"/>
      <c r="FJ435" s="301"/>
      <c r="FK435" s="301"/>
      <c r="FL435" s="322" t="s">
        <v>2780</v>
      </c>
      <c r="FM435" s="322"/>
      <c r="FN435" s="308" t="str">
        <f>IF(Table1[[#This Row],[Tanggal Pengajuan Dokumen]]="","",Table1[[#This Row],[PLAN PERMIT
start]]-Table1[[#This Row],[Tanggal Pengajuan Dokumen]])</f>
        <v/>
      </c>
      <c r="FO435" s="322"/>
      <c r="FP435" s="286"/>
      <c r="FQ435" s="308"/>
      <c r="FR435" s="301"/>
      <c r="FS435" s="308"/>
      <c r="FT43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5" s="314">
        <f ca="1">IF(Table1[[#This Row],[Status Izin]]="Selesai",Table1[[#This Row],[PLAN PERMIT
finish]]-Table1[[#This Row],[Tanggal Terbit/ Target Izin Terbit]],ROUNDUP(Table1[[#This Row],[PLAN PERMIT
finish]]-NOW(),0))</f>
        <v>-129</v>
      </c>
      <c r="FV43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5" s="314"/>
      <c r="FX435" s="42"/>
      <c r="FY435" s="483">
        <v>46034</v>
      </c>
      <c r="FZ435" s="483">
        <v>45961</v>
      </c>
      <c r="GA435"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5" s="301">
        <v>46048</v>
      </c>
      <c r="GC435" s="322">
        <v>46003</v>
      </c>
      <c r="GD43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5" s="301">
        <v>46055</v>
      </c>
      <c r="GF435" s="322">
        <v>46003</v>
      </c>
      <c r="GG43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5" s="301">
        <v>46062</v>
      </c>
      <c r="GI435" s="301">
        <v>46068</v>
      </c>
      <c r="GJ435" s="322">
        <v>46007</v>
      </c>
      <c r="GK43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5" s="301">
        <v>46076</v>
      </c>
      <c r="GM435" s="301">
        <v>46186</v>
      </c>
      <c r="GN435" s="301">
        <v>46138</v>
      </c>
      <c r="GO435" s="300">
        <v>46269</v>
      </c>
      <c r="GP435" s="286"/>
      <c r="GQ43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5" s="301"/>
      <c r="GS435" s="301"/>
      <c r="GT435" s="324">
        <v>46059</v>
      </c>
      <c r="GU435" s="314" t="str">
        <f>IF(Table1[[#This Row],[Hydro Tes Actual
(tanggal)]]&lt;&gt;"","Sudah","Belum")</f>
        <v>Sudah</v>
      </c>
      <c r="GV435" s="300"/>
      <c r="GW435" s="300"/>
      <c r="GX435" s="301">
        <v>46064</v>
      </c>
      <c r="GY435" s="314" t="str">
        <f>IF(Table1[[#This Row],[Interkoneksi Actual
(tanggal)]]&lt;&gt;"","Sudah","Belum")</f>
        <v>Sudah</v>
      </c>
      <c r="GZ435" s="300"/>
      <c r="HA435" s="300"/>
      <c r="HB435" s="301">
        <v>46073</v>
      </c>
      <c r="HC435" s="314" t="str">
        <f>IF(Table1[[#This Row],[Flushing Actual
(tanggal)]]&lt;&gt;"","Sudah","Belum")</f>
        <v>Sudah</v>
      </c>
      <c r="HD435" s="301">
        <v>46141</v>
      </c>
      <c r="HE435" s="301">
        <v>46270</v>
      </c>
      <c r="HF435" s="301">
        <v>46146</v>
      </c>
      <c r="HG435" s="322">
        <v>46085</v>
      </c>
      <c r="HH43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5" s="300"/>
      <c r="HJ435" s="300"/>
      <c r="HK435" s="301"/>
      <c r="HL435" s="301"/>
      <c r="HM435" s="301">
        <v>46163</v>
      </c>
      <c r="HN435" s="301">
        <v>46163</v>
      </c>
      <c r="HO435" s="300">
        <v>46287</v>
      </c>
      <c r="HP435" s="300"/>
      <c r="HQ435" s="301">
        <v>46176</v>
      </c>
      <c r="HR43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5" s="301">
        <v>46171</v>
      </c>
      <c r="HT435" s="301"/>
      <c r="HU435" s="301">
        <v>46171</v>
      </c>
      <c r="HV435" s="390"/>
      <c r="HW435" s="365">
        <v>46183</v>
      </c>
      <c r="HX43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5" s="42"/>
      <c r="HZ435" s="322"/>
      <c r="IA435" s="306"/>
      <c r="IB435" s="67"/>
      <c r="IC435" s="585">
        <f>IFERROR(ROUND((Table1[[#This Row],[PLAN TC
finish]]-Table1[[#This Row],[PLAN MC-0
start]])/30,2),"")</f>
        <v>2.8</v>
      </c>
      <c r="ID435">
        <f>DATEDIF(Table1[[#This Row],[PLAN MC-0
start]],Table1[[#This Row],[PLAN TC
finish]],"m")</f>
        <v>2</v>
      </c>
      <c r="IE435" s="6"/>
      <c r="IF435" s="6"/>
      <c r="IG435" s="67"/>
      <c r="II435" s="6"/>
      <c r="IJ435" s="4"/>
      <c r="IK435" s="4"/>
      <c r="IL435" s="6"/>
      <c r="IM435" s="6"/>
      <c r="IN435" s="6"/>
      <c r="IO435" s="6"/>
      <c r="IP435" s="6"/>
      <c r="IR435" s="6"/>
      <c r="IS435" s="6"/>
      <c r="IT435" s="6"/>
      <c r="IU435" s="6"/>
      <c r="IX435" s="6"/>
      <c r="IY435" s="6"/>
      <c r="JA435" s="6"/>
      <c r="JB435" s="6"/>
    </row>
    <row r="436" spans="2:262" ht="15" customHeight="1" x14ac:dyDescent="0.25">
      <c r="B436" s="281">
        <f>SUBTOTAL(3,$D$5:D436)</f>
        <v>432</v>
      </c>
      <c r="C436" s="286">
        <v>429</v>
      </c>
      <c r="D436" s="285" t="s">
        <v>629</v>
      </c>
      <c r="E436" s="308" t="s">
        <v>3430</v>
      </c>
      <c r="F436" s="308" t="s">
        <v>3431</v>
      </c>
      <c r="G436" s="319">
        <v>46300</v>
      </c>
      <c r="H436" s="308" t="s">
        <v>681</v>
      </c>
      <c r="I436" s="308" t="s">
        <v>278</v>
      </c>
      <c r="J436" s="450"/>
      <c r="K436" s="308" t="s">
        <v>915</v>
      </c>
      <c r="L436" s="286" t="s">
        <v>250</v>
      </c>
      <c r="M436" s="325" t="s">
        <v>269</v>
      </c>
      <c r="N436" s="477">
        <v>499</v>
      </c>
      <c r="O436" s="31" t="s">
        <v>252</v>
      </c>
      <c r="P43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DPPP</v>
      </c>
      <c r="R436" s="35">
        <v>0.99999999999999967</v>
      </c>
      <c r="S436" s="297">
        <f>_xlfn.XLOOKUP(Table1[[#This Row],[Nama Program]],'[2]Summary Plan'!$E:$E,'[2]Summary Plan'!$M:$M)</f>
        <v>0.99999999999999967</v>
      </c>
      <c r="T436" s="128">
        <f>Table1[[#This Row],[Progres Total Aktual
(%)]]</f>
        <v>1</v>
      </c>
      <c r="U436" s="103">
        <f>Table1[[#This Row],[Progres Aktual
(%)]]-Table1[[#This Row],[Target Progres
(%)]]</f>
        <v>0</v>
      </c>
      <c r="V436" s="75">
        <v>438.8</v>
      </c>
      <c r="W436" s="75">
        <f>Table1[[#This Row],[Total Panjang Pipa Aktual
(Sum-&gt;)3]]</f>
        <v>475</v>
      </c>
      <c r="X436" s="99"/>
      <c r="Y436" s="62" t="s">
        <v>3432</v>
      </c>
      <c r="Z436" s="62">
        <v>566145404</v>
      </c>
      <c r="AA436" s="479">
        <f>ROUND((Table1[[#This Row],[Nilai RAB Jaringan
(Exclude Ppn)]]-Table1[[#This Row],[RAB Perizinan]])*1.11+Table1[[#This Row],[RAB Perizinan]],0)</f>
        <v>566145404</v>
      </c>
      <c r="AB436" s="406">
        <f>SUM(Table1[[#This Row],[RAB Kegiatan Umum]:[RAB Perizinan]])</f>
        <v>510535409</v>
      </c>
      <c r="AC436" s="406">
        <v>35934877</v>
      </c>
      <c r="AD436" s="406">
        <v>359348761</v>
      </c>
      <c r="AE436" s="406">
        <v>110261771</v>
      </c>
      <c r="AF436" s="406">
        <v>4990000</v>
      </c>
      <c r="AG436" s="406"/>
      <c r="AH436" s="480">
        <f>SUM(Table1[[#This Row],[Bobot Keg Umum]:[Bobot Perizinan]])</f>
        <v>1</v>
      </c>
      <c r="AI436" s="480">
        <f>Table1[[#This Row],[RAB Kegiatan Umum]]/Table1[[#This Row],[Nilai RAB Jaringan
(Exclude Ppn)]]</f>
        <v>7.0386649714241467E-2</v>
      </c>
      <c r="AJ436" s="480">
        <f>Table1[[#This Row],[RAB Pemasangan]]/Table1[[#This Row],[Nilai RAB Jaringan
(Exclude Ppn)]]</f>
        <v>0.70386647951386272</v>
      </c>
      <c r="AK436" s="111">
        <f>Table1[[#This Row],[RAB Pengadaan]]/Table1[[#This Row],[Nilai RAB Jaringan
(Exclude Ppn)]]</f>
        <v>0.21597281805775786</v>
      </c>
      <c r="AL436" s="112">
        <f>Table1[[#This Row],[RAB Perizinan]]/Table1[[#This Row],[Nilai RAB Jaringan
(Exclude Ppn)]]</f>
        <v>9.7740527141379919E-3</v>
      </c>
      <c r="AM436" s="42"/>
      <c r="AN436" s="256">
        <v>438.8</v>
      </c>
      <c r="AO436" s="256">
        <f>SUM(Table1[[#This Row],[Pipa 63 mm]:[Pipa 1,800 mm]])</f>
        <v>438.8</v>
      </c>
      <c r="AP436" s="256">
        <v>438.8</v>
      </c>
      <c r="AQ436" s="256"/>
      <c r="AR436" s="256"/>
      <c r="AS436" s="256"/>
      <c r="AT436" s="256"/>
      <c r="AU436" s="256"/>
      <c r="AV436" s="256"/>
      <c r="AW436" s="256"/>
      <c r="AX436" s="256"/>
      <c r="AY436" s="256"/>
      <c r="AZ436" s="256"/>
      <c r="BA436" s="256"/>
      <c r="BB436" s="256"/>
      <c r="BC436" s="256"/>
      <c r="BD436" s="256"/>
      <c r="BE436" s="256"/>
      <c r="BF436" s="256"/>
      <c r="BG436" s="256"/>
      <c r="BH436" s="256"/>
      <c r="BI436" s="256"/>
      <c r="BJ436" s="36">
        <f>SUM(Table1[[#This Row],[Pipa 63 mm2]:[Pipa 1,800 mm21]])</f>
        <v>475</v>
      </c>
      <c r="BK436" s="32">
        <v>475</v>
      </c>
      <c r="BL436" s="32"/>
      <c r="BM436" s="32"/>
      <c r="BN436" s="32"/>
      <c r="BO436" s="32"/>
      <c r="BP436" s="32"/>
      <c r="BQ436" s="32"/>
      <c r="BR436" s="32"/>
      <c r="BS436" s="32"/>
      <c r="BT436" s="32"/>
      <c r="BU436" s="32"/>
      <c r="BV436" s="32"/>
      <c r="BW436" s="32"/>
      <c r="BX436" s="32"/>
      <c r="BY436" s="32"/>
      <c r="BZ436" s="32"/>
      <c r="CA436" s="32"/>
      <c r="CB436" s="32"/>
      <c r="CC436" s="32"/>
      <c r="CD436" s="32"/>
      <c r="CE436" s="32"/>
      <c r="CF436" s="32"/>
      <c r="CG436" s="32"/>
      <c r="CH436" s="32"/>
      <c r="CI436" s="32"/>
      <c r="CJ436" s="32">
        <f>IF((Table1[[#This Row],["Volume
BA MC-0"]]-Table1[[#This Row],[Total Panjang Pipa Aktual
(Sum-&gt;)3]]-Table1[[#This Row],[Total Volume
tidak dapat dipasang]])&gt;=0,Table1[[#This Row],["Volume
BA MC-0"]]-Table1[[#This Row],[Total Panjang Pipa Aktual
(Sum-&gt;)3]]-Table1[[#This Row],[Total Volume
tidak dapat dipasang]],0)</f>
        <v>0</v>
      </c>
      <c r="CK436" s="42"/>
      <c r="CL436" s="113"/>
      <c r="CM436" s="307"/>
      <c r="CN436" s="113"/>
      <c r="CO436" s="113"/>
      <c r="CP436"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1</v>
      </c>
      <c r="CQ436" s="406">
        <f>IFERROR(Table1[[#This Row],[Progres Keg. Umum
(%)]]*Table1[[#This Row],[Nilai RAB Jaringan
(file pa aji)]],0)</f>
        <v>0</v>
      </c>
      <c r="CR436" s="406">
        <f>IFERROR(Table1[[#This Row],[Progres MOS
(%)]]*Table1[[#This Row],[Nilai RAB Jaringan
(file pa aji)]],0)</f>
        <v>0</v>
      </c>
      <c r="CS436" s="406">
        <f>IFERROR(Table1[[#This Row],[Progres Pemasangan
(%)]]*Table1[[#This Row],[Nilai RAB Jaringan
(file pa aji)]],0)</f>
        <v>0</v>
      </c>
      <c r="CT436" s="406">
        <f>IFERROR(Table1[[#This Row],[Progres Perizinan
(%)]]*Table1[[#This Row],[Nilai RAB Jaringan
(file pa aji)]],0)</f>
        <v>0</v>
      </c>
      <c r="CU436" s="789">
        <v>530965477</v>
      </c>
      <c r="CV436" s="406">
        <v>530965477</v>
      </c>
      <c r="CW436" s="481">
        <v>530965477</v>
      </c>
      <c r="CX436" s="789">
        <f>_xlfn.XLOOKUP(Table1[[#This Row],[Kode Program]],'[1]Breakdown VOWD Greenfield'!$E:$E,'[1]Breakdown VOWD Greenfield'!$AT:$AT)</f>
        <v>530965477</v>
      </c>
      <c r="CY436" s="42"/>
      <c r="CZ436" s="301">
        <v>45957</v>
      </c>
      <c r="DA436" s="301">
        <v>45984</v>
      </c>
      <c r="DB436" s="301">
        <v>45953</v>
      </c>
      <c r="DC436" s="286" t="s">
        <v>3433</v>
      </c>
      <c r="DD436" s="478">
        <v>561155403</v>
      </c>
      <c r="DE43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6" s="365">
        <v>45978</v>
      </c>
      <c r="DG436" s="327" t="s">
        <v>3434</v>
      </c>
      <c r="DH436" s="478">
        <v>561155403</v>
      </c>
      <c r="DI43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6" s="301">
        <v>45985</v>
      </c>
      <c r="DK436" s="301">
        <v>46047</v>
      </c>
      <c r="DL436" s="301">
        <v>46006</v>
      </c>
      <c r="DM436" s="286" t="s">
        <v>3435</v>
      </c>
      <c r="DN436"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6" s="301">
        <v>46027</v>
      </c>
      <c r="DP436" s="286" t="s">
        <v>3436</v>
      </c>
      <c r="DQ436" s="308" t="s">
        <v>365</v>
      </c>
      <c r="DR436"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6" s="301">
        <v>45985</v>
      </c>
      <c r="DT436" s="301">
        <v>46164</v>
      </c>
      <c r="DU436" s="301">
        <v>46026</v>
      </c>
      <c r="DV436" s="301">
        <v>46178</v>
      </c>
      <c r="DW436" s="301">
        <v>46006</v>
      </c>
      <c r="DX436" s="396" t="s">
        <v>3437</v>
      </c>
      <c r="DY436" s="304">
        <v>18</v>
      </c>
      <c r="DZ436" s="304">
        <v>18</v>
      </c>
      <c r="EA436"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6" s="301"/>
      <c r="EC436" s="302">
        <v>17</v>
      </c>
      <c r="ED436" s="302">
        <v>17</v>
      </c>
      <c r="EE436" s="100"/>
      <c r="EF436" s="307">
        <v>0.94444444444444442</v>
      </c>
      <c r="EG436" s="307">
        <f>Table1[[#This Row],[Line PO (kolom  bantu)2]]/Table1[[#This Row],[Line PR]]</f>
        <v>0.94444444444444442</v>
      </c>
      <c r="EH436" s="286" t="str">
        <f>IF(Table1[[#This Row],[PO Material Aktual 
(%)]]&gt;=100%,"Selesai PO = 100%",IF(Table1[[#This Row],[PO Material Aktual 
(%)]]&gt;=50%,"Proses PO &gt; 100%",IF(Table1[[#This Row],[PO Material Aktual 
(%)]]&gt;0%,"Proses PO &gt; 50%",IF(Table1[[#This Row],[PO Material Aktual 
(%)]]=0,"Belum PO = 0%"))))</f>
        <v>Proses PO &gt; 100%</v>
      </c>
      <c r="EI43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6" s="301">
        <v>46027</v>
      </c>
      <c r="EK436" s="301">
        <v>46178</v>
      </c>
      <c r="EL436" s="301">
        <v>46103</v>
      </c>
      <c r="EM436" s="301">
        <v>46183</v>
      </c>
      <c r="EN436" s="301"/>
      <c r="EO436" s="302">
        <v>13</v>
      </c>
      <c r="EP436" s="302">
        <v>13</v>
      </c>
      <c r="EQ436" s="307">
        <v>0.72222222222222221</v>
      </c>
      <c r="ER436" s="307">
        <f>Table1[[#This Row],[Line MOS (kolom bantu)]]/Table1[[#This Row],[Line PR]]</f>
        <v>0.72222222222222221</v>
      </c>
      <c r="ES436" s="286" t="str">
        <f>IF(Table1[[#This Row],[Progres MOS]]&gt;=100%,"Selesai MOS = 100%",IF(Table1[[#This Row],[Progres MOS]]&gt;=50%,"Proses MOS &gt; 100%",IF(Table1[[#This Row],[Progres MOS]]&gt;0%,"Proses MOS &gt; 50%",IF(Table1[[#This Row],[Progres MOS]]=0,"Belum MOS = 0%"))))</f>
        <v>Proses MOS &gt; 100%</v>
      </c>
      <c r="ET43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6" s="42"/>
      <c r="EV436" s="301">
        <v>45985</v>
      </c>
      <c r="EW436" s="301">
        <v>46156</v>
      </c>
      <c r="EX436" s="301">
        <v>46075</v>
      </c>
      <c r="EY436" s="301">
        <v>46186</v>
      </c>
      <c r="EZ436" s="322" t="s">
        <v>2769</v>
      </c>
      <c r="FA436" s="379" t="s">
        <v>2769</v>
      </c>
      <c r="FB436" s="301" t="s">
        <v>260</v>
      </c>
      <c r="FC436" s="300">
        <v>45995</v>
      </c>
      <c r="FD436" s="301" t="s">
        <v>260</v>
      </c>
      <c r="FE436" s="301">
        <v>46079</v>
      </c>
      <c r="FF436" s="301"/>
      <c r="FG436" s="301"/>
      <c r="FH436" s="301"/>
      <c r="FI436" s="301"/>
      <c r="FJ436" s="301"/>
      <c r="FK436" s="301"/>
      <c r="FL436" s="322" t="s">
        <v>2780</v>
      </c>
      <c r="FM436" s="322"/>
      <c r="FN436" s="308" t="str">
        <f>IF(Table1[[#This Row],[Tanggal Pengajuan Dokumen]]="","",Table1[[#This Row],[PLAN PERMIT
start]]-Table1[[#This Row],[Tanggal Pengajuan Dokumen]])</f>
        <v/>
      </c>
      <c r="FO436" s="322"/>
      <c r="FP436" s="286"/>
      <c r="FQ436" s="308"/>
      <c r="FR436" s="301"/>
      <c r="FS436" s="308"/>
      <c r="FT43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6" s="314">
        <f ca="1">IF(Table1[[#This Row],[Status Izin]]="Selesai",Table1[[#This Row],[PLAN PERMIT
finish]]-Table1[[#This Row],[Tanggal Terbit/ Target Izin Terbit]],ROUNDUP(Table1[[#This Row],[PLAN PERMIT
finish]]-NOW(),0))</f>
        <v>-129</v>
      </c>
      <c r="FV43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6" s="314"/>
      <c r="FX436" s="42"/>
      <c r="FY436" s="483">
        <v>46034</v>
      </c>
      <c r="FZ436" s="483">
        <v>45961</v>
      </c>
      <c r="GA436"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6" s="301">
        <v>46048</v>
      </c>
      <c r="GC436" s="322">
        <v>46003</v>
      </c>
      <c r="GD43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6" s="301">
        <v>46055</v>
      </c>
      <c r="GF436" s="322">
        <v>46003</v>
      </c>
      <c r="GG43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6" s="301">
        <v>46062</v>
      </c>
      <c r="GI436" s="301">
        <v>46068</v>
      </c>
      <c r="GJ436" s="322">
        <v>46007</v>
      </c>
      <c r="GK43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6" s="301">
        <v>46076</v>
      </c>
      <c r="GM436" s="301">
        <v>46193</v>
      </c>
      <c r="GN436" s="301">
        <v>46103</v>
      </c>
      <c r="GO436" s="300">
        <v>46269</v>
      </c>
      <c r="GP436" s="286"/>
      <c r="GQ43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6" s="301"/>
      <c r="GS436" s="301"/>
      <c r="GT436" s="324">
        <v>46045</v>
      </c>
      <c r="GU436" s="314" t="str">
        <f>IF(Table1[[#This Row],[Hydro Tes Actual
(tanggal)]]&lt;&gt;"","Sudah","Belum")</f>
        <v>Sudah</v>
      </c>
      <c r="GV436" s="300"/>
      <c r="GW436" s="300"/>
      <c r="GX436" s="301">
        <v>46048</v>
      </c>
      <c r="GY436" s="314" t="str">
        <f>IF(Table1[[#This Row],[Interkoneksi Actual
(tanggal)]]&lt;&gt;"","Sudah","Belum")</f>
        <v>Sudah</v>
      </c>
      <c r="GZ436" s="300"/>
      <c r="HA436" s="300"/>
      <c r="HB436" s="301">
        <v>46050</v>
      </c>
      <c r="HC436" s="314" t="str">
        <f>IF(Table1[[#This Row],[Flushing Actual
(tanggal)]]&lt;&gt;"","Sudah","Belum")</f>
        <v>Sudah</v>
      </c>
      <c r="HD436" s="301">
        <v>46106</v>
      </c>
      <c r="HE436" s="301">
        <v>46270</v>
      </c>
      <c r="HF436" s="301">
        <v>46111</v>
      </c>
      <c r="HG436" s="322">
        <v>46055</v>
      </c>
      <c r="HH43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Sudah, OnSchedule</v>
      </c>
      <c r="HI436" s="300"/>
      <c r="HJ436" s="300"/>
      <c r="HK436" s="301"/>
      <c r="HL436" s="301"/>
      <c r="HM436" s="301">
        <v>46128</v>
      </c>
      <c r="HN436" s="301">
        <v>46128</v>
      </c>
      <c r="HO436" s="300">
        <v>46287</v>
      </c>
      <c r="HP436" s="300"/>
      <c r="HQ436" s="301">
        <v>46154</v>
      </c>
      <c r="HR43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Sudah, Delay</v>
      </c>
      <c r="HS436" s="301">
        <v>46136</v>
      </c>
      <c r="HT436" s="301"/>
      <c r="HU436" s="301">
        <v>46136</v>
      </c>
      <c r="HV436" s="390"/>
      <c r="HW436" s="365">
        <v>46160</v>
      </c>
      <c r="HX43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Sudah, Delay</v>
      </c>
      <c r="HY436" s="42"/>
      <c r="HZ436" s="322"/>
      <c r="IA436" s="306"/>
      <c r="IB436" s="67"/>
      <c r="IC436" s="585">
        <f>IFERROR(ROUND((Table1[[#This Row],[PLAN TC
finish]]-Table1[[#This Row],[PLAN MC-0
start]])/30,2),"")</f>
        <v>1.63</v>
      </c>
      <c r="ID436">
        <f>DATEDIF(Table1[[#This Row],[PLAN MC-0
start]],Table1[[#This Row],[PLAN TC
finish]],"m")</f>
        <v>1</v>
      </c>
      <c r="IE436" s="6"/>
      <c r="IF436" s="6"/>
      <c r="IG436" s="67"/>
      <c r="II436" s="6"/>
      <c r="IJ436" s="4"/>
      <c r="IK436" s="4"/>
      <c r="IL436" s="6"/>
      <c r="IM436" s="6"/>
      <c r="IN436" s="6"/>
      <c r="IO436" s="6"/>
      <c r="IP436" s="6"/>
      <c r="IR436" s="6"/>
      <c r="IS436" s="6"/>
      <c r="IT436" s="6"/>
      <c r="IU436" s="6"/>
      <c r="IX436" s="6"/>
      <c r="IY436" s="6"/>
      <c r="JA436" s="6"/>
      <c r="JB436" s="6"/>
    </row>
    <row r="437" spans="2:262" ht="15" customHeight="1" x14ac:dyDescent="0.25">
      <c r="B437" s="281">
        <f>SUBTOTAL(3,$D$5:D437)</f>
        <v>433</v>
      </c>
      <c r="C437" s="286">
        <v>430</v>
      </c>
      <c r="D437" s="285" t="s">
        <v>629</v>
      </c>
      <c r="E437" s="308" t="s">
        <v>3438</v>
      </c>
      <c r="F437" s="308" t="s">
        <v>3439</v>
      </c>
      <c r="G437" s="319">
        <v>46300</v>
      </c>
      <c r="H437" s="308" t="s">
        <v>681</v>
      </c>
      <c r="I437" s="308" t="s">
        <v>278</v>
      </c>
      <c r="J437" s="450"/>
      <c r="K437" s="308" t="s">
        <v>915</v>
      </c>
      <c r="L437" s="286" t="s">
        <v>250</v>
      </c>
      <c r="M437" s="325" t="s">
        <v>269</v>
      </c>
      <c r="N437" s="477">
        <v>574</v>
      </c>
      <c r="O437" s="31" t="s">
        <v>252</v>
      </c>
      <c r="P43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3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7" s="35">
        <v>1</v>
      </c>
      <c r="S437" s="297">
        <f>_xlfn.XLOOKUP(Table1[[#This Row],[Nama Program]],'[2]Summary Plan'!$E:$E,'[2]Summary Plan'!$M:$M)</f>
        <v>1</v>
      </c>
      <c r="T437" s="128">
        <f>Table1[[#This Row],[Progres Total Aktual
(%)]]</f>
        <v>9.9476771359347141E-2</v>
      </c>
      <c r="U437" s="103">
        <f>Table1[[#This Row],[Progres Aktual
(%)]]-Table1[[#This Row],[Target Progres
(%)]]</f>
        <v>-0.90052322864065282</v>
      </c>
      <c r="V437" s="75">
        <f>Table1[[#This Row],["Volume
BA MC-0"]]</f>
        <v>1723</v>
      </c>
      <c r="W437" s="75">
        <f>Table1[[#This Row],[Total Panjang Pipa Aktual
(Sum-&gt;)3]]</f>
        <v>0</v>
      </c>
      <c r="X437" s="99"/>
      <c r="Y437" s="62" t="s">
        <v>3440</v>
      </c>
      <c r="Z437" s="62">
        <v>845547893</v>
      </c>
      <c r="AA437" s="479">
        <f>ROUND((Table1[[#This Row],[Nilai RAB Jaringan
(Exclude Ppn)]]-Table1[[#This Row],[RAB Perizinan]])*1.11+Table1[[#This Row],[RAB Perizinan]],0)</f>
        <v>845547893</v>
      </c>
      <c r="AB437" s="406">
        <f>SUM(Table1[[#This Row],[RAB Kegiatan Umum]:[RAB Perizinan]])</f>
        <v>762323687</v>
      </c>
      <c r="AC437" s="406">
        <v>53597222</v>
      </c>
      <c r="AD437" s="406">
        <v>535972211</v>
      </c>
      <c r="AE437" s="406">
        <v>167014254</v>
      </c>
      <c r="AF437" s="406">
        <v>5740000</v>
      </c>
      <c r="AG437" s="406"/>
      <c r="AH437" s="480">
        <f>SUM(Table1[[#This Row],[Bobot Keg Umum]:[Bobot Perizinan]])</f>
        <v>1</v>
      </c>
      <c r="AI437" s="480">
        <f>Table1[[#This Row],[RAB Kegiatan Umum]]/Table1[[#This Row],[Nilai RAB Jaringan
(Exclude Ppn)]]</f>
        <v>7.0307695948584631E-2</v>
      </c>
      <c r="AJ437" s="480">
        <f>Table1[[#This Row],[RAB Pemasangan]]/Table1[[#This Row],[Nilai RAB Jaringan
(Exclude Ppn)]]</f>
        <v>0.70307694767983775</v>
      </c>
      <c r="AK437" s="111">
        <f>Table1[[#This Row],[RAB Pengadaan]]/Table1[[#This Row],[Nilai RAB Jaringan
(Exclude Ppn)]]</f>
        <v>0.2190857464461812</v>
      </c>
      <c r="AL437" s="112">
        <f>Table1[[#This Row],[RAB Perizinan]]/Table1[[#This Row],[Nilai RAB Jaringan
(Exclude Ppn)]]</f>
        <v>7.5296099253964284E-3</v>
      </c>
      <c r="AM437" s="42"/>
      <c r="AN437" s="256">
        <v>1723</v>
      </c>
      <c r="AO437" s="256">
        <f>SUM(Table1[[#This Row],[Pipa 63 mm]:[Pipa 1,800 mm]])</f>
        <v>1723</v>
      </c>
      <c r="AP437" s="256">
        <v>1723</v>
      </c>
      <c r="AQ437" s="256"/>
      <c r="AR437" s="256"/>
      <c r="AS437" s="256"/>
      <c r="AT437" s="256"/>
      <c r="AU437" s="256"/>
      <c r="AV437" s="256"/>
      <c r="AW437" s="256"/>
      <c r="AX437" s="256"/>
      <c r="AY437" s="256"/>
      <c r="AZ437" s="256"/>
      <c r="BA437" s="256"/>
      <c r="BB437" s="256"/>
      <c r="BC437" s="256"/>
      <c r="BD437" s="256"/>
      <c r="BE437" s="256"/>
      <c r="BF437" s="256"/>
      <c r="BG437" s="256"/>
      <c r="BH437" s="256"/>
      <c r="BI437" s="256"/>
      <c r="BJ437" s="36">
        <f>SUM(Table1[[#This Row],[Pipa 63 mm2]:[Pipa 1,800 mm21]])</f>
        <v>0</v>
      </c>
      <c r="BK437" s="32"/>
      <c r="BL437" s="32"/>
      <c r="BM437" s="32"/>
      <c r="BN437" s="32"/>
      <c r="BO437" s="32"/>
      <c r="BP437" s="32"/>
      <c r="BQ437" s="32"/>
      <c r="BR437" s="32"/>
      <c r="BS437" s="32"/>
      <c r="BT437" s="32"/>
      <c r="BU437" s="32"/>
      <c r="BV437" s="32"/>
      <c r="BW437" s="32"/>
      <c r="BX437" s="32"/>
      <c r="BY437" s="32"/>
      <c r="BZ437" s="32"/>
      <c r="CA437" s="32"/>
      <c r="CB437" s="32"/>
      <c r="CC437" s="32"/>
      <c r="CD437" s="32"/>
      <c r="CE437" s="32"/>
      <c r="CF437" s="32"/>
      <c r="CG437" s="32"/>
      <c r="CH437" s="32"/>
      <c r="CI437" s="32"/>
      <c r="CJ437" s="32">
        <f>IF((Table1[[#This Row],["Volume
BA MC-0"]]-Table1[[#This Row],[Total Panjang Pipa Aktual
(Sum-&gt;)3]]-Table1[[#This Row],[Total Volume
tidak dapat dipasang]])&gt;=0,Table1[[#This Row],["Volume
BA MC-0"]]-Table1[[#This Row],[Total Panjang Pipa Aktual
(Sum-&gt;)3]]-Table1[[#This Row],[Total Volume
tidak dapat dipasang]],0)</f>
        <v>1723</v>
      </c>
      <c r="CK437" s="42"/>
      <c r="CL437" s="113"/>
      <c r="CM437" s="307"/>
      <c r="CN437" s="113"/>
      <c r="CO437" s="113"/>
      <c r="CP437"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9.9476771359347141E-2</v>
      </c>
      <c r="CQ437" s="406">
        <f>IFERROR(Table1[[#This Row],[Progres Keg. Umum
(%)]]*Table1[[#This Row],[Nilai RAB Jaringan
(file pa aji)]],0)</f>
        <v>0</v>
      </c>
      <c r="CR437" s="406">
        <f>IFERROR(Table1[[#This Row],[Progres MOS
(%)]]*Table1[[#This Row],[Nilai RAB Jaringan
(file pa aji)]],0)</f>
        <v>0</v>
      </c>
      <c r="CS437" s="406">
        <f>IFERROR(Table1[[#This Row],[Progres Pemasangan
(%)]]*Table1[[#This Row],[Nilai RAB Jaringan
(file pa aji)]],0)</f>
        <v>0</v>
      </c>
      <c r="CT437" s="406">
        <f>IFERROR(Table1[[#This Row],[Progres Perizinan
(%)]]*Table1[[#This Row],[Nilai RAB Jaringan
(file pa aji)]],0)</f>
        <v>0</v>
      </c>
      <c r="CU437" s="789">
        <v>0</v>
      </c>
      <c r="CV437" s="406">
        <v>0</v>
      </c>
      <c r="CW437" s="481">
        <v>0</v>
      </c>
      <c r="CX437" s="789">
        <f>_xlfn.XLOOKUP(Table1[[#This Row],[Kode Program]],'[1]Breakdown VOWD Greenfield'!$E:$E,'[1]Breakdown VOWD Greenfield'!$AT:$AT)</f>
        <v>0</v>
      </c>
      <c r="CY437" s="42"/>
      <c r="CZ437" s="301">
        <v>45992</v>
      </c>
      <c r="DA437" s="301">
        <v>46019</v>
      </c>
      <c r="DB437" s="301">
        <v>46031</v>
      </c>
      <c r="DC437" s="286" t="s">
        <v>3441</v>
      </c>
      <c r="DD437" s="478">
        <v>839807892.57000005</v>
      </c>
      <c r="DE43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37" s="301">
        <v>46049</v>
      </c>
      <c r="DG437" s="327" t="s">
        <v>3442</v>
      </c>
      <c r="DH437" s="478">
        <v>839807892.57000005</v>
      </c>
      <c r="DI43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37" s="301">
        <v>46020</v>
      </c>
      <c r="DK437" s="301">
        <v>46082</v>
      </c>
      <c r="DL437" s="301">
        <v>46064</v>
      </c>
      <c r="DM437" s="286" t="s">
        <v>3443</v>
      </c>
      <c r="DN437"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7" s="301">
        <v>46085</v>
      </c>
      <c r="DP437" s="286"/>
      <c r="DQ437" s="308" t="s">
        <v>275</v>
      </c>
      <c r="DR437"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Delay</v>
      </c>
      <c r="DS437" s="301">
        <v>46020</v>
      </c>
      <c r="DT437" s="301">
        <v>46164</v>
      </c>
      <c r="DU437" s="301">
        <v>46061</v>
      </c>
      <c r="DV437" s="301">
        <v>46178</v>
      </c>
      <c r="DW437" s="301">
        <v>46064</v>
      </c>
      <c r="DX437" s="286" t="s">
        <v>3444</v>
      </c>
      <c r="DY437" s="304">
        <v>37</v>
      </c>
      <c r="DZ437" s="304">
        <v>37</v>
      </c>
      <c r="EA437"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37" s="301"/>
      <c r="EC437" s="302">
        <v>36</v>
      </c>
      <c r="ED437" s="302">
        <v>36</v>
      </c>
      <c r="EE437" s="100"/>
      <c r="EF437" s="307">
        <v>0.97297297297297303</v>
      </c>
      <c r="EG437" s="307">
        <f>Table1[[#This Row],[Line PO (kolom  bantu)2]]/Table1[[#This Row],[Line PR]]</f>
        <v>0.97297297297297303</v>
      </c>
      <c r="EH437" s="286" t="str">
        <f>IF(Table1[[#This Row],[PO Material Aktual 
(%)]]&gt;=100%,"Selesai PO = 100%",IF(Table1[[#This Row],[PO Material Aktual 
(%)]]&gt;=50%,"Proses PO &gt; 100%",IF(Table1[[#This Row],[PO Material Aktual 
(%)]]&gt;0%,"Proses PO &gt; 50%",IF(Table1[[#This Row],[PO Material Aktual 
(%)]]=0,"Belum PO = 0%"))))</f>
        <v>Proses PO &gt; 100%</v>
      </c>
      <c r="EI43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37" s="301">
        <v>46062</v>
      </c>
      <c r="EK437" s="301">
        <v>46178</v>
      </c>
      <c r="EL437" s="301">
        <v>46131</v>
      </c>
      <c r="EM437" s="301">
        <v>46183</v>
      </c>
      <c r="EN437" s="301"/>
      <c r="EO437" s="302">
        <v>28</v>
      </c>
      <c r="EP437" s="302">
        <v>28</v>
      </c>
      <c r="EQ437" s="307">
        <v>0.7567567567567568</v>
      </c>
      <c r="ER437" s="307">
        <f>Table1[[#This Row],[Line MOS (kolom bantu)]]/Table1[[#This Row],[Line PR]]</f>
        <v>0.7567567567567568</v>
      </c>
      <c r="ES437" s="286" t="str">
        <f>IF(Table1[[#This Row],[Progres MOS]]&gt;=100%,"Selesai MOS = 100%",IF(Table1[[#This Row],[Progres MOS]]&gt;=50%,"Proses MOS &gt; 100%",IF(Table1[[#This Row],[Progres MOS]]&gt;0%,"Proses MOS &gt; 50%",IF(Table1[[#This Row],[Progres MOS]]=0,"Belum MOS = 0%"))))</f>
        <v>Proses MOS &gt; 100%</v>
      </c>
      <c r="ET43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7" s="42"/>
      <c r="EV437" s="301">
        <v>46020</v>
      </c>
      <c r="EW437" s="301">
        <v>46156</v>
      </c>
      <c r="EX437" s="301">
        <v>46110</v>
      </c>
      <c r="EY437" s="301">
        <v>46186</v>
      </c>
      <c r="EZ437" s="322" t="s">
        <v>2769</v>
      </c>
      <c r="FA437" s="379" t="s">
        <v>2769</v>
      </c>
      <c r="FB437" s="301" t="e">
        <v>#N/A</v>
      </c>
      <c r="FC437" s="300" t="e">
        <v>#N/A</v>
      </c>
      <c r="FD437" s="301" t="e">
        <v>#N/A</v>
      </c>
      <c r="FE437" s="301" t="e">
        <v>#N/A</v>
      </c>
      <c r="FF437" s="301" t="e">
        <v>#N/A</v>
      </c>
      <c r="FG437" s="301" t="e">
        <v>#N/A</v>
      </c>
      <c r="FH437" s="301" t="e">
        <v>#N/A</v>
      </c>
      <c r="FI437" s="301" t="e">
        <v>#N/A</v>
      </c>
      <c r="FJ437" s="301" t="e">
        <v>#N/A</v>
      </c>
      <c r="FK437" s="301" t="e">
        <v>#N/A</v>
      </c>
      <c r="FL437" s="322" t="s">
        <v>2780</v>
      </c>
      <c r="FM437" s="322"/>
      <c r="FN437" s="308" t="str">
        <f>IF(Table1[[#This Row],[Tanggal Pengajuan Dokumen]]="","",Table1[[#This Row],[PLAN PERMIT
start]]-Table1[[#This Row],[Tanggal Pengajuan Dokumen]])</f>
        <v/>
      </c>
      <c r="FO437" s="322"/>
      <c r="FP437" s="286"/>
      <c r="FQ437" s="308"/>
      <c r="FR437" s="301"/>
      <c r="FS437" s="308"/>
      <c r="FT43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7" s="314">
        <f ca="1">IF(Table1[[#This Row],[Status Izin]]="Selesai",Table1[[#This Row],[PLAN PERMIT
finish]]-Table1[[#This Row],[Tanggal Terbit/ Target Izin Terbit]],ROUNDUP(Table1[[#This Row],[PLAN PERMIT
finish]]-NOW(),0))</f>
        <v>-94</v>
      </c>
      <c r="FV43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7" s="314"/>
      <c r="FX437" s="42"/>
      <c r="FY437" s="483">
        <v>46069</v>
      </c>
      <c r="FZ437" s="483">
        <v>46049</v>
      </c>
      <c r="GA437"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7" s="301">
        <v>46083</v>
      </c>
      <c r="GC437" s="322">
        <v>46120</v>
      </c>
      <c r="GD43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37" s="301">
        <v>46090</v>
      </c>
      <c r="GF437" s="322">
        <v>46120</v>
      </c>
      <c r="GG43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37" s="301">
        <v>46097</v>
      </c>
      <c r="GI437" s="301">
        <v>46103</v>
      </c>
      <c r="GJ437" s="322">
        <v>46126</v>
      </c>
      <c r="GK43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37" s="301">
        <v>46111</v>
      </c>
      <c r="GM437" s="301">
        <v>46193</v>
      </c>
      <c r="GN437" s="301">
        <v>46138</v>
      </c>
      <c r="GO437" s="300">
        <v>46241</v>
      </c>
      <c r="GP437" s="286"/>
      <c r="GQ43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37" s="301"/>
      <c r="GS437" s="301"/>
      <c r="GT437" s="324"/>
      <c r="GU437" s="314" t="str">
        <f>IF(Table1[[#This Row],[Hydro Tes Actual
(tanggal)]]&lt;&gt;"","Sudah","Belum")</f>
        <v>Belum</v>
      </c>
      <c r="GV437" s="300"/>
      <c r="GW437" s="300"/>
      <c r="GX437" s="301"/>
      <c r="GY437" s="314" t="str">
        <f>IF(Table1[[#This Row],[Interkoneksi Actual
(tanggal)]]&lt;&gt;"","Sudah","Belum")</f>
        <v>Belum</v>
      </c>
      <c r="GZ437" s="300"/>
      <c r="HA437" s="300"/>
      <c r="HB437" s="301"/>
      <c r="HC437" s="314" t="str">
        <f>IF(Table1[[#This Row],[Flushing Actual
(tanggal)]]&lt;&gt;"","Sudah","Belum")</f>
        <v>Belum</v>
      </c>
      <c r="HD437" s="301">
        <v>46141</v>
      </c>
      <c r="HE437" s="301">
        <v>46242</v>
      </c>
      <c r="HF437" s="301">
        <v>46146</v>
      </c>
      <c r="HG437" s="322"/>
      <c r="HH43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37" s="300"/>
      <c r="HJ437" s="300"/>
      <c r="HK437" s="301"/>
      <c r="HL437" s="301"/>
      <c r="HM437" s="301">
        <v>46163</v>
      </c>
      <c r="HN437" s="301">
        <v>46163</v>
      </c>
      <c r="HO437" s="300">
        <v>46259</v>
      </c>
      <c r="HP437" s="300"/>
      <c r="HQ437" s="301"/>
      <c r="HR43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37" s="301">
        <v>46171</v>
      </c>
      <c r="HT437" s="301"/>
      <c r="HU437" s="301">
        <v>46171</v>
      </c>
      <c r="HV437" s="390"/>
      <c r="HW437" s="365"/>
      <c r="HX43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37" s="42"/>
      <c r="HZ437" s="322"/>
      <c r="IA437" s="306"/>
      <c r="IB437" s="67"/>
      <c r="IC437" s="585">
        <f>IFERROR(ROUND((Table1[[#This Row],[PLAN TC
finish]]-Table1[[#This Row],[PLAN MC-0
start]])/30,2),"")</f>
        <v>1.63</v>
      </c>
      <c r="ID437">
        <f>DATEDIF(Table1[[#This Row],[PLAN MC-0
start]],Table1[[#This Row],[PLAN TC
finish]],"m")</f>
        <v>1</v>
      </c>
      <c r="IE437" s="6"/>
      <c r="IF437" s="6"/>
      <c r="IG437" s="67"/>
      <c r="II437" s="6"/>
      <c r="IJ437" s="4"/>
      <c r="IK437" s="4"/>
      <c r="IL437" s="6"/>
      <c r="IM437" s="6"/>
      <c r="IN437" s="6"/>
      <c r="IO437" s="6"/>
      <c r="IP437" s="6"/>
      <c r="IR437" s="6"/>
      <c r="IS437" s="6"/>
      <c r="IT437" s="6"/>
      <c r="IU437" s="6"/>
      <c r="IX437" s="6"/>
      <c r="IY437" s="6"/>
      <c r="JA437" s="6"/>
      <c r="JB437" s="6"/>
    </row>
    <row r="438" spans="2:262" ht="15" customHeight="1" x14ac:dyDescent="0.25">
      <c r="B438" s="281">
        <f>SUBTOTAL(3,$D$5:D438)</f>
        <v>434</v>
      </c>
      <c r="C438" s="286">
        <v>431</v>
      </c>
      <c r="D438" s="285" t="s">
        <v>629</v>
      </c>
      <c r="E438" s="308" t="s">
        <v>3445</v>
      </c>
      <c r="F438" s="308" t="s">
        <v>3446</v>
      </c>
      <c r="G438" s="319">
        <v>46300</v>
      </c>
      <c r="H438" s="308" t="s">
        <v>681</v>
      </c>
      <c r="I438" s="308" t="s">
        <v>278</v>
      </c>
      <c r="J438" s="450"/>
      <c r="K438" s="308" t="s">
        <v>915</v>
      </c>
      <c r="L438" s="286" t="s">
        <v>250</v>
      </c>
      <c r="M438" s="325" t="s">
        <v>269</v>
      </c>
      <c r="N438" s="477">
        <v>1107</v>
      </c>
      <c r="O438" s="31" t="s">
        <v>252</v>
      </c>
      <c r="P43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8" s="35">
        <v>8.4427821204191636E-2</v>
      </c>
      <c r="S438" s="297">
        <f>_xlfn.XLOOKUP(Table1[[#This Row],[Nama Program]],'[2]Summary Plan'!$E:$E,'[2]Summary Plan'!$M:$M)</f>
        <v>9.7467154224221836E-2</v>
      </c>
      <c r="T438" s="128">
        <f>Table1[[#This Row],[Progres Total Aktual
(%)]]</f>
        <v>7.7792465862849797E-2</v>
      </c>
      <c r="U438" s="103">
        <f>Table1[[#This Row],[Progres Aktual
(%)]]-Table1[[#This Row],[Target Progres
(%)]]</f>
        <v>-1.9674688361372039E-2</v>
      </c>
      <c r="V438" s="75">
        <f>Table1[[#This Row],["Volume
BA MC-0"]]</f>
        <v>574</v>
      </c>
      <c r="W438" s="75">
        <f>Table1[[#This Row],[Total Panjang Pipa Aktual
(Sum-&gt;)3]]</f>
        <v>0</v>
      </c>
      <c r="X438" s="99"/>
      <c r="Y438" s="62" t="s">
        <v>3447</v>
      </c>
      <c r="Z438" s="62">
        <v>1299733190</v>
      </c>
      <c r="AA438" s="479">
        <f>ROUND((Table1[[#This Row],[Nilai RAB Jaringan
(Exclude Ppn)]]-Table1[[#This Row],[RAB Perizinan]])*1.11+Table1[[#This Row],[RAB Perizinan]],0)</f>
        <v>1299733189</v>
      </c>
      <c r="AB438" s="406">
        <f>SUM(Table1[[#This Row],[RAB Kegiatan Umum]:[RAB Perizinan]])</f>
        <v>1172027828</v>
      </c>
      <c r="AC438" s="406">
        <v>83919107</v>
      </c>
      <c r="AD438" s="406">
        <v>839191065</v>
      </c>
      <c r="AE438" s="406">
        <v>237847656</v>
      </c>
      <c r="AF438" s="406">
        <v>11070000</v>
      </c>
      <c r="AG438" s="406"/>
      <c r="AH438" s="480">
        <f>SUM(Table1[[#This Row],[Bobot Keg Umum]:[Bobot Perizinan]])</f>
        <v>0.99999999999999989</v>
      </c>
      <c r="AI438" s="480">
        <f>Table1[[#This Row],[RAB Kegiatan Umum]]/Table1[[#This Row],[Nilai RAB Jaringan
(Exclude Ppn)]]</f>
        <v>7.1601633506606463E-2</v>
      </c>
      <c r="AJ438" s="480">
        <f>Table1[[#This Row],[RAB Pemasangan]]/Table1[[#This Row],[Nilai RAB Jaringan
(Exclude Ppn)]]</f>
        <v>0.7160163307999543</v>
      </c>
      <c r="AK438" s="111">
        <f>Table1[[#This Row],[RAB Pengadaan]]/Table1[[#This Row],[Nilai RAB Jaringan
(Exclude Ppn)]]</f>
        <v>0.20293686746830383</v>
      </c>
      <c r="AL438" s="112">
        <f>Table1[[#This Row],[RAB Perizinan]]/Table1[[#This Row],[Nilai RAB Jaringan
(Exclude Ppn)]]</f>
        <v>9.4451682251353499E-3</v>
      </c>
      <c r="AM438" s="42"/>
      <c r="AN438" s="256">
        <v>574</v>
      </c>
      <c r="AO438" s="256">
        <f>SUM(Table1[[#This Row],[Pipa 63 mm]:[Pipa 1,800 mm]])</f>
        <v>574</v>
      </c>
      <c r="AP438" s="256">
        <v>32</v>
      </c>
      <c r="AQ438" s="256">
        <v>282</v>
      </c>
      <c r="AR438" s="256">
        <v>260</v>
      </c>
      <c r="AS438" s="256"/>
      <c r="AT438" s="256"/>
      <c r="AU438" s="256"/>
      <c r="AV438" s="256"/>
      <c r="AW438" s="256"/>
      <c r="AX438" s="256"/>
      <c r="AY438" s="256"/>
      <c r="AZ438" s="256"/>
      <c r="BA438" s="256"/>
      <c r="BB438" s="256"/>
      <c r="BC438" s="256"/>
      <c r="BD438" s="256"/>
      <c r="BE438" s="256"/>
      <c r="BF438" s="256"/>
      <c r="BG438" s="256"/>
      <c r="BH438" s="256"/>
      <c r="BI438" s="256"/>
      <c r="BJ438" s="36">
        <f>SUM(Table1[[#This Row],[Pipa 63 mm2]:[Pipa 1,800 mm21]])</f>
        <v>0</v>
      </c>
      <c r="BK438" s="32"/>
      <c r="BL438" s="32"/>
      <c r="BM438" s="32"/>
      <c r="BN438" s="32"/>
      <c r="BO438" s="32"/>
      <c r="BP438" s="32"/>
      <c r="BQ438" s="32"/>
      <c r="BR438" s="32"/>
      <c r="BS438" s="32"/>
      <c r="BT438" s="32"/>
      <c r="BU438" s="32"/>
      <c r="BV438" s="32"/>
      <c r="BW438" s="32"/>
      <c r="BX438" s="32"/>
      <c r="BY438" s="32"/>
      <c r="BZ438" s="32"/>
      <c r="CA438" s="32"/>
      <c r="CB438" s="32"/>
      <c r="CC438" s="32"/>
      <c r="CD438" s="32"/>
      <c r="CE438" s="32"/>
      <c r="CF438" s="32"/>
      <c r="CG438" s="32"/>
      <c r="CH438" s="32"/>
      <c r="CI438" s="32"/>
      <c r="CJ438" s="32">
        <f>IF((Table1[[#This Row],["Volume
BA MC-0"]]-Table1[[#This Row],[Total Panjang Pipa Aktual
(Sum-&gt;)3]]-Table1[[#This Row],[Total Volume
tidak dapat dipasang]])&gt;=0,Table1[[#This Row],["Volume
BA MC-0"]]-Table1[[#This Row],[Total Panjang Pipa Aktual
(Sum-&gt;)3]]-Table1[[#This Row],[Total Volume
tidak dapat dipasang]],0)</f>
        <v>574</v>
      </c>
      <c r="CK438" s="42"/>
      <c r="CL438" s="113"/>
      <c r="CM438" s="307"/>
      <c r="CN438" s="113"/>
      <c r="CO438" s="113"/>
      <c r="CP438"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7.7792465862849797E-2</v>
      </c>
      <c r="CQ438" s="406">
        <f>IFERROR(Table1[[#This Row],[Progres Keg. Umum
(%)]]*Table1[[#This Row],[Nilai RAB Jaringan
(file pa aji)]],0)</f>
        <v>0</v>
      </c>
      <c r="CR438" s="406">
        <f>IFERROR(Table1[[#This Row],[Progres MOS
(%)]]*Table1[[#This Row],[Nilai RAB Jaringan
(file pa aji)]],0)</f>
        <v>0</v>
      </c>
      <c r="CS438" s="406">
        <f>IFERROR(Table1[[#This Row],[Progres Pemasangan
(%)]]*Table1[[#This Row],[Nilai RAB Jaringan
(file pa aji)]],0)</f>
        <v>0</v>
      </c>
      <c r="CT438" s="406">
        <f>IFERROR(Table1[[#This Row],[Progres Perizinan
(%)]]*Table1[[#This Row],[Nilai RAB Jaringan
(file pa aji)]],0)</f>
        <v>0</v>
      </c>
      <c r="CU438" s="789">
        <v>0</v>
      </c>
      <c r="CV438" s="406">
        <v>0</v>
      </c>
      <c r="CW438" s="481">
        <v>0</v>
      </c>
      <c r="CX438" s="789">
        <f>_xlfn.XLOOKUP(Table1[[#This Row],[Kode Program]],'[1]Breakdown VOWD Greenfield'!$E:$E,'[1]Breakdown VOWD Greenfield'!$AT:$AT)</f>
        <v>0</v>
      </c>
      <c r="CY438" s="42"/>
      <c r="CZ438" s="301">
        <v>46048</v>
      </c>
      <c r="DA438" s="301">
        <v>46075</v>
      </c>
      <c r="DB438" s="301">
        <v>46035</v>
      </c>
      <c r="DC438" s="286" t="s">
        <v>3448</v>
      </c>
      <c r="DD438" s="478">
        <v>1288663189.0799999</v>
      </c>
      <c r="DE43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8" s="301">
        <v>46049</v>
      </c>
      <c r="DG438" s="327" t="s">
        <v>3449</v>
      </c>
      <c r="DH438" s="478">
        <v>1288663189.0799999</v>
      </c>
      <c r="DI43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8" s="301">
        <v>46076</v>
      </c>
      <c r="DK438" s="301">
        <v>46173</v>
      </c>
      <c r="DL438" s="301">
        <v>46064</v>
      </c>
      <c r="DM438" s="286" t="s">
        <v>3450</v>
      </c>
      <c r="DN438"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8" s="301">
        <v>46085</v>
      </c>
      <c r="DP438" s="286"/>
      <c r="DQ438" s="308" t="s">
        <v>275</v>
      </c>
      <c r="DR438"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8" s="301">
        <v>46076</v>
      </c>
      <c r="DT438" s="301">
        <v>46162</v>
      </c>
      <c r="DU438" s="301">
        <v>46117</v>
      </c>
      <c r="DV438" s="301">
        <v>46176</v>
      </c>
      <c r="DW438" s="301">
        <v>46064</v>
      </c>
      <c r="DX438" s="286" t="s">
        <v>3451</v>
      </c>
      <c r="DY438" s="304">
        <v>36</v>
      </c>
      <c r="DZ438" s="304">
        <v>36</v>
      </c>
      <c r="EA438"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8" s="301">
        <v>46161</v>
      </c>
      <c r="EC438" s="304">
        <v>36</v>
      </c>
      <c r="ED438" s="304">
        <v>36</v>
      </c>
      <c r="EE438" s="100" t="s">
        <v>3452</v>
      </c>
      <c r="EF438" s="307">
        <v>1</v>
      </c>
      <c r="EG438" s="307">
        <f>Table1[[#This Row],[Line PO (kolom  bantu)2]]/Table1[[#This Row],[Line PR]]</f>
        <v>1</v>
      </c>
      <c r="EH438" s="286" t="str">
        <f>IF(Table1[[#This Row],[PO Material Aktual 
(%)]]&gt;=100%,"Selesai PO = 100%",IF(Table1[[#This Row],[PO Material Aktual 
(%)]]&gt;=50%,"Proses PO &gt; 100%",IF(Table1[[#This Row],[PO Material Aktual 
(%)]]&gt;0%,"Proses PO &gt; 50%",IF(Table1[[#This Row],[PO Material Aktual 
(%)]]=0,"Belum PO = 0%"))))</f>
        <v>Selesai PO = 100%</v>
      </c>
      <c r="EI43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8" s="301">
        <v>46118</v>
      </c>
      <c r="EK438" s="301">
        <v>46176</v>
      </c>
      <c r="EL438" s="301">
        <v>46236</v>
      </c>
      <c r="EM438" s="301">
        <v>46190</v>
      </c>
      <c r="EN438" s="301"/>
      <c r="EO438" s="302">
        <v>23</v>
      </c>
      <c r="EP438" s="302">
        <v>23</v>
      </c>
      <c r="EQ438" s="307">
        <v>0.63888888888888884</v>
      </c>
      <c r="ER438" s="307">
        <f>Table1[[#This Row],[Line MOS (kolom bantu)]]/Table1[[#This Row],[Line PR]]</f>
        <v>0.63888888888888884</v>
      </c>
      <c r="ES438" s="286" t="str">
        <f>IF(Table1[[#This Row],[Progres MOS]]&gt;=100%,"Selesai MOS = 100%",IF(Table1[[#This Row],[Progres MOS]]&gt;=50%,"Proses MOS &gt; 100%",IF(Table1[[#This Row],[Progres MOS]]&gt;0%,"Proses MOS &gt; 50%",IF(Table1[[#This Row],[Progres MOS]]=0,"Belum MOS = 0%"))))</f>
        <v>Proses MOS &gt; 100%</v>
      </c>
      <c r="ET43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OnSchedule</v>
      </c>
      <c r="EU438" s="42"/>
      <c r="EV438" s="301">
        <v>46076</v>
      </c>
      <c r="EW438" s="301">
        <v>46156</v>
      </c>
      <c r="EX438" s="301">
        <v>46201</v>
      </c>
      <c r="EY438" s="301">
        <v>46186</v>
      </c>
      <c r="EZ438" s="322" t="s">
        <v>2769</v>
      </c>
      <c r="FA438" s="379" t="s">
        <v>2769</v>
      </c>
      <c r="FB438" s="301" t="e">
        <v>#N/A</v>
      </c>
      <c r="FC438" s="300" t="e">
        <v>#N/A</v>
      </c>
      <c r="FD438" s="301" t="e">
        <v>#N/A</v>
      </c>
      <c r="FE438" s="301" t="e">
        <v>#N/A</v>
      </c>
      <c r="FF438" s="301" t="e">
        <v>#N/A</v>
      </c>
      <c r="FG438" s="301" t="e">
        <v>#N/A</v>
      </c>
      <c r="FH438" s="301" t="e">
        <v>#N/A</v>
      </c>
      <c r="FI438" s="301" t="e">
        <v>#N/A</v>
      </c>
      <c r="FJ438" s="301" t="e">
        <v>#N/A</v>
      </c>
      <c r="FK438" s="301" t="e">
        <v>#N/A</v>
      </c>
      <c r="FL438" s="322" t="s">
        <v>2780</v>
      </c>
      <c r="FM438" s="322"/>
      <c r="FN438" s="308" t="str">
        <f>IF(Table1[[#This Row],[Tanggal Pengajuan Dokumen]]="","",Table1[[#This Row],[PLAN PERMIT
start]]-Table1[[#This Row],[Tanggal Pengajuan Dokumen]])</f>
        <v/>
      </c>
      <c r="FO438" s="322"/>
      <c r="FP438" s="286"/>
      <c r="FQ438" s="308"/>
      <c r="FR438" s="301"/>
      <c r="FS438" s="308"/>
      <c r="FT43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8" s="314">
        <f ca="1">IF(Table1[[#This Row],[Status Izin]]="Selesai",Table1[[#This Row],[PLAN PERMIT
finish]]-Table1[[#This Row],[Tanggal Terbit/ Target Izin Terbit]],ROUNDUP(Table1[[#This Row],[PLAN PERMIT
finish]]-NOW(),0))</f>
        <v>-3</v>
      </c>
      <c r="FV43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8" s="314"/>
      <c r="FX438" s="42"/>
      <c r="FY438" s="483">
        <v>46160</v>
      </c>
      <c r="FZ438" s="483">
        <v>46059</v>
      </c>
      <c r="GA438"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8" s="301">
        <v>46174</v>
      </c>
      <c r="GC438" s="322">
        <v>46120</v>
      </c>
      <c r="GD43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8" s="301">
        <v>46181</v>
      </c>
      <c r="GF438" s="322">
        <v>46120</v>
      </c>
      <c r="GG43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8" s="301">
        <v>46188</v>
      </c>
      <c r="GI438" s="301">
        <v>46194</v>
      </c>
      <c r="GJ438" s="322">
        <v>46126</v>
      </c>
      <c r="GK43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8" s="301">
        <v>46202</v>
      </c>
      <c r="GM438" s="301">
        <v>46193</v>
      </c>
      <c r="GN438" s="301">
        <v>46222</v>
      </c>
      <c r="GO438" s="300">
        <v>46269</v>
      </c>
      <c r="GP438" s="286"/>
      <c r="GQ43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8" s="301"/>
      <c r="GS438" s="301"/>
      <c r="GT438" s="324"/>
      <c r="GU438" s="314" t="str">
        <f>IF(Table1[[#This Row],[Hydro Tes Actual
(tanggal)]]&lt;&gt;"","Sudah","Belum")</f>
        <v>Belum</v>
      </c>
      <c r="GV438" s="300"/>
      <c r="GW438" s="300"/>
      <c r="GX438" s="301"/>
      <c r="GY438" s="314" t="str">
        <f>IF(Table1[[#This Row],[Interkoneksi Actual
(tanggal)]]&lt;&gt;"","Sudah","Belum")</f>
        <v>Belum</v>
      </c>
      <c r="GZ438" s="300"/>
      <c r="HA438" s="300"/>
      <c r="HB438" s="301"/>
      <c r="HC438" s="314" t="str">
        <f>IF(Table1[[#This Row],[Flushing Actual
(tanggal)]]&lt;&gt;"","Sudah","Belum")</f>
        <v>Belum</v>
      </c>
      <c r="HD438" s="301">
        <v>46225</v>
      </c>
      <c r="HE438" s="301">
        <v>46270</v>
      </c>
      <c r="HF438" s="301">
        <v>46230</v>
      </c>
      <c r="HG438" s="322"/>
      <c r="HH43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8" s="300"/>
      <c r="HJ438" s="300"/>
      <c r="HK438" s="301"/>
      <c r="HL438" s="301"/>
      <c r="HM438" s="301">
        <v>46247</v>
      </c>
      <c r="HN438" s="301">
        <v>46247</v>
      </c>
      <c r="HO438" s="300">
        <v>46287</v>
      </c>
      <c r="HP438" s="300"/>
      <c r="HQ438" s="301"/>
      <c r="HR43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8" s="301">
        <v>46255</v>
      </c>
      <c r="HT438" s="301"/>
      <c r="HU438" s="301">
        <v>46255</v>
      </c>
      <c r="HV438" s="390"/>
      <c r="HW438" s="365"/>
      <c r="HX43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8" s="42"/>
      <c r="HZ438" s="322"/>
      <c r="IA438" s="306"/>
      <c r="IB438" s="67"/>
      <c r="IC438" s="585">
        <f>IFERROR(ROUND((Table1[[#This Row],[PLAN TC
finish]]-Table1[[#This Row],[PLAN MC-0
start]])/30,2),"")</f>
        <v>1.4</v>
      </c>
      <c r="ID438">
        <f>DATEDIF(Table1[[#This Row],[PLAN MC-0
start]],Table1[[#This Row],[PLAN TC
finish]],"m")</f>
        <v>1</v>
      </c>
      <c r="IE438" s="6"/>
      <c r="IF438" s="6"/>
      <c r="IG438" s="67"/>
      <c r="II438" s="6"/>
      <c r="IJ438" s="4"/>
      <c r="IK438" s="4"/>
      <c r="IL438" s="6"/>
      <c r="IM438" s="6"/>
      <c r="IN438" s="6"/>
      <c r="IO438" s="6"/>
      <c r="IP438" s="6"/>
      <c r="IR438" s="6"/>
      <c r="IS438" s="6"/>
      <c r="IT438" s="6"/>
      <c r="IU438" s="6"/>
      <c r="IX438" s="6"/>
      <c r="IY438" s="6"/>
      <c r="JA438" s="6"/>
      <c r="JB438" s="6"/>
    </row>
    <row r="439" spans="2:262" ht="15" customHeight="1" x14ac:dyDescent="0.25">
      <c r="B439" s="281">
        <f>SUBTOTAL(3,$D$5:D439)</f>
        <v>435</v>
      </c>
      <c r="C439" s="286">
        <v>432</v>
      </c>
      <c r="D439" s="285" t="s">
        <v>629</v>
      </c>
      <c r="E439" s="431" t="s">
        <v>3453</v>
      </c>
      <c r="F439" s="308" t="s">
        <v>3454</v>
      </c>
      <c r="G439" s="319">
        <v>46300</v>
      </c>
      <c r="H439" s="308" t="s">
        <v>681</v>
      </c>
      <c r="I439" s="431" t="s">
        <v>278</v>
      </c>
      <c r="J439" s="488"/>
      <c r="K439" s="431" t="s">
        <v>915</v>
      </c>
      <c r="L439" s="304" t="s">
        <v>250</v>
      </c>
      <c r="M439" s="449" t="s">
        <v>269</v>
      </c>
      <c r="N439" s="477">
        <v>591</v>
      </c>
      <c r="O439" s="31" t="s">
        <v>252</v>
      </c>
      <c r="P439"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Proses Konstruksi</v>
      </c>
      <c r="Q43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39" s="35">
        <v>0.16217635936710462</v>
      </c>
      <c r="S439" s="297">
        <f>_xlfn.XLOOKUP(Table1[[#This Row],[Nama Program]],'[2]Summary Plan'!$E:$E,'[2]Summary Plan'!$M:$M)</f>
        <v>0.17610541232741345</v>
      </c>
      <c r="T439" s="129">
        <f>Table1[[#This Row],[Progres Total Aktual
(%)]]</f>
        <v>8.2014649679598206E-2</v>
      </c>
      <c r="U439" s="104">
        <f>Table1[[#This Row],[Progres Aktual
(%)]]-Table1[[#This Row],[Target Progres
(%)]]</f>
        <v>-9.409076264781524E-2</v>
      </c>
      <c r="V439" s="590">
        <f>Table1[[#This Row],["Volume
BA MC-0"]]</f>
        <v>591</v>
      </c>
      <c r="W439" s="101">
        <f>Table1[[#This Row],[Total Panjang Pipa Aktual
(Sum-&gt;)3]]</f>
        <v>0</v>
      </c>
      <c r="X439" s="102"/>
      <c r="Y439" s="62" t="s">
        <v>3455</v>
      </c>
      <c r="Z439" s="62">
        <v>743181033</v>
      </c>
      <c r="AA439" s="489">
        <f>ROUND((Table1[[#This Row],[Nilai RAB Jaringan
(Exclude Ppn)]]-Table1[[#This Row],[RAB Perizinan]])*1.11+Table1[[#This Row],[RAB Perizinan]],0)</f>
        <v>743181032</v>
      </c>
      <c r="AB439" s="435">
        <f>SUM(Table1[[#This Row],[RAB Kegiatan Umum]:[RAB Perizinan]])</f>
        <v>670118137</v>
      </c>
      <c r="AC439" s="435">
        <v>47059042</v>
      </c>
      <c r="AD439" s="435">
        <v>470590417</v>
      </c>
      <c r="AE439" s="435">
        <v>146558678</v>
      </c>
      <c r="AF439" s="435">
        <v>5910000</v>
      </c>
      <c r="AG439" s="435"/>
      <c r="AH439" s="490">
        <f>SUM(Table1[[#This Row],[Bobot Keg Umum]:[Bobot Perizinan]])</f>
        <v>0.99999999999999989</v>
      </c>
      <c r="AI439" s="490">
        <f>Table1[[#This Row],[RAB Kegiatan Umum]]/Table1[[#This Row],[Nilai RAB Jaringan
(Exclude Ppn)]]</f>
        <v>7.0224993775985498E-2</v>
      </c>
      <c r="AJ439" s="490">
        <f>Table1[[#This Row],[RAB Pemasangan]]/Table1[[#This Row],[Nilai RAB Jaringan
(Exclude Ppn)]]</f>
        <v>0.70224993328303242</v>
      </c>
      <c r="AK439" s="491">
        <f>Table1[[#This Row],[RAB Pengadaan]]/Table1[[#This Row],[Nilai RAB Jaringan
(Exclude Ppn)]]</f>
        <v>0.21870573247892855</v>
      </c>
      <c r="AL439" s="492">
        <f>Table1[[#This Row],[RAB Perizinan]]/Table1[[#This Row],[Nilai RAB Jaringan
(Exclude Ppn)]]</f>
        <v>8.8193404620534842E-3</v>
      </c>
      <c r="AM439" s="42"/>
      <c r="AN439" s="440">
        <v>591</v>
      </c>
      <c r="AO439" s="440">
        <f>SUM(Table1[[#This Row],[Pipa 63 mm]:[Pipa 1,800 mm]])</f>
        <v>591</v>
      </c>
      <c r="AP439" s="440">
        <v>369</v>
      </c>
      <c r="AQ439" s="440">
        <v>222</v>
      </c>
      <c r="AR439" s="440"/>
      <c r="AS439" s="440"/>
      <c r="AT439" s="440"/>
      <c r="AU439" s="440"/>
      <c r="AV439" s="440"/>
      <c r="AW439" s="440"/>
      <c r="AX439" s="440"/>
      <c r="AY439" s="440"/>
      <c r="AZ439" s="440"/>
      <c r="BA439" s="440"/>
      <c r="BB439" s="440"/>
      <c r="BC439" s="440"/>
      <c r="BD439" s="440"/>
      <c r="BE439" s="440"/>
      <c r="BF439" s="440"/>
      <c r="BG439" s="440"/>
      <c r="BH439" s="440"/>
      <c r="BI439" s="440"/>
      <c r="BJ439" s="493">
        <f>SUM(Table1[[#This Row],[Pipa 63 mm2]:[Pipa 1,800 mm21]])</f>
        <v>0</v>
      </c>
      <c r="BK439" s="441"/>
      <c r="BL439" s="441"/>
      <c r="BM439" s="441"/>
      <c r="BN439" s="441"/>
      <c r="BO439" s="441"/>
      <c r="BP439" s="441"/>
      <c r="BQ439" s="441"/>
      <c r="BR439" s="441"/>
      <c r="BS439" s="441"/>
      <c r="BT439" s="441"/>
      <c r="BU439" s="441"/>
      <c r="BV439" s="441"/>
      <c r="BW439" s="441"/>
      <c r="BX439" s="441"/>
      <c r="BY439" s="441"/>
      <c r="BZ439" s="441"/>
      <c r="CA439" s="441"/>
      <c r="CB439" s="441"/>
      <c r="CC439" s="441"/>
      <c r="CD439" s="441"/>
      <c r="CE439" s="441"/>
      <c r="CF439" s="441"/>
      <c r="CG439" s="441"/>
      <c r="CH439" s="441"/>
      <c r="CI439" s="441"/>
      <c r="CJ439" s="441">
        <f>IF((Table1[[#This Row],["Volume
BA MC-0"]]-Table1[[#This Row],[Total Panjang Pipa Aktual
(Sum-&gt;)3]]-Table1[[#This Row],[Total Volume
tidak dapat dipasang]])&gt;=0,Table1[[#This Row],["Volume
BA MC-0"]]-Table1[[#This Row],[Total Panjang Pipa Aktual
(Sum-&gt;)3]]-Table1[[#This Row],[Total Volume
tidak dapat dipasang]],0)</f>
        <v>591</v>
      </c>
      <c r="CK439" s="42"/>
      <c r="CL439" s="442"/>
      <c r="CM439" s="445"/>
      <c r="CN439" s="442"/>
      <c r="CO439" s="442"/>
      <c r="CP439"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8.2014649679598206E-2</v>
      </c>
      <c r="CQ439" s="435">
        <f>IFERROR(Table1[[#This Row],[Progres Keg. Umum
(%)]]*Table1[[#This Row],[Nilai RAB Jaringan
(file pa aji)]],0)</f>
        <v>0</v>
      </c>
      <c r="CR439" s="435">
        <f>IFERROR(Table1[[#This Row],[Progres MOS
(%)]]*Table1[[#This Row],[Nilai RAB Jaringan
(file pa aji)]],0)</f>
        <v>0</v>
      </c>
      <c r="CS439" s="435">
        <f>IFERROR(Table1[[#This Row],[Progres Pemasangan
(%)]]*Table1[[#This Row],[Nilai RAB Jaringan
(file pa aji)]],0)</f>
        <v>0</v>
      </c>
      <c r="CT439" s="435">
        <f>IFERROR(Table1[[#This Row],[Progres Perizinan
(%)]]*Table1[[#This Row],[Nilai RAB Jaringan
(file pa aji)]],0)</f>
        <v>0</v>
      </c>
      <c r="CU439" s="789">
        <v>0</v>
      </c>
      <c r="CV439" s="406">
        <v>0</v>
      </c>
      <c r="CW439" s="494">
        <v>0</v>
      </c>
      <c r="CX439" s="789">
        <f>_xlfn.XLOOKUP(Table1[[#This Row],[Kode Program]],'[1]Breakdown VOWD Greenfield'!$E:$E,'[1]Breakdown VOWD Greenfield'!$AT:$AT)</f>
        <v>0</v>
      </c>
      <c r="CY439" s="42"/>
      <c r="CZ439" s="301">
        <v>46048</v>
      </c>
      <c r="DA439" s="301">
        <v>46075</v>
      </c>
      <c r="DB439" s="301">
        <v>46035</v>
      </c>
      <c r="DC439" s="304" t="s">
        <v>3456</v>
      </c>
      <c r="DD439" s="495">
        <v>737271032.07000005</v>
      </c>
      <c r="DE43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OnSchedule</v>
      </c>
      <c r="DF439" s="301">
        <v>46049</v>
      </c>
      <c r="DG439" s="327" t="s">
        <v>3457</v>
      </c>
      <c r="DH439" s="495">
        <v>737271032.07000005</v>
      </c>
      <c r="DI439"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OnSchedule</v>
      </c>
      <c r="DJ439" s="301">
        <v>46076</v>
      </c>
      <c r="DK439" s="301">
        <v>46173</v>
      </c>
      <c r="DL439" s="301">
        <v>46064</v>
      </c>
      <c r="DM439" s="304" t="s">
        <v>3458</v>
      </c>
      <c r="DN439"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39" s="301">
        <v>46085</v>
      </c>
      <c r="DP439" s="286"/>
      <c r="DQ439" s="308" t="s">
        <v>275</v>
      </c>
      <c r="DR439"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39" s="301">
        <v>46076</v>
      </c>
      <c r="DT439" s="301">
        <v>46164</v>
      </c>
      <c r="DU439" s="301">
        <v>46117</v>
      </c>
      <c r="DV439" s="301">
        <v>46178</v>
      </c>
      <c r="DW439" s="301">
        <v>46064</v>
      </c>
      <c r="DX439" s="304" t="s">
        <v>3459</v>
      </c>
      <c r="DY439" s="304">
        <v>32</v>
      </c>
      <c r="DZ439" s="304">
        <v>32</v>
      </c>
      <c r="EA439"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OnSchedule</v>
      </c>
      <c r="EB439" s="390">
        <v>46162</v>
      </c>
      <c r="EC439" s="302">
        <v>32</v>
      </c>
      <c r="ED439" s="302">
        <v>32</v>
      </c>
      <c r="EE439" s="396" t="s">
        <v>3460</v>
      </c>
      <c r="EF439" s="445">
        <v>1</v>
      </c>
      <c r="EG439" s="307">
        <f>Table1[[#This Row],[Line PO (kolom  bantu)2]]/Table1[[#This Row],[Line PR]]</f>
        <v>1</v>
      </c>
      <c r="EH439" s="286" t="str">
        <f>IF(Table1[[#This Row],[PO Material Aktual 
(%)]]&gt;=100%,"Selesai PO = 100%",IF(Table1[[#This Row],[PO Material Aktual 
(%)]]&gt;=50%,"Proses PO &gt; 100%",IF(Table1[[#This Row],[PO Material Aktual 
(%)]]&gt;0%,"Proses PO &gt; 50%",IF(Table1[[#This Row],[PO Material Aktual 
(%)]]=0,"Belum PO = 0%"))))</f>
        <v>Selesai PO = 100%</v>
      </c>
      <c r="EI43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Sudah, Delay</v>
      </c>
      <c r="EJ439" s="301">
        <v>46118</v>
      </c>
      <c r="EK439" s="301">
        <v>46178</v>
      </c>
      <c r="EL439" s="301">
        <v>46201</v>
      </c>
      <c r="EM439" s="390">
        <v>46183</v>
      </c>
      <c r="EN439" s="390"/>
      <c r="EO439" s="302">
        <v>20</v>
      </c>
      <c r="EP439" s="302">
        <v>20</v>
      </c>
      <c r="EQ439" s="307">
        <v>0.625</v>
      </c>
      <c r="ER439" s="307">
        <f>Table1[[#This Row],[Line MOS (kolom bantu)]]/Table1[[#This Row],[Line PR]]</f>
        <v>0.625</v>
      </c>
      <c r="ES439" s="286" t="str">
        <f>IF(Table1[[#This Row],[Progres MOS]]&gt;=100%,"Selesai MOS = 100%",IF(Table1[[#This Row],[Progres MOS]]&gt;=50%,"Proses MOS &gt; 100%",IF(Table1[[#This Row],[Progres MOS]]&gt;0%,"Proses MOS &gt; 50%",IF(Table1[[#This Row],[Progres MOS]]=0,"Belum MOS = 0%"))))</f>
        <v>Proses MOS &gt; 100%</v>
      </c>
      <c r="ET43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39" s="42"/>
      <c r="EV439" s="301">
        <v>46076</v>
      </c>
      <c r="EW439" s="301">
        <v>46156</v>
      </c>
      <c r="EX439" s="301">
        <v>46201</v>
      </c>
      <c r="EY439" s="390">
        <v>46186</v>
      </c>
      <c r="EZ439" s="447" t="s">
        <v>2769</v>
      </c>
      <c r="FA439" s="379" t="s">
        <v>2769</v>
      </c>
      <c r="FB439" s="390" t="e">
        <v>#N/A</v>
      </c>
      <c r="FC439" s="300" t="e">
        <v>#N/A</v>
      </c>
      <c r="FD439" s="390" t="e">
        <v>#N/A</v>
      </c>
      <c r="FE439" s="390" t="e">
        <v>#N/A</v>
      </c>
      <c r="FF439" s="390" t="e">
        <v>#N/A</v>
      </c>
      <c r="FG439" s="390" t="e">
        <v>#N/A</v>
      </c>
      <c r="FH439" s="390" t="e">
        <v>#N/A</v>
      </c>
      <c r="FI439" s="390" t="e">
        <v>#N/A</v>
      </c>
      <c r="FJ439" s="390" t="e">
        <v>#N/A</v>
      </c>
      <c r="FK439" s="390" t="e">
        <v>#N/A</v>
      </c>
      <c r="FL439" s="322" t="s">
        <v>2780</v>
      </c>
      <c r="FM439" s="447"/>
      <c r="FN439" s="431" t="str">
        <f>IF(Table1[[#This Row],[Tanggal Pengajuan Dokumen]]="","",Table1[[#This Row],[PLAN PERMIT
start]]-Table1[[#This Row],[Tanggal Pengajuan Dokumen]])</f>
        <v/>
      </c>
      <c r="FO439" s="447"/>
      <c r="FP439" s="304"/>
      <c r="FQ439" s="431"/>
      <c r="FR439" s="390"/>
      <c r="FS439" s="431"/>
      <c r="FT439"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39" s="446">
        <f ca="1">IF(Table1[[#This Row],[Status Izin]]="Selesai",Table1[[#This Row],[PLAN PERMIT
finish]]-Table1[[#This Row],[Tanggal Terbit/ Target Izin Terbit]],ROUNDUP(Table1[[#This Row],[PLAN PERMIT
finish]]-NOW(),0))</f>
        <v>-3</v>
      </c>
      <c r="FV439"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39" s="446"/>
      <c r="FX439" s="42"/>
      <c r="FY439" s="483">
        <v>46160</v>
      </c>
      <c r="FZ439" s="483">
        <v>46059</v>
      </c>
      <c r="GA439" s="286"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39" s="301">
        <v>46174</v>
      </c>
      <c r="GC439" s="447">
        <v>46120</v>
      </c>
      <c r="GD439"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39" s="301">
        <v>46181</v>
      </c>
      <c r="GF439" s="447">
        <v>46120</v>
      </c>
      <c r="GG439"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39" s="301">
        <v>46188</v>
      </c>
      <c r="GI439" s="301">
        <v>46194</v>
      </c>
      <c r="GJ439" s="447">
        <v>46126</v>
      </c>
      <c r="GK439"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39" s="301">
        <v>46202</v>
      </c>
      <c r="GM439" s="301">
        <v>46193</v>
      </c>
      <c r="GN439" s="301">
        <v>46222</v>
      </c>
      <c r="GO439" s="300">
        <v>46241</v>
      </c>
      <c r="GP439" s="304"/>
      <c r="GQ439"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39" s="390"/>
      <c r="GS439" s="390"/>
      <c r="GT439" s="389"/>
      <c r="GU439" s="446" t="str">
        <f>IF(Table1[[#This Row],[Hydro Tes Actual
(tanggal)]]&lt;&gt;"","Sudah","Belum")</f>
        <v>Belum</v>
      </c>
      <c r="GV439" s="497"/>
      <c r="GW439" s="497"/>
      <c r="GX439" s="390"/>
      <c r="GY439" s="446" t="str">
        <f>IF(Table1[[#This Row],[Interkoneksi Actual
(tanggal)]]&lt;&gt;"","Sudah","Belum")</f>
        <v>Belum</v>
      </c>
      <c r="GZ439" s="497"/>
      <c r="HA439" s="497"/>
      <c r="HB439" s="390"/>
      <c r="HC439" s="446" t="str">
        <f>IF(Table1[[#This Row],[Flushing Actual
(tanggal)]]&lt;&gt;"","Sudah","Belum")</f>
        <v>Belum</v>
      </c>
      <c r="HD439" s="301">
        <v>46225</v>
      </c>
      <c r="HE439" s="301">
        <v>46242</v>
      </c>
      <c r="HF439" s="301">
        <v>46230</v>
      </c>
      <c r="HG439" s="447"/>
      <c r="HH439"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39" s="497"/>
      <c r="HJ439" s="497"/>
      <c r="HK439" s="390"/>
      <c r="HL439" s="390"/>
      <c r="HM439" s="301">
        <v>46247</v>
      </c>
      <c r="HN439" s="301">
        <v>46247</v>
      </c>
      <c r="HO439" s="300">
        <v>46259</v>
      </c>
      <c r="HP439" s="497"/>
      <c r="HQ439" s="390"/>
      <c r="HR439"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39" s="301">
        <v>46255</v>
      </c>
      <c r="HT439" s="301"/>
      <c r="HU439" s="301">
        <v>46255</v>
      </c>
      <c r="HV439" s="390"/>
      <c r="HW439" s="317"/>
      <c r="HX439" s="449"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39" s="42"/>
      <c r="HZ439" s="447"/>
      <c r="IA439" s="306"/>
      <c r="IB439" s="67"/>
      <c r="IC439" s="585">
        <f>IFERROR(ROUND((Table1[[#This Row],[PLAN TC
finish]]-Table1[[#This Row],[PLAN MC-0
start]])/30,2),"")</f>
        <v>1.4</v>
      </c>
      <c r="ID439">
        <f>DATEDIF(Table1[[#This Row],[PLAN MC-0
start]],Table1[[#This Row],[PLAN TC
finish]],"m")</f>
        <v>1</v>
      </c>
      <c r="IE439" s="6"/>
      <c r="IF439" s="6"/>
      <c r="IG439" s="67"/>
      <c r="II439" s="6"/>
      <c r="IJ439" s="4"/>
      <c r="IK439" s="4"/>
      <c r="IL439" s="6"/>
      <c r="IM439" s="6"/>
      <c r="IN439" s="6"/>
      <c r="IO439" s="6"/>
      <c r="IP439" s="6"/>
      <c r="IR439" s="6"/>
      <c r="IS439" s="6"/>
      <c r="IT439" s="6"/>
      <c r="IU439" s="6"/>
      <c r="IX439" s="6"/>
      <c r="IY439" s="6"/>
      <c r="JA439" s="6"/>
      <c r="JB439" s="6"/>
    </row>
    <row r="440" spans="2:262" customFormat="1" ht="15" customHeight="1" x14ac:dyDescent="0.25">
      <c r="B440" s="281">
        <f>SUBTOTAL(3,$D$5:D440)</f>
        <v>436</v>
      </c>
      <c r="C440" s="286">
        <v>433</v>
      </c>
      <c r="D440" s="430" t="s">
        <v>629</v>
      </c>
      <c r="E440" s="431" t="s">
        <v>3461</v>
      </c>
      <c r="F440" s="431" t="s">
        <v>3462</v>
      </c>
      <c r="G440" s="319">
        <v>46300</v>
      </c>
      <c r="H440" s="308" t="s">
        <v>681</v>
      </c>
      <c r="I440" s="431" t="s">
        <v>278</v>
      </c>
      <c r="J440" s="488"/>
      <c r="K440" s="431" t="s">
        <v>915</v>
      </c>
      <c r="L440" s="304" t="s">
        <v>250</v>
      </c>
      <c r="M440" s="449" t="s">
        <v>269</v>
      </c>
      <c r="N440" s="528">
        <v>136</v>
      </c>
      <c r="O440" s="434" t="s">
        <v>252</v>
      </c>
      <c r="P440" s="788" t="s">
        <v>882</v>
      </c>
      <c r="Q44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0" s="35">
        <v>0</v>
      </c>
      <c r="S440" s="297">
        <v>0</v>
      </c>
      <c r="T440" s="529">
        <f>Table1[[#This Row],[Progres Total Aktual
(%)]]</f>
        <v>0</v>
      </c>
      <c r="U440" s="530">
        <f>Table1[[#This Row],[Progres Aktual
(%)]]-Table1[[#This Row],[Target Progres
(%)]]</f>
        <v>0</v>
      </c>
      <c r="V440" s="531">
        <f>Table1[[#This Row],["Volume
BA MC-0"]]</f>
        <v>136</v>
      </c>
      <c r="W440" s="531">
        <f>Table1[[#This Row],[Total Panjang Pipa Aktual
(Sum-&gt;)3]]</f>
        <v>136</v>
      </c>
      <c r="X440" s="102"/>
      <c r="Y440" s="62" t="s">
        <v>3463</v>
      </c>
      <c r="Z440" s="438">
        <v>185939569</v>
      </c>
      <c r="AA440" s="438">
        <f>ROUND((Table1[[#This Row],[Nilai RAB Jaringan
(Exclude Ppn)]]-Table1[[#This Row],[RAB Perizinan]])*1.11+Table1[[#This Row],[RAB Perizinan]],0)</f>
        <v>0</v>
      </c>
      <c r="AB440" s="435">
        <f>SUM(Table1[[#This Row],[RAB Kegiatan Umum]:[RAB Perizinan]])</f>
        <v>0</v>
      </c>
      <c r="AC440" s="435"/>
      <c r="AD440" s="435"/>
      <c r="AE440" s="435"/>
      <c r="AF440" s="435"/>
      <c r="AG440" s="435"/>
      <c r="AH440" s="532" t="e">
        <f>SUM(Table1[[#This Row],[Bobot Keg Umum]:[Bobot Perizinan]])</f>
        <v>#DIV/0!</v>
      </c>
      <c r="AI440" s="532" t="e">
        <f>Table1[[#This Row],[RAB Kegiatan Umum]]/Table1[[#This Row],[Nilai RAB Jaringan
(Exclude Ppn)]]</f>
        <v>#DIV/0!</v>
      </c>
      <c r="AJ440" s="532" t="e">
        <f>Table1[[#This Row],[RAB Pemasangan]]/Table1[[#This Row],[Nilai RAB Jaringan
(Exclude Ppn)]]</f>
        <v>#DIV/0!</v>
      </c>
      <c r="AK440" s="532" t="e">
        <f>Table1[[#This Row],[RAB Pengadaan]]/Table1[[#This Row],[Nilai RAB Jaringan
(Exclude Ppn)]]</f>
        <v>#DIV/0!</v>
      </c>
      <c r="AL440" s="445" t="e">
        <f>Table1[[#This Row],[RAB Perizinan]]/Table1[[#This Row],[Nilai RAB Jaringan
(Exclude Ppn)]]</f>
        <v>#DIV/0!</v>
      </c>
      <c r="AM440" s="42"/>
      <c r="AN440" s="440">
        <v>136</v>
      </c>
      <c r="AO440" s="440">
        <f>SUM(Table1[[#This Row],[Pipa 63 mm]:[Pipa 1,800 mm]])</f>
        <v>136</v>
      </c>
      <c r="AP440" s="440">
        <v>136</v>
      </c>
      <c r="AQ440" s="440"/>
      <c r="AR440" s="440"/>
      <c r="AS440" s="440"/>
      <c r="AT440" s="440"/>
      <c r="AU440" s="440"/>
      <c r="AV440" s="440"/>
      <c r="AW440" s="440"/>
      <c r="AX440" s="440"/>
      <c r="AY440" s="440"/>
      <c r="AZ440" s="440"/>
      <c r="BA440" s="440"/>
      <c r="BB440" s="440"/>
      <c r="BC440" s="440"/>
      <c r="BD440" s="440"/>
      <c r="BE440" s="440"/>
      <c r="BF440" s="440"/>
      <c r="BG440" s="440"/>
      <c r="BH440" s="440"/>
      <c r="BI440" s="440"/>
      <c r="BJ440" s="493">
        <f>SUM(Table1[[#This Row],[Pipa 63 mm2]:[Pipa 1,800 mm21]])</f>
        <v>136</v>
      </c>
      <c r="BK440" s="441">
        <v>136</v>
      </c>
      <c r="BL440" s="441"/>
      <c r="BM440" s="441"/>
      <c r="BN440" s="441"/>
      <c r="BO440" s="441"/>
      <c r="BP440" s="441"/>
      <c r="BQ440" s="441"/>
      <c r="BR440" s="441"/>
      <c r="BS440" s="441"/>
      <c r="BT440" s="441"/>
      <c r="BU440" s="441"/>
      <c r="BV440" s="441"/>
      <c r="BW440" s="441"/>
      <c r="BX440" s="441"/>
      <c r="BY440" s="441"/>
      <c r="BZ440" s="441"/>
      <c r="CA440" s="441"/>
      <c r="CB440" s="441"/>
      <c r="CC440" s="441"/>
      <c r="CD440" s="441"/>
      <c r="CE440" s="441"/>
      <c r="CF440" s="441"/>
      <c r="CG440" s="441"/>
      <c r="CH440" s="441"/>
      <c r="CI440" s="441"/>
      <c r="CJ440" s="441">
        <f>IF((Table1[[#This Row],["Volume
BA MC-0"]]-Table1[[#This Row],[Total Panjang Pipa Aktual
(Sum-&gt;)3]]-Table1[[#This Row],[Total Volume
tidak dapat dipasang]])&gt;=0,Table1[[#This Row],["Volume
BA MC-0"]]-Table1[[#This Row],[Total Panjang Pipa Aktual
(Sum-&gt;)3]]-Table1[[#This Row],[Total Volume
tidak dapat dipasang]],0)</f>
        <v>0</v>
      </c>
      <c r="CK440" s="42"/>
      <c r="CL440" s="442"/>
      <c r="CM440" s="445"/>
      <c r="CN440" s="442"/>
      <c r="CO440" s="442"/>
      <c r="CP440" s="297">
        <f>IFERROR(IF(Table1[[#This Row],[Nilai RNA Update]]&gt;0,Table1[[#This Row],[Nilai RNA Update]]/Table1[[#This Row],[Nilai RNA Update]],IF(Table1[[#This Row],[VOWD Total
(Rp)]]=0,IF(LEFT(Table1[[#This Row],[Review PO Material BPM]],5)="Sudah",Table1[[#This Row],[Progres MOS]]*80%*Table1[[#This Row],[Bobot Pengadaan]],Table1[[#This Row],[Progres MOS]]*60%*Table1[[#This Row],[Bobot Pengadaan]]),Table1[[#This Row],[VOWD Total
(Rp)]]/Table1[[#This Row],[Kontrol Nilai RAB Jaringan
(Include Ppn)]])),0)</f>
        <v>0</v>
      </c>
      <c r="CQ440" s="435">
        <f>IFERROR(Table1[[#This Row],[Progres Keg. Umum
(%)]]*Table1[[#This Row],[Nilai RAB Jaringan
(file pa aji)]],0)</f>
        <v>0</v>
      </c>
      <c r="CR440" s="435">
        <f>IFERROR(Table1[[#This Row],[Progres MOS
(%)]]*Table1[[#This Row],[Nilai RAB Jaringan
(file pa aji)]],0)</f>
        <v>0</v>
      </c>
      <c r="CS440" s="435">
        <f>IFERROR(Table1[[#This Row],[Progres Pemasangan
(%)]]*Table1[[#This Row],[Nilai RAB Jaringan
(file pa aji)]],0)</f>
        <v>0</v>
      </c>
      <c r="CT440" s="435">
        <f>IFERROR(Table1[[#This Row],[Progres Perizinan
(%)]]*Table1[[#This Row],[Nilai RAB Jaringan
(file pa aji)]],0)</f>
        <v>0</v>
      </c>
      <c r="CU440" s="299"/>
      <c r="CV440" s="406"/>
      <c r="CW440" s="494">
        <v>0</v>
      </c>
      <c r="CX440" s="789">
        <f>_xlfn.XLOOKUP(Table1[[#This Row],[Kode Program]],'[1]Breakdown VOWD Greenfield'!$E:$E,'[1]Breakdown VOWD Greenfield'!$AT:$AT)</f>
        <v>0</v>
      </c>
      <c r="CY440" s="42"/>
      <c r="CZ440" s="301">
        <v>46048</v>
      </c>
      <c r="DA440" s="301">
        <v>46075</v>
      </c>
      <c r="DB440" s="390">
        <v>46098</v>
      </c>
      <c r="DC440" s="304" t="s">
        <v>3464</v>
      </c>
      <c r="DD440" s="495">
        <v>184579569</v>
      </c>
      <c r="DE44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Sudah, Delay</v>
      </c>
      <c r="DF440" s="390">
        <v>46127</v>
      </c>
      <c r="DG440" s="304" t="s">
        <v>3465</v>
      </c>
      <c r="DH440" s="495">
        <v>184579569</v>
      </c>
      <c r="DI440"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Sudah, Delay</v>
      </c>
      <c r="DJ440" s="301">
        <v>46076</v>
      </c>
      <c r="DK440" s="301">
        <v>46173</v>
      </c>
      <c r="DL440" s="390">
        <v>46142</v>
      </c>
      <c r="DM440" s="304" t="s">
        <v>3466</v>
      </c>
      <c r="DN440"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Sudah, OnSchedule</v>
      </c>
      <c r="DO440" s="390">
        <v>46160</v>
      </c>
      <c r="DP440" s="304" t="s">
        <v>3467</v>
      </c>
      <c r="DQ440" s="431" t="s">
        <v>312</v>
      </c>
      <c r="DR440"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Sudah, OnSchedule</v>
      </c>
      <c r="DS440" s="301">
        <v>46076</v>
      </c>
      <c r="DT440" s="301">
        <v>46164</v>
      </c>
      <c r="DU440" s="301">
        <v>46117</v>
      </c>
      <c r="DV440" s="390">
        <v>46178</v>
      </c>
      <c r="DW440" s="390">
        <v>46149</v>
      </c>
      <c r="DX440" s="304" t="s">
        <v>3468</v>
      </c>
      <c r="DY440" s="304">
        <v>18</v>
      </c>
      <c r="DZ440" s="304">
        <v>18</v>
      </c>
      <c r="EA440"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Sudah, Delay</v>
      </c>
      <c r="EB440" s="390"/>
      <c r="EC440" s="305">
        <v>17</v>
      </c>
      <c r="ED440" s="305">
        <v>17</v>
      </c>
      <c r="EE440" s="497"/>
      <c r="EF440" s="307">
        <v>0.94444444444444442</v>
      </c>
      <c r="EG440" s="307">
        <f>Table1[[#This Row],[Line PO (kolom  bantu)2]]/Table1[[#This Row],[Line PR]]</f>
        <v>0.94444444444444442</v>
      </c>
      <c r="EH440" s="304" t="str">
        <f>IF(Table1[[#This Row],[PO Material Aktual 
(%)]]&gt;=100%,"Selesai PO = 100%",IF(Table1[[#This Row],[PO Material Aktual 
(%)]]&gt;=50%,"Proses PO &gt; 100%",IF(Table1[[#This Row],[PO Material Aktual 
(%)]]&gt;0%,"Proses PO &gt; 50%",IF(Table1[[#This Row],[PO Material Aktual 
(%)]]=0,"Belum PO = 0%"))))</f>
        <v>Proses PO &gt; 100%</v>
      </c>
      <c r="EI440"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0" s="301"/>
      <c r="EK440" s="301">
        <v>46178</v>
      </c>
      <c r="EL440" s="301"/>
      <c r="EM440" s="390">
        <v>46193</v>
      </c>
      <c r="EN440" s="390"/>
      <c r="EO440" s="304">
        <v>0</v>
      </c>
      <c r="EP440" s="304">
        <v>0</v>
      </c>
      <c r="EQ440" s="445">
        <v>0</v>
      </c>
      <c r="ER440" s="307">
        <f>Table1[[#This Row],[Line MOS (kolom bantu)]]/Table1[[#This Row],[Line PR]]</f>
        <v>0</v>
      </c>
      <c r="ES440" s="304" t="str">
        <f>IF(Table1[[#This Row],[Progres MOS]]&gt;=100%,"Selesai MOS = 100%",IF(Table1[[#This Row],[Progres MOS]]&gt;=50%,"Proses MOS &gt; 100%",IF(Table1[[#This Row],[Progres MOS]]&gt;0%,"Proses MOS &gt; 50%",IF(Table1[[#This Row],[Progres MOS]]=0,"Belum MOS = 0%"))))</f>
        <v>Belum MOS = 0%</v>
      </c>
      <c r="ET44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0" s="42"/>
      <c r="EV440" s="390"/>
      <c r="EW440" s="390">
        <v>46159</v>
      </c>
      <c r="EX440" s="390"/>
      <c r="EY440" s="390">
        <v>46189</v>
      </c>
      <c r="EZ440" s="447" t="s">
        <v>2769</v>
      </c>
      <c r="FA440" s="379" t="s">
        <v>2769</v>
      </c>
      <c r="FB440" s="390" t="e">
        <v>#N/A</v>
      </c>
      <c r="FC440" s="300" t="e">
        <v>#N/A</v>
      </c>
      <c r="FD440" s="390" t="e">
        <v>#N/A</v>
      </c>
      <c r="FE440" s="390" t="e">
        <v>#N/A</v>
      </c>
      <c r="FF440" s="390" t="e">
        <v>#N/A</v>
      </c>
      <c r="FG440" s="390" t="e">
        <v>#N/A</v>
      </c>
      <c r="FH440" s="390" t="e">
        <v>#N/A</v>
      </c>
      <c r="FI440" s="390" t="e">
        <v>#N/A</v>
      </c>
      <c r="FJ440" s="390" t="e">
        <v>#N/A</v>
      </c>
      <c r="FK440" s="390" t="e">
        <v>#N/A</v>
      </c>
      <c r="FL440" s="447"/>
      <c r="FM440" s="447"/>
      <c r="FN440" s="431" t="str">
        <f>IF(Table1[[#This Row],[Tanggal Pengajuan Dokumen]]="","",Table1[[#This Row],[PLAN PERMIT
start]]-Table1[[#This Row],[Tanggal Pengajuan Dokumen]])</f>
        <v/>
      </c>
      <c r="FO440" s="447"/>
      <c r="FP440" s="304"/>
      <c r="FQ440" s="431"/>
      <c r="FR440" s="447"/>
      <c r="FS440" s="431"/>
      <c r="FT440"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0" s="446">
        <f ca="1">IF(Table1[[#This Row],[Status Izin]]="Selesai",Table1[[#This Row],[PLAN PERMIT
finish]]-Table1[[#This Row],[Tanggal Terbit/ Target Izin Terbit]],ROUNDUP(Table1[[#This Row],[PLAN PERMIT
finish]]-NOW(),0))</f>
        <v>-46204</v>
      </c>
      <c r="FV440"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0" s="446"/>
      <c r="FX440" s="42"/>
      <c r="FY440" s="483">
        <v>46160</v>
      </c>
      <c r="FZ440" s="534">
        <v>46121</v>
      </c>
      <c r="GA440"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Sudah, OnSchedule</v>
      </c>
      <c r="GB440" s="301">
        <v>46174</v>
      </c>
      <c r="GC440" s="447">
        <v>46120</v>
      </c>
      <c r="GD440"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OnSchedule</v>
      </c>
      <c r="GE440" s="301">
        <v>46181</v>
      </c>
      <c r="GF440" s="447">
        <v>46120</v>
      </c>
      <c r="GG440"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OnSchedule</v>
      </c>
      <c r="GH440" s="301">
        <v>46188</v>
      </c>
      <c r="GI440" s="301">
        <v>46194</v>
      </c>
      <c r="GJ440" s="447">
        <v>46127</v>
      </c>
      <c r="GK440"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OnSchedule</v>
      </c>
      <c r="GL440" s="301">
        <v>46202</v>
      </c>
      <c r="GM440" s="301">
        <v>46196</v>
      </c>
      <c r="GN440" s="301">
        <v>46222</v>
      </c>
      <c r="GO440" s="497">
        <v>46223</v>
      </c>
      <c r="GP440" s="304"/>
      <c r="GQ440"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OnSchedule</v>
      </c>
      <c r="GR440" s="390"/>
      <c r="GS440" s="390"/>
      <c r="GT440" s="389"/>
      <c r="GU440" s="446" t="str">
        <f>IF(Table1[[#This Row],[Hydro Tes Actual
(tanggal)]]&lt;&gt;"","Sudah","Belum")</f>
        <v>Belum</v>
      </c>
      <c r="GV440" s="497"/>
      <c r="GW440" s="497"/>
      <c r="GX440" s="390"/>
      <c r="GY440" s="446" t="str">
        <f>IF(Table1[[#This Row],[Interkoneksi Actual
(tanggal)]]&lt;&gt;"","Sudah","Belum")</f>
        <v>Belum</v>
      </c>
      <c r="GZ440" s="497"/>
      <c r="HA440" s="497"/>
      <c r="HB440" s="390"/>
      <c r="HC440" s="446" t="str">
        <f>IF(Table1[[#This Row],[Flushing Actual
(tanggal)]]&lt;&gt;"","Sudah","Belum")</f>
        <v>Belum</v>
      </c>
      <c r="HD440" s="301">
        <v>46225</v>
      </c>
      <c r="HE440" s="301">
        <v>46224</v>
      </c>
      <c r="HF440" s="301">
        <v>46230</v>
      </c>
      <c r="HG440" s="447"/>
      <c r="HH440"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OnSchedule</v>
      </c>
      <c r="HI440" s="497"/>
      <c r="HJ440" s="497"/>
      <c r="HK440" s="390"/>
      <c r="HL440" s="304"/>
      <c r="HM440" s="301">
        <v>46247</v>
      </c>
      <c r="HN440" s="301">
        <v>46247</v>
      </c>
      <c r="HO440" s="497">
        <v>46241</v>
      </c>
      <c r="HP440" s="497"/>
      <c r="HQ440" s="390"/>
      <c r="HR440"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OnSchedule</v>
      </c>
      <c r="HS440" s="301">
        <v>46255</v>
      </c>
      <c r="HT440" s="301"/>
      <c r="HU440" s="301">
        <v>46255</v>
      </c>
      <c r="HV440" s="390"/>
      <c r="HW440" s="390"/>
      <c r="HX440"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OnSchedule</v>
      </c>
      <c r="HY440" s="42"/>
      <c r="HZ440" s="447"/>
      <c r="IA440" s="306"/>
      <c r="IC440" s="585">
        <f>IFERROR(ROUND((Table1[[#This Row],[PLAN TC
finish]]-Table1[[#This Row],[PLAN MC-0
start]])/30,2),"")</f>
        <v>1.4</v>
      </c>
      <c r="ID440">
        <f>DATEDIF(Table1[[#This Row],[PLAN MC-0
start]],Table1[[#This Row],[PLAN TC
finish]],"m")</f>
        <v>1</v>
      </c>
    </row>
    <row r="441" spans="2:262" customFormat="1" ht="15" customHeight="1" x14ac:dyDescent="0.25">
      <c r="B441" s="281">
        <f>SUBTOTAL(3,$D$5:D441)</f>
        <v>437</v>
      </c>
      <c r="C441" s="286">
        <v>435</v>
      </c>
      <c r="D441" s="430" t="s">
        <v>244</v>
      </c>
      <c r="E441" s="431" t="s">
        <v>3469</v>
      </c>
      <c r="F441" s="431" t="s">
        <v>3470</v>
      </c>
      <c r="G441" s="319">
        <v>46482</v>
      </c>
      <c r="H441" s="431" t="s">
        <v>247</v>
      </c>
      <c r="I441" s="431"/>
      <c r="J441" s="488"/>
      <c r="K441" s="431"/>
      <c r="L441" s="304"/>
      <c r="M441" s="449"/>
      <c r="N441" s="528">
        <v>21120</v>
      </c>
      <c r="O441" s="434" t="s">
        <v>252</v>
      </c>
      <c r="P441"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1" s="445"/>
      <c r="S441" s="529"/>
      <c r="T441" s="529">
        <f>Table1[[#This Row],[Progres Total Aktual
(%)]]</f>
        <v>0</v>
      </c>
      <c r="U441" s="530">
        <f>Table1[[#This Row],[Progres Aktual
(%)]]-Table1[[#This Row],[Target Progres
(%)]]</f>
        <v>0</v>
      </c>
      <c r="V441" s="531">
        <f>Table1[[#This Row],["Volume
BA MC-0"]]</f>
        <v>0</v>
      </c>
      <c r="W441" s="531">
        <f>Table1[[#This Row],[Total Panjang Pipa Aktual
(Sum-&gt;)3]]</f>
        <v>0</v>
      </c>
      <c r="X441" s="102"/>
      <c r="Y441" s="264"/>
      <c r="Z441" s="495"/>
      <c r="AA441" s="495">
        <f>ROUND((Table1[[#This Row],[Nilai RAB Jaringan
(Exclude Ppn)]]-Table1[[#This Row],[RAB Perizinan]])*1.11+Table1[[#This Row],[RAB Perizinan]],0)</f>
        <v>0</v>
      </c>
      <c r="AB441" s="435">
        <f>SUM(Table1[[#This Row],[RAB Kegiatan Umum]:[RAB Perizinan]])</f>
        <v>0</v>
      </c>
      <c r="AC441" s="435"/>
      <c r="AD441" s="435"/>
      <c r="AE441" s="435"/>
      <c r="AF441" s="435"/>
      <c r="AG441" s="435"/>
      <c r="AH441" s="532" t="e">
        <f>SUM(Table1[[#This Row],[Bobot Keg Umum]:[Bobot Perizinan]])</f>
        <v>#DIV/0!</v>
      </c>
      <c r="AI441" s="532" t="e">
        <f>Table1[[#This Row],[RAB Kegiatan Umum]]/Table1[[#This Row],[Nilai RAB Jaringan
(Exclude Ppn)]]</f>
        <v>#DIV/0!</v>
      </c>
      <c r="AJ441" s="532" t="e">
        <f>Table1[[#This Row],[RAB Pemasangan]]/Table1[[#This Row],[Nilai RAB Jaringan
(Exclude Ppn)]]</f>
        <v>#DIV/0!</v>
      </c>
      <c r="AK441" s="532" t="e">
        <f>Table1[[#This Row],[RAB Pengadaan]]/Table1[[#This Row],[Nilai RAB Jaringan
(Exclude Ppn)]]</f>
        <v>#DIV/0!</v>
      </c>
      <c r="AL441" s="445" t="e">
        <f>Table1[[#This Row],[RAB Perizinan]]/Table1[[#This Row],[Nilai RAB Jaringan
(Exclude Ppn)]]</f>
        <v>#DIV/0!</v>
      </c>
      <c r="AM441" s="42"/>
      <c r="AN441" s="440"/>
      <c r="AO441" s="440">
        <f>SUM(Table1[[#This Row],[Pipa 63 mm]:[Pipa 1,800 mm]])</f>
        <v>0</v>
      </c>
      <c r="AP441" s="440"/>
      <c r="AQ441" s="440"/>
      <c r="AR441" s="440"/>
      <c r="AS441" s="440"/>
      <c r="AT441" s="440"/>
      <c r="AU441" s="440"/>
      <c r="AV441" s="440"/>
      <c r="AW441" s="440"/>
      <c r="AX441" s="440"/>
      <c r="AY441" s="440"/>
      <c r="AZ441" s="440"/>
      <c r="BA441" s="440"/>
      <c r="BB441" s="440"/>
      <c r="BC441" s="440"/>
      <c r="BD441" s="440"/>
      <c r="BE441" s="440"/>
      <c r="BF441" s="440"/>
      <c r="BG441" s="440"/>
      <c r="BH441" s="440"/>
      <c r="BI441" s="440"/>
      <c r="BJ441" s="493">
        <f>SUM(Table1[[#This Row],[Pipa 63 mm2]:[Pipa 1,800 mm21]])</f>
        <v>0</v>
      </c>
      <c r="BK441" s="441"/>
      <c r="BL441" s="441"/>
      <c r="BM441" s="441"/>
      <c r="BN441" s="441"/>
      <c r="BO441" s="441"/>
      <c r="BP441" s="441"/>
      <c r="BQ441" s="441"/>
      <c r="BR441" s="441"/>
      <c r="BS441" s="441"/>
      <c r="BT441" s="441"/>
      <c r="BU441" s="441"/>
      <c r="BV441" s="441"/>
      <c r="BW441" s="441"/>
      <c r="BX441" s="441"/>
      <c r="BY441" s="441"/>
      <c r="BZ441" s="441"/>
      <c r="CA441" s="441"/>
      <c r="CB441" s="441"/>
      <c r="CC441" s="441"/>
      <c r="CD441" s="441"/>
      <c r="CE441" s="441"/>
      <c r="CF441" s="441"/>
      <c r="CG441" s="441"/>
      <c r="CH441" s="441"/>
      <c r="CI441" s="441"/>
      <c r="CJ441" s="441">
        <f>IF((Table1[[#This Row],["Volume
BA MC-0"]]-Table1[[#This Row],[Total Panjang Pipa Aktual
(Sum-&gt;)3]]-Table1[[#This Row],[Total Volume
tidak dapat dipasang]])&gt;=0,Table1[[#This Row],["Volume
BA MC-0"]]-Table1[[#This Row],[Total Panjang Pipa Aktual
(Sum-&gt;)3]]-Table1[[#This Row],[Total Volume
tidak dapat dipasang]],0)</f>
        <v>0</v>
      </c>
      <c r="CK441" s="42"/>
      <c r="CL441" s="442"/>
      <c r="CM441" s="445"/>
      <c r="CN441" s="442"/>
      <c r="CO441" s="442"/>
      <c r="CP441" s="304"/>
      <c r="CQ441" s="435">
        <f>IFERROR(Table1[[#This Row],[Progres Keg. Umum
(%)]]*Table1[[#This Row],[Nilai RAB Jaringan
(file pa aji)]],0)</f>
        <v>0</v>
      </c>
      <c r="CR441" s="435">
        <f>IFERROR(Table1[[#This Row],[Progres MOS
(%)]]*Table1[[#This Row],[Nilai RAB Jaringan
(file pa aji)]],0)</f>
        <v>0</v>
      </c>
      <c r="CS441" s="435">
        <f>IFERROR(Table1[[#This Row],[Progres Pemasangan
(%)]]*Table1[[#This Row],[Nilai RAB Jaringan
(file pa aji)]],0)</f>
        <v>0</v>
      </c>
      <c r="CT441" s="435">
        <f>IFERROR(Table1[[#This Row],[Progres Perizinan
(%)]]*Table1[[#This Row],[Nilai RAB Jaringan
(file pa aji)]],0)</f>
        <v>0</v>
      </c>
      <c r="CU441" s="789">
        <v>0</v>
      </c>
      <c r="CV441" s="536">
        <v>0</v>
      </c>
      <c r="CW441" s="494">
        <v>0</v>
      </c>
      <c r="CX441" s="789">
        <f>_xlfn.XLOOKUP(Table1[[#This Row],[Kode Program]],'[1]Breakdown VOWD Greenfield'!$E:$E,'[1]Breakdown VOWD Greenfield'!$AT:$AT)</f>
        <v>0</v>
      </c>
      <c r="CY441" s="42"/>
      <c r="CZ441" s="390"/>
      <c r="DA441" s="390"/>
      <c r="DB441" s="390"/>
      <c r="DC441" s="304"/>
      <c r="DD441" s="495"/>
      <c r="DE44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1" s="390"/>
      <c r="DG441" s="304"/>
      <c r="DH441" s="495"/>
      <c r="DI441"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1" s="390"/>
      <c r="DK441" s="390"/>
      <c r="DL441" s="390"/>
      <c r="DM441" s="304"/>
      <c r="DN441"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1" s="390"/>
      <c r="DP441" s="304"/>
      <c r="DQ441" s="431"/>
      <c r="DR441"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1" s="390"/>
      <c r="DT441" s="390" t="e">
        <v>#N/A</v>
      </c>
      <c r="DU441" s="390"/>
      <c r="DV441" s="390" t="e">
        <v>#N/A</v>
      </c>
      <c r="DW441" s="390"/>
      <c r="DX441" s="304"/>
      <c r="DY441" s="304">
        <v>17</v>
      </c>
      <c r="DZ441" s="304"/>
      <c r="EA441"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1" s="390"/>
      <c r="EC441" s="305"/>
      <c r="ED441" s="305"/>
      <c r="EE441" s="497"/>
      <c r="EF441" s="445"/>
      <c r="EG441" s="445"/>
      <c r="EH441" s="304" t="str">
        <f>IF(Table1[[#This Row],[PO Material Aktual 
(%)]]&gt;=100%,"Selesai PO = 100%",IF(Table1[[#This Row],[PO Material Aktual 
(%)]]&gt;=50%,"Proses PO &gt; 100%",IF(Table1[[#This Row],[PO Material Aktual 
(%)]]&gt;0%,"Proses PO &gt; 50%",IF(Table1[[#This Row],[PO Material Aktual 
(%)]]=0,"Belum PO = 0%"))))</f>
        <v>Belum PO = 0%</v>
      </c>
      <c r="EI441"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1" s="390"/>
      <c r="EK441" s="390" t="e">
        <v>#N/A</v>
      </c>
      <c r="EL441" s="390"/>
      <c r="EM441" s="390" t="e">
        <v>#N/A</v>
      </c>
      <c r="EN441" s="390"/>
      <c r="EO441" s="304"/>
      <c r="EP441" s="305"/>
      <c r="EQ441" s="445"/>
      <c r="ER441" s="445"/>
      <c r="ES441" s="304" t="str">
        <f>IF(Table1[[#This Row],[Progres MOS]]&gt;=100%,"Selesai MOS = 100%",IF(Table1[[#This Row],[Progres MOS]]&gt;=50%,"Proses MOS &gt; 100%",IF(Table1[[#This Row],[Progres MOS]]&gt;0%,"Proses MOS &gt; 50%",IF(Table1[[#This Row],[Progres MOS]]=0,"Belum MOS = 0%"))))</f>
        <v>Belum MOS = 0%</v>
      </c>
      <c r="ET44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1" s="42"/>
      <c r="EV441" s="390"/>
      <c r="EW441" s="390" t="e">
        <v>#N/A</v>
      </c>
      <c r="EX441" s="390"/>
      <c r="EY441" s="390" t="e">
        <v>#N/A</v>
      </c>
      <c r="EZ441" s="447"/>
      <c r="FA441" s="354"/>
      <c r="FB441" s="390" t="e">
        <v>#N/A</v>
      </c>
      <c r="FC441" s="390" t="e">
        <v>#N/A</v>
      </c>
      <c r="FD441" s="390" t="e">
        <v>#N/A</v>
      </c>
      <c r="FE441" s="390" t="e">
        <v>#N/A</v>
      </c>
      <c r="FF441" s="390" t="e">
        <v>#N/A</v>
      </c>
      <c r="FG441" s="390" t="e">
        <v>#N/A</v>
      </c>
      <c r="FH441" s="390" t="e">
        <v>#N/A</v>
      </c>
      <c r="FI441" s="390" t="e">
        <v>#N/A</v>
      </c>
      <c r="FJ441" s="390" t="e">
        <v>#N/A</v>
      </c>
      <c r="FK441" s="390" t="e">
        <v>#N/A</v>
      </c>
      <c r="FL441" s="447"/>
      <c r="FM441" s="447"/>
      <c r="FN441" s="431" t="str">
        <f>IF(Table1[[#This Row],[Tanggal Pengajuan Dokumen]]="","",Table1[[#This Row],[PLAN PERMIT
start]]-Table1[[#This Row],[Tanggal Pengajuan Dokumen]])</f>
        <v/>
      </c>
      <c r="FO441" s="447"/>
      <c r="FP441" s="304"/>
      <c r="FQ441" s="431"/>
      <c r="FR441" s="447"/>
      <c r="FS441" s="431"/>
      <c r="FT441"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1" s="446">
        <f ca="1">IF(Table1[[#This Row],[Status Izin]]="Selesai",Table1[[#This Row],[PLAN PERMIT
finish]]-Table1[[#This Row],[Tanggal Terbit/ Target Izin Terbit]],ROUNDUP(Table1[[#This Row],[PLAN PERMIT
finish]]-NOW(),0))</f>
        <v>-46204</v>
      </c>
      <c r="FV441"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1" s="446"/>
      <c r="FX441" s="42"/>
      <c r="FY441" s="533"/>
      <c r="FZ441" s="534"/>
      <c r="GA441"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1" s="390"/>
      <c r="GC441" s="447"/>
      <c r="GD441"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1" s="390"/>
      <c r="GF441" s="447"/>
      <c r="GG441"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1" s="390"/>
      <c r="GI441" s="390"/>
      <c r="GJ441" s="447"/>
      <c r="GK441"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1" s="390"/>
      <c r="GM441" s="390" t="e">
        <v>#N/A</v>
      </c>
      <c r="GN441" s="390"/>
      <c r="GO441" s="497" t="e">
        <v>#N/A</v>
      </c>
      <c r="GP441" s="304"/>
      <c r="GQ441"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1" s="390"/>
      <c r="GS441" s="390"/>
      <c r="GT441" s="389"/>
      <c r="GU441" s="446" t="str">
        <f>IF(Table1[[#This Row],[Hydro Tes Actual
(tanggal)]]&lt;&gt;"","Sudah","Belum")</f>
        <v>Belum</v>
      </c>
      <c r="GV441" s="497"/>
      <c r="GW441" s="497"/>
      <c r="GX441" s="390"/>
      <c r="GY441" s="446" t="str">
        <f>IF(Table1[[#This Row],[Interkoneksi Actual
(tanggal)]]&lt;&gt;"","Sudah","Belum")</f>
        <v>Belum</v>
      </c>
      <c r="GZ441" s="497"/>
      <c r="HA441" s="497"/>
      <c r="HB441" s="390"/>
      <c r="HC441" s="446" t="str">
        <f>IF(Table1[[#This Row],[Flushing Actual
(tanggal)]]&lt;&gt;"","Sudah","Belum")</f>
        <v>Belum</v>
      </c>
      <c r="HD441" s="390"/>
      <c r="HE441" s="390" t="e">
        <v>#N/A</v>
      </c>
      <c r="HF441" s="390"/>
      <c r="HG441" s="447"/>
      <c r="HH441"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1" s="497"/>
      <c r="HJ441" s="497"/>
      <c r="HK441" s="390"/>
      <c r="HL441" s="304"/>
      <c r="HM441" s="390"/>
      <c r="HN441" s="390"/>
      <c r="HO441" s="497" t="e">
        <v>#N/A</v>
      </c>
      <c r="HP441" s="497"/>
      <c r="HQ441" s="390"/>
      <c r="HR441"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1" s="447"/>
      <c r="HT441" s="447"/>
      <c r="HU441" s="447"/>
      <c r="HV441" s="447"/>
      <c r="HW441" s="390"/>
      <c r="HX441"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1" s="42"/>
      <c r="HZ441" s="447"/>
      <c r="IA441" s="306"/>
      <c r="IC441" s="585">
        <f>IFERROR(ROUND((Table1[[#This Row],[PLAN TC
finish]]-Table1[[#This Row],[PLAN MC-0
start]])/30,2),"")</f>
        <v>0</v>
      </c>
      <c r="ID441">
        <f>DATEDIF(Table1[[#This Row],[PLAN MC-0
start]],Table1[[#This Row],[PLAN TC
finish]],"m")</f>
        <v>0</v>
      </c>
    </row>
    <row r="442" spans="2:262" ht="15" customHeight="1" x14ac:dyDescent="0.25">
      <c r="B442" s="281">
        <f>SUBTOTAL(3,$D$5:D442)</f>
        <v>438</v>
      </c>
      <c r="C442" s="286">
        <v>436</v>
      </c>
      <c r="D442" s="430" t="s">
        <v>244</v>
      </c>
      <c r="E442" s="286" t="s">
        <v>3471</v>
      </c>
      <c r="F442" s="431" t="s">
        <v>3472</v>
      </c>
      <c r="G442" s="319">
        <v>46482</v>
      </c>
      <c r="H442" s="431" t="s">
        <v>247</v>
      </c>
      <c r="I442" s="308"/>
      <c r="J442" s="450"/>
      <c r="K442" s="308"/>
      <c r="L442" s="286"/>
      <c r="M442" s="325"/>
      <c r="N442" s="528">
        <v>10631</v>
      </c>
      <c r="O442" s="434" t="s">
        <v>252</v>
      </c>
      <c r="P44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2" s="307"/>
      <c r="S442" s="297"/>
      <c r="T442" s="297">
        <f>Table1[[#This Row],[Progres Total Aktual
(%)]]</f>
        <v>0</v>
      </c>
      <c r="U442" s="537">
        <f>Table1[[#This Row],[Progres Aktual
(%)]]-Table1[[#This Row],[Target Progres
(%)]]</f>
        <v>0</v>
      </c>
      <c r="V442" s="538">
        <f>Table1[[#This Row],["Volume
BA MC-0"]]</f>
        <v>0</v>
      </c>
      <c r="W442" s="538">
        <f>Table1[[#This Row],[Total Panjang Pipa Aktual
(Sum-&gt;)3]]</f>
        <v>0</v>
      </c>
      <c r="X442" s="99"/>
      <c r="Y442" s="265"/>
      <c r="Z442" s="478"/>
      <c r="AA442" s="478">
        <f>ROUND((Table1[[#This Row],[Nilai RAB Jaringan
(Exclude Ppn)]]-Table1[[#This Row],[RAB Perizinan]])*1.11+Table1[[#This Row],[RAB Perizinan]],0)</f>
        <v>0</v>
      </c>
      <c r="AB442" s="406">
        <f>SUM(Table1[[#This Row],[RAB Kegiatan Umum]:[RAB Perizinan]])</f>
        <v>0</v>
      </c>
      <c r="AC442" s="406"/>
      <c r="AD442" s="406"/>
      <c r="AE442" s="406"/>
      <c r="AF442" s="406"/>
      <c r="AG442" s="406"/>
      <c r="AH442" s="539" t="e">
        <f>SUM(Table1[[#This Row],[Bobot Keg Umum]:[Bobot Perizinan]])</f>
        <v>#DIV/0!</v>
      </c>
      <c r="AI442" s="539" t="e">
        <f>Table1[[#This Row],[RAB Kegiatan Umum]]/Table1[[#This Row],[Nilai RAB Jaringan
(Exclude Ppn)]]</f>
        <v>#DIV/0!</v>
      </c>
      <c r="AJ442" s="539" t="e">
        <f>Table1[[#This Row],[RAB Pemasangan]]/Table1[[#This Row],[Nilai RAB Jaringan
(Exclude Ppn)]]</f>
        <v>#DIV/0!</v>
      </c>
      <c r="AK442" s="539" t="e">
        <f>Table1[[#This Row],[RAB Pengadaan]]/Table1[[#This Row],[Nilai RAB Jaringan
(Exclude Ppn)]]</f>
        <v>#DIV/0!</v>
      </c>
      <c r="AL442" s="307" t="e">
        <f>Table1[[#This Row],[RAB Perizinan]]/Table1[[#This Row],[Nilai RAB Jaringan
(Exclude Ppn)]]</f>
        <v>#DIV/0!</v>
      </c>
      <c r="AM442" s="42"/>
      <c r="AN442" s="256"/>
      <c r="AO442" s="256">
        <f>SUM(Table1[[#This Row],[Pipa 63 mm]:[Pipa 1,800 mm]])</f>
        <v>0</v>
      </c>
      <c r="AP442" s="256"/>
      <c r="AQ442" s="256"/>
      <c r="AR442" s="256"/>
      <c r="AS442" s="256"/>
      <c r="AT442" s="256"/>
      <c r="AU442" s="256"/>
      <c r="AV442" s="256"/>
      <c r="AW442" s="256"/>
      <c r="AX442" s="256"/>
      <c r="AY442" s="256"/>
      <c r="AZ442" s="256"/>
      <c r="BA442" s="256"/>
      <c r="BB442" s="256"/>
      <c r="BC442" s="256"/>
      <c r="BD442" s="256"/>
      <c r="BE442" s="256"/>
      <c r="BF442" s="256"/>
      <c r="BG442" s="256"/>
      <c r="BH442" s="256"/>
      <c r="BI442" s="256"/>
      <c r="BJ442" s="36">
        <f>SUM(Table1[[#This Row],[Pipa 63 mm2]:[Pipa 1,800 mm21]])</f>
        <v>0</v>
      </c>
      <c r="BK442" s="32"/>
      <c r="BL442" s="32"/>
      <c r="BM442" s="32"/>
      <c r="BN442" s="32"/>
      <c r="BO442" s="32"/>
      <c r="BP442" s="32"/>
      <c r="BQ442" s="32"/>
      <c r="BR442" s="32"/>
      <c r="BS442" s="32"/>
      <c r="BT442" s="32"/>
      <c r="BU442" s="32"/>
      <c r="BV442" s="32"/>
      <c r="BW442" s="32"/>
      <c r="BX442" s="32"/>
      <c r="BY442" s="32"/>
      <c r="BZ442" s="32"/>
      <c r="CA442" s="32"/>
      <c r="CB442" s="32"/>
      <c r="CC442" s="32"/>
      <c r="CD442" s="32"/>
      <c r="CE442" s="32"/>
      <c r="CF442" s="32"/>
      <c r="CG442" s="32"/>
      <c r="CH442" s="32"/>
      <c r="CI442" s="32"/>
      <c r="CJ442" s="32">
        <f>IF((Table1[[#This Row],["Volume
BA MC-0"]]-Table1[[#This Row],[Total Panjang Pipa Aktual
(Sum-&gt;)3]]-Table1[[#This Row],[Total Volume
tidak dapat dipasang]])&gt;=0,Table1[[#This Row],["Volume
BA MC-0"]]-Table1[[#This Row],[Total Panjang Pipa Aktual
(Sum-&gt;)3]]-Table1[[#This Row],[Total Volume
tidak dapat dipasang]],0)</f>
        <v>0</v>
      </c>
      <c r="CK442" s="42"/>
      <c r="CL442" s="113"/>
      <c r="CM442" s="307"/>
      <c r="CN442" s="113"/>
      <c r="CO442" s="113"/>
      <c r="CP442" s="286"/>
      <c r="CQ442" s="406">
        <f>IFERROR(Table1[[#This Row],[Progres Keg. Umum
(%)]]*Table1[[#This Row],[Nilai RAB Jaringan
(file pa aji)]],0)</f>
        <v>0</v>
      </c>
      <c r="CR442" s="406">
        <f>IFERROR(Table1[[#This Row],[Progres MOS
(%)]]*Table1[[#This Row],[Nilai RAB Jaringan
(file pa aji)]],0)</f>
        <v>0</v>
      </c>
      <c r="CS442" s="406">
        <f>IFERROR(Table1[[#This Row],[Progres Pemasangan
(%)]]*Table1[[#This Row],[Nilai RAB Jaringan
(file pa aji)]],0)</f>
        <v>0</v>
      </c>
      <c r="CT442" s="406">
        <f>IFERROR(Table1[[#This Row],[Progres Perizinan
(%)]]*Table1[[#This Row],[Nilai RAB Jaringan
(file pa aji)]],0)</f>
        <v>0</v>
      </c>
      <c r="CU442" s="789">
        <v>0</v>
      </c>
      <c r="CV442" s="536">
        <v>0</v>
      </c>
      <c r="CW442" s="481">
        <v>0</v>
      </c>
      <c r="CX442" s="789">
        <f>_xlfn.XLOOKUP(Table1[[#This Row],[Kode Program]],'[1]Breakdown VOWD Greenfield'!$E:$E,'[1]Breakdown VOWD Greenfield'!$AT:$AT)</f>
        <v>0</v>
      </c>
      <c r="CY442" s="42"/>
      <c r="CZ442" s="301"/>
      <c r="DA442" s="301"/>
      <c r="DB442" s="301"/>
      <c r="DC442" s="286"/>
      <c r="DD442" s="478"/>
      <c r="DE44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2" s="301"/>
      <c r="DG442" s="286"/>
      <c r="DH442" s="478"/>
      <c r="DI44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2" s="301"/>
      <c r="DK442" s="301"/>
      <c r="DL442" s="301"/>
      <c r="DM442" s="286"/>
      <c r="DN44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2" s="301"/>
      <c r="DP442" s="286"/>
      <c r="DQ442" s="308"/>
      <c r="DR44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2" s="301"/>
      <c r="DT442" s="301" t="e">
        <v>#N/A</v>
      </c>
      <c r="DU442" s="301"/>
      <c r="DV442" s="301" t="e">
        <v>#N/A</v>
      </c>
      <c r="DW442" s="301"/>
      <c r="DX442" s="286"/>
      <c r="DY442" s="304"/>
      <c r="DZ442" s="304"/>
      <c r="EA44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2" s="301"/>
      <c r="EC442" s="302"/>
      <c r="ED442" s="302"/>
      <c r="EE442" s="300"/>
      <c r="EF442" s="307"/>
      <c r="EG442" s="307"/>
      <c r="EH442" s="286" t="str">
        <f>IF(Table1[[#This Row],[PO Material Aktual 
(%)]]&gt;=100%,"Selesai PO = 100%",IF(Table1[[#This Row],[PO Material Aktual 
(%)]]&gt;=50%,"Proses PO &gt; 100%",IF(Table1[[#This Row],[PO Material Aktual 
(%)]]&gt;0%,"Proses PO &gt; 50%",IF(Table1[[#This Row],[PO Material Aktual 
(%)]]=0,"Belum PO = 0%"))))</f>
        <v>Belum PO = 0%</v>
      </c>
      <c r="EI44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2" s="301"/>
      <c r="EK442" s="301" t="e">
        <v>#N/A</v>
      </c>
      <c r="EL442" s="301"/>
      <c r="EM442" s="301" t="e">
        <v>#N/A</v>
      </c>
      <c r="EN442" s="301"/>
      <c r="EO442" s="286"/>
      <c r="EP442" s="305"/>
      <c r="EQ442" s="307"/>
      <c r="ER442" s="307"/>
      <c r="ES442" s="286" t="str">
        <f>IF(Table1[[#This Row],[Progres MOS]]&gt;=100%,"Selesai MOS = 100%",IF(Table1[[#This Row],[Progres MOS]]&gt;=50%,"Proses MOS &gt; 100%",IF(Table1[[#This Row],[Progres MOS]]&gt;0%,"Proses MOS &gt; 50%",IF(Table1[[#This Row],[Progres MOS]]=0,"Belum MOS = 0%"))))</f>
        <v>Belum MOS = 0%</v>
      </c>
      <c r="ET44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2" s="42"/>
      <c r="EV442" s="301"/>
      <c r="EW442" s="301" t="e">
        <v>#N/A</v>
      </c>
      <c r="EX442" s="301"/>
      <c r="EY442" s="301" t="e">
        <v>#N/A</v>
      </c>
      <c r="EZ442" s="322"/>
      <c r="FA442" s="354"/>
      <c r="FB442" s="301" t="e">
        <v>#N/A</v>
      </c>
      <c r="FC442" s="301" t="e">
        <v>#N/A</v>
      </c>
      <c r="FD442" s="301" t="e">
        <v>#N/A</v>
      </c>
      <c r="FE442" s="301" t="e">
        <v>#N/A</v>
      </c>
      <c r="FF442" s="301" t="e">
        <v>#N/A</v>
      </c>
      <c r="FG442" s="301" t="e">
        <v>#N/A</v>
      </c>
      <c r="FH442" s="301" t="e">
        <v>#N/A</v>
      </c>
      <c r="FI442" s="301" t="e">
        <v>#N/A</v>
      </c>
      <c r="FJ442" s="301" t="e">
        <v>#N/A</v>
      </c>
      <c r="FK442" s="301" t="e">
        <v>#N/A</v>
      </c>
      <c r="FL442" s="322"/>
      <c r="FM442" s="322"/>
      <c r="FN442" s="308" t="str">
        <f>IF(Table1[[#This Row],[Tanggal Pengajuan Dokumen]]="","",Table1[[#This Row],[PLAN PERMIT
start]]-Table1[[#This Row],[Tanggal Pengajuan Dokumen]])</f>
        <v/>
      </c>
      <c r="FO442" s="322"/>
      <c r="FP442" s="286"/>
      <c r="FQ442" s="308"/>
      <c r="FR442" s="322"/>
      <c r="FS442" s="308"/>
      <c r="FT44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2" s="314">
        <f ca="1">IF(Table1[[#This Row],[Status Izin]]="Selesai",Table1[[#This Row],[PLAN PERMIT
finish]]-Table1[[#This Row],[Tanggal Terbit/ Target Izin Terbit]],ROUNDUP(Table1[[#This Row],[PLAN PERMIT
finish]]-NOW(),0))</f>
        <v>-46204</v>
      </c>
      <c r="FV44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2" s="314"/>
      <c r="FX442" s="42"/>
      <c r="FY442" s="540"/>
      <c r="FZ442" s="541"/>
      <c r="GA44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2" s="301"/>
      <c r="GC442" s="322"/>
      <c r="GD44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2" s="301"/>
      <c r="GF442" s="322"/>
      <c r="GG44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2" s="301"/>
      <c r="GI442" s="301"/>
      <c r="GJ442" s="322"/>
      <c r="GK44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2" s="301"/>
      <c r="GM442" s="301" t="e">
        <v>#N/A</v>
      </c>
      <c r="GN442" s="301"/>
      <c r="GO442" s="497" t="e">
        <v>#N/A</v>
      </c>
      <c r="GP442" s="286"/>
      <c r="GQ44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2" s="301"/>
      <c r="GS442" s="301"/>
      <c r="GT442" s="324"/>
      <c r="GU442" s="314" t="str">
        <f>IF(Table1[[#This Row],[Hydro Tes Actual
(tanggal)]]&lt;&gt;"","Sudah","Belum")</f>
        <v>Belum</v>
      </c>
      <c r="GV442" s="300"/>
      <c r="GW442" s="300"/>
      <c r="GX442" s="301"/>
      <c r="GY442" s="314" t="str">
        <f>IF(Table1[[#This Row],[Interkoneksi Actual
(tanggal)]]&lt;&gt;"","Sudah","Belum")</f>
        <v>Belum</v>
      </c>
      <c r="GZ442" s="300"/>
      <c r="HA442" s="300"/>
      <c r="HB442" s="301"/>
      <c r="HC442" s="314" t="str">
        <f>IF(Table1[[#This Row],[Flushing Actual
(tanggal)]]&lt;&gt;"","Sudah","Belum")</f>
        <v>Belum</v>
      </c>
      <c r="HD442" s="301"/>
      <c r="HE442" s="301" t="e">
        <v>#N/A</v>
      </c>
      <c r="HF442" s="301"/>
      <c r="HG442" s="322"/>
      <c r="HH44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2" s="300"/>
      <c r="HJ442" s="300"/>
      <c r="HK442" s="301"/>
      <c r="HL442" s="286"/>
      <c r="HM442" s="301"/>
      <c r="HN442" s="301"/>
      <c r="HO442" s="497" t="e">
        <v>#N/A</v>
      </c>
      <c r="HP442" s="497"/>
      <c r="HQ442" s="301"/>
      <c r="HR44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2" s="322"/>
      <c r="HT442" s="322"/>
      <c r="HU442" s="322"/>
      <c r="HV442" s="447"/>
      <c r="HW442" s="301"/>
      <c r="HX44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2" s="42"/>
      <c r="HZ442" s="322"/>
      <c r="IA442" s="306"/>
      <c r="IB442"/>
      <c r="IC442" s="585">
        <f>IFERROR(ROUND((Table1[[#This Row],[PLAN TC
finish]]-Table1[[#This Row],[PLAN MC-0
start]])/30,2),"")</f>
        <v>0</v>
      </c>
      <c r="ID442">
        <f>DATEDIF(Table1[[#This Row],[PLAN MC-0
start]],Table1[[#This Row],[PLAN TC
finish]],"m")</f>
        <v>0</v>
      </c>
      <c r="IE442" s="8"/>
      <c r="IF442" s="8"/>
      <c r="IG442" s="4"/>
      <c r="IH442" s="6"/>
      <c r="II442" s="67"/>
      <c r="IJ442" s="67"/>
      <c r="IK442" s="8"/>
      <c r="IM442" s="6"/>
      <c r="IN442" s="6"/>
      <c r="IO442" s="67"/>
      <c r="IP442" s="8"/>
      <c r="IR442" s="4"/>
      <c r="IS442" s="4"/>
      <c r="IT442" s="6"/>
      <c r="IU442" s="6"/>
      <c r="IX442" s="6"/>
      <c r="IY442" s="6"/>
      <c r="JA442" s="6"/>
      <c r="JB442" s="6"/>
    </row>
    <row r="443" spans="2:262" ht="15" customHeight="1" x14ac:dyDescent="0.25">
      <c r="B443" s="281">
        <f>SUBTOTAL(3,$D$5:D443)</f>
        <v>439</v>
      </c>
      <c r="C443" s="286">
        <v>437</v>
      </c>
      <c r="D443" s="430" t="s">
        <v>244</v>
      </c>
      <c r="E443" s="286" t="s">
        <v>3473</v>
      </c>
      <c r="F443" s="431" t="s">
        <v>3474</v>
      </c>
      <c r="G443" s="319">
        <v>46482</v>
      </c>
      <c r="H443" s="431" t="s">
        <v>247</v>
      </c>
      <c r="I443" s="308"/>
      <c r="J443" s="450"/>
      <c r="K443" s="308"/>
      <c r="L443" s="286"/>
      <c r="M443" s="325"/>
      <c r="N443" s="528">
        <v>33168</v>
      </c>
      <c r="O443" s="434" t="s">
        <v>252</v>
      </c>
      <c r="P44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3" s="307"/>
      <c r="S443" s="297"/>
      <c r="T443" s="297">
        <f>Table1[[#This Row],[Progres Total Aktual
(%)]]</f>
        <v>0</v>
      </c>
      <c r="U443" s="537">
        <f>Table1[[#This Row],[Progres Aktual
(%)]]-Table1[[#This Row],[Target Progres
(%)]]</f>
        <v>0</v>
      </c>
      <c r="V443" s="538">
        <f>Table1[[#This Row],["Volume
BA MC-0"]]</f>
        <v>0</v>
      </c>
      <c r="W443" s="538">
        <f>Table1[[#This Row],[Total Panjang Pipa Aktual
(Sum-&gt;)3]]</f>
        <v>0</v>
      </c>
      <c r="X443" s="99"/>
      <c r="Y443" s="265"/>
      <c r="Z443" s="478"/>
      <c r="AA443" s="478">
        <f>ROUND((Table1[[#This Row],[Nilai RAB Jaringan
(Exclude Ppn)]]-Table1[[#This Row],[RAB Perizinan]])*1.11+Table1[[#This Row],[RAB Perizinan]],0)</f>
        <v>0</v>
      </c>
      <c r="AB443" s="406">
        <f>SUM(Table1[[#This Row],[RAB Kegiatan Umum]:[RAB Perizinan]])</f>
        <v>0</v>
      </c>
      <c r="AC443" s="406"/>
      <c r="AD443" s="406"/>
      <c r="AE443" s="406"/>
      <c r="AF443" s="406"/>
      <c r="AG443" s="406"/>
      <c r="AH443" s="539" t="e">
        <f>SUM(Table1[[#This Row],[Bobot Keg Umum]:[Bobot Perizinan]])</f>
        <v>#DIV/0!</v>
      </c>
      <c r="AI443" s="539" t="e">
        <f>Table1[[#This Row],[RAB Kegiatan Umum]]/Table1[[#This Row],[Nilai RAB Jaringan
(Exclude Ppn)]]</f>
        <v>#DIV/0!</v>
      </c>
      <c r="AJ443" s="539" t="e">
        <f>Table1[[#This Row],[RAB Pemasangan]]/Table1[[#This Row],[Nilai RAB Jaringan
(Exclude Ppn)]]</f>
        <v>#DIV/0!</v>
      </c>
      <c r="AK443" s="539" t="e">
        <f>Table1[[#This Row],[RAB Pengadaan]]/Table1[[#This Row],[Nilai RAB Jaringan
(Exclude Ppn)]]</f>
        <v>#DIV/0!</v>
      </c>
      <c r="AL443" s="307" t="e">
        <f>Table1[[#This Row],[RAB Perizinan]]/Table1[[#This Row],[Nilai RAB Jaringan
(Exclude Ppn)]]</f>
        <v>#DIV/0!</v>
      </c>
      <c r="AM443" s="42"/>
      <c r="AN443" s="256"/>
      <c r="AO443" s="256">
        <f>SUM(Table1[[#This Row],[Pipa 63 mm]:[Pipa 1,800 mm]])</f>
        <v>0</v>
      </c>
      <c r="AP443" s="256"/>
      <c r="AQ443" s="256"/>
      <c r="AR443" s="256"/>
      <c r="AS443" s="256"/>
      <c r="AT443" s="256"/>
      <c r="AU443" s="256"/>
      <c r="AV443" s="256"/>
      <c r="AW443" s="256"/>
      <c r="AX443" s="256"/>
      <c r="AY443" s="256"/>
      <c r="AZ443" s="256"/>
      <c r="BA443" s="256"/>
      <c r="BB443" s="256"/>
      <c r="BC443" s="256"/>
      <c r="BD443" s="256"/>
      <c r="BE443" s="256"/>
      <c r="BF443" s="256"/>
      <c r="BG443" s="256"/>
      <c r="BH443" s="256"/>
      <c r="BI443" s="256"/>
      <c r="BJ443" s="36">
        <f>SUM(Table1[[#This Row],[Pipa 63 mm2]:[Pipa 1,800 mm21]])</f>
        <v>0</v>
      </c>
      <c r="BK443" s="32"/>
      <c r="BL443" s="32"/>
      <c r="BM443" s="32"/>
      <c r="BN443" s="32"/>
      <c r="BO443" s="32"/>
      <c r="BP443" s="32"/>
      <c r="BQ443" s="32"/>
      <c r="BR443" s="32"/>
      <c r="BS443" s="32"/>
      <c r="BT443" s="32"/>
      <c r="BU443" s="32"/>
      <c r="BV443" s="32"/>
      <c r="BW443" s="32"/>
      <c r="BX443" s="32"/>
      <c r="BY443" s="32"/>
      <c r="BZ443" s="32"/>
      <c r="CA443" s="32"/>
      <c r="CB443" s="32"/>
      <c r="CC443" s="32"/>
      <c r="CD443" s="32"/>
      <c r="CE443" s="32"/>
      <c r="CF443" s="32"/>
      <c r="CG443" s="32"/>
      <c r="CH443" s="32"/>
      <c r="CI443" s="32"/>
      <c r="CJ443" s="32">
        <f>IF((Table1[[#This Row],["Volume
BA MC-0"]]-Table1[[#This Row],[Total Panjang Pipa Aktual
(Sum-&gt;)3]]-Table1[[#This Row],[Total Volume
tidak dapat dipasang]])&gt;=0,Table1[[#This Row],["Volume
BA MC-0"]]-Table1[[#This Row],[Total Panjang Pipa Aktual
(Sum-&gt;)3]]-Table1[[#This Row],[Total Volume
tidak dapat dipasang]],0)</f>
        <v>0</v>
      </c>
      <c r="CK443" s="42"/>
      <c r="CL443" s="113"/>
      <c r="CM443" s="307"/>
      <c r="CN443" s="113"/>
      <c r="CO443" s="113"/>
      <c r="CP443" s="286"/>
      <c r="CQ443" s="406">
        <f>IFERROR(Table1[[#This Row],[Progres Keg. Umum
(%)]]*Table1[[#This Row],[Nilai RAB Jaringan
(file pa aji)]],0)</f>
        <v>0</v>
      </c>
      <c r="CR443" s="406">
        <f>IFERROR(Table1[[#This Row],[Progres MOS
(%)]]*Table1[[#This Row],[Nilai RAB Jaringan
(file pa aji)]],0)</f>
        <v>0</v>
      </c>
      <c r="CS443" s="406">
        <f>IFERROR(Table1[[#This Row],[Progres Pemasangan
(%)]]*Table1[[#This Row],[Nilai RAB Jaringan
(file pa aji)]],0)</f>
        <v>0</v>
      </c>
      <c r="CT443" s="406">
        <f>IFERROR(Table1[[#This Row],[Progres Perizinan
(%)]]*Table1[[#This Row],[Nilai RAB Jaringan
(file pa aji)]],0)</f>
        <v>0</v>
      </c>
      <c r="CU443" s="789">
        <v>0</v>
      </c>
      <c r="CV443" s="527">
        <v>0</v>
      </c>
      <c r="CW443" s="481">
        <v>0</v>
      </c>
      <c r="CX443" s="789">
        <f>_xlfn.XLOOKUP(Table1[[#This Row],[Kode Program]],'[1]Breakdown VOWD Greenfield'!$E:$E,'[1]Breakdown VOWD Greenfield'!$AT:$AT)</f>
        <v>0</v>
      </c>
      <c r="CY443" s="42"/>
      <c r="CZ443" s="301"/>
      <c r="DA443" s="301"/>
      <c r="DB443" s="301"/>
      <c r="DC443" s="286"/>
      <c r="DD443" s="478"/>
      <c r="DE44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3" s="301"/>
      <c r="DG443" s="286"/>
      <c r="DH443" s="478"/>
      <c r="DI44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3" s="301"/>
      <c r="DK443" s="301"/>
      <c r="DL443" s="301"/>
      <c r="DM443" s="286"/>
      <c r="DN44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3" s="301"/>
      <c r="DP443" s="286"/>
      <c r="DQ443" s="308"/>
      <c r="DR44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3" s="301"/>
      <c r="DT443" s="301" t="e">
        <v>#N/A</v>
      </c>
      <c r="DU443" s="301"/>
      <c r="DV443" s="301" t="e">
        <v>#N/A</v>
      </c>
      <c r="DW443" s="301"/>
      <c r="DX443" s="286"/>
      <c r="DY443" s="305"/>
      <c r="DZ443" s="305"/>
      <c r="EA44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3" s="301"/>
      <c r="EC443" s="302"/>
      <c r="ED443" s="302"/>
      <c r="EE443" s="300"/>
      <c r="EF443" s="307"/>
      <c r="EG443" s="307"/>
      <c r="EH443" s="286" t="str">
        <f>IF(Table1[[#This Row],[PO Material Aktual 
(%)]]&gt;=100%,"Selesai PO = 100%",IF(Table1[[#This Row],[PO Material Aktual 
(%)]]&gt;=50%,"Proses PO &gt; 100%",IF(Table1[[#This Row],[PO Material Aktual 
(%)]]&gt;0%,"Proses PO &gt; 50%",IF(Table1[[#This Row],[PO Material Aktual 
(%)]]=0,"Belum PO = 0%"))))</f>
        <v>Belum PO = 0%</v>
      </c>
      <c r="EI44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3" s="301"/>
      <c r="EK443" s="301" t="e">
        <v>#N/A</v>
      </c>
      <c r="EL443" s="301"/>
      <c r="EM443" s="301" t="e">
        <v>#N/A</v>
      </c>
      <c r="EN443" s="301"/>
      <c r="EO443" s="286"/>
      <c r="EP443" s="302"/>
      <c r="EQ443" s="307"/>
      <c r="ER443" s="307"/>
      <c r="ES443" s="286" t="str">
        <f>IF(Table1[[#This Row],[Progres MOS]]&gt;=100%,"Selesai MOS = 100%",IF(Table1[[#This Row],[Progres MOS]]&gt;=50%,"Proses MOS &gt; 100%",IF(Table1[[#This Row],[Progres MOS]]&gt;0%,"Proses MOS &gt; 50%",IF(Table1[[#This Row],[Progres MOS]]=0,"Belum MOS = 0%"))))</f>
        <v>Belum MOS = 0%</v>
      </c>
      <c r="ET44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3" s="42"/>
      <c r="EV443" s="301"/>
      <c r="EW443" s="301" t="e">
        <v>#N/A</v>
      </c>
      <c r="EX443" s="301"/>
      <c r="EY443" s="301" t="e">
        <v>#N/A</v>
      </c>
      <c r="EZ443" s="322"/>
      <c r="FA443" s="354"/>
      <c r="FB443" s="301" t="e">
        <v>#N/A</v>
      </c>
      <c r="FC443" s="301" t="e">
        <v>#N/A</v>
      </c>
      <c r="FD443" s="301" t="e">
        <v>#N/A</v>
      </c>
      <c r="FE443" s="301" t="e">
        <v>#N/A</v>
      </c>
      <c r="FF443" s="301" t="e">
        <v>#N/A</v>
      </c>
      <c r="FG443" s="301" t="e">
        <v>#N/A</v>
      </c>
      <c r="FH443" s="301" t="e">
        <v>#N/A</v>
      </c>
      <c r="FI443" s="301" t="e">
        <v>#N/A</v>
      </c>
      <c r="FJ443" s="301" t="e">
        <v>#N/A</v>
      </c>
      <c r="FK443" s="301" t="e">
        <v>#N/A</v>
      </c>
      <c r="FL443" s="322"/>
      <c r="FM443" s="322"/>
      <c r="FN443" s="308" t="str">
        <f>IF(Table1[[#This Row],[Tanggal Pengajuan Dokumen]]="","",Table1[[#This Row],[PLAN PERMIT
start]]-Table1[[#This Row],[Tanggal Pengajuan Dokumen]])</f>
        <v/>
      </c>
      <c r="FO443" s="322"/>
      <c r="FP443" s="286"/>
      <c r="FQ443" s="308"/>
      <c r="FR443" s="322"/>
      <c r="FS443" s="308"/>
      <c r="FT44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3" s="314">
        <f ca="1">IF(Table1[[#This Row],[Status Izin]]="Selesai",Table1[[#This Row],[PLAN PERMIT
finish]]-Table1[[#This Row],[Tanggal Terbit/ Target Izin Terbit]],ROUNDUP(Table1[[#This Row],[PLAN PERMIT
finish]]-NOW(),0))</f>
        <v>-46204</v>
      </c>
      <c r="FV44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3" s="314"/>
      <c r="FX443" s="42"/>
      <c r="FY443" s="540"/>
      <c r="FZ443" s="541"/>
      <c r="GA44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3" s="301"/>
      <c r="GC443" s="322"/>
      <c r="GD44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3" s="301"/>
      <c r="GF443" s="322"/>
      <c r="GG44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3" s="301"/>
      <c r="GI443" s="301"/>
      <c r="GJ443" s="322"/>
      <c r="GK44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3" s="301"/>
      <c r="GM443" s="301" t="e">
        <v>#N/A</v>
      </c>
      <c r="GN443" s="301"/>
      <c r="GO443" s="300" t="e">
        <v>#N/A</v>
      </c>
      <c r="GP443" s="286"/>
      <c r="GQ44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3" s="301"/>
      <c r="GS443" s="301"/>
      <c r="GT443" s="324"/>
      <c r="GU443" s="314" t="str">
        <f>IF(Table1[[#This Row],[Hydro Tes Actual
(tanggal)]]&lt;&gt;"","Sudah","Belum")</f>
        <v>Belum</v>
      </c>
      <c r="GV443" s="300"/>
      <c r="GW443" s="300"/>
      <c r="GX443" s="301"/>
      <c r="GY443" s="314" t="str">
        <f>IF(Table1[[#This Row],[Interkoneksi Actual
(tanggal)]]&lt;&gt;"","Sudah","Belum")</f>
        <v>Belum</v>
      </c>
      <c r="GZ443" s="300"/>
      <c r="HA443" s="300"/>
      <c r="HB443" s="301"/>
      <c r="HC443" s="314" t="str">
        <f>IF(Table1[[#This Row],[Flushing Actual
(tanggal)]]&lt;&gt;"","Sudah","Belum")</f>
        <v>Belum</v>
      </c>
      <c r="HD443" s="301"/>
      <c r="HE443" s="301" t="e">
        <v>#N/A</v>
      </c>
      <c r="HF443" s="301"/>
      <c r="HG443" s="322"/>
      <c r="HH44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3" s="300"/>
      <c r="HJ443" s="300"/>
      <c r="HK443" s="301"/>
      <c r="HL443" s="286"/>
      <c r="HM443" s="301"/>
      <c r="HN443" s="301"/>
      <c r="HO443" s="300" t="e">
        <v>#N/A</v>
      </c>
      <c r="HP443" s="300"/>
      <c r="HQ443" s="301"/>
      <c r="HR44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3" s="322"/>
      <c r="HT443" s="322"/>
      <c r="HU443" s="322"/>
      <c r="HV443" s="444"/>
      <c r="HW443" s="301"/>
      <c r="HX44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3" s="42"/>
      <c r="HZ443" s="322"/>
      <c r="IA443" s="306"/>
      <c r="IB443"/>
      <c r="IC443" s="585">
        <f>IFERROR(ROUND((Table1[[#This Row],[PLAN TC
finish]]-Table1[[#This Row],[PLAN MC-0
start]])/30,2),"")</f>
        <v>0</v>
      </c>
      <c r="ID443">
        <f>DATEDIF(Table1[[#This Row],[PLAN MC-0
start]],Table1[[#This Row],[PLAN TC
finish]],"m")</f>
        <v>0</v>
      </c>
      <c r="IE443" s="8"/>
      <c r="IF443" s="8"/>
      <c r="IG443" s="4"/>
      <c r="IH443" s="6"/>
      <c r="II443" s="67"/>
      <c r="IJ443" s="67"/>
      <c r="IK443" s="8"/>
      <c r="IM443" s="6"/>
      <c r="IN443" s="6"/>
      <c r="IO443" s="67"/>
      <c r="IP443" s="8"/>
      <c r="IR443" s="4"/>
      <c r="IS443" s="4"/>
      <c r="IT443" s="6"/>
      <c r="IU443" s="6"/>
      <c r="IX443" s="6"/>
      <c r="IY443" s="6"/>
      <c r="JA443" s="6"/>
      <c r="JB443" s="6"/>
    </row>
    <row r="444" spans="2:262" customFormat="1" ht="15" customHeight="1" x14ac:dyDescent="0.25">
      <c r="B444" s="281">
        <f>SUBTOTAL(3,$D$5:D444)</f>
        <v>440</v>
      </c>
      <c r="C444" s="286">
        <v>438</v>
      </c>
      <c r="D444" s="430" t="s">
        <v>244</v>
      </c>
      <c r="E444" s="431" t="s">
        <v>3475</v>
      </c>
      <c r="F444" s="431" t="s">
        <v>3476</v>
      </c>
      <c r="G444" s="319">
        <v>46482</v>
      </c>
      <c r="H444" s="431" t="s">
        <v>681</v>
      </c>
      <c r="I444" s="431"/>
      <c r="J444" s="488"/>
      <c r="K444" s="431"/>
      <c r="L444" s="304"/>
      <c r="M444" s="449"/>
      <c r="N444" s="528">
        <v>0</v>
      </c>
      <c r="O444" s="434" t="s">
        <v>252</v>
      </c>
      <c r="P444"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4" s="445"/>
      <c r="S444" s="529"/>
      <c r="T444" s="529">
        <f>Table1[[#This Row],[Progres Total Aktual
(%)]]</f>
        <v>0</v>
      </c>
      <c r="U444" s="530">
        <f>Table1[[#This Row],[Progres Aktual
(%)]]-Table1[[#This Row],[Target Progres
(%)]]</f>
        <v>0</v>
      </c>
      <c r="V444" s="531">
        <f>Table1[[#This Row],["Volume
BA MC-0"]]</f>
        <v>0</v>
      </c>
      <c r="W444" s="531">
        <f>Table1[[#This Row],[Total Panjang Pipa Aktual
(Sum-&gt;)3]]</f>
        <v>0</v>
      </c>
      <c r="X444" s="102"/>
      <c r="Y444" s="264"/>
      <c r="Z444" s="495"/>
      <c r="AA444" s="495">
        <f>ROUND((Table1[[#This Row],[Nilai RAB Jaringan
(Exclude Ppn)]]-Table1[[#This Row],[RAB Perizinan]])*1.11+Table1[[#This Row],[RAB Perizinan]],0)</f>
        <v>0</v>
      </c>
      <c r="AB444" s="435">
        <f>SUM(Table1[[#This Row],[RAB Kegiatan Umum]:[RAB Perizinan]])</f>
        <v>0</v>
      </c>
      <c r="AC444" s="435"/>
      <c r="AD444" s="435"/>
      <c r="AE444" s="435"/>
      <c r="AF444" s="435"/>
      <c r="AG444" s="435"/>
      <c r="AH444" s="532" t="e">
        <f>SUM(Table1[[#This Row],[Bobot Keg Umum]:[Bobot Perizinan]])</f>
        <v>#DIV/0!</v>
      </c>
      <c r="AI444" s="532" t="e">
        <f>Table1[[#This Row],[RAB Kegiatan Umum]]/Table1[[#This Row],[Nilai RAB Jaringan
(Exclude Ppn)]]</f>
        <v>#DIV/0!</v>
      </c>
      <c r="AJ444" s="532" t="e">
        <f>Table1[[#This Row],[RAB Pemasangan]]/Table1[[#This Row],[Nilai RAB Jaringan
(Exclude Ppn)]]</f>
        <v>#DIV/0!</v>
      </c>
      <c r="AK444" s="532" t="e">
        <f>Table1[[#This Row],[RAB Pengadaan]]/Table1[[#This Row],[Nilai RAB Jaringan
(Exclude Ppn)]]</f>
        <v>#DIV/0!</v>
      </c>
      <c r="AL444" s="445" t="e">
        <f>Table1[[#This Row],[RAB Perizinan]]/Table1[[#This Row],[Nilai RAB Jaringan
(Exclude Ppn)]]</f>
        <v>#DIV/0!</v>
      </c>
      <c r="AM444" s="42"/>
      <c r="AN444" s="431"/>
      <c r="AO444" s="543">
        <f>SUM(Table1[[#This Row],[Pipa 63 mm]:[Pipa 1,800 mm]])</f>
        <v>0</v>
      </c>
      <c r="AP444" s="431"/>
      <c r="AQ444" s="431"/>
      <c r="AR444" s="431"/>
      <c r="AS444" s="431"/>
      <c r="AT444" s="431"/>
      <c r="AU444" s="431"/>
      <c r="AV444" s="431"/>
      <c r="AW444" s="431"/>
      <c r="AX444" s="431"/>
      <c r="AY444" s="431"/>
      <c r="AZ444" s="431"/>
      <c r="BA444" s="431"/>
      <c r="BB444" s="431"/>
      <c r="BC444" s="431"/>
      <c r="BD444" s="431"/>
      <c r="BE444" s="431"/>
      <c r="BF444" s="431"/>
      <c r="BG444" s="431"/>
      <c r="BH444" s="431"/>
      <c r="BI444" s="431"/>
      <c r="BJ444" s="493">
        <f>SUM(Table1[[#This Row],[Pipa 63 mm2]:[Pipa 1,800 mm21]])</f>
        <v>0</v>
      </c>
      <c r="BK444" s="441"/>
      <c r="BL444" s="441"/>
      <c r="BM444" s="441"/>
      <c r="BN444" s="441"/>
      <c r="BO444" s="441"/>
      <c r="BP444" s="441"/>
      <c r="BQ444" s="441"/>
      <c r="BR444" s="441"/>
      <c r="BS444" s="441"/>
      <c r="BT444" s="441"/>
      <c r="BU444" s="441"/>
      <c r="BV444" s="441"/>
      <c r="BW444" s="441"/>
      <c r="BX444" s="441"/>
      <c r="BY444" s="441"/>
      <c r="BZ444" s="441"/>
      <c r="CA444" s="441"/>
      <c r="CB444" s="441"/>
      <c r="CC444" s="441"/>
      <c r="CD444" s="441"/>
      <c r="CE444" s="441"/>
      <c r="CF444" s="441"/>
      <c r="CG444" s="441"/>
      <c r="CH444" s="441"/>
      <c r="CI444" s="441"/>
      <c r="CJ444" s="441">
        <f>IF((Table1[[#This Row],["Volume
BA MC-0"]]-Table1[[#This Row],[Total Panjang Pipa Aktual
(Sum-&gt;)3]]-Table1[[#This Row],[Total Volume
tidak dapat dipasang]])&gt;=0,Table1[[#This Row],["Volume
BA MC-0"]]-Table1[[#This Row],[Total Panjang Pipa Aktual
(Sum-&gt;)3]]-Table1[[#This Row],[Total Volume
tidak dapat dipasang]],0)</f>
        <v>0</v>
      </c>
      <c r="CK444" s="42"/>
      <c r="CL444" s="442"/>
      <c r="CM444" s="445"/>
      <c r="CN444" s="442"/>
      <c r="CO444" s="442"/>
      <c r="CP444" s="304"/>
      <c r="CQ444" s="435">
        <f>IFERROR(Table1[[#This Row],[Progres Keg. Umum
(%)]]*Table1[[#This Row],[Nilai RAB Jaringan
(file pa aji)]],0)</f>
        <v>0</v>
      </c>
      <c r="CR444" s="435">
        <f>IFERROR(Table1[[#This Row],[Progres MOS
(%)]]*Table1[[#This Row],[Nilai RAB Jaringan
(file pa aji)]],0)</f>
        <v>0</v>
      </c>
      <c r="CS444" s="435">
        <f>IFERROR(Table1[[#This Row],[Progres Pemasangan
(%)]]*Table1[[#This Row],[Nilai RAB Jaringan
(file pa aji)]],0)</f>
        <v>0</v>
      </c>
      <c r="CT444" s="435">
        <f>IFERROR(Table1[[#This Row],[Progres Perizinan
(%)]]*Table1[[#This Row],[Nilai RAB Jaringan
(file pa aji)]],0)</f>
        <v>0</v>
      </c>
      <c r="CU444" s="789">
        <v>0</v>
      </c>
      <c r="CV444" s="536">
        <v>0</v>
      </c>
      <c r="CW444" s="494">
        <v>0</v>
      </c>
      <c r="CX444" s="789">
        <f>_xlfn.XLOOKUP(Table1[[#This Row],[Kode Program]],'[1]Breakdown VOWD Greenfield'!$E:$E,'[1]Breakdown VOWD Greenfield'!$AT:$AT)</f>
        <v>0</v>
      </c>
      <c r="CY444" s="42"/>
      <c r="CZ444" s="390"/>
      <c r="DA444" s="390"/>
      <c r="DB444" s="390"/>
      <c r="DC444" s="304"/>
      <c r="DD444" s="495"/>
      <c r="DE44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4" s="390"/>
      <c r="DG444" s="304"/>
      <c r="DH444" s="495"/>
      <c r="DI444"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4" s="390"/>
      <c r="DK444" s="390"/>
      <c r="DL444" s="390"/>
      <c r="DM444" s="304"/>
      <c r="DN444"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4" s="390"/>
      <c r="DP444" s="304"/>
      <c r="DQ444" s="431"/>
      <c r="DR444"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4" s="390"/>
      <c r="DT444" s="390" t="e">
        <v>#N/A</v>
      </c>
      <c r="DU444" s="390"/>
      <c r="DV444" s="390" t="e">
        <v>#N/A</v>
      </c>
      <c r="DW444" s="390"/>
      <c r="DX444" s="304"/>
      <c r="DY444" s="304"/>
      <c r="DZ444" s="304"/>
      <c r="EA444"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4" s="390"/>
      <c r="EC444" s="305"/>
      <c r="ED444" s="305"/>
      <c r="EE444" s="497"/>
      <c r="EF444" s="445"/>
      <c r="EG444" s="445"/>
      <c r="EH444" s="304" t="str">
        <f>IF(Table1[[#This Row],[PO Material Aktual 
(%)]]&gt;=100%,"Selesai PO = 100%",IF(Table1[[#This Row],[PO Material Aktual 
(%)]]&gt;=50%,"Proses PO &gt; 100%",IF(Table1[[#This Row],[PO Material Aktual 
(%)]]&gt;0%,"Proses PO &gt; 50%",IF(Table1[[#This Row],[PO Material Aktual 
(%)]]=0,"Belum PO = 0%"))))</f>
        <v>Belum PO = 0%</v>
      </c>
      <c r="EI444"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4" s="390"/>
      <c r="EK444" s="390" t="e">
        <v>#N/A</v>
      </c>
      <c r="EL444" s="390"/>
      <c r="EM444" s="390" t="e">
        <v>#N/A</v>
      </c>
      <c r="EN444" s="390"/>
      <c r="EO444" s="304"/>
      <c r="EP444" s="305"/>
      <c r="EQ444" s="445"/>
      <c r="ER444" s="445"/>
      <c r="ES444" s="304" t="str">
        <f>IF(Table1[[#This Row],[Progres MOS]]&gt;=100%,"Selesai MOS = 100%",IF(Table1[[#This Row],[Progres MOS]]&gt;=50%,"Proses MOS &gt; 100%",IF(Table1[[#This Row],[Progres MOS]]&gt;0%,"Proses MOS &gt; 50%",IF(Table1[[#This Row],[Progres MOS]]=0,"Belum MOS = 0%"))))</f>
        <v>Belum MOS = 0%</v>
      </c>
      <c r="ET44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4" s="42"/>
      <c r="EV444" s="390"/>
      <c r="EW444" s="390" t="e">
        <v>#N/A</v>
      </c>
      <c r="EX444" s="390"/>
      <c r="EY444" s="390" t="e">
        <v>#N/A</v>
      </c>
      <c r="EZ444" s="447"/>
      <c r="FA444" s="354"/>
      <c r="FB444" s="390" t="e">
        <v>#N/A</v>
      </c>
      <c r="FC444" s="390" t="e">
        <v>#N/A</v>
      </c>
      <c r="FD444" s="390" t="e">
        <v>#N/A</v>
      </c>
      <c r="FE444" s="390" t="e">
        <v>#N/A</v>
      </c>
      <c r="FF444" s="390" t="e">
        <v>#N/A</v>
      </c>
      <c r="FG444" s="390" t="e">
        <v>#N/A</v>
      </c>
      <c r="FH444" s="390" t="e">
        <v>#N/A</v>
      </c>
      <c r="FI444" s="390" t="e">
        <v>#N/A</v>
      </c>
      <c r="FJ444" s="390" t="e">
        <v>#N/A</v>
      </c>
      <c r="FK444" s="390" t="e">
        <v>#N/A</v>
      </c>
      <c r="FL444" s="447"/>
      <c r="FM444" s="447"/>
      <c r="FN444" s="431" t="str">
        <f>IF(Table1[[#This Row],[Tanggal Pengajuan Dokumen]]="","",Table1[[#This Row],[PLAN PERMIT
start]]-Table1[[#This Row],[Tanggal Pengajuan Dokumen]])</f>
        <v/>
      </c>
      <c r="FO444" s="447"/>
      <c r="FP444" s="304"/>
      <c r="FQ444" s="431"/>
      <c r="FR444" s="447"/>
      <c r="FS444" s="431"/>
      <c r="FT444"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4" s="446">
        <f ca="1">IF(Table1[[#This Row],[Status Izin]]="Selesai",Table1[[#This Row],[PLAN PERMIT
finish]]-Table1[[#This Row],[Tanggal Terbit/ Target Izin Terbit]],ROUNDUP(Table1[[#This Row],[PLAN PERMIT
finish]]-NOW(),0))</f>
        <v>-46204</v>
      </c>
      <c r="FV444"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4" s="446"/>
      <c r="FX444" s="42"/>
      <c r="FY444" s="533"/>
      <c r="FZ444" s="534"/>
      <c r="GA444"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4" s="390"/>
      <c r="GC444" s="447"/>
      <c r="GD444"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4" s="390"/>
      <c r="GF444" s="447"/>
      <c r="GG444"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4" s="390"/>
      <c r="GI444" s="390"/>
      <c r="GJ444" s="447"/>
      <c r="GK444"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4" s="390"/>
      <c r="GM444" s="390" t="e">
        <v>#N/A</v>
      </c>
      <c r="GN444" s="390"/>
      <c r="GO444" s="497" t="e">
        <v>#N/A</v>
      </c>
      <c r="GP444" s="304"/>
      <c r="GQ444"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4" s="390"/>
      <c r="GS444" s="390"/>
      <c r="GT444" s="389"/>
      <c r="GU444" s="446" t="str">
        <f>IF(Table1[[#This Row],[Hydro Tes Actual
(tanggal)]]&lt;&gt;"","Sudah","Belum")</f>
        <v>Belum</v>
      </c>
      <c r="GV444" s="497"/>
      <c r="GW444" s="497"/>
      <c r="GX444" s="390"/>
      <c r="GY444" s="446" t="str">
        <f>IF(Table1[[#This Row],[Interkoneksi Actual
(tanggal)]]&lt;&gt;"","Sudah","Belum")</f>
        <v>Belum</v>
      </c>
      <c r="GZ444" s="497"/>
      <c r="HA444" s="497"/>
      <c r="HB444" s="390"/>
      <c r="HC444" s="446" t="str">
        <f>IF(Table1[[#This Row],[Flushing Actual
(tanggal)]]&lt;&gt;"","Sudah","Belum")</f>
        <v>Belum</v>
      </c>
      <c r="HD444" s="390"/>
      <c r="HE444" s="390" t="e">
        <v>#N/A</v>
      </c>
      <c r="HF444" s="390"/>
      <c r="HG444" s="447"/>
      <c r="HH444"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4" s="497"/>
      <c r="HJ444" s="497"/>
      <c r="HK444" s="390"/>
      <c r="HL444" s="304"/>
      <c r="HM444" s="390"/>
      <c r="HN444" s="390"/>
      <c r="HO444" s="497" t="e">
        <v>#N/A</v>
      </c>
      <c r="HP444" s="497"/>
      <c r="HQ444" s="390"/>
      <c r="HR444"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4" s="447"/>
      <c r="HT444" s="447"/>
      <c r="HU444" s="447"/>
      <c r="HV444" s="447"/>
      <c r="HW444" s="390"/>
      <c r="HX444"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4" s="42"/>
      <c r="HZ444" s="447"/>
      <c r="IA444" s="306"/>
      <c r="IC444" s="585">
        <f>IFERROR(ROUND((Table1[[#This Row],[PLAN TC
finish]]-Table1[[#This Row],[PLAN MC-0
start]])/30,2),"")</f>
        <v>0</v>
      </c>
      <c r="ID444">
        <f>DATEDIF(Table1[[#This Row],[PLAN MC-0
start]],Table1[[#This Row],[PLAN TC
finish]],"m")</f>
        <v>0</v>
      </c>
    </row>
    <row r="445" spans="2:262" customFormat="1" ht="15" customHeight="1" x14ac:dyDescent="0.25">
      <c r="B445" s="281">
        <f>SUBTOTAL(3,$D$5:D445)</f>
        <v>441</v>
      </c>
      <c r="C445" s="286">
        <v>439</v>
      </c>
      <c r="D445" s="430" t="s">
        <v>244</v>
      </c>
      <c r="E445" s="431" t="s">
        <v>3477</v>
      </c>
      <c r="F445" s="431" t="s">
        <v>3478</v>
      </c>
      <c r="G445" s="319">
        <v>46482</v>
      </c>
      <c r="H445" s="431" t="s">
        <v>681</v>
      </c>
      <c r="I445" s="431"/>
      <c r="J445" s="488"/>
      <c r="K445" s="431"/>
      <c r="L445" s="304"/>
      <c r="M445" s="449"/>
      <c r="N445" s="528">
        <v>0</v>
      </c>
      <c r="O445" s="434" t="s">
        <v>252</v>
      </c>
      <c r="P445" s="434"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Proses Konstruksi</v>
      </c>
      <c r="R445" s="445"/>
      <c r="S445" s="529"/>
      <c r="T445" s="529">
        <f>Table1[[#This Row],[Progres Total Aktual
(%)]]</f>
        <v>0</v>
      </c>
      <c r="U445" s="530">
        <f>Table1[[#This Row],[Progres Aktual
(%)]]-Table1[[#This Row],[Target Progres
(%)]]</f>
        <v>0</v>
      </c>
      <c r="V445" s="531">
        <f>Table1[[#This Row],["Volume
BA MC-0"]]</f>
        <v>0</v>
      </c>
      <c r="W445" s="531">
        <f>Table1[[#This Row],[Total Panjang Pipa Aktual
(Sum-&gt;)3]]</f>
        <v>538</v>
      </c>
      <c r="X445" s="102"/>
      <c r="Y445" s="264"/>
      <c r="Z445" s="495"/>
      <c r="AA445" s="495">
        <f>ROUND((Table1[[#This Row],[Nilai RAB Jaringan
(Exclude Ppn)]]-Table1[[#This Row],[RAB Perizinan]])*1.11+Table1[[#This Row],[RAB Perizinan]],0)</f>
        <v>0</v>
      </c>
      <c r="AB445" s="435">
        <f>SUM(Table1[[#This Row],[RAB Kegiatan Umum]:[RAB Perizinan]])</f>
        <v>0</v>
      </c>
      <c r="AC445" s="435"/>
      <c r="AD445" s="435"/>
      <c r="AE445" s="435"/>
      <c r="AF445" s="435"/>
      <c r="AG445" s="435"/>
      <c r="AH445" s="532" t="e">
        <f>SUM(Table1[[#This Row],[Bobot Keg Umum]:[Bobot Perizinan]])</f>
        <v>#DIV/0!</v>
      </c>
      <c r="AI445" s="532" t="e">
        <f>Table1[[#This Row],[RAB Kegiatan Umum]]/Table1[[#This Row],[Nilai RAB Jaringan
(Exclude Ppn)]]</f>
        <v>#DIV/0!</v>
      </c>
      <c r="AJ445" s="532" t="e">
        <f>Table1[[#This Row],[RAB Pemasangan]]/Table1[[#This Row],[Nilai RAB Jaringan
(Exclude Ppn)]]</f>
        <v>#DIV/0!</v>
      </c>
      <c r="AK445" s="532" t="e">
        <f>Table1[[#This Row],[RAB Pengadaan]]/Table1[[#This Row],[Nilai RAB Jaringan
(Exclude Ppn)]]</f>
        <v>#DIV/0!</v>
      </c>
      <c r="AL445" s="445" t="e">
        <f>Table1[[#This Row],[RAB Perizinan]]/Table1[[#This Row],[Nilai RAB Jaringan
(Exclude Ppn)]]</f>
        <v>#DIV/0!</v>
      </c>
      <c r="AM445" s="42"/>
      <c r="AN445" s="431"/>
      <c r="AO445" s="543">
        <f>SUM(Table1[[#This Row],[Pipa 63 mm]:[Pipa 1,800 mm]])</f>
        <v>0</v>
      </c>
      <c r="AP445" s="431"/>
      <c r="AQ445" s="431"/>
      <c r="AR445" s="431"/>
      <c r="AS445" s="431"/>
      <c r="AT445" s="431"/>
      <c r="AU445" s="431"/>
      <c r="AV445" s="431"/>
      <c r="AW445" s="431"/>
      <c r="AX445" s="431"/>
      <c r="AY445" s="431"/>
      <c r="AZ445" s="431"/>
      <c r="BA445" s="431"/>
      <c r="BB445" s="431"/>
      <c r="BC445" s="431"/>
      <c r="BD445" s="431"/>
      <c r="BE445" s="431"/>
      <c r="BF445" s="431"/>
      <c r="BG445" s="431"/>
      <c r="BH445" s="431"/>
      <c r="BI445" s="431"/>
      <c r="BJ445" s="493">
        <f>SUM(Table1[[#This Row],[Pipa 63 mm2]:[Pipa 1,800 mm21]])</f>
        <v>538</v>
      </c>
      <c r="BK445" s="441">
        <v>253</v>
      </c>
      <c r="BL445" s="441">
        <v>90</v>
      </c>
      <c r="BM445" s="441">
        <v>195</v>
      </c>
      <c r="BN445" s="441"/>
      <c r="BO445" s="441"/>
      <c r="BP445" s="441"/>
      <c r="BQ445" s="441"/>
      <c r="BR445" s="441"/>
      <c r="BS445" s="441"/>
      <c r="BT445" s="441"/>
      <c r="BU445" s="441"/>
      <c r="BV445" s="441"/>
      <c r="BW445" s="441"/>
      <c r="BX445" s="441"/>
      <c r="BY445" s="441"/>
      <c r="BZ445" s="441"/>
      <c r="CA445" s="441"/>
      <c r="CB445" s="441"/>
      <c r="CC445" s="441"/>
      <c r="CD445" s="441"/>
      <c r="CE445" s="441"/>
      <c r="CF445" s="441"/>
      <c r="CG445" s="441"/>
      <c r="CH445" s="441"/>
      <c r="CI445" s="441"/>
      <c r="CJ445" s="441">
        <f>IF((Table1[[#This Row],["Volume
BA MC-0"]]-Table1[[#This Row],[Total Panjang Pipa Aktual
(Sum-&gt;)3]]-Table1[[#This Row],[Total Volume
tidak dapat dipasang]])&gt;=0,Table1[[#This Row],["Volume
BA MC-0"]]-Table1[[#This Row],[Total Panjang Pipa Aktual
(Sum-&gt;)3]]-Table1[[#This Row],[Total Volume
tidak dapat dipasang]],0)</f>
        <v>0</v>
      </c>
      <c r="CK445" s="42"/>
      <c r="CL445" s="442"/>
      <c r="CM445" s="445"/>
      <c r="CN445" s="442"/>
      <c r="CO445" s="442"/>
      <c r="CP445" s="304"/>
      <c r="CQ445" s="435">
        <f>IFERROR(Table1[[#This Row],[Progres Keg. Umum
(%)]]*Table1[[#This Row],[Nilai RAB Jaringan
(file pa aji)]],0)</f>
        <v>0</v>
      </c>
      <c r="CR445" s="435">
        <f>IFERROR(Table1[[#This Row],[Progres MOS
(%)]]*Table1[[#This Row],[Nilai RAB Jaringan
(file pa aji)]],0)</f>
        <v>0</v>
      </c>
      <c r="CS445" s="435">
        <f>IFERROR(Table1[[#This Row],[Progres Pemasangan
(%)]]*Table1[[#This Row],[Nilai RAB Jaringan
(file pa aji)]],0)</f>
        <v>0</v>
      </c>
      <c r="CT445" s="435">
        <f>IFERROR(Table1[[#This Row],[Progres Perizinan
(%)]]*Table1[[#This Row],[Nilai RAB Jaringan
(file pa aji)]],0)</f>
        <v>0</v>
      </c>
      <c r="CU445" s="789">
        <v>557754636.82800007</v>
      </c>
      <c r="CV445" s="536">
        <v>557754636.82800007</v>
      </c>
      <c r="CW445" s="494">
        <v>0</v>
      </c>
      <c r="CX445" s="789">
        <f>_xlfn.XLOOKUP(Table1[[#This Row],[Kode Program]],'[1]Breakdown VOWD Greenfield'!$E:$E,'[1]Breakdown VOWD Greenfield'!$AT:$AT)</f>
        <v>0</v>
      </c>
      <c r="CY445" s="42"/>
      <c r="CZ445" s="390"/>
      <c r="DA445" s="390"/>
      <c r="DB445" s="390"/>
      <c r="DC445" s="304"/>
      <c r="DD445" s="495"/>
      <c r="DE44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5" s="390"/>
      <c r="DG445" s="304"/>
      <c r="DH445" s="495"/>
      <c r="DI445" s="304"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5" s="390"/>
      <c r="DK445" s="390"/>
      <c r="DL445" s="390"/>
      <c r="DM445" s="304"/>
      <c r="DN445" s="304"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5" s="390"/>
      <c r="DP445" s="304"/>
      <c r="DQ445" s="431"/>
      <c r="DR445" s="304"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5" s="390"/>
      <c r="DT445" s="390" t="e">
        <v>#N/A</v>
      </c>
      <c r="DU445" s="390"/>
      <c r="DV445" s="390" t="e">
        <v>#N/A</v>
      </c>
      <c r="DW445" s="390"/>
      <c r="DX445" s="304"/>
      <c r="DY445" s="304"/>
      <c r="DZ445" s="304"/>
      <c r="EA445" s="304"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5" s="390"/>
      <c r="EC445" s="305"/>
      <c r="ED445" s="305"/>
      <c r="EE445" s="497"/>
      <c r="EF445" s="445"/>
      <c r="EG445" s="445"/>
      <c r="EH445" s="304" t="str">
        <f>IF(Table1[[#This Row],[PO Material Aktual 
(%)]]&gt;=100%,"Selesai PO = 100%",IF(Table1[[#This Row],[PO Material Aktual 
(%)]]&gt;=50%,"Proses PO &gt; 100%",IF(Table1[[#This Row],[PO Material Aktual 
(%)]]&gt;0%,"Proses PO &gt; 50%",IF(Table1[[#This Row],[PO Material Aktual 
(%)]]=0,"Belum PO = 0%"))))</f>
        <v>Belum PO = 0%</v>
      </c>
      <c r="EI445" s="304"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5" s="390"/>
      <c r="EK445" s="390" t="e">
        <v>#N/A</v>
      </c>
      <c r="EL445" s="390"/>
      <c r="EM445" s="390" t="e">
        <v>#N/A</v>
      </c>
      <c r="EN445" s="390"/>
      <c r="EO445" s="304"/>
      <c r="EP445" s="305"/>
      <c r="EQ445" s="445"/>
      <c r="ER445" s="445"/>
      <c r="ES445" s="304" t="str">
        <f>IF(Table1[[#This Row],[Progres MOS]]&gt;=100%,"Selesai MOS = 100%",IF(Table1[[#This Row],[Progres MOS]]&gt;=50%,"Proses MOS &gt; 100%",IF(Table1[[#This Row],[Progres MOS]]&gt;0%,"Proses MOS &gt; 50%",IF(Table1[[#This Row],[Progres MOS]]=0,"Belum MOS = 0%"))))</f>
        <v>Belum MOS = 0%</v>
      </c>
      <c r="ET44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5" s="42"/>
      <c r="EV445" s="390"/>
      <c r="EW445" s="390" t="e">
        <v>#N/A</v>
      </c>
      <c r="EX445" s="390"/>
      <c r="EY445" s="390" t="e">
        <v>#N/A</v>
      </c>
      <c r="EZ445" s="447"/>
      <c r="FA445" s="354"/>
      <c r="FB445" s="390" t="e">
        <v>#N/A</v>
      </c>
      <c r="FC445" s="390" t="e">
        <v>#N/A</v>
      </c>
      <c r="FD445" s="390" t="e">
        <v>#N/A</v>
      </c>
      <c r="FE445" s="390" t="e">
        <v>#N/A</v>
      </c>
      <c r="FF445" s="390" t="e">
        <v>#N/A</v>
      </c>
      <c r="FG445" s="390" t="e">
        <v>#N/A</v>
      </c>
      <c r="FH445" s="390" t="e">
        <v>#N/A</v>
      </c>
      <c r="FI445" s="390" t="e">
        <v>#N/A</v>
      </c>
      <c r="FJ445" s="390" t="e">
        <v>#N/A</v>
      </c>
      <c r="FK445" s="390" t="e">
        <v>#N/A</v>
      </c>
      <c r="FL445" s="447"/>
      <c r="FM445" s="447"/>
      <c r="FN445" s="431" t="str">
        <f>IF(Table1[[#This Row],[Tanggal Pengajuan Dokumen]]="","",Table1[[#This Row],[PLAN PERMIT
start]]-Table1[[#This Row],[Tanggal Pengajuan Dokumen]])</f>
        <v/>
      </c>
      <c r="FO445" s="447"/>
      <c r="FP445" s="304"/>
      <c r="FQ445" s="431"/>
      <c r="FR445" s="447"/>
      <c r="FS445" s="431"/>
      <c r="FT445" s="304"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5" s="446">
        <f ca="1">IF(Table1[[#This Row],[Status Izin]]="Selesai",Table1[[#This Row],[PLAN PERMIT
finish]]-Table1[[#This Row],[Tanggal Terbit/ Target Izin Terbit]],ROUNDUP(Table1[[#This Row],[PLAN PERMIT
finish]]-NOW(),0))</f>
        <v>-46204</v>
      </c>
      <c r="FV445" s="446"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5" s="446"/>
      <c r="FX445" s="42"/>
      <c r="FY445" s="533"/>
      <c r="FZ445" s="534"/>
      <c r="GA445" s="535"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5" s="390"/>
      <c r="GC445" s="447">
        <v>46141</v>
      </c>
      <c r="GD445" s="304"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45" s="390"/>
      <c r="GF445" s="447">
        <v>46141</v>
      </c>
      <c r="GG445" s="304"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45" s="390"/>
      <c r="GI445" s="390"/>
      <c r="GJ445" s="447">
        <v>46142</v>
      </c>
      <c r="GK445" s="304"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5" s="390"/>
      <c r="GM445" s="390" t="e">
        <v>#N/A</v>
      </c>
      <c r="GN445" s="390"/>
      <c r="GO445" s="497" t="e">
        <v>#N/A</v>
      </c>
      <c r="GP445" s="304"/>
      <c r="GQ445" s="304"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5" s="390"/>
      <c r="GS445" s="390"/>
      <c r="GT445" s="389"/>
      <c r="GU445" s="446" t="str">
        <f>IF(Table1[[#This Row],[Hydro Tes Actual
(tanggal)]]&lt;&gt;"","Sudah","Belum")</f>
        <v>Belum</v>
      </c>
      <c r="GV445" s="497"/>
      <c r="GW445" s="497"/>
      <c r="GX445" s="390"/>
      <c r="GY445" s="446" t="str">
        <f>IF(Table1[[#This Row],[Interkoneksi Actual
(tanggal)]]&lt;&gt;"","Sudah","Belum")</f>
        <v>Belum</v>
      </c>
      <c r="GZ445" s="497"/>
      <c r="HA445" s="497"/>
      <c r="HB445" s="390"/>
      <c r="HC445" s="446" t="str">
        <f>IF(Table1[[#This Row],[Flushing Actual
(tanggal)]]&lt;&gt;"","Sudah","Belum")</f>
        <v>Belum</v>
      </c>
      <c r="HD445" s="390"/>
      <c r="HE445" s="390" t="e">
        <v>#N/A</v>
      </c>
      <c r="HF445" s="390"/>
      <c r="HG445" s="447"/>
      <c r="HH445" s="304"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5" s="497"/>
      <c r="HJ445" s="497"/>
      <c r="HK445" s="390"/>
      <c r="HL445" s="304"/>
      <c r="HM445" s="390"/>
      <c r="HN445" s="390"/>
      <c r="HO445" s="497" t="e">
        <v>#N/A</v>
      </c>
      <c r="HP445" s="497"/>
      <c r="HQ445" s="390"/>
      <c r="HR445" s="449"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5" s="447"/>
      <c r="HT445" s="447"/>
      <c r="HU445" s="447"/>
      <c r="HV445" s="447"/>
      <c r="HW445" s="390"/>
      <c r="HX445" s="304"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5" s="42"/>
      <c r="HZ445" s="447"/>
      <c r="IA445" s="306"/>
      <c r="IC445" s="585">
        <f>IFERROR(ROUND((Table1[[#This Row],[PLAN TC
finish]]-Table1[[#This Row],[PLAN MC-0
start]])/30,2),"")</f>
        <v>0</v>
      </c>
      <c r="ID445">
        <f>DATEDIF(Table1[[#This Row],[PLAN MC-0
start]],Table1[[#This Row],[PLAN TC
finish]],"m")</f>
        <v>0</v>
      </c>
    </row>
    <row r="446" spans="2:262" ht="15" customHeight="1" x14ac:dyDescent="0.25">
      <c r="B446" s="281">
        <f>SUBTOTAL(3,$D$5:D446)</f>
        <v>442</v>
      </c>
      <c r="C446" s="286">
        <v>458</v>
      </c>
      <c r="D446" s="430" t="s">
        <v>673</v>
      </c>
      <c r="E446" s="308" t="s">
        <v>3479</v>
      </c>
      <c r="F446" s="308" t="s">
        <v>3480</v>
      </c>
      <c r="G446" s="319">
        <v>46482</v>
      </c>
      <c r="H446" s="431" t="s">
        <v>247</v>
      </c>
      <c r="I446" s="308"/>
      <c r="J446" s="450"/>
      <c r="K446" s="308"/>
      <c r="L446" s="286"/>
      <c r="M446" s="325"/>
      <c r="N446" s="528">
        <v>0</v>
      </c>
      <c r="O446" s="434">
        <v>0</v>
      </c>
      <c r="P44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6" s="307"/>
      <c r="S446" s="297"/>
      <c r="T446" s="297">
        <f>Table1[[#This Row],[Progres Total Aktual
(%)]]</f>
        <v>0</v>
      </c>
      <c r="U446" s="537">
        <f>Table1[[#This Row],[Progres Aktual
(%)]]-Table1[[#This Row],[Target Progres
(%)]]</f>
        <v>0</v>
      </c>
      <c r="V446" s="538">
        <f>Table1[[#This Row],["Volume
BA MC-0"]]</f>
        <v>0</v>
      </c>
      <c r="W446" s="538">
        <f>Table1[[#This Row],[Total Panjang Pipa Aktual
(Sum-&gt;)3]]</f>
        <v>0</v>
      </c>
      <c r="X446" s="99"/>
      <c r="Y446" s="265"/>
      <c r="Z446" s="478"/>
      <c r="AA446" s="478">
        <f>ROUND((Table1[[#This Row],[Nilai RAB Jaringan
(Exclude Ppn)]]-Table1[[#This Row],[RAB Perizinan]])*1.11+Table1[[#This Row],[RAB Perizinan]],0)</f>
        <v>0</v>
      </c>
      <c r="AB446" s="406">
        <f>SUM(Table1[[#This Row],[RAB Kegiatan Umum]:[RAB Perizinan]])</f>
        <v>0</v>
      </c>
      <c r="AC446" s="406"/>
      <c r="AD446" s="406"/>
      <c r="AE446" s="406"/>
      <c r="AF446" s="406"/>
      <c r="AG446" s="406"/>
      <c r="AH446" s="539" t="e">
        <f>SUM(Table1[[#This Row],[Bobot Keg Umum]:[Bobot Perizinan]])</f>
        <v>#DIV/0!</v>
      </c>
      <c r="AI446" s="539" t="e">
        <f>Table1[[#This Row],[RAB Kegiatan Umum]]/Table1[[#This Row],[Nilai RAB Jaringan
(Exclude Ppn)]]</f>
        <v>#DIV/0!</v>
      </c>
      <c r="AJ446" s="539" t="e">
        <f>Table1[[#This Row],[RAB Pemasangan]]/Table1[[#This Row],[Nilai RAB Jaringan
(Exclude Ppn)]]</f>
        <v>#DIV/0!</v>
      </c>
      <c r="AK446" s="539" t="e">
        <f>Table1[[#This Row],[RAB Pengadaan]]/Table1[[#This Row],[Nilai RAB Jaringan
(Exclude Ppn)]]</f>
        <v>#DIV/0!</v>
      </c>
      <c r="AL446" s="307" t="e">
        <f>Table1[[#This Row],[RAB Perizinan]]/Table1[[#This Row],[Nilai RAB Jaringan
(Exclude Ppn)]]</f>
        <v>#DIV/0!</v>
      </c>
      <c r="AM446" s="42"/>
      <c r="AN446" s="308"/>
      <c r="AO446" s="484">
        <f>SUM(Table1[[#This Row],[Pipa 63 mm]:[Pipa 1,800 mm]])</f>
        <v>0</v>
      </c>
      <c r="AP446" s="308"/>
      <c r="AQ446" s="308"/>
      <c r="AR446" s="308"/>
      <c r="AS446" s="308"/>
      <c r="AT446" s="308"/>
      <c r="AU446" s="308"/>
      <c r="AV446" s="308"/>
      <c r="AW446" s="308"/>
      <c r="AX446" s="308"/>
      <c r="AY446" s="308"/>
      <c r="AZ446" s="308"/>
      <c r="BA446" s="308"/>
      <c r="BB446" s="308"/>
      <c r="BC446" s="308"/>
      <c r="BD446" s="308"/>
      <c r="BE446" s="308"/>
      <c r="BF446" s="308"/>
      <c r="BG446" s="308"/>
      <c r="BH446" s="308"/>
      <c r="BI446" s="308"/>
      <c r="BJ446" s="36">
        <f>SUM(Table1[[#This Row],[Pipa 63 mm2]:[Pipa 1,800 mm21]])</f>
        <v>0</v>
      </c>
      <c r="BK446" s="32"/>
      <c r="BL446" s="32"/>
      <c r="BM446" s="32"/>
      <c r="BN446" s="32"/>
      <c r="BO446" s="32"/>
      <c r="BP446" s="32"/>
      <c r="BQ446" s="32"/>
      <c r="BR446" s="32"/>
      <c r="BS446" s="32"/>
      <c r="BT446" s="32"/>
      <c r="BU446" s="32"/>
      <c r="BV446" s="32"/>
      <c r="BW446" s="32"/>
      <c r="BX446" s="32"/>
      <c r="BY446" s="32"/>
      <c r="BZ446" s="32"/>
      <c r="CA446" s="32"/>
      <c r="CB446" s="32"/>
      <c r="CC446" s="32"/>
      <c r="CD446" s="32"/>
      <c r="CE446" s="32"/>
      <c r="CF446" s="32"/>
      <c r="CG446" s="32"/>
      <c r="CH446" s="32"/>
      <c r="CI446" s="32"/>
      <c r="CJ446" s="32">
        <f>IF((Table1[[#This Row],["Volume
BA MC-0"]]-Table1[[#This Row],[Total Panjang Pipa Aktual
(Sum-&gt;)3]]-Table1[[#This Row],[Total Volume
tidak dapat dipasang]])&gt;=0,Table1[[#This Row],["Volume
BA MC-0"]]-Table1[[#This Row],[Total Panjang Pipa Aktual
(Sum-&gt;)3]]-Table1[[#This Row],[Total Volume
tidak dapat dipasang]],0)</f>
        <v>0</v>
      </c>
      <c r="CK446" s="42"/>
      <c r="CL446" s="113"/>
      <c r="CM446" s="307"/>
      <c r="CN446" s="113"/>
      <c r="CO446" s="113"/>
      <c r="CP446" s="286"/>
      <c r="CQ446" s="406">
        <f>IFERROR(Table1[[#This Row],[Progres Keg. Umum
(%)]]*Table1[[#This Row],[Nilai RAB Jaringan
(file pa aji)]],0)</f>
        <v>0</v>
      </c>
      <c r="CR446" s="406">
        <f>IFERROR(Table1[[#This Row],[Progres MOS
(%)]]*Table1[[#This Row],[Nilai RAB Jaringan
(file pa aji)]],0)</f>
        <v>0</v>
      </c>
      <c r="CS446" s="406">
        <f>IFERROR(Table1[[#This Row],[Progres Pemasangan
(%)]]*Table1[[#This Row],[Nilai RAB Jaringan
(file pa aji)]],0)</f>
        <v>0</v>
      </c>
      <c r="CT446" s="406">
        <f>IFERROR(Table1[[#This Row],[Progres Perizinan
(%)]]*Table1[[#This Row],[Nilai RAB Jaringan
(file pa aji)]],0)</f>
        <v>0</v>
      </c>
      <c r="CU446" s="789">
        <v>0</v>
      </c>
      <c r="CV446" s="527">
        <v>0</v>
      </c>
      <c r="CW446" s="481">
        <v>0</v>
      </c>
      <c r="CX446" s="789">
        <f>_xlfn.XLOOKUP(Table1[[#This Row],[Kode Program]],'[1]Breakdown VOWD Greenfield'!$E:$E,'[1]Breakdown VOWD Greenfield'!$AT:$AT)</f>
        <v>0</v>
      </c>
      <c r="CY446" s="42"/>
      <c r="CZ446" s="301"/>
      <c r="DA446" s="301"/>
      <c r="DB446" s="301"/>
      <c r="DC446" s="286"/>
      <c r="DD446" s="478"/>
      <c r="DE44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6" s="301"/>
      <c r="DG446" s="286"/>
      <c r="DH446" s="478"/>
      <c r="DI44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6" s="301"/>
      <c r="DK446" s="301"/>
      <c r="DL446" s="301"/>
      <c r="DM446" s="286"/>
      <c r="DN44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6" s="301"/>
      <c r="DP446" s="286"/>
      <c r="DQ446" s="308"/>
      <c r="DR44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6" s="301"/>
      <c r="DT446" s="301" t="e">
        <v>#N/A</v>
      </c>
      <c r="DU446" s="301"/>
      <c r="DV446" s="301" t="e">
        <v>#N/A</v>
      </c>
      <c r="DW446" s="301"/>
      <c r="DX446" s="286"/>
      <c r="DY446" s="304"/>
      <c r="DZ446" s="304"/>
      <c r="EA44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6" s="301"/>
      <c r="EC446" s="302"/>
      <c r="ED446" s="302"/>
      <c r="EE446" s="300"/>
      <c r="EF446" s="307"/>
      <c r="EG446" s="307"/>
      <c r="EH446" s="286" t="str">
        <f>IF(Table1[[#This Row],[PO Material Aktual 
(%)]]&gt;=100%,"Selesai PO = 100%",IF(Table1[[#This Row],[PO Material Aktual 
(%)]]&gt;=50%,"Proses PO &gt; 100%",IF(Table1[[#This Row],[PO Material Aktual 
(%)]]&gt;0%,"Proses PO &gt; 50%",IF(Table1[[#This Row],[PO Material Aktual 
(%)]]=0,"Belum PO = 0%"))))</f>
        <v>Belum PO = 0%</v>
      </c>
      <c r="EI44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6" s="301"/>
      <c r="EK446" s="301" t="e">
        <v>#N/A</v>
      </c>
      <c r="EL446" s="301"/>
      <c r="EM446" s="301" t="e">
        <v>#N/A</v>
      </c>
      <c r="EN446" s="301"/>
      <c r="EO446" s="286"/>
      <c r="EP446" s="302"/>
      <c r="EQ446" s="307"/>
      <c r="ER446" s="307"/>
      <c r="ES446" s="286" t="str">
        <f>IF(Table1[[#This Row],[Progres MOS]]&gt;=100%,"Selesai MOS = 100%",IF(Table1[[#This Row],[Progres MOS]]&gt;=50%,"Proses MOS &gt; 100%",IF(Table1[[#This Row],[Progres MOS]]&gt;0%,"Proses MOS &gt; 50%",IF(Table1[[#This Row],[Progres MOS]]=0,"Belum MOS = 0%"))))</f>
        <v>Belum MOS = 0%</v>
      </c>
      <c r="ET44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6" s="42"/>
      <c r="EV446" s="301"/>
      <c r="EW446" s="301" t="e">
        <v>#N/A</v>
      </c>
      <c r="EX446" s="301"/>
      <c r="EY446" s="301" t="e">
        <v>#N/A</v>
      </c>
      <c r="EZ446" s="322"/>
      <c r="FA446" s="354"/>
      <c r="FB446" s="301" t="e">
        <v>#N/A</v>
      </c>
      <c r="FC446" s="301" t="e">
        <v>#N/A</v>
      </c>
      <c r="FD446" s="301" t="e">
        <v>#N/A</v>
      </c>
      <c r="FE446" s="301" t="e">
        <v>#N/A</v>
      </c>
      <c r="FF446" s="301" t="e">
        <v>#N/A</v>
      </c>
      <c r="FG446" s="301" t="e">
        <v>#N/A</v>
      </c>
      <c r="FH446" s="301" t="e">
        <v>#N/A</v>
      </c>
      <c r="FI446" s="301" t="e">
        <v>#N/A</v>
      </c>
      <c r="FJ446" s="301" t="e">
        <v>#N/A</v>
      </c>
      <c r="FK446" s="301" t="e">
        <v>#N/A</v>
      </c>
      <c r="FL446" s="322"/>
      <c r="FM446" s="322"/>
      <c r="FN446" s="308" t="str">
        <f>IF(Table1[[#This Row],[Tanggal Pengajuan Dokumen]]="","",Table1[[#This Row],[PLAN PERMIT
start]]-Table1[[#This Row],[Tanggal Pengajuan Dokumen]])</f>
        <v/>
      </c>
      <c r="FO446" s="322"/>
      <c r="FP446" s="286"/>
      <c r="FQ446" s="308"/>
      <c r="FR446" s="322"/>
      <c r="FS446" s="308"/>
      <c r="FT44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6" s="314">
        <f ca="1">IF(Table1[[#This Row],[Status Izin]]="Selesai",Table1[[#This Row],[PLAN PERMIT
finish]]-Table1[[#This Row],[Tanggal Terbit/ Target Izin Terbit]],ROUNDUP(Table1[[#This Row],[PLAN PERMIT
finish]]-NOW(),0))</f>
        <v>-46204</v>
      </c>
      <c r="FV44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6" s="314"/>
      <c r="FX446" s="42"/>
      <c r="FY446" s="540"/>
      <c r="FZ446" s="541"/>
      <c r="GA44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6" s="301"/>
      <c r="GC446" s="322"/>
      <c r="GD44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6" s="301"/>
      <c r="GF446" s="322"/>
      <c r="GG44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6" s="301"/>
      <c r="GI446" s="301"/>
      <c r="GJ446" s="322"/>
      <c r="GK44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6" s="301"/>
      <c r="GM446" s="301" t="e">
        <v>#N/A</v>
      </c>
      <c r="GN446" s="301"/>
      <c r="GO446" s="300" t="e">
        <v>#N/A</v>
      </c>
      <c r="GP446" s="286"/>
      <c r="GQ44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6" s="301"/>
      <c r="GS446" s="301"/>
      <c r="GT446" s="324"/>
      <c r="GU446" s="314" t="str">
        <f>IF(Table1[[#This Row],[Hydro Tes Actual
(tanggal)]]&lt;&gt;"","Sudah","Belum")</f>
        <v>Belum</v>
      </c>
      <c r="GV446" s="300"/>
      <c r="GW446" s="300"/>
      <c r="GX446" s="301"/>
      <c r="GY446" s="314" t="str">
        <f>IF(Table1[[#This Row],[Interkoneksi Actual
(tanggal)]]&lt;&gt;"","Sudah","Belum")</f>
        <v>Belum</v>
      </c>
      <c r="GZ446" s="300"/>
      <c r="HA446" s="300"/>
      <c r="HB446" s="301"/>
      <c r="HC446" s="314" t="str">
        <f>IF(Table1[[#This Row],[Flushing Actual
(tanggal)]]&lt;&gt;"","Sudah","Belum")</f>
        <v>Belum</v>
      </c>
      <c r="HD446" s="301"/>
      <c r="HE446" s="301" t="e">
        <v>#N/A</v>
      </c>
      <c r="HF446" s="301"/>
      <c r="HG446" s="322"/>
      <c r="HH44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6" s="300"/>
      <c r="HJ446" s="300"/>
      <c r="HK446" s="301"/>
      <c r="HL446" s="286"/>
      <c r="HM446" s="301"/>
      <c r="HN446" s="301"/>
      <c r="HO446" s="300" t="e">
        <v>#N/A</v>
      </c>
      <c r="HP446" s="300"/>
      <c r="HQ446" s="301"/>
      <c r="HR44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6" s="322"/>
      <c r="HT446" s="322"/>
      <c r="HU446" s="322"/>
      <c r="HV446" s="447"/>
      <c r="HW446" s="301"/>
      <c r="HX44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6" s="42"/>
      <c r="HZ446" s="322"/>
      <c r="IA446" s="306"/>
      <c r="IB446"/>
      <c r="IC446" s="585">
        <f>IFERROR(ROUND((Table1[[#This Row],[PLAN TC
finish]]-Table1[[#This Row],[PLAN MC-0
start]])/30,2),"")</f>
        <v>0</v>
      </c>
      <c r="ID446">
        <f>DATEDIF(Table1[[#This Row],[PLAN MC-0
start]],Table1[[#This Row],[PLAN TC
finish]],"m")</f>
        <v>0</v>
      </c>
      <c r="IE446" s="8"/>
      <c r="IF446" s="8"/>
      <c r="IG446" s="4"/>
      <c r="IH446" s="6"/>
      <c r="II446" s="67"/>
      <c r="IJ446" s="67"/>
      <c r="IK446" s="8"/>
      <c r="IM446" s="6"/>
      <c r="IN446" s="6"/>
      <c r="IO446" s="67"/>
      <c r="IP446" s="8"/>
      <c r="IR446" s="4"/>
      <c r="IS446" s="4"/>
      <c r="IT446" s="6"/>
      <c r="IU446" s="6"/>
      <c r="IX446" s="6"/>
      <c r="IY446" s="6"/>
      <c r="JA446" s="6"/>
      <c r="JB446" s="6"/>
    </row>
    <row r="447" spans="2:262" ht="15" customHeight="1" x14ac:dyDescent="0.25">
      <c r="B447" s="281">
        <f>SUBTOTAL(3,$D$5:D447)</f>
        <v>443</v>
      </c>
      <c r="C447" s="286">
        <v>459</v>
      </c>
      <c r="D447" s="430" t="s">
        <v>673</v>
      </c>
      <c r="E447" s="308" t="s">
        <v>3481</v>
      </c>
      <c r="F447" s="308" t="s">
        <v>3482</v>
      </c>
      <c r="G447" s="319">
        <v>46482</v>
      </c>
      <c r="H447" s="431" t="s">
        <v>247</v>
      </c>
      <c r="I447" s="308"/>
      <c r="J447" s="450"/>
      <c r="K447" s="308"/>
      <c r="L447" s="286"/>
      <c r="M447" s="325"/>
      <c r="N447" s="528">
        <v>0</v>
      </c>
      <c r="O447" s="434">
        <v>0</v>
      </c>
      <c r="P44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7" s="307"/>
      <c r="S447" s="297"/>
      <c r="T447" s="297">
        <f>Table1[[#This Row],[Progres Total Aktual
(%)]]</f>
        <v>0</v>
      </c>
      <c r="U447" s="537">
        <f>Table1[[#This Row],[Progres Aktual
(%)]]-Table1[[#This Row],[Target Progres
(%)]]</f>
        <v>0</v>
      </c>
      <c r="V447" s="538">
        <f>Table1[[#This Row],["Volume
BA MC-0"]]</f>
        <v>0</v>
      </c>
      <c r="W447" s="538">
        <f>Table1[[#This Row],[Total Panjang Pipa Aktual
(Sum-&gt;)3]]</f>
        <v>0</v>
      </c>
      <c r="X447" s="99"/>
      <c r="Y447" s="265"/>
      <c r="Z447" s="478"/>
      <c r="AA447" s="478">
        <f>ROUND((Table1[[#This Row],[Nilai RAB Jaringan
(Exclude Ppn)]]-Table1[[#This Row],[RAB Perizinan]])*1.11+Table1[[#This Row],[RAB Perizinan]],0)</f>
        <v>0</v>
      </c>
      <c r="AB447" s="406">
        <f>SUM(Table1[[#This Row],[RAB Kegiatan Umum]:[RAB Perizinan]])</f>
        <v>0</v>
      </c>
      <c r="AC447" s="406"/>
      <c r="AD447" s="406"/>
      <c r="AE447" s="406"/>
      <c r="AF447" s="406"/>
      <c r="AG447" s="406"/>
      <c r="AH447" s="539" t="e">
        <f>SUM(Table1[[#This Row],[Bobot Keg Umum]:[Bobot Perizinan]])</f>
        <v>#DIV/0!</v>
      </c>
      <c r="AI447" s="539" t="e">
        <f>Table1[[#This Row],[RAB Kegiatan Umum]]/Table1[[#This Row],[Nilai RAB Jaringan
(Exclude Ppn)]]</f>
        <v>#DIV/0!</v>
      </c>
      <c r="AJ447" s="539" t="e">
        <f>Table1[[#This Row],[RAB Pemasangan]]/Table1[[#This Row],[Nilai RAB Jaringan
(Exclude Ppn)]]</f>
        <v>#DIV/0!</v>
      </c>
      <c r="AK447" s="539" t="e">
        <f>Table1[[#This Row],[RAB Pengadaan]]/Table1[[#This Row],[Nilai RAB Jaringan
(Exclude Ppn)]]</f>
        <v>#DIV/0!</v>
      </c>
      <c r="AL447" s="307" t="e">
        <f>Table1[[#This Row],[RAB Perizinan]]/Table1[[#This Row],[Nilai RAB Jaringan
(Exclude Ppn)]]</f>
        <v>#DIV/0!</v>
      </c>
      <c r="AM447" s="42"/>
      <c r="AN447" s="308"/>
      <c r="AO447" s="484">
        <f>SUM(Table1[[#This Row],[Pipa 63 mm]:[Pipa 1,800 mm]])</f>
        <v>0</v>
      </c>
      <c r="AP447" s="308"/>
      <c r="AQ447" s="308"/>
      <c r="AR447" s="308"/>
      <c r="AS447" s="308"/>
      <c r="AT447" s="308"/>
      <c r="AU447" s="308"/>
      <c r="AV447" s="308"/>
      <c r="AW447" s="308"/>
      <c r="AX447" s="308"/>
      <c r="AY447" s="308"/>
      <c r="AZ447" s="308"/>
      <c r="BA447" s="308"/>
      <c r="BB447" s="308"/>
      <c r="BC447" s="308"/>
      <c r="BD447" s="308"/>
      <c r="BE447" s="308"/>
      <c r="BF447" s="308"/>
      <c r="BG447" s="308"/>
      <c r="BH447" s="308"/>
      <c r="BI447" s="308"/>
      <c r="BJ447" s="36">
        <f>SUM(Table1[[#This Row],[Pipa 63 mm2]:[Pipa 1,800 mm21]])</f>
        <v>0</v>
      </c>
      <c r="BK447" s="32"/>
      <c r="BL447" s="32"/>
      <c r="BM447" s="32"/>
      <c r="BN447" s="32"/>
      <c r="BO447" s="32"/>
      <c r="BP447" s="32"/>
      <c r="BQ447" s="32"/>
      <c r="BR447" s="32"/>
      <c r="BS447" s="32"/>
      <c r="BT447" s="32"/>
      <c r="BU447" s="32"/>
      <c r="BV447" s="32"/>
      <c r="BW447" s="32"/>
      <c r="BX447" s="32"/>
      <c r="BY447" s="32"/>
      <c r="BZ447" s="32"/>
      <c r="CA447" s="32"/>
      <c r="CB447" s="32"/>
      <c r="CC447" s="32"/>
      <c r="CD447" s="32"/>
      <c r="CE447" s="32"/>
      <c r="CF447" s="32"/>
      <c r="CG447" s="32"/>
      <c r="CH447" s="32"/>
      <c r="CI447" s="32"/>
      <c r="CJ447" s="32">
        <f>IF((Table1[[#This Row],["Volume
BA MC-0"]]-Table1[[#This Row],[Total Panjang Pipa Aktual
(Sum-&gt;)3]]-Table1[[#This Row],[Total Volume
tidak dapat dipasang]])&gt;=0,Table1[[#This Row],["Volume
BA MC-0"]]-Table1[[#This Row],[Total Panjang Pipa Aktual
(Sum-&gt;)3]]-Table1[[#This Row],[Total Volume
tidak dapat dipasang]],0)</f>
        <v>0</v>
      </c>
      <c r="CK447" s="42"/>
      <c r="CL447" s="113"/>
      <c r="CM447" s="307"/>
      <c r="CN447" s="113"/>
      <c r="CO447" s="113"/>
      <c r="CP447" s="286"/>
      <c r="CQ447" s="406">
        <f>IFERROR(Table1[[#This Row],[Progres Keg. Umum
(%)]]*Table1[[#This Row],[Nilai RAB Jaringan
(file pa aji)]],0)</f>
        <v>0</v>
      </c>
      <c r="CR447" s="406">
        <f>IFERROR(Table1[[#This Row],[Progres MOS
(%)]]*Table1[[#This Row],[Nilai RAB Jaringan
(file pa aji)]],0)</f>
        <v>0</v>
      </c>
      <c r="CS447" s="406">
        <f>IFERROR(Table1[[#This Row],[Progres Pemasangan
(%)]]*Table1[[#This Row],[Nilai RAB Jaringan
(file pa aji)]],0)</f>
        <v>0</v>
      </c>
      <c r="CT447" s="406">
        <f>IFERROR(Table1[[#This Row],[Progres Perizinan
(%)]]*Table1[[#This Row],[Nilai RAB Jaringan
(file pa aji)]],0)</f>
        <v>0</v>
      </c>
      <c r="CU447" s="789">
        <v>0</v>
      </c>
      <c r="CV447" s="527">
        <v>0</v>
      </c>
      <c r="CW447" s="481">
        <v>0</v>
      </c>
      <c r="CX447" s="789">
        <f>_xlfn.XLOOKUP(Table1[[#This Row],[Kode Program]],'[1]Breakdown VOWD Greenfield'!$E:$E,'[1]Breakdown VOWD Greenfield'!$AT:$AT)</f>
        <v>0</v>
      </c>
      <c r="CY447" s="42"/>
      <c r="CZ447" s="301"/>
      <c r="DA447" s="301"/>
      <c r="DB447" s="301"/>
      <c r="DC447" s="286"/>
      <c r="DD447" s="478"/>
      <c r="DE44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7" s="301"/>
      <c r="DG447" s="286"/>
      <c r="DH447" s="478"/>
      <c r="DI44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7" s="301"/>
      <c r="DK447" s="301"/>
      <c r="DL447" s="301"/>
      <c r="DM447" s="286"/>
      <c r="DN44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7" s="301"/>
      <c r="DP447" s="286"/>
      <c r="DQ447" s="308"/>
      <c r="DR44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7" s="301"/>
      <c r="DT447" s="301" t="e">
        <v>#N/A</v>
      </c>
      <c r="DU447" s="301"/>
      <c r="DV447" s="301" t="e">
        <v>#N/A</v>
      </c>
      <c r="DW447" s="301"/>
      <c r="DX447" s="286"/>
      <c r="DY447" s="304"/>
      <c r="DZ447" s="304"/>
      <c r="EA44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7" s="301"/>
      <c r="EC447" s="302"/>
      <c r="ED447" s="302"/>
      <c r="EE447" s="300"/>
      <c r="EF447" s="307"/>
      <c r="EG447" s="307"/>
      <c r="EH447" s="286" t="str">
        <f>IF(Table1[[#This Row],[PO Material Aktual 
(%)]]&gt;=100%,"Selesai PO = 100%",IF(Table1[[#This Row],[PO Material Aktual 
(%)]]&gt;=50%,"Proses PO &gt; 100%",IF(Table1[[#This Row],[PO Material Aktual 
(%)]]&gt;0%,"Proses PO &gt; 50%",IF(Table1[[#This Row],[PO Material Aktual 
(%)]]=0,"Belum PO = 0%"))))</f>
        <v>Belum PO = 0%</v>
      </c>
      <c r="EI44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7" s="301"/>
      <c r="EK447" s="301" t="e">
        <v>#N/A</v>
      </c>
      <c r="EL447" s="301"/>
      <c r="EM447" s="301" t="e">
        <v>#N/A</v>
      </c>
      <c r="EN447" s="301"/>
      <c r="EO447" s="286"/>
      <c r="EP447" s="302"/>
      <c r="EQ447" s="307"/>
      <c r="ER447" s="307"/>
      <c r="ES447" s="286" t="str">
        <f>IF(Table1[[#This Row],[Progres MOS]]&gt;=100%,"Selesai MOS = 100%",IF(Table1[[#This Row],[Progres MOS]]&gt;=50%,"Proses MOS &gt; 100%",IF(Table1[[#This Row],[Progres MOS]]&gt;0%,"Proses MOS &gt; 50%",IF(Table1[[#This Row],[Progres MOS]]=0,"Belum MOS = 0%"))))</f>
        <v>Belum MOS = 0%</v>
      </c>
      <c r="ET44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7" s="42"/>
      <c r="EV447" s="301"/>
      <c r="EW447" s="301" t="e">
        <v>#N/A</v>
      </c>
      <c r="EX447" s="301"/>
      <c r="EY447" s="301" t="e">
        <v>#N/A</v>
      </c>
      <c r="EZ447" s="322"/>
      <c r="FA447" s="354"/>
      <c r="FB447" s="301" t="e">
        <v>#N/A</v>
      </c>
      <c r="FC447" s="301" t="e">
        <v>#N/A</v>
      </c>
      <c r="FD447" s="301" t="e">
        <v>#N/A</v>
      </c>
      <c r="FE447" s="301" t="e">
        <v>#N/A</v>
      </c>
      <c r="FF447" s="301" t="e">
        <v>#N/A</v>
      </c>
      <c r="FG447" s="301" t="e">
        <v>#N/A</v>
      </c>
      <c r="FH447" s="301" t="e">
        <v>#N/A</v>
      </c>
      <c r="FI447" s="301" t="e">
        <v>#N/A</v>
      </c>
      <c r="FJ447" s="301" t="e">
        <v>#N/A</v>
      </c>
      <c r="FK447" s="301" t="e">
        <v>#N/A</v>
      </c>
      <c r="FL447" s="322"/>
      <c r="FM447" s="322"/>
      <c r="FN447" s="308" t="str">
        <f>IF(Table1[[#This Row],[Tanggal Pengajuan Dokumen]]="","",Table1[[#This Row],[PLAN PERMIT
start]]-Table1[[#This Row],[Tanggal Pengajuan Dokumen]])</f>
        <v/>
      </c>
      <c r="FO447" s="322"/>
      <c r="FP447" s="286"/>
      <c r="FQ447" s="308"/>
      <c r="FR447" s="322"/>
      <c r="FS447" s="308"/>
      <c r="FT44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7" s="314">
        <f ca="1">IF(Table1[[#This Row],[Status Izin]]="Selesai",Table1[[#This Row],[PLAN PERMIT
finish]]-Table1[[#This Row],[Tanggal Terbit/ Target Izin Terbit]],ROUNDUP(Table1[[#This Row],[PLAN PERMIT
finish]]-NOW(),0))</f>
        <v>-46204</v>
      </c>
      <c r="FV44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7" s="314"/>
      <c r="FX447" s="42"/>
      <c r="FY447" s="540"/>
      <c r="FZ447" s="541"/>
      <c r="GA44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7" s="301"/>
      <c r="GC447" s="322"/>
      <c r="GD44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7" s="301"/>
      <c r="GF447" s="322"/>
      <c r="GG44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7" s="301"/>
      <c r="GI447" s="301"/>
      <c r="GJ447" s="322"/>
      <c r="GK44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7" s="301"/>
      <c r="GM447" s="301" t="e">
        <v>#N/A</v>
      </c>
      <c r="GN447" s="301"/>
      <c r="GO447" s="300" t="e">
        <v>#N/A</v>
      </c>
      <c r="GP447" s="286"/>
      <c r="GQ44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7" s="301"/>
      <c r="GS447" s="301"/>
      <c r="GT447" s="324"/>
      <c r="GU447" s="314" t="str">
        <f>IF(Table1[[#This Row],[Hydro Tes Actual
(tanggal)]]&lt;&gt;"","Sudah","Belum")</f>
        <v>Belum</v>
      </c>
      <c r="GV447" s="300"/>
      <c r="GW447" s="300"/>
      <c r="GX447" s="301"/>
      <c r="GY447" s="314" t="str">
        <f>IF(Table1[[#This Row],[Interkoneksi Actual
(tanggal)]]&lt;&gt;"","Sudah","Belum")</f>
        <v>Belum</v>
      </c>
      <c r="GZ447" s="300"/>
      <c r="HA447" s="300"/>
      <c r="HB447" s="301"/>
      <c r="HC447" s="314" t="str">
        <f>IF(Table1[[#This Row],[Flushing Actual
(tanggal)]]&lt;&gt;"","Sudah","Belum")</f>
        <v>Belum</v>
      </c>
      <c r="HD447" s="301"/>
      <c r="HE447" s="301" t="e">
        <v>#N/A</v>
      </c>
      <c r="HF447" s="301"/>
      <c r="HG447" s="322"/>
      <c r="HH44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7" s="300"/>
      <c r="HJ447" s="300"/>
      <c r="HK447" s="301"/>
      <c r="HL447" s="286"/>
      <c r="HM447" s="301"/>
      <c r="HN447" s="301"/>
      <c r="HO447" s="300" t="e">
        <v>#N/A</v>
      </c>
      <c r="HP447" s="300"/>
      <c r="HQ447" s="301"/>
      <c r="HR44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7" s="322"/>
      <c r="HT447" s="322"/>
      <c r="HU447" s="322"/>
      <c r="HV447" s="447"/>
      <c r="HW447" s="301"/>
      <c r="HX44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7" s="42"/>
      <c r="HZ447" s="322"/>
      <c r="IA447" s="306"/>
      <c r="IB447"/>
      <c r="IC447" s="585">
        <f>IFERROR(ROUND((Table1[[#This Row],[PLAN TC
finish]]-Table1[[#This Row],[PLAN MC-0
start]])/30,2),"")</f>
        <v>0</v>
      </c>
      <c r="ID447">
        <f>DATEDIF(Table1[[#This Row],[PLAN MC-0
start]],Table1[[#This Row],[PLAN TC
finish]],"m")</f>
        <v>0</v>
      </c>
      <c r="IE447" s="8"/>
      <c r="IF447" s="8"/>
      <c r="IG447" s="4"/>
      <c r="IH447" s="6"/>
      <c r="II447" s="67"/>
      <c r="IJ447" s="67"/>
      <c r="IK447" s="8"/>
      <c r="IM447" s="6"/>
      <c r="IN447" s="6"/>
      <c r="IO447" s="67"/>
      <c r="IP447" s="8"/>
      <c r="IR447" s="4"/>
      <c r="IS447" s="4"/>
      <c r="IT447" s="6"/>
      <c r="IU447" s="6"/>
      <c r="IX447" s="6"/>
      <c r="IY447" s="6"/>
      <c r="JA447" s="6"/>
      <c r="JB447" s="6"/>
    </row>
    <row r="448" spans="2:262" ht="15" customHeight="1" x14ac:dyDescent="0.25">
      <c r="B448" s="281">
        <f>SUBTOTAL(3,$D$5:D448)</f>
        <v>444</v>
      </c>
      <c r="C448" s="286">
        <v>460</v>
      </c>
      <c r="D448" s="430" t="s">
        <v>673</v>
      </c>
      <c r="E448" s="308" t="s">
        <v>3483</v>
      </c>
      <c r="F448" s="431" t="s">
        <v>3484</v>
      </c>
      <c r="G448" s="319">
        <v>46482</v>
      </c>
      <c r="H448" s="431" t="s">
        <v>681</v>
      </c>
      <c r="I448" s="308"/>
      <c r="J448" s="450"/>
      <c r="K448" s="308"/>
      <c r="L448" s="286"/>
      <c r="M448" s="325"/>
      <c r="N448" s="528">
        <v>29275</v>
      </c>
      <c r="O448" s="434" t="s">
        <v>252</v>
      </c>
      <c r="P44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48" s="307"/>
      <c r="S448" s="297"/>
      <c r="T448" s="297">
        <f>Table1[[#This Row],[Progres Total Aktual
(%)]]</f>
        <v>0</v>
      </c>
      <c r="U448" s="537">
        <f>Table1[[#This Row],[Progres Aktual
(%)]]-Table1[[#This Row],[Target Progres
(%)]]</f>
        <v>0</v>
      </c>
      <c r="V448" s="538">
        <f>Table1[[#This Row],["Volume
BA MC-0"]]</f>
        <v>0</v>
      </c>
      <c r="W448" s="538">
        <f>Table1[[#This Row],[Total Panjang Pipa Aktual
(Sum-&gt;)3]]</f>
        <v>0</v>
      </c>
      <c r="X448" s="99"/>
      <c r="Y448" s="265"/>
      <c r="Z448" s="478"/>
      <c r="AA448" s="478">
        <f>ROUND((Table1[[#This Row],[Nilai RAB Jaringan
(Exclude Ppn)]]-Table1[[#This Row],[RAB Perizinan]])*1.11+Table1[[#This Row],[RAB Perizinan]],0)</f>
        <v>0</v>
      </c>
      <c r="AB448" s="406">
        <f>SUM(Table1[[#This Row],[RAB Kegiatan Umum]:[RAB Perizinan]])</f>
        <v>0</v>
      </c>
      <c r="AC448" s="406"/>
      <c r="AD448" s="406"/>
      <c r="AE448" s="406"/>
      <c r="AF448" s="406"/>
      <c r="AG448" s="406"/>
      <c r="AH448" s="539" t="e">
        <f>SUM(Table1[[#This Row],[Bobot Keg Umum]:[Bobot Perizinan]])</f>
        <v>#DIV/0!</v>
      </c>
      <c r="AI448" s="539" t="e">
        <f>Table1[[#This Row],[RAB Kegiatan Umum]]/Table1[[#This Row],[Nilai RAB Jaringan
(Exclude Ppn)]]</f>
        <v>#DIV/0!</v>
      </c>
      <c r="AJ448" s="539" t="e">
        <f>Table1[[#This Row],[RAB Pemasangan]]/Table1[[#This Row],[Nilai RAB Jaringan
(Exclude Ppn)]]</f>
        <v>#DIV/0!</v>
      </c>
      <c r="AK448" s="539" t="e">
        <f>Table1[[#This Row],[RAB Pengadaan]]/Table1[[#This Row],[Nilai RAB Jaringan
(Exclude Ppn)]]</f>
        <v>#DIV/0!</v>
      </c>
      <c r="AL448" s="307" t="e">
        <f>Table1[[#This Row],[RAB Perizinan]]/Table1[[#This Row],[Nilai RAB Jaringan
(Exclude Ppn)]]</f>
        <v>#DIV/0!</v>
      </c>
      <c r="AM448" s="42"/>
      <c r="AN448" s="308"/>
      <c r="AO448" s="484">
        <f>SUM(Table1[[#This Row],[Pipa 63 mm]:[Pipa 1,800 mm]])</f>
        <v>0</v>
      </c>
      <c r="AP448" s="308"/>
      <c r="AQ448" s="308"/>
      <c r="AR448" s="308"/>
      <c r="AS448" s="308"/>
      <c r="AT448" s="308"/>
      <c r="AU448" s="308"/>
      <c r="AV448" s="308"/>
      <c r="AW448" s="308"/>
      <c r="AX448" s="308"/>
      <c r="AY448" s="308"/>
      <c r="AZ448" s="308"/>
      <c r="BA448" s="308"/>
      <c r="BB448" s="308"/>
      <c r="BC448" s="308"/>
      <c r="BD448" s="308"/>
      <c r="BE448" s="308"/>
      <c r="BF448" s="308"/>
      <c r="BG448" s="308"/>
      <c r="BH448" s="308"/>
      <c r="BI448" s="308"/>
      <c r="BJ448" s="36">
        <f>SUM(Table1[[#This Row],[Pipa 63 mm2]:[Pipa 1,800 mm21]])</f>
        <v>0</v>
      </c>
      <c r="BK448" s="32"/>
      <c r="BL448" s="32"/>
      <c r="BM448" s="32"/>
      <c r="BN448" s="32"/>
      <c r="BO448" s="32"/>
      <c r="BP448" s="32"/>
      <c r="BQ448" s="32"/>
      <c r="BR448" s="32"/>
      <c r="BS448" s="32"/>
      <c r="BT448" s="32"/>
      <c r="BU448" s="32"/>
      <c r="BV448" s="32"/>
      <c r="BW448" s="32"/>
      <c r="BX448" s="32"/>
      <c r="BY448" s="32"/>
      <c r="BZ448" s="32"/>
      <c r="CA448" s="32"/>
      <c r="CB448" s="32"/>
      <c r="CC448" s="32"/>
      <c r="CD448" s="32"/>
      <c r="CE448" s="32"/>
      <c r="CF448" s="32"/>
      <c r="CG448" s="32"/>
      <c r="CH448" s="32"/>
      <c r="CI448" s="32"/>
      <c r="CJ448" s="32">
        <f>IF((Table1[[#This Row],["Volume
BA MC-0"]]-Table1[[#This Row],[Total Panjang Pipa Aktual
(Sum-&gt;)3]]-Table1[[#This Row],[Total Volume
tidak dapat dipasang]])&gt;=0,Table1[[#This Row],["Volume
BA MC-0"]]-Table1[[#This Row],[Total Panjang Pipa Aktual
(Sum-&gt;)3]]-Table1[[#This Row],[Total Volume
tidak dapat dipasang]],0)</f>
        <v>0</v>
      </c>
      <c r="CK448" s="42"/>
      <c r="CL448" s="113"/>
      <c r="CM448" s="307"/>
      <c r="CN448" s="113"/>
      <c r="CO448" s="113"/>
      <c r="CP448" s="286"/>
      <c r="CQ448" s="406">
        <f>IFERROR(Table1[[#This Row],[Progres Keg. Umum
(%)]]*Table1[[#This Row],[Nilai RAB Jaringan
(file pa aji)]],0)</f>
        <v>0</v>
      </c>
      <c r="CR448" s="406">
        <f>IFERROR(Table1[[#This Row],[Progres MOS
(%)]]*Table1[[#This Row],[Nilai RAB Jaringan
(file pa aji)]],0)</f>
        <v>0</v>
      </c>
      <c r="CS448" s="406">
        <f>IFERROR(Table1[[#This Row],[Progres Pemasangan
(%)]]*Table1[[#This Row],[Nilai RAB Jaringan
(file pa aji)]],0)</f>
        <v>0</v>
      </c>
      <c r="CT448" s="406">
        <f>IFERROR(Table1[[#This Row],[Progres Perizinan
(%)]]*Table1[[#This Row],[Nilai RAB Jaringan
(file pa aji)]],0)</f>
        <v>0</v>
      </c>
      <c r="CU448" s="789">
        <v>1573572235.8831487</v>
      </c>
      <c r="CV448" s="536">
        <v>1573572235.8831487</v>
      </c>
      <c r="CW448" s="481">
        <v>0</v>
      </c>
      <c r="CX448" s="789">
        <f>_xlfn.XLOOKUP(Table1[[#This Row],[Kode Program]],'[1]Breakdown VOWD Greenfield'!$E:$E,'[1]Breakdown VOWD Greenfield'!$AT:$AT)</f>
        <v>0</v>
      </c>
      <c r="CY448" s="42"/>
      <c r="CZ448" s="301"/>
      <c r="DA448" s="301"/>
      <c r="DB448" s="301"/>
      <c r="DC448" s="286"/>
      <c r="DD448" s="478"/>
      <c r="DE44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8" s="301"/>
      <c r="DG448" s="286"/>
      <c r="DH448" s="478"/>
      <c r="DI44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8" s="301"/>
      <c r="DK448" s="301"/>
      <c r="DL448" s="301"/>
      <c r="DM448" s="286"/>
      <c r="DN44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8" s="301"/>
      <c r="DP448" s="286"/>
      <c r="DQ448" s="308"/>
      <c r="DR44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8" s="301"/>
      <c r="DT448" s="301" t="e">
        <v>#N/A</v>
      </c>
      <c r="DU448" s="301"/>
      <c r="DV448" s="301" t="e">
        <v>#N/A</v>
      </c>
      <c r="DW448" s="301"/>
      <c r="DX448" s="286"/>
      <c r="DY448" s="304"/>
      <c r="DZ448" s="304"/>
      <c r="EA44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8" s="301"/>
      <c r="EC448" s="302"/>
      <c r="ED448" s="302"/>
      <c r="EE448" s="300"/>
      <c r="EF448" s="307"/>
      <c r="EG448" s="307"/>
      <c r="EH448" s="286" t="str">
        <f>IF(Table1[[#This Row],[PO Material Aktual 
(%)]]&gt;=100%,"Selesai PO = 100%",IF(Table1[[#This Row],[PO Material Aktual 
(%)]]&gt;=50%,"Proses PO &gt; 100%",IF(Table1[[#This Row],[PO Material Aktual 
(%)]]&gt;0%,"Proses PO &gt; 50%",IF(Table1[[#This Row],[PO Material Aktual 
(%)]]=0,"Belum PO = 0%"))))</f>
        <v>Belum PO = 0%</v>
      </c>
      <c r="EI44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8" s="301"/>
      <c r="EK448" s="301" t="e">
        <v>#N/A</v>
      </c>
      <c r="EL448" s="301"/>
      <c r="EM448" s="301" t="e">
        <v>#N/A</v>
      </c>
      <c r="EN448" s="301"/>
      <c r="EO448" s="286"/>
      <c r="EP448" s="305"/>
      <c r="EQ448" s="307"/>
      <c r="ER448" s="307"/>
      <c r="ES448" s="286" t="str">
        <f>IF(Table1[[#This Row],[Progres MOS]]&gt;=100%,"Selesai MOS = 100%",IF(Table1[[#This Row],[Progres MOS]]&gt;=50%,"Proses MOS &gt; 100%",IF(Table1[[#This Row],[Progres MOS]]&gt;0%,"Proses MOS &gt; 50%",IF(Table1[[#This Row],[Progres MOS]]=0,"Belum MOS = 0%"))))</f>
        <v>Belum MOS = 0%</v>
      </c>
      <c r="ET44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8" s="42"/>
      <c r="EV448" s="301"/>
      <c r="EW448" s="301" t="e">
        <v>#N/A</v>
      </c>
      <c r="EX448" s="301"/>
      <c r="EY448" s="301" t="e">
        <v>#N/A</v>
      </c>
      <c r="EZ448" s="322"/>
      <c r="FA448" s="354"/>
      <c r="FB448" s="301" t="e">
        <v>#N/A</v>
      </c>
      <c r="FC448" s="301" t="e">
        <v>#N/A</v>
      </c>
      <c r="FD448" s="301" t="e">
        <v>#N/A</v>
      </c>
      <c r="FE448" s="301" t="e">
        <v>#N/A</v>
      </c>
      <c r="FF448" s="301" t="e">
        <v>#N/A</v>
      </c>
      <c r="FG448" s="301" t="e">
        <v>#N/A</v>
      </c>
      <c r="FH448" s="301" t="e">
        <v>#N/A</v>
      </c>
      <c r="FI448" s="301" t="e">
        <v>#N/A</v>
      </c>
      <c r="FJ448" s="301" t="e">
        <v>#N/A</v>
      </c>
      <c r="FK448" s="301" t="e">
        <v>#N/A</v>
      </c>
      <c r="FL448" s="322"/>
      <c r="FM448" s="322"/>
      <c r="FN448" s="308" t="str">
        <f>IF(Table1[[#This Row],[Tanggal Pengajuan Dokumen]]="","",Table1[[#This Row],[PLAN PERMIT
start]]-Table1[[#This Row],[Tanggal Pengajuan Dokumen]])</f>
        <v/>
      </c>
      <c r="FO448" s="322"/>
      <c r="FP448" s="286"/>
      <c r="FQ448" s="308"/>
      <c r="FR448" s="322"/>
      <c r="FS448" s="308"/>
      <c r="FT44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8" s="314">
        <f ca="1">IF(Table1[[#This Row],[Status Izin]]="Selesai",Table1[[#This Row],[PLAN PERMIT
finish]]-Table1[[#This Row],[Tanggal Terbit/ Target Izin Terbit]],ROUNDUP(Table1[[#This Row],[PLAN PERMIT
finish]]-NOW(),0))</f>
        <v>-46204</v>
      </c>
      <c r="FV44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8" s="314"/>
      <c r="FX448" s="42"/>
      <c r="FY448" s="540"/>
      <c r="FZ448" s="541"/>
      <c r="GA44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8" s="301"/>
      <c r="GC448" s="322"/>
      <c r="GD44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8" s="301"/>
      <c r="GF448" s="322"/>
      <c r="GG44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8" s="301"/>
      <c r="GI448" s="301"/>
      <c r="GJ448" s="322">
        <v>46121</v>
      </c>
      <c r="GK44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48" s="301"/>
      <c r="GM448" s="301" t="e">
        <v>#N/A</v>
      </c>
      <c r="GN448" s="301"/>
      <c r="GO448" s="497" t="e">
        <v>#N/A</v>
      </c>
      <c r="GP448" s="286"/>
      <c r="GQ44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8" s="301"/>
      <c r="GS448" s="301"/>
      <c r="GT448" s="324"/>
      <c r="GU448" s="314" t="str">
        <f>IF(Table1[[#This Row],[Hydro Tes Actual
(tanggal)]]&lt;&gt;"","Sudah","Belum")</f>
        <v>Belum</v>
      </c>
      <c r="GV448" s="300"/>
      <c r="GW448" s="300"/>
      <c r="GX448" s="301"/>
      <c r="GY448" s="314" t="str">
        <f>IF(Table1[[#This Row],[Interkoneksi Actual
(tanggal)]]&lt;&gt;"","Sudah","Belum")</f>
        <v>Belum</v>
      </c>
      <c r="GZ448" s="300"/>
      <c r="HA448" s="300"/>
      <c r="HB448" s="301"/>
      <c r="HC448" s="314" t="str">
        <f>IF(Table1[[#This Row],[Flushing Actual
(tanggal)]]&lt;&gt;"","Sudah","Belum")</f>
        <v>Belum</v>
      </c>
      <c r="HD448" s="301"/>
      <c r="HE448" s="301" t="e">
        <v>#N/A</v>
      </c>
      <c r="HF448" s="301"/>
      <c r="HG448" s="322"/>
      <c r="HH44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8" s="300"/>
      <c r="HJ448" s="300"/>
      <c r="HK448" s="301"/>
      <c r="HL448" s="286"/>
      <c r="HM448" s="301"/>
      <c r="HN448" s="301"/>
      <c r="HO448" s="497" t="e">
        <v>#N/A</v>
      </c>
      <c r="HP448" s="497"/>
      <c r="HQ448" s="301"/>
      <c r="HR44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8" s="322"/>
      <c r="HT448" s="322"/>
      <c r="HU448" s="322"/>
      <c r="HV448" s="447"/>
      <c r="HW448" s="301"/>
      <c r="HX44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8" s="42"/>
      <c r="HZ448" s="322"/>
      <c r="IA448" s="306"/>
      <c r="IB448"/>
      <c r="IC448" s="585">
        <f>IFERROR(ROUND((Table1[[#This Row],[PLAN TC
finish]]-Table1[[#This Row],[PLAN MC-0
start]])/30,2),"")</f>
        <v>0</v>
      </c>
      <c r="ID448">
        <f>DATEDIF(Table1[[#This Row],[PLAN MC-0
start]],Table1[[#This Row],[PLAN TC
finish]],"m")</f>
        <v>0</v>
      </c>
      <c r="IE448" s="8"/>
      <c r="IF448" s="8"/>
      <c r="IG448" s="4"/>
      <c r="IH448" s="6"/>
      <c r="II448" s="67"/>
      <c r="IJ448" s="67"/>
      <c r="IK448" s="8"/>
      <c r="IM448" s="6"/>
      <c r="IN448" s="6"/>
      <c r="IO448" s="67"/>
      <c r="IP448" s="8"/>
      <c r="IR448" s="4"/>
      <c r="IS448" s="4"/>
      <c r="IT448" s="6"/>
      <c r="IU448" s="6"/>
      <c r="IX448" s="6"/>
      <c r="IY448" s="6"/>
      <c r="JA448" s="6"/>
      <c r="JB448" s="6"/>
    </row>
    <row r="449" spans="2:262" ht="15" customHeight="1" x14ac:dyDescent="0.25">
      <c r="B449" s="281">
        <f>SUBTOTAL(3,$D$5:D449)</f>
        <v>445</v>
      </c>
      <c r="C449" s="286">
        <v>461</v>
      </c>
      <c r="D449" s="430" t="s">
        <v>673</v>
      </c>
      <c r="E449" s="308" t="s">
        <v>3485</v>
      </c>
      <c r="F449" s="431" t="s">
        <v>3486</v>
      </c>
      <c r="G449" s="319">
        <v>46482</v>
      </c>
      <c r="H449" s="431" t="s">
        <v>681</v>
      </c>
      <c r="I449" s="308"/>
      <c r="J449" s="450"/>
      <c r="K449" s="308"/>
      <c r="L449" s="286"/>
      <c r="M449" s="325"/>
      <c r="N449" s="528">
        <v>1587</v>
      </c>
      <c r="O449" s="434" t="s">
        <v>252</v>
      </c>
      <c r="P44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4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49" s="307"/>
      <c r="S449" s="297"/>
      <c r="T449" s="297">
        <f>Table1[[#This Row],[Progres Total Aktual
(%)]]</f>
        <v>0</v>
      </c>
      <c r="U449" s="537">
        <f>Table1[[#This Row],[Progres Aktual
(%)]]-Table1[[#This Row],[Target Progres
(%)]]</f>
        <v>0</v>
      </c>
      <c r="V449" s="538">
        <f>Table1[[#This Row],["Volume
BA MC-0"]]</f>
        <v>0</v>
      </c>
      <c r="W449" s="538">
        <f>Table1[[#This Row],[Total Panjang Pipa Aktual
(Sum-&gt;)3]]</f>
        <v>0</v>
      </c>
      <c r="X449" s="99"/>
      <c r="Y449" s="265"/>
      <c r="Z449" s="478"/>
      <c r="AA449" s="478">
        <f>ROUND((Table1[[#This Row],[Nilai RAB Jaringan
(Exclude Ppn)]]-Table1[[#This Row],[RAB Perizinan]])*1.11+Table1[[#This Row],[RAB Perizinan]],0)</f>
        <v>0</v>
      </c>
      <c r="AB449" s="406">
        <f>SUM(Table1[[#This Row],[RAB Kegiatan Umum]:[RAB Perizinan]])</f>
        <v>0</v>
      </c>
      <c r="AC449" s="406"/>
      <c r="AD449" s="406"/>
      <c r="AE449" s="406"/>
      <c r="AF449" s="406"/>
      <c r="AG449" s="406"/>
      <c r="AH449" s="539" t="e">
        <f>SUM(Table1[[#This Row],[Bobot Keg Umum]:[Bobot Perizinan]])</f>
        <v>#DIV/0!</v>
      </c>
      <c r="AI449" s="539" t="e">
        <f>Table1[[#This Row],[RAB Kegiatan Umum]]/Table1[[#This Row],[Nilai RAB Jaringan
(Exclude Ppn)]]</f>
        <v>#DIV/0!</v>
      </c>
      <c r="AJ449" s="539" t="e">
        <f>Table1[[#This Row],[RAB Pemasangan]]/Table1[[#This Row],[Nilai RAB Jaringan
(Exclude Ppn)]]</f>
        <v>#DIV/0!</v>
      </c>
      <c r="AK449" s="539" t="e">
        <f>Table1[[#This Row],[RAB Pengadaan]]/Table1[[#This Row],[Nilai RAB Jaringan
(Exclude Ppn)]]</f>
        <v>#DIV/0!</v>
      </c>
      <c r="AL449" s="307" t="e">
        <f>Table1[[#This Row],[RAB Perizinan]]/Table1[[#This Row],[Nilai RAB Jaringan
(Exclude Ppn)]]</f>
        <v>#DIV/0!</v>
      </c>
      <c r="AM449" s="42"/>
      <c r="AN449" s="308"/>
      <c r="AO449" s="484">
        <f>SUM(Table1[[#This Row],[Pipa 63 mm]:[Pipa 1,800 mm]])</f>
        <v>0</v>
      </c>
      <c r="AP449" s="308"/>
      <c r="AQ449" s="308"/>
      <c r="AR449" s="308"/>
      <c r="AS449" s="308"/>
      <c r="AT449" s="308"/>
      <c r="AU449" s="308"/>
      <c r="AV449" s="308"/>
      <c r="AW449" s="308"/>
      <c r="AX449" s="308"/>
      <c r="AY449" s="308"/>
      <c r="AZ449" s="308"/>
      <c r="BA449" s="308"/>
      <c r="BB449" s="308"/>
      <c r="BC449" s="308"/>
      <c r="BD449" s="308"/>
      <c r="BE449" s="308"/>
      <c r="BF449" s="308"/>
      <c r="BG449" s="308"/>
      <c r="BH449" s="308"/>
      <c r="BI449" s="308"/>
      <c r="BJ449" s="36">
        <f>SUM(Table1[[#This Row],[Pipa 63 mm2]:[Pipa 1,800 mm21]])</f>
        <v>0</v>
      </c>
      <c r="BK449" s="32"/>
      <c r="BL449" s="32"/>
      <c r="BM449" s="32"/>
      <c r="BN449" s="32"/>
      <c r="BO449" s="32"/>
      <c r="BP449" s="32"/>
      <c r="BQ449" s="32"/>
      <c r="BR449" s="32"/>
      <c r="BS449" s="32"/>
      <c r="BT449" s="32"/>
      <c r="BU449" s="32"/>
      <c r="BV449" s="32"/>
      <c r="BW449" s="32"/>
      <c r="BX449" s="32"/>
      <c r="BY449" s="32"/>
      <c r="BZ449" s="32"/>
      <c r="CA449" s="32"/>
      <c r="CB449" s="32"/>
      <c r="CC449" s="32"/>
      <c r="CD449" s="32"/>
      <c r="CE449" s="32"/>
      <c r="CF449" s="32"/>
      <c r="CG449" s="32"/>
      <c r="CH449" s="32"/>
      <c r="CI449" s="32"/>
      <c r="CJ449" s="32">
        <f>IF((Table1[[#This Row],["Volume
BA MC-0"]]-Table1[[#This Row],[Total Panjang Pipa Aktual
(Sum-&gt;)3]]-Table1[[#This Row],[Total Volume
tidak dapat dipasang]])&gt;=0,Table1[[#This Row],["Volume
BA MC-0"]]-Table1[[#This Row],[Total Panjang Pipa Aktual
(Sum-&gt;)3]]-Table1[[#This Row],[Total Volume
tidak dapat dipasang]],0)</f>
        <v>0</v>
      </c>
      <c r="CK449" s="42"/>
      <c r="CL449" s="113"/>
      <c r="CM449" s="307"/>
      <c r="CN449" s="113"/>
      <c r="CO449" s="113"/>
      <c r="CP449" s="286"/>
      <c r="CQ449" s="406">
        <f>IFERROR(Table1[[#This Row],[Progres Keg. Umum
(%)]]*Table1[[#This Row],[Nilai RAB Jaringan
(file pa aji)]],0)</f>
        <v>0</v>
      </c>
      <c r="CR449" s="406">
        <f>IFERROR(Table1[[#This Row],[Progres MOS
(%)]]*Table1[[#This Row],[Nilai RAB Jaringan
(file pa aji)]],0)</f>
        <v>0</v>
      </c>
      <c r="CS449" s="406">
        <f>IFERROR(Table1[[#This Row],[Progres Pemasangan
(%)]]*Table1[[#This Row],[Nilai RAB Jaringan
(file pa aji)]],0)</f>
        <v>0</v>
      </c>
      <c r="CT449" s="406">
        <f>IFERROR(Table1[[#This Row],[Progres Perizinan
(%)]]*Table1[[#This Row],[Nilai RAB Jaringan
(file pa aji)]],0)</f>
        <v>0</v>
      </c>
      <c r="CU449" s="789">
        <v>0</v>
      </c>
      <c r="CV449" s="536">
        <v>0</v>
      </c>
      <c r="CW449" s="481">
        <v>0</v>
      </c>
      <c r="CX449" s="789">
        <f>_xlfn.XLOOKUP(Table1[[#This Row],[Kode Program]],'[1]Breakdown VOWD Greenfield'!$E:$E,'[1]Breakdown VOWD Greenfield'!$AT:$AT)</f>
        <v>0</v>
      </c>
      <c r="CY449" s="42"/>
      <c r="CZ449" s="301"/>
      <c r="DA449" s="301"/>
      <c r="DB449" s="301"/>
      <c r="DC449" s="286"/>
      <c r="DD449" s="478"/>
      <c r="DE44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49" s="301"/>
      <c r="DG449" s="286"/>
      <c r="DH449" s="478"/>
      <c r="DI44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49" s="301"/>
      <c r="DK449" s="301"/>
      <c r="DL449" s="301"/>
      <c r="DM449" s="286"/>
      <c r="DN449"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49" s="301"/>
      <c r="DP449" s="286"/>
      <c r="DQ449" s="308"/>
      <c r="DR449"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49" s="301"/>
      <c r="DT449" s="301" t="e">
        <v>#N/A</v>
      </c>
      <c r="DU449" s="301"/>
      <c r="DV449" s="301" t="e">
        <v>#N/A</v>
      </c>
      <c r="DW449" s="301"/>
      <c r="DX449" s="286"/>
      <c r="DY449" s="305"/>
      <c r="DZ449" s="305"/>
      <c r="EA449"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49" s="301"/>
      <c r="EC449" s="302"/>
      <c r="ED449" s="302"/>
      <c r="EE449" s="300"/>
      <c r="EF449" s="307"/>
      <c r="EG449" s="307"/>
      <c r="EH449" s="286" t="str">
        <f>IF(Table1[[#This Row],[PO Material Aktual 
(%)]]&gt;=100%,"Selesai PO = 100%",IF(Table1[[#This Row],[PO Material Aktual 
(%)]]&gt;=50%,"Proses PO &gt; 100%",IF(Table1[[#This Row],[PO Material Aktual 
(%)]]&gt;0%,"Proses PO &gt; 50%",IF(Table1[[#This Row],[PO Material Aktual 
(%)]]=0,"Belum PO = 0%"))))</f>
        <v>Belum PO = 0%</v>
      </c>
      <c r="EI44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49" s="301"/>
      <c r="EK449" s="301" t="e">
        <v>#N/A</v>
      </c>
      <c r="EL449" s="301"/>
      <c r="EM449" s="301" t="e">
        <v>#N/A</v>
      </c>
      <c r="EN449" s="301"/>
      <c r="EO449" s="286"/>
      <c r="EP449" s="305"/>
      <c r="EQ449" s="307"/>
      <c r="ER449" s="307"/>
      <c r="ES449" s="286" t="str">
        <f>IF(Table1[[#This Row],[Progres MOS]]&gt;=100%,"Selesai MOS = 100%",IF(Table1[[#This Row],[Progres MOS]]&gt;=50%,"Proses MOS &gt; 100%",IF(Table1[[#This Row],[Progres MOS]]&gt;0%,"Proses MOS &gt; 50%",IF(Table1[[#This Row],[Progres MOS]]=0,"Belum MOS = 0%"))))</f>
        <v>Belum MOS = 0%</v>
      </c>
      <c r="ET44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49" s="42"/>
      <c r="EV449" s="301"/>
      <c r="EW449" s="301" t="e">
        <v>#N/A</v>
      </c>
      <c r="EX449" s="301"/>
      <c r="EY449" s="301" t="e">
        <v>#N/A</v>
      </c>
      <c r="EZ449" s="322"/>
      <c r="FA449" s="354"/>
      <c r="FB449" s="301" t="e">
        <v>#N/A</v>
      </c>
      <c r="FC449" s="301" t="e">
        <v>#N/A</v>
      </c>
      <c r="FD449" s="301" t="e">
        <v>#N/A</v>
      </c>
      <c r="FE449" s="301" t="e">
        <v>#N/A</v>
      </c>
      <c r="FF449" s="301" t="e">
        <v>#N/A</v>
      </c>
      <c r="FG449" s="301" t="e">
        <v>#N/A</v>
      </c>
      <c r="FH449" s="301" t="e">
        <v>#N/A</v>
      </c>
      <c r="FI449" s="301" t="e">
        <v>#N/A</v>
      </c>
      <c r="FJ449" s="301" t="e">
        <v>#N/A</v>
      </c>
      <c r="FK449" s="301" t="e">
        <v>#N/A</v>
      </c>
      <c r="FL449" s="322"/>
      <c r="FM449" s="322"/>
      <c r="FN449" s="308" t="str">
        <f>IF(Table1[[#This Row],[Tanggal Pengajuan Dokumen]]="","",Table1[[#This Row],[PLAN PERMIT
start]]-Table1[[#This Row],[Tanggal Pengajuan Dokumen]])</f>
        <v/>
      </c>
      <c r="FO449" s="322"/>
      <c r="FP449" s="286"/>
      <c r="FQ449" s="308"/>
      <c r="FR449" s="322"/>
      <c r="FS449" s="308"/>
      <c r="FT44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49" s="314">
        <f ca="1">IF(Table1[[#This Row],[Status Izin]]="Selesai",Table1[[#This Row],[PLAN PERMIT
finish]]-Table1[[#This Row],[Tanggal Terbit/ Target Izin Terbit]],ROUNDUP(Table1[[#This Row],[PLAN PERMIT
finish]]-NOW(),0))</f>
        <v>-46204</v>
      </c>
      <c r="FV44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49" s="314"/>
      <c r="FX449" s="42"/>
      <c r="FY449" s="540"/>
      <c r="FZ449" s="541"/>
      <c r="GA449"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49" s="301"/>
      <c r="GC449" s="322"/>
      <c r="GD44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49" s="301"/>
      <c r="GF449" s="322"/>
      <c r="GG44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49" s="301"/>
      <c r="GI449" s="301"/>
      <c r="GJ449" s="322"/>
      <c r="GK44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49" s="301"/>
      <c r="GM449" s="301" t="e">
        <v>#N/A</v>
      </c>
      <c r="GN449" s="301"/>
      <c r="GO449" s="497" t="e">
        <v>#N/A</v>
      </c>
      <c r="GP449" s="286"/>
      <c r="GQ44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49" s="301"/>
      <c r="GS449" s="301"/>
      <c r="GT449" s="324"/>
      <c r="GU449" s="314" t="str">
        <f>IF(Table1[[#This Row],[Hydro Tes Actual
(tanggal)]]&lt;&gt;"","Sudah","Belum")</f>
        <v>Belum</v>
      </c>
      <c r="GV449" s="300"/>
      <c r="GW449" s="300"/>
      <c r="GX449" s="301"/>
      <c r="GY449" s="314" t="str">
        <f>IF(Table1[[#This Row],[Interkoneksi Actual
(tanggal)]]&lt;&gt;"","Sudah","Belum")</f>
        <v>Belum</v>
      </c>
      <c r="GZ449" s="300"/>
      <c r="HA449" s="300"/>
      <c r="HB449" s="301"/>
      <c r="HC449" s="314" t="str">
        <f>IF(Table1[[#This Row],[Flushing Actual
(tanggal)]]&lt;&gt;"","Sudah","Belum")</f>
        <v>Belum</v>
      </c>
      <c r="HD449" s="301"/>
      <c r="HE449" s="301" t="e">
        <v>#N/A</v>
      </c>
      <c r="HF449" s="301"/>
      <c r="HG449" s="322"/>
      <c r="HH44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49" s="300"/>
      <c r="HJ449" s="300"/>
      <c r="HK449" s="301"/>
      <c r="HL449" s="286"/>
      <c r="HM449" s="301"/>
      <c r="HN449" s="301"/>
      <c r="HO449" s="497" t="e">
        <v>#N/A</v>
      </c>
      <c r="HP449" s="497"/>
      <c r="HQ449" s="301"/>
      <c r="HR44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49" s="322"/>
      <c r="HT449" s="322"/>
      <c r="HU449" s="322"/>
      <c r="HV449" s="444"/>
      <c r="HW449" s="301"/>
      <c r="HX44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49" s="42"/>
      <c r="HZ449" s="322"/>
      <c r="IA449" s="306"/>
      <c r="IB449"/>
      <c r="IC449" s="585">
        <f>IFERROR(ROUND((Table1[[#This Row],[PLAN TC
finish]]-Table1[[#This Row],[PLAN MC-0
start]])/30,2),"")</f>
        <v>0</v>
      </c>
      <c r="ID449">
        <f>DATEDIF(Table1[[#This Row],[PLAN MC-0
start]],Table1[[#This Row],[PLAN TC
finish]],"m")</f>
        <v>0</v>
      </c>
      <c r="IE449" s="8"/>
      <c r="IF449" s="8"/>
      <c r="IG449" s="4"/>
      <c r="IH449" s="6"/>
      <c r="II449" s="67"/>
      <c r="IJ449" s="67"/>
      <c r="IK449" s="8"/>
      <c r="IM449" s="6"/>
      <c r="IN449" s="6"/>
      <c r="IO449" s="67"/>
      <c r="IP449" s="8"/>
      <c r="IR449" s="4"/>
      <c r="IS449" s="4"/>
      <c r="IT449" s="6"/>
      <c r="IU449" s="6"/>
      <c r="IX449" s="6"/>
      <c r="IY449" s="6"/>
      <c r="JA449" s="6"/>
      <c r="JB449" s="6"/>
    </row>
    <row r="450" spans="2:262" ht="15" customHeight="1" x14ac:dyDescent="0.25">
      <c r="B450" s="281">
        <f>SUBTOTAL(3,$D$5:D450)</f>
        <v>446</v>
      </c>
      <c r="C450" s="286">
        <v>462</v>
      </c>
      <c r="D450" s="430" t="s">
        <v>673</v>
      </c>
      <c r="E450" s="308" t="s">
        <v>3487</v>
      </c>
      <c r="F450" s="431" t="s">
        <v>3488</v>
      </c>
      <c r="G450" s="319">
        <v>46482</v>
      </c>
      <c r="H450" s="431" t="s">
        <v>681</v>
      </c>
      <c r="I450" s="308"/>
      <c r="J450" s="450"/>
      <c r="K450" s="308"/>
      <c r="L450" s="286"/>
      <c r="M450" s="325"/>
      <c r="N450" s="528">
        <v>532</v>
      </c>
      <c r="O450" s="434" t="s">
        <v>252</v>
      </c>
      <c r="P45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0" s="307"/>
      <c r="S450" s="297"/>
      <c r="T450" s="297">
        <f>Table1[[#This Row],[Progres Total Aktual
(%)]]</f>
        <v>0</v>
      </c>
      <c r="U450" s="537">
        <f>Table1[[#This Row],[Progres Aktual
(%)]]-Table1[[#This Row],[Target Progres
(%)]]</f>
        <v>0</v>
      </c>
      <c r="V450" s="538">
        <f>Table1[[#This Row],["Volume
BA MC-0"]]</f>
        <v>0</v>
      </c>
      <c r="W450" s="538">
        <f>Table1[[#This Row],[Total Panjang Pipa Aktual
(Sum-&gt;)3]]</f>
        <v>0</v>
      </c>
      <c r="X450" s="99"/>
      <c r="Y450" s="265"/>
      <c r="Z450" s="478"/>
      <c r="AA450" s="478">
        <f>ROUND((Table1[[#This Row],[Nilai RAB Jaringan
(Exclude Ppn)]]-Table1[[#This Row],[RAB Perizinan]])*1.11+Table1[[#This Row],[RAB Perizinan]],0)</f>
        <v>0</v>
      </c>
      <c r="AB450" s="406">
        <f>SUM(Table1[[#This Row],[RAB Kegiatan Umum]:[RAB Perizinan]])</f>
        <v>0</v>
      </c>
      <c r="AC450" s="406"/>
      <c r="AD450" s="406"/>
      <c r="AE450" s="406"/>
      <c r="AF450" s="406"/>
      <c r="AG450" s="406"/>
      <c r="AH450" s="539" t="e">
        <f>SUM(Table1[[#This Row],[Bobot Keg Umum]:[Bobot Perizinan]])</f>
        <v>#DIV/0!</v>
      </c>
      <c r="AI450" s="539" t="e">
        <f>Table1[[#This Row],[RAB Kegiatan Umum]]/Table1[[#This Row],[Nilai RAB Jaringan
(Exclude Ppn)]]</f>
        <v>#DIV/0!</v>
      </c>
      <c r="AJ450" s="539" t="e">
        <f>Table1[[#This Row],[RAB Pemasangan]]/Table1[[#This Row],[Nilai RAB Jaringan
(Exclude Ppn)]]</f>
        <v>#DIV/0!</v>
      </c>
      <c r="AK450" s="539" t="e">
        <f>Table1[[#This Row],[RAB Pengadaan]]/Table1[[#This Row],[Nilai RAB Jaringan
(Exclude Ppn)]]</f>
        <v>#DIV/0!</v>
      </c>
      <c r="AL450" s="307" t="e">
        <f>Table1[[#This Row],[RAB Perizinan]]/Table1[[#This Row],[Nilai RAB Jaringan
(Exclude Ppn)]]</f>
        <v>#DIV/0!</v>
      </c>
      <c r="AM450" s="42"/>
      <c r="AN450" s="308"/>
      <c r="AO450" s="484">
        <f>SUM(Table1[[#This Row],[Pipa 63 mm]:[Pipa 1,800 mm]])</f>
        <v>0</v>
      </c>
      <c r="AP450" s="308"/>
      <c r="AQ450" s="308"/>
      <c r="AR450" s="308"/>
      <c r="AS450" s="308"/>
      <c r="AT450" s="308"/>
      <c r="AU450" s="308"/>
      <c r="AV450" s="308"/>
      <c r="AW450" s="308"/>
      <c r="AX450" s="308"/>
      <c r="AY450" s="308"/>
      <c r="AZ450" s="308"/>
      <c r="BA450" s="308"/>
      <c r="BB450" s="308"/>
      <c r="BC450" s="308"/>
      <c r="BD450" s="308"/>
      <c r="BE450" s="308"/>
      <c r="BF450" s="308"/>
      <c r="BG450" s="308"/>
      <c r="BH450" s="308"/>
      <c r="BI450" s="308"/>
      <c r="BJ450" s="36">
        <f>SUM(Table1[[#This Row],[Pipa 63 mm2]:[Pipa 1,800 mm21]])</f>
        <v>0</v>
      </c>
      <c r="BK450" s="32"/>
      <c r="BL450" s="32"/>
      <c r="BM450" s="32"/>
      <c r="BN450" s="32"/>
      <c r="BO450" s="32"/>
      <c r="BP450" s="32"/>
      <c r="BQ450" s="32"/>
      <c r="BR450" s="32"/>
      <c r="BS450" s="32"/>
      <c r="BT450" s="32"/>
      <c r="BU450" s="32"/>
      <c r="BV450" s="32"/>
      <c r="BW450" s="32"/>
      <c r="BX450" s="32"/>
      <c r="BY450" s="32"/>
      <c r="BZ450" s="32"/>
      <c r="CA450" s="32"/>
      <c r="CB450" s="32"/>
      <c r="CC450" s="32"/>
      <c r="CD450" s="32"/>
      <c r="CE450" s="32"/>
      <c r="CF450" s="32"/>
      <c r="CG450" s="32"/>
      <c r="CH450" s="32"/>
      <c r="CI450" s="32"/>
      <c r="CJ450" s="32">
        <f>IF((Table1[[#This Row],["Volume
BA MC-0"]]-Table1[[#This Row],[Total Panjang Pipa Aktual
(Sum-&gt;)3]]-Table1[[#This Row],[Total Volume
tidak dapat dipasang]])&gt;=0,Table1[[#This Row],["Volume
BA MC-0"]]-Table1[[#This Row],[Total Panjang Pipa Aktual
(Sum-&gt;)3]]-Table1[[#This Row],[Total Volume
tidak dapat dipasang]],0)</f>
        <v>0</v>
      </c>
      <c r="CK450" s="42"/>
      <c r="CL450" s="113"/>
      <c r="CM450" s="307"/>
      <c r="CN450" s="113"/>
      <c r="CO450" s="113"/>
      <c r="CP450" s="286"/>
      <c r="CQ450" s="406">
        <f>IFERROR(Table1[[#This Row],[Progres Keg. Umum
(%)]]*Table1[[#This Row],[Nilai RAB Jaringan
(file pa aji)]],0)</f>
        <v>0</v>
      </c>
      <c r="CR450" s="406">
        <f>IFERROR(Table1[[#This Row],[Progres MOS
(%)]]*Table1[[#This Row],[Nilai RAB Jaringan
(file pa aji)]],0)</f>
        <v>0</v>
      </c>
      <c r="CS450" s="406">
        <f>IFERROR(Table1[[#This Row],[Progres Pemasangan
(%)]]*Table1[[#This Row],[Nilai RAB Jaringan
(file pa aji)]],0)</f>
        <v>0</v>
      </c>
      <c r="CT450" s="406">
        <f>IFERROR(Table1[[#This Row],[Progres Perizinan
(%)]]*Table1[[#This Row],[Nilai RAB Jaringan
(file pa aji)]],0)</f>
        <v>0</v>
      </c>
      <c r="CU450" s="789">
        <v>0</v>
      </c>
      <c r="CV450" s="536">
        <v>0</v>
      </c>
      <c r="CW450" s="481">
        <v>0</v>
      </c>
      <c r="CX450" s="789">
        <f>_xlfn.XLOOKUP(Table1[[#This Row],[Kode Program]],'[1]Breakdown VOWD Greenfield'!$E:$E,'[1]Breakdown VOWD Greenfield'!$AT:$AT)</f>
        <v>0</v>
      </c>
      <c r="CY450" s="42"/>
      <c r="CZ450" s="301"/>
      <c r="DA450" s="301"/>
      <c r="DB450" s="301"/>
      <c r="DC450" s="286"/>
      <c r="DD450" s="478"/>
      <c r="DE45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0" s="301"/>
      <c r="DG450" s="286"/>
      <c r="DH450" s="478"/>
      <c r="DI45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0" s="301"/>
      <c r="DK450" s="301"/>
      <c r="DL450" s="301"/>
      <c r="DM450" s="286"/>
      <c r="DN450"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0" s="301"/>
      <c r="DP450" s="286"/>
      <c r="DQ450" s="308"/>
      <c r="DR450"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0" s="301"/>
      <c r="DT450" s="301" t="e">
        <v>#N/A</v>
      </c>
      <c r="DU450" s="301"/>
      <c r="DV450" s="301" t="e">
        <v>#N/A</v>
      </c>
      <c r="DW450" s="301"/>
      <c r="DX450" s="286"/>
      <c r="DY450" s="305"/>
      <c r="DZ450" s="305"/>
      <c r="EA450"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0" s="301"/>
      <c r="EC450" s="302"/>
      <c r="ED450" s="302"/>
      <c r="EE450" s="300"/>
      <c r="EF450" s="307"/>
      <c r="EG450" s="307"/>
      <c r="EH450" s="286" t="str">
        <f>IF(Table1[[#This Row],[PO Material Aktual 
(%)]]&gt;=100%,"Selesai PO = 100%",IF(Table1[[#This Row],[PO Material Aktual 
(%)]]&gt;=50%,"Proses PO &gt; 100%",IF(Table1[[#This Row],[PO Material Aktual 
(%)]]&gt;0%,"Proses PO &gt; 50%",IF(Table1[[#This Row],[PO Material Aktual 
(%)]]=0,"Belum PO = 0%"))))</f>
        <v>Belum PO = 0%</v>
      </c>
      <c r="EI45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0" s="301"/>
      <c r="EK450" s="301" t="e">
        <v>#N/A</v>
      </c>
      <c r="EL450" s="301"/>
      <c r="EM450" s="301" t="e">
        <v>#N/A</v>
      </c>
      <c r="EN450" s="301"/>
      <c r="EO450" s="286"/>
      <c r="EP450" s="305"/>
      <c r="EQ450" s="307"/>
      <c r="ER450" s="307"/>
      <c r="ES450" s="286" t="str">
        <f>IF(Table1[[#This Row],[Progres MOS]]&gt;=100%,"Selesai MOS = 100%",IF(Table1[[#This Row],[Progres MOS]]&gt;=50%,"Proses MOS &gt; 100%",IF(Table1[[#This Row],[Progres MOS]]&gt;0%,"Proses MOS &gt; 50%",IF(Table1[[#This Row],[Progres MOS]]=0,"Belum MOS = 0%"))))</f>
        <v>Belum MOS = 0%</v>
      </c>
      <c r="ET45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0" s="42"/>
      <c r="EV450" s="301"/>
      <c r="EW450" s="301" t="e">
        <v>#N/A</v>
      </c>
      <c r="EX450" s="301"/>
      <c r="EY450" s="301" t="e">
        <v>#N/A</v>
      </c>
      <c r="EZ450" s="322"/>
      <c r="FA450" s="354"/>
      <c r="FB450" s="301" t="e">
        <v>#N/A</v>
      </c>
      <c r="FC450" s="301" t="e">
        <v>#N/A</v>
      </c>
      <c r="FD450" s="301" t="e">
        <v>#N/A</v>
      </c>
      <c r="FE450" s="301" t="e">
        <v>#N/A</v>
      </c>
      <c r="FF450" s="301" t="e">
        <v>#N/A</v>
      </c>
      <c r="FG450" s="301" t="e">
        <v>#N/A</v>
      </c>
      <c r="FH450" s="301" t="e">
        <v>#N/A</v>
      </c>
      <c r="FI450" s="301" t="e">
        <v>#N/A</v>
      </c>
      <c r="FJ450" s="301" t="e">
        <v>#N/A</v>
      </c>
      <c r="FK450" s="301" t="e">
        <v>#N/A</v>
      </c>
      <c r="FL450" s="322"/>
      <c r="FM450" s="322"/>
      <c r="FN450" s="308" t="str">
        <f>IF(Table1[[#This Row],[Tanggal Pengajuan Dokumen]]="","",Table1[[#This Row],[PLAN PERMIT
start]]-Table1[[#This Row],[Tanggal Pengajuan Dokumen]])</f>
        <v/>
      </c>
      <c r="FO450" s="322"/>
      <c r="FP450" s="286"/>
      <c r="FQ450" s="308"/>
      <c r="FR450" s="322"/>
      <c r="FS450" s="308"/>
      <c r="FT45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0" s="314">
        <f ca="1">IF(Table1[[#This Row],[Status Izin]]="Selesai",Table1[[#This Row],[PLAN PERMIT
finish]]-Table1[[#This Row],[Tanggal Terbit/ Target Izin Terbit]],ROUNDUP(Table1[[#This Row],[PLAN PERMIT
finish]]-NOW(),0))</f>
        <v>-46204</v>
      </c>
      <c r="FV45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0" s="314"/>
      <c r="FX450" s="42"/>
      <c r="FY450" s="540"/>
      <c r="FZ450" s="541"/>
      <c r="GA450"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0" s="301"/>
      <c r="GC450" s="322"/>
      <c r="GD45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0" s="301"/>
      <c r="GF450" s="322"/>
      <c r="GG45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0" s="301"/>
      <c r="GI450" s="301"/>
      <c r="GJ450" s="322"/>
      <c r="GK45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0" s="301"/>
      <c r="GM450" s="301" t="e">
        <v>#N/A</v>
      </c>
      <c r="GN450" s="301"/>
      <c r="GO450" s="497" t="e">
        <v>#N/A</v>
      </c>
      <c r="GP450" s="286"/>
      <c r="GQ45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0" s="301"/>
      <c r="GS450" s="301"/>
      <c r="GT450" s="324"/>
      <c r="GU450" s="314" t="str">
        <f>IF(Table1[[#This Row],[Hydro Tes Actual
(tanggal)]]&lt;&gt;"","Sudah","Belum")</f>
        <v>Belum</v>
      </c>
      <c r="GV450" s="300"/>
      <c r="GW450" s="300"/>
      <c r="GX450" s="301"/>
      <c r="GY450" s="314" t="str">
        <f>IF(Table1[[#This Row],[Interkoneksi Actual
(tanggal)]]&lt;&gt;"","Sudah","Belum")</f>
        <v>Belum</v>
      </c>
      <c r="GZ450" s="300"/>
      <c r="HA450" s="300"/>
      <c r="HB450" s="301"/>
      <c r="HC450" s="314" t="str">
        <f>IF(Table1[[#This Row],[Flushing Actual
(tanggal)]]&lt;&gt;"","Sudah","Belum")</f>
        <v>Belum</v>
      </c>
      <c r="HD450" s="301"/>
      <c r="HE450" s="301" t="e">
        <v>#N/A</v>
      </c>
      <c r="HF450" s="301"/>
      <c r="HG450" s="322"/>
      <c r="HH45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0" s="300"/>
      <c r="HJ450" s="300"/>
      <c r="HK450" s="301"/>
      <c r="HL450" s="286"/>
      <c r="HM450" s="301"/>
      <c r="HN450" s="301"/>
      <c r="HO450" s="497" t="e">
        <v>#N/A</v>
      </c>
      <c r="HP450" s="497"/>
      <c r="HQ450" s="301"/>
      <c r="HR45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0" s="322"/>
      <c r="HT450" s="322"/>
      <c r="HU450" s="322"/>
      <c r="HV450" s="444"/>
      <c r="HW450" s="301"/>
      <c r="HX45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0" s="42"/>
      <c r="HZ450" s="322"/>
      <c r="IA450" s="306"/>
      <c r="IB450"/>
      <c r="IC450" s="585">
        <f>IFERROR(ROUND((Table1[[#This Row],[PLAN TC
finish]]-Table1[[#This Row],[PLAN MC-0
start]])/30,2),"")</f>
        <v>0</v>
      </c>
      <c r="ID450">
        <f>DATEDIF(Table1[[#This Row],[PLAN MC-0
start]],Table1[[#This Row],[PLAN TC
finish]],"m")</f>
        <v>0</v>
      </c>
      <c r="IE450" s="8"/>
      <c r="IF450" s="8"/>
      <c r="IG450" s="4"/>
      <c r="IH450" s="6"/>
      <c r="II450" s="67"/>
      <c r="IJ450" s="67"/>
      <c r="IK450" s="8"/>
      <c r="IM450" s="6"/>
      <c r="IN450" s="6"/>
      <c r="IO450" s="67"/>
      <c r="IP450" s="8"/>
      <c r="IR450" s="4"/>
      <c r="IS450" s="4"/>
      <c r="IT450" s="6"/>
      <c r="IU450" s="6"/>
      <c r="IX450" s="6"/>
      <c r="IY450" s="6"/>
      <c r="JA450" s="6"/>
      <c r="JB450" s="6"/>
    </row>
    <row r="451" spans="2:262" ht="15" customHeight="1" x14ac:dyDescent="0.25">
      <c r="B451" s="281">
        <f>SUBTOTAL(3,$D$5:D451)</f>
        <v>447</v>
      </c>
      <c r="C451" s="286">
        <v>463</v>
      </c>
      <c r="D451" s="430" t="s">
        <v>673</v>
      </c>
      <c r="E451" s="308" t="s">
        <v>3489</v>
      </c>
      <c r="F451" s="431" t="s">
        <v>3490</v>
      </c>
      <c r="G451" s="319">
        <v>46482</v>
      </c>
      <c r="H451" s="431" t="s">
        <v>681</v>
      </c>
      <c r="I451" s="308"/>
      <c r="J451" s="450"/>
      <c r="K451" s="308"/>
      <c r="L451" s="286"/>
      <c r="M451" s="325"/>
      <c r="N451" s="528">
        <v>0</v>
      </c>
      <c r="O451" s="434" t="s">
        <v>252</v>
      </c>
      <c r="P45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1" s="307"/>
      <c r="S451" s="297"/>
      <c r="T451" s="297">
        <f>Table1[[#This Row],[Progres Total Aktual
(%)]]</f>
        <v>0</v>
      </c>
      <c r="U451" s="537">
        <f>Table1[[#This Row],[Progres Aktual
(%)]]-Table1[[#This Row],[Target Progres
(%)]]</f>
        <v>0</v>
      </c>
      <c r="V451" s="538">
        <f>Table1[[#This Row],["Volume
BA MC-0"]]</f>
        <v>0</v>
      </c>
      <c r="W451" s="538">
        <f>Table1[[#This Row],[Total Panjang Pipa Aktual
(Sum-&gt;)3]]</f>
        <v>0</v>
      </c>
      <c r="X451" s="99"/>
      <c r="Y451" s="265"/>
      <c r="Z451" s="478"/>
      <c r="AA451" s="478">
        <f>ROUND((Table1[[#This Row],[Nilai RAB Jaringan
(Exclude Ppn)]]-Table1[[#This Row],[RAB Perizinan]])*1.11+Table1[[#This Row],[RAB Perizinan]],0)</f>
        <v>0</v>
      </c>
      <c r="AB451" s="406">
        <f>SUM(Table1[[#This Row],[RAB Kegiatan Umum]:[RAB Perizinan]])</f>
        <v>0</v>
      </c>
      <c r="AC451" s="406"/>
      <c r="AD451" s="406"/>
      <c r="AE451" s="406"/>
      <c r="AF451" s="406"/>
      <c r="AG451" s="406"/>
      <c r="AH451" s="539" t="e">
        <f>SUM(Table1[[#This Row],[Bobot Keg Umum]:[Bobot Perizinan]])</f>
        <v>#DIV/0!</v>
      </c>
      <c r="AI451" s="539" t="e">
        <f>Table1[[#This Row],[RAB Kegiatan Umum]]/Table1[[#This Row],[Nilai RAB Jaringan
(Exclude Ppn)]]</f>
        <v>#DIV/0!</v>
      </c>
      <c r="AJ451" s="539" t="e">
        <f>Table1[[#This Row],[RAB Pemasangan]]/Table1[[#This Row],[Nilai RAB Jaringan
(Exclude Ppn)]]</f>
        <v>#DIV/0!</v>
      </c>
      <c r="AK451" s="539" t="e">
        <f>Table1[[#This Row],[RAB Pengadaan]]/Table1[[#This Row],[Nilai RAB Jaringan
(Exclude Ppn)]]</f>
        <v>#DIV/0!</v>
      </c>
      <c r="AL451" s="307" t="e">
        <f>Table1[[#This Row],[RAB Perizinan]]/Table1[[#This Row],[Nilai RAB Jaringan
(Exclude Ppn)]]</f>
        <v>#DIV/0!</v>
      </c>
      <c r="AM451" s="42"/>
      <c r="AN451" s="308"/>
      <c r="AO451" s="484">
        <f>SUM(Table1[[#This Row],[Pipa 63 mm]:[Pipa 1,800 mm]])</f>
        <v>0</v>
      </c>
      <c r="AP451" s="308"/>
      <c r="AQ451" s="308"/>
      <c r="AR451" s="308"/>
      <c r="AS451" s="308"/>
      <c r="AT451" s="308"/>
      <c r="AU451" s="308"/>
      <c r="AV451" s="308"/>
      <c r="AW451" s="308"/>
      <c r="AX451" s="308"/>
      <c r="AY451" s="308"/>
      <c r="AZ451" s="308"/>
      <c r="BA451" s="308"/>
      <c r="BB451" s="308"/>
      <c r="BC451" s="308"/>
      <c r="BD451" s="308"/>
      <c r="BE451" s="308"/>
      <c r="BF451" s="308"/>
      <c r="BG451" s="308"/>
      <c r="BH451" s="308"/>
      <c r="BI451" s="308"/>
      <c r="BJ451" s="36">
        <f>SUM(Table1[[#This Row],[Pipa 63 mm2]:[Pipa 1,800 mm21]])</f>
        <v>0</v>
      </c>
      <c r="BK451" s="32"/>
      <c r="BL451" s="32"/>
      <c r="BM451" s="32"/>
      <c r="BN451" s="32"/>
      <c r="BO451" s="32"/>
      <c r="BP451" s="32"/>
      <c r="BQ451" s="32"/>
      <c r="BR451" s="32"/>
      <c r="BS451" s="32"/>
      <c r="BT451" s="32"/>
      <c r="BU451" s="32"/>
      <c r="BV451" s="32"/>
      <c r="BW451" s="32"/>
      <c r="BX451" s="32"/>
      <c r="BY451" s="32"/>
      <c r="BZ451" s="32"/>
      <c r="CA451" s="32"/>
      <c r="CB451" s="32"/>
      <c r="CC451" s="32"/>
      <c r="CD451" s="32"/>
      <c r="CE451" s="32"/>
      <c r="CF451" s="32"/>
      <c r="CG451" s="32"/>
      <c r="CH451" s="32"/>
      <c r="CI451" s="32"/>
      <c r="CJ451" s="32">
        <f>IF((Table1[[#This Row],["Volume
BA MC-0"]]-Table1[[#This Row],[Total Panjang Pipa Aktual
(Sum-&gt;)3]]-Table1[[#This Row],[Total Volume
tidak dapat dipasang]])&gt;=0,Table1[[#This Row],["Volume
BA MC-0"]]-Table1[[#This Row],[Total Panjang Pipa Aktual
(Sum-&gt;)3]]-Table1[[#This Row],[Total Volume
tidak dapat dipasang]],0)</f>
        <v>0</v>
      </c>
      <c r="CK451" s="42"/>
      <c r="CL451" s="113"/>
      <c r="CM451" s="307"/>
      <c r="CN451" s="113"/>
      <c r="CO451" s="113"/>
      <c r="CP451" s="286"/>
      <c r="CQ451" s="406">
        <f>IFERROR(Table1[[#This Row],[Progres Keg. Umum
(%)]]*Table1[[#This Row],[Nilai RAB Jaringan
(file pa aji)]],0)</f>
        <v>0</v>
      </c>
      <c r="CR451" s="406">
        <f>IFERROR(Table1[[#This Row],[Progres MOS
(%)]]*Table1[[#This Row],[Nilai RAB Jaringan
(file pa aji)]],0)</f>
        <v>0</v>
      </c>
      <c r="CS451" s="406">
        <f>IFERROR(Table1[[#This Row],[Progres Pemasangan
(%)]]*Table1[[#This Row],[Nilai RAB Jaringan
(file pa aji)]],0)</f>
        <v>0</v>
      </c>
      <c r="CT451" s="406">
        <f>IFERROR(Table1[[#This Row],[Progres Perizinan
(%)]]*Table1[[#This Row],[Nilai RAB Jaringan
(file pa aji)]],0)</f>
        <v>0</v>
      </c>
      <c r="CU451" s="789">
        <v>0</v>
      </c>
      <c r="CV451" s="536">
        <v>0</v>
      </c>
      <c r="CW451" s="481">
        <v>0</v>
      </c>
      <c r="CX451" s="789">
        <f>_xlfn.XLOOKUP(Table1[[#This Row],[Kode Program]],'[1]Breakdown VOWD Greenfield'!$E:$E,'[1]Breakdown VOWD Greenfield'!$AT:$AT)</f>
        <v>0</v>
      </c>
      <c r="CY451" s="42"/>
      <c r="CZ451" s="301"/>
      <c r="DA451" s="301"/>
      <c r="DB451" s="301"/>
      <c r="DC451" s="286"/>
      <c r="DD451" s="478"/>
      <c r="DE45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1" s="301"/>
      <c r="DG451" s="286"/>
      <c r="DH451" s="478"/>
      <c r="DI45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1" s="301"/>
      <c r="DK451" s="301"/>
      <c r="DL451" s="301"/>
      <c r="DM451" s="286"/>
      <c r="DN451"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1" s="301"/>
      <c r="DP451" s="286"/>
      <c r="DQ451" s="308"/>
      <c r="DR451"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1" s="301"/>
      <c r="DT451" s="301" t="e">
        <v>#N/A</v>
      </c>
      <c r="DU451" s="301"/>
      <c r="DV451" s="301" t="e">
        <v>#N/A</v>
      </c>
      <c r="DW451" s="301"/>
      <c r="DX451" s="286"/>
      <c r="DY451" s="305"/>
      <c r="DZ451" s="305"/>
      <c r="EA451"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1" s="301"/>
      <c r="EC451" s="302"/>
      <c r="ED451" s="302"/>
      <c r="EE451" s="300"/>
      <c r="EF451" s="307"/>
      <c r="EG451" s="307"/>
      <c r="EH451" s="286" t="str">
        <f>IF(Table1[[#This Row],[PO Material Aktual 
(%)]]&gt;=100%,"Selesai PO = 100%",IF(Table1[[#This Row],[PO Material Aktual 
(%)]]&gt;=50%,"Proses PO &gt; 100%",IF(Table1[[#This Row],[PO Material Aktual 
(%)]]&gt;0%,"Proses PO &gt; 50%",IF(Table1[[#This Row],[PO Material Aktual 
(%)]]=0,"Belum PO = 0%"))))</f>
        <v>Belum PO = 0%</v>
      </c>
      <c r="EI45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1" s="301"/>
      <c r="EK451" s="301" t="e">
        <v>#N/A</v>
      </c>
      <c r="EL451" s="301"/>
      <c r="EM451" s="301" t="e">
        <v>#N/A</v>
      </c>
      <c r="EN451" s="301"/>
      <c r="EO451" s="286"/>
      <c r="EP451" s="305"/>
      <c r="EQ451" s="307"/>
      <c r="ER451" s="307"/>
      <c r="ES451" s="286" t="str">
        <f>IF(Table1[[#This Row],[Progres MOS]]&gt;=100%,"Selesai MOS = 100%",IF(Table1[[#This Row],[Progres MOS]]&gt;=50%,"Proses MOS &gt; 100%",IF(Table1[[#This Row],[Progres MOS]]&gt;0%,"Proses MOS &gt; 50%",IF(Table1[[#This Row],[Progres MOS]]=0,"Belum MOS = 0%"))))</f>
        <v>Belum MOS = 0%</v>
      </c>
      <c r="ET45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1" s="42"/>
      <c r="EV451" s="301"/>
      <c r="EW451" s="301" t="e">
        <v>#N/A</v>
      </c>
      <c r="EX451" s="301"/>
      <c r="EY451" s="301" t="e">
        <v>#N/A</v>
      </c>
      <c r="EZ451" s="322"/>
      <c r="FA451" s="354"/>
      <c r="FB451" s="301" t="e">
        <v>#N/A</v>
      </c>
      <c r="FC451" s="301" t="e">
        <v>#N/A</v>
      </c>
      <c r="FD451" s="301" t="e">
        <v>#N/A</v>
      </c>
      <c r="FE451" s="301" t="e">
        <v>#N/A</v>
      </c>
      <c r="FF451" s="301" t="e">
        <v>#N/A</v>
      </c>
      <c r="FG451" s="301" t="e">
        <v>#N/A</v>
      </c>
      <c r="FH451" s="301" t="e">
        <v>#N/A</v>
      </c>
      <c r="FI451" s="301" t="e">
        <v>#N/A</v>
      </c>
      <c r="FJ451" s="301" t="e">
        <v>#N/A</v>
      </c>
      <c r="FK451" s="301" t="e">
        <v>#N/A</v>
      </c>
      <c r="FL451" s="322"/>
      <c r="FM451" s="322"/>
      <c r="FN451" s="308" t="str">
        <f>IF(Table1[[#This Row],[Tanggal Pengajuan Dokumen]]="","",Table1[[#This Row],[PLAN PERMIT
start]]-Table1[[#This Row],[Tanggal Pengajuan Dokumen]])</f>
        <v/>
      </c>
      <c r="FO451" s="322"/>
      <c r="FP451" s="286"/>
      <c r="FQ451" s="308"/>
      <c r="FR451" s="322"/>
      <c r="FS451" s="308"/>
      <c r="FT45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1" s="314">
        <f ca="1">IF(Table1[[#This Row],[Status Izin]]="Selesai",Table1[[#This Row],[PLAN PERMIT
finish]]-Table1[[#This Row],[Tanggal Terbit/ Target Izin Terbit]],ROUNDUP(Table1[[#This Row],[PLAN PERMIT
finish]]-NOW(),0))</f>
        <v>-46204</v>
      </c>
      <c r="FV45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1" s="314"/>
      <c r="FX451" s="42"/>
      <c r="FY451" s="540"/>
      <c r="FZ451" s="541"/>
      <c r="GA451"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1" s="301"/>
      <c r="GC451" s="322"/>
      <c r="GD45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1" s="301"/>
      <c r="GF451" s="322"/>
      <c r="GG45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1" s="301"/>
      <c r="GI451" s="301"/>
      <c r="GJ451" s="322"/>
      <c r="GK45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1" s="301"/>
      <c r="GM451" s="301" t="e">
        <v>#N/A</v>
      </c>
      <c r="GN451" s="301"/>
      <c r="GO451" s="497" t="e">
        <v>#N/A</v>
      </c>
      <c r="GP451" s="286"/>
      <c r="GQ45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1" s="301"/>
      <c r="GS451" s="301"/>
      <c r="GT451" s="324"/>
      <c r="GU451" s="314" t="str">
        <f>IF(Table1[[#This Row],[Hydro Tes Actual
(tanggal)]]&lt;&gt;"","Sudah","Belum")</f>
        <v>Belum</v>
      </c>
      <c r="GV451" s="300"/>
      <c r="GW451" s="300"/>
      <c r="GX451" s="301"/>
      <c r="GY451" s="314" t="str">
        <f>IF(Table1[[#This Row],[Interkoneksi Actual
(tanggal)]]&lt;&gt;"","Sudah","Belum")</f>
        <v>Belum</v>
      </c>
      <c r="GZ451" s="300"/>
      <c r="HA451" s="300"/>
      <c r="HB451" s="301"/>
      <c r="HC451" s="314" t="str">
        <f>IF(Table1[[#This Row],[Flushing Actual
(tanggal)]]&lt;&gt;"","Sudah","Belum")</f>
        <v>Belum</v>
      </c>
      <c r="HD451" s="301"/>
      <c r="HE451" s="301" t="e">
        <v>#N/A</v>
      </c>
      <c r="HF451" s="301"/>
      <c r="HG451" s="322"/>
      <c r="HH45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1" s="300"/>
      <c r="HJ451" s="300"/>
      <c r="HK451" s="301"/>
      <c r="HL451" s="286"/>
      <c r="HM451" s="301"/>
      <c r="HN451" s="301"/>
      <c r="HO451" s="497" t="e">
        <v>#N/A</v>
      </c>
      <c r="HP451" s="497"/>
      <c r="HQ451" s="301"/>
      <c r="HR45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1" s="322"/>
      <c r="HT451" s="322"/>
      <c r="HU451" s="322"/>
      <c r="HV451" s="444"/>
      <c r="HW451" s="301"/>
      <c r="HX45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1" s="42"/>
      <c r="HZ451" s="322"/>
      <c r="IA451" s="306"/>
      <c r="IB451"/>
      <c r="IC451" s="585">
        <f>IFERROR(ROUND((Table1[[#This Row],[PLAN TC
finish]]-Table1[[#This Row],[PLAN MC-0
start]])/30,2),"")</f>
        <v>0</v>
      </c>
      <c r="ID451">
        <f>DATEDIF(Table1[[#This Row],[PLAN MC-0
start]],Table1[[#This Row],[PLAN TC
finish]],"m")</f>
        <v>0</v>
      </c>
      <c r="IE451" s="8"/>
      <c r="IF451" s="8"/>
      <c r="IG451" s="4"/>
      <c r="IH451" s="6"/>
      <c r="II451" s="67"/>
      <c r="IJ451" s="67"/>
      <c r="IK451" s="8"/>
      <c r="IM451" s="6"/>
      <c r="IN451" s="6"/>
      <c r="IO451" s="67"/>
      <c r="IP451" s="8"/>
      <c r="IR451" s="4"/>
      <c r="IS451" s="4"/>
      <c r="IT451" s="6"/>
      <c r="IU451" s="6"/>
      <c r="IX451" s="6"/>
      <c r="IY451" s="6"/>
      <c r="JA451" s="6"/>
      <c r="JB451" s="6"/>
    </row>
    <row r="452" spans="2:262" ht="15" customHeight="1" x14ac:dyDescent="0.25">
      <c r="B452" s="281">
        <f>SUBTOTAL(3,$D$5:D452)</f>
        <v>448</v>
      </c>
      <c r="C452" s="286"/>
      <c r="D452" s="430" t="s">
        <v>673</v>
      </c>
      <c r="E452" s="308" t="s">
        <v>3491</v>
      </c>
      <c r="F452" s="431" t="s">
        <v>3492</v>
      </c>
      <c r="G452" s="319">
        <v>46482</v>
      </c>
      <c r="H452" s="431" t="s">
        <v>681</v>
      </c>
      <c r="I452" s="308"/>
      <c r="J452" s="450"/>
      <c r="K452" s="308"/>
      <c r="L452" s="286"/>
      <c r="M452" s="325"/>
      <c r="N452" s="528"/>
      <c r="O452" s="434" t="s">
        <v>252</v>
      </c>
      <c r="P45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2"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2" s="307"/>
      <c r="S452" s="297"/>
      <c r="T452" s="297">
        <f>Table1[[#This Row],[Progres Total Aktual
(%)]]</f>
        <v>0</v>
      </c>
      <c r="U452" s="537">
        <f>Table1[[#This Row],[Progres Aktual
(%)]]-Table1[[#This Row],[Target Progres
(%)]]</f>
        <v>0</v>
      </c>
      <c r="V452" s="538">
        <f>Table1[[#This Row],["Volume
BA MC-0"]]</f>
        <v>0</v>
      </c>
      <c r="W452" s="538">
        <f>Table1[[#This Row],[Total Panjang Pipa Aktual
(Sum-&gt;)3]]</f>
        <v>0</v>
      </c>
      <c r="X452" s="99"/>
      <c r="Y452" s="265"/>
      <c r="Z452" s="478"/>
      <c r="AA452" s="478">
        <f>ROUND((Table1[[#This Row],[Nilai RAB Jaringan
(Exclude Ppn)]]-Table1[[#This Row],[RAB Perizinan]])*1.11+Table1[[#This Row],[RAB Perizinan]],0)</f>
        <v>0</v>
      </c>
      <c r="AB452" s="406">
        <f>SUM(Table1[[#This Row],[RAB Kegiatan Umum]:[RAB Perizinan]])</f>
        <v>0</v>
      </c>
      <c r="AC452" s="406"/>
      <c r="AD452" s="406"/>
      <c r="AE452" s="406"/>
      <c r="AF452" s="406"/>
      <c r="AG452" s="406"/>
      <c r="AH452" s="539" t="e">
        <f>SUM(Table1[[#This Row],[Bobot Keg Umum]:[Bobot Perizinan]])</f>
        <v>#DIV/0!</v>
      </c>
      <c r="AI452" s="539" t="e">
        <f>Table1[[#This Row],[RAB Kegiatan Umum]]/Table1[[#This Row],[Nilai RAB Jaringan
(Exclude Ppn)]]</f>
        <v>#DIV/0!</v>
      </c>
      <c r="AJ452" s="539" t="e">
        <f>Table1[[#This Row],[RAB Pemasangan]]/Table1[[#This Row],[Nilai RAB Jaringan
(Exclude Ppn)]]</f>
        <v>#DIV/0!</v>
      </c>
      <c r="AK452" s="539" t="e">
        <f>Table1[[#This Row],[RAB Pengadaan]]/Table1[[#This Row],[Nilai RAB Jaringan
(Exclude Ppn)]]</f>
        <v>#DIV/0!</v>
      </c>
      <c r="AL452" s="307" t="e">
        <f>Table1[[#This Row],[RAB Perizinan]]/Table1[[#This Row],[Nilai RAB Jaringan
(Exclude Ppn)]]</f>
        <v>#DIV/0!</v>
      </c>
      <c r="AM452" s="42"/>
      <c r="AN452" s="308"/>
      <c r="AO452" s="484">
        <f>SUM(Table1[[#This Row],[Pipa 63 mm]:[Pipa 1,800 mm]])</f>
        <v>0</v>
      </c>
      <c r="AP452" s="308"/>
      <c r="AQ452" s="308"/>
      <c r="AR452" s="308"/>
      <c r="AS452" s="308"/>
      <c r="AT452" s="308"/>
      <c r="AU452" s="308"/>
      <c r="AV452" s="308"/>
      <c r="AW452" s="308"/>
      <c r="AX452" s="308"/>
      <c r="AY452" s="308"/>
      <c r="AZ452" s="308"/>
      <c r="BA452" s="308"/>
      <c r="BB452" s="308"/>
      <c r="BC452" s="308"/>
      <c r="BD452" s="308"/>
      <c r="BE452" s="308"/>
      <c r="BF452" s="308"/>
      <c r="BG452" s="308"/>
      <c r="BH452" s="308"/>
      <c r="BI452" s="308"/>
      <c r="BJ452" s="36">
        <f>SUM(Table1[[#This Row],[Pipa 63 mm2]:[Pipa 1,800 mm21]])</f>
        <v>0</v>
      </c>
      <c r="BK452" s="32"/>
      <c r="BL452" s="32"/>
      <c r="BM452" s="32"/>
      <c r="BN452" s="32"/>
      <c r="BO452" s="32"/>
      <c r="BP452" s="32"/>
      <c r="BQ452" s="32"/>
      <c r="BR452" s="32"/>
      <c r="BS452" s="32"/>
      <c r="BT452" s="32"/>
      <c r="BU452" s="32"/>
      <c r="BV452" s="32"/>
      <c r="BW452" s="32"/>
      <c r="BX452" s="32"/>
      <c r="BY452" s="32"/>
      <c r="BZ452" s="32"/>
      <c r="CA452" s="32"/>
      <c r="CB452" s="32"/>
      <c r="CC452" s="32"/>
      <c r="CD452" s="32"/>
      <c r="CE452" s="32"/>
      <c r="CF452" s="32"/>
      <c r="CG452" s="32"/>
      <c r="CH452" s="32"/>
      <c r="CI452" s="32"/>
      <c r="CJ452" s="32">
        <f>IF((Table1[[#This Row],["Volume
BA MC-0"]]-Table1[[#This Row],[Total Panjang Pipa Aktual
(Sum-&gt;)3]]-Table1[[#This Row],[Total Volume
tidak dapat dipasang]])&gt;=0,Table1[[#This Row],["Volume
BA MC-0"]]-Table1[[#This Row],[Total Panjang Pipa Aktual
(Sum-&gt;)3]]-Table1[[#This Row],[Total Volume
tidak dapat dipasang]],0)</f>
        <v>0</v>
      </c>
      <c r="CK452" s="42"/>
      <c r="CL452" s="113"/>
      <c r="CM452" s="307"/>
      <c r="CN452" s="113"/>
      <c r="CO452" s="113"/>
      <c r="CP452" s="286"/>
      <c r="CQ452" s="406">
        <f>IFERROR(Table1[[#This Row],[Progres Keg. Umum
(%)]]*Table1[[#This Row],[Nilai RAB Jaringan
(file pa aji)]],0)</f>
        <v>0</v>
      </c>
      <c r="CR452" s="406">
        <f>IFERROR(Table1[[#This Row],[Progres MOS
(%)]]*Table1[[#This Row],[Nilai RAB Jaringan
(file pa aji)]],0)</f>
        <v>0</v>
      </c>
      <c r="CS452" s="406">
        <f>IFERROR(Table1[[#This Row],[Progres Pemasangan
(%)]]*Table1[[#This Row],[Nilai RAB Jaringan
(file pa aji)]],0)</f>
        <v>0</v>
      </c>
      <c r="CT452" s="406">
        <f>IFERROR(Table1[[#This Row],[Progres Perizinan
(%)]]*Table1[[#This Row],[Nilai RAB Jaringan
(file pa aji)]],0)</f>
        <v>0</v>
      </c>
      <c r="CU452" s="789">
        <v>0</v>
      </c>
      <c r="CV452" s="536">
        <v>0</v>
      </c>
      <c r="CW452" s="481">
        <v>0</v>
      </c>
      <c r="CX452" s="789">
        <f>_xlfn.XLOOKUP(Table1[[#This Row],[Kode Program]],'[1]Breakdown VOWD Greenfield'!$E:$E,'[1]Breakdown VOWD Greenfield'!$AT:$AT)</f>
        <v>0</v>
      </c>
      <c r="CY452" s="42"/>
      <c r="CZ452" s="301"/>
      <c r="DA452" s="301"/>
      <c r="DB452" s="301"/>
      <c r="DC452" s="286"/>
      <c r="DD452" s="478"/>
      <c r="DE45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2" s="301"/>
      <c r="DG452" s="286"/>
      <c r="DH452" s="478"/>
      <c r="DI45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2" s="301"/>
      <c r="DK452" s="301"/>
      <c r="DL452" s="301"/>
      <c r="DM452" s="286"/>
      <c r="DN45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2" s="301"/>
      <c r="DP452" s="286"/>
      <c r="DQ452" s="308"/>
      <c r="DR45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2" s="301"/>
      <c r="DT452" s="301" t="e">
        <v>#N/A</v>
      </c>
      <c r="DU452" s="301"/>
      <c r="DV452" s="301" t="e">
        <v>#N/A</v>
      </c>
      <c r="DW452" s="301"/>
      <c r="DX452" s="286"/>
      <c r="DY452" s="305"/>
      <c r="DZ452" s="305"/>
      <c r="EA45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2" s="301"/>
      <c r="EC452" s="302"/>
      <c r="ED452" s="302"/>
      <c r="EE452" s="300"/>
      <c r="EF452" s="307"/>
      <c r="EG452" s="307"/>
      <c r="EH452" s="286" t="str">
        <f>IF(Table1[[#This Row],[PO Material Aktual 
(%)]]&gt;=100%,"Selesai PO = 100%",IF(Table1[[#This Row],[PO Material Aktual 
(%)]]&gt;=50%,"Proses PO &gt; 100%",IF(Table1[[#This Row],[PO Material Aktual 
(%)]]&gt;0%,"Proses PO &gt; 50%",IF(Table1[[#This Row],[PO Material Aktual 
(%)]]=0,"Belum PO = 0%"))))</f>
        <v>Belum PO = 0%</v>
      </c>
      <c r="EI45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2" s="301"/>
      <c r="EK452" s="301" t="e">
        <v>#N/A</v>
      </c>
      <c r="EL452" s="301"/>
      <c r="EM452" s="301" t="e">
        <v>#N/A</v>
      </c>
      <c r="EN452" s="301"/>
      <c r="EO452" s="286"/>
      <c r="EP452" s="305"/>
      <c r="EQ452" s="307"/>
      <c r="ER452" s="307"/>
      <c r="ES452" s="286" t="str">
        <f>IF(Table1[[#This Row],[Progres MOS]]&gt;=100%,"Selesai MOS = 100%",IF(Table1[[#This Row],[Progres MOS]]&gt;=50%,"Proses MOS &gt; 100%",IF(Table1[[#This Row],[Progres MOS]]&gt;0%,"Proses MOS &gt; 50%",IF(Table1[[#This Row],[Progres MOS]]=0,"Belum MOS = 0%"))))</f>
        <v>Belum MOS = 0%</v>
      </c>
      <c r="ET45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2" s="42"/>
      <c r="EV452" s="301"/>
      <c r="EW452" s="301" t="e">
        <v>#N/A</v>
      </c>
      <c r="EX452" s="301"/>
      <c r="EY452" s="301" t="e">
        <v>#N/A</v>
      </c>
      <c r="EZ452" s="322"/>
      <c r="FA452" s="354"/>
      <c r="FB452" s="301"/>
      <c r="FC452" s="301"/>
      <c r="FD452" s="301"/>
      <c r="FE452" s="301"/>
      <c r="FF452" s="301"/>
      <c r="FG452" s="301"/>
      <c r="FH452" s="301"/>
      <c r="FI452" s="301"/>
      <c r="FJ452" s="301"/>
      <c r="FK452" s="301"/>
      <c r="FL452" s="322"/>
      <c r="FM452" s="322"/>
      <c r="FN452" s="308" t="str">
        <f>IF(Table1[[#This Row],[Tanggal Pengajuan Dokumen]]="","",Table1[[#This Row],[PLAN PERMIT
start]]-Table1[[#This Row],[Tanggal Pengajuan Dokumen]])</f>
        <v/>
      </c>
      <c r="FO452" s="322"/>
      <c r="FP452" s="286"/>
      <c r="FQ452" s="308"/>
      <c r="FR452" s="322"/>
      <c r="FS452" s="308"/>
      <c r="FT45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2" s="314">
        <f ca="1">IF(Table1[[#This Row],[Status Izin]]="Selesai",Table1[[#This Row],[PLAN PERMIT
finish]]-Table1[[#This Row],[Tanggal Terbit/ Target Izin Terbit]],ROUNDUP(Table1[[#This Row],[PLAN PERMIT
finish]]-NOW(),0))</f>
        <v>-46204</v>
      </c>
      <c r="FV45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2" s="314"/>
      <c r="FX452" s="42"/>
      <c r="FY452" s="540"/>
      <c r="FZ452" s="541"/>
      <c r="GA45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2" s="301"/>
      <c r="GC452" s="322"/>
      <c r="GD45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2" s="301"/>
      <c r="GF452" s="322"/>
      <c r="GG45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2" s="301"/>
      <c r="GI452" s="301"/>
      <c r="GJ452" s="322"/>
      <c r="GK45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2" s="301"/>
      <c r="GM452" s="301" t="e">
        <v>#N/A</v>
      </c>
      <c r="GN452" s="301"/>
      <c r="GO452" s="497" t="e">
        <v>#N/A</v>
      </c>
      <c r="GP452" s="286"/>
      <c r="GQ45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2" s="301"/>
      <c r="GS452" s="301"/>
      <c r="GT452" s="324"/>
      <c r="GU452" s="314" t="str">
        <f>IF(Table1[[#This Row],[Hydro Tes Actual
(tanggal)]]&lt;&gt;"","Sudah","Belum")</f>
        <v>Belum</v>
      </c>
      <c r="GV452" s="300"/>
      <c r="GW452" s="300"/>
      <c r="GX452" s="301"/>
      <c r="GY452" s="314" t="str">
        <f>IF(Table1[[#This Row],[Interkoneksi Actual
(tanggal)]]&lt;&gt;"","Sudah","Belum")</f>
        <v>Belum</v>
      </c>
      <c r="GZ452" s="300"/>
      <c r="HA452" s="300"/>
      <c r="HB452" s="301"/>
      <c r="HC452" s="314" t="str">
        <f>IF(Table1[[#This Row],[Flushing Actual
(tanggal)]]&lt;&gt;"","Sudah","Belum")</f>
        <v>Belum</v>
      </c>
      <c r="HD452" s="301"/>
      <c r="HE452" s="301" t="e">
        <v>#N/A</v>
      </c>
      <c r="HF452" s="301"/>
      <c r="HG452" s="322"/>
      <c r="HH45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2" s="300"/>
      <c r="HJ452" s="300"/>
      <c r="HK452" s="301"/>
      <c r="HL452" s="286"/>
      <c r="HM452" s="301"/>
      <c r="HN452" s="301"/>
      <c r="HO452" s="497" t="e">
        <v>#N/A</v>
      </c>
      <c r="HP452" s="497"/>
      <c r="HQ452" s="301"/>
      <c r="HR45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2" s="322"/>
      <c r="HT452" s="322"/>
      <c r="HU452" s="322"/>
      <c r="HV452" s="444"/>
      <c r="HW452" s="301"/>
      <c r="HX45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2" s="42"/>
      <c r="HZ452" s="322"/>
      <c r="IA452" s="306"/>
      <c r="IB452"/>
      <c r="IC452" s="585">
        <f>IFERROR(ROUND((Table1[[#This Row],[PLAN TC
finish]]-Table1[[#This Row],[PLAN MC-0
start]])/30,2),"")</f>
        <v>0</v>
      </c>
      <c r="ID452">
        <f>DATEDIF(Table1[[#This Row],[PLAN MC-0
start]],Table1[[#This Row],[PLAN TC
finish]],"m")</f>
        <v>0</v>
      </c>
      <c r="IE452" s="8"/>
      <c r="IF452" s="8"/>
      <c r="IG452" s="4"/>
      <c r="IH452" s="6"/>
      <c r="II452" s="67"/>
      <c r="IJ452" s="67"/>
      <c r="IK452" s="8"/>
      <c r="IM452" s="6"/>
      <c r="IN452" s="6"/>
      <c r="IO452" s="67"/>
      <c r="IP452" s="8"/>
      <c r="IR452" s="4"/>
      <c r="IS452" s="4"/>
      <c r="IT452" s="6"/>
      <c r="IU452" s="6"/>
      <c r="IX452" s="6"/>
      <c r="IY452" s="6"/>
      <c r="JA452" s="6"/>
      <c r="JB452" s="6"/>
    </row>
    <row r="453" spans="2:262" ht="15" customHeight="1" x14ac:dyDescent="0.25">
      <c r="B453" s="281">
        <f>SUBTOTAL(3,$D$5:D453)</f>
        <v>449</v>
      </c>
      <c r="C453" s="286"/>
      <c r="D453" s="430" t="s">
        <v>673</v>
      </c>
      <c r="E453" s="308" t="s">
        <v>3493</v>
      </c>
      <c r="F453" s="431" t="s">
        <v>3494</v>
      </c>
      <c r="G453" s="319">
        <v>46482</v>
      </c>
      <c r="H453" s="431" t="s">
        <v>681</v>
      </c>
      <c r="I453" s="308"/>
      <c r="J453" s="450"/>
      <c r="K453" s="308"/>
      <c r="L453" s="286"/>
      <c r="M453" s="325"/>
      <c r="N453" s="528"/>
      <c r="O453" s="434" t="s">
        <v>252</v>
      </c>
      <c r="P45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3" s="290" t="str">
        <f ca="1">IF(LEFT(Table1[[#This Row],[Review DPPP]],5)="Sudah","DPPP",IF(LEFT(Table1[[#This Row],[Review MC-100]],5)="Sudah","MC-100",IF(LEFT(Table1[[#This Row],[Status TC]],5)="Sudah","Tes Com",IF(Table1[[#This Row],[Total Panjang Pipa Aktual
(Sum-&gt;)3]]&gt;0,"Proses Konstruksi",IF(LEFT(Table1[[#This Row],[Status MOS]],10)="Proses MOS","Proses MOS",IF(LEFT(Table1[[#This Row],[Review MC-0]],5)="Sudah","MC-0",IF(LEFT(Table1[[#This Row],[Review Kick Off]],5)="Sudah","Kick Off Meeting",IF(LEFT(Table1[[#This Row],[Review PCM]],5)="Sudah","PCM",IF(LEFT(Table1[[#This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3" s="307"/>
      <c r="S453" s="297"/>
      <c r="T453" s="297">
        <f>Table1[[#This Row],[Progres Total Aktual
(%)]]</f>
        <v>0</v>
      </c>
      <c r="U453" s="537">
        <f>Table1[[#This Row],[Progres Aktual
(%)]]-Table1[[#This Row],[Target Progres
(%)]]</f>
        <v>0</v>
      </c>
      <c r="V453" s="538">
        <f>Table1[[#This Row],["Volume
BA MC-0"]]</f>
        <v>0</v>
      </c>
      <c r="W453" s="538">
        <f>Table1[[#This Row],[Total Panjang Pipa Aktual
(Sum-&gt;)3]]</f>
        <v>0</v>
      </c>
      <c r="X453" s="99"/>
      <c r="Y453" s="265"/>
      <c r="Z453" s="478"/>
      <c r="AA453" s="478">
        <f>ROUND((Table1[[#This Row],[Nilai RAB Jaringan
(Exclude Ppn)]]-Table1[[#This Row],[RAB Perizinan]])*1.11+Table1[[#This Row],[RAB Perizinan]],0)</f>
        <v>0</v>
      </c>
      <c r="AB453" s="406">
        <f>SUM(Table1[[#This Row],[RAB Kegiatan Umum]:[RAB Perizinan]])</f>
        <v>0</v>
      </c>
      <c r="AC453" s="406"/>
      <c r="AD453" s="406"/>
      <c r="AE453" s="406"/>
      <c r="AF453" s="406"/>
      <c r="AG453" s="406"/>
      <c r="AH453" s="539" t="e">
        <f>SUM(Table1[[#This Row],[Bobot Keg Umum]:[Bobot Perizinan]])</f>
        <v>#DIV/0!</v>
      </c>
      <c r="AI453" s="539" t="e">
        <f>Table1[[#This Row],[RAB Kegiatan Umum]]/Table1[[#This Row],[Nilai RAB Jaringan
(Exclude Ppn)]]</f>
        <v>#DIV/0!</v>
      </c>
      <c r="AJ453" s="539" t="e">
        <f>Table1[[#This Row],[RAB Pemasangan]]/Table1[[#This Row],[Nilai RAB Jaringan
(Exclude Ppn)]]</f>
        <v>#DIV/0!</v>
      </c>
      <c r="AK453" s="539" t="e">
        <f>Table1[[#This Row],[RAB Pengadaan]]/Table1[[#This Row],[Nilai RAB Jaringan
(Exclude Ppn)]]</f>
        <v>#DIV/0!</v>
      </c>
      <c r="AL453" s="307" t="e">
        <f>Table1[[#This Row],[RAB Perizinan]]/Table1[[#This Row],[Nilai RAB Jaringan
(Exclude Ppn)]]</f>
        <v>#DIV/0!</v>
      </c>
      <c r="AM453" s="42"/>
      <c r="AN453" s="308"/>
      <c r="AO453" s="484">
        <f>SUM(Table1[[#This Row],[Pipa 63 mm]:[Pipa 1,800 mm]])</f>
        <v>0</v>
      </c>
      <c r="AP453" s="308"/>
      <c r="AQ453" s="308"/>
      <c r="AR453" s="308"/>
      <c r="AS453" s="308"/>
      <c r="AT453" s="308"/>
      <c r="AU453" s="308"/>
      <c r="AV453" s="308"/>
      <c r="AW453" s="308"/>
      <c r="AX453" s="308"/>
      <c r="AY453" s="308"/>
      <c r="AZ453" s="308"/>
      <c r="BA453" s="308"/>
      <c r="BB453" s="308"/>
      <c r="BC453" s="308"/>
      <c r="BD453" s="308"/>
      <c r="BE453" s="308"/>
      <c r="BF453" s="308"/>
      <c r="BG453" s="308"/>
      <c r="BH453" s="308"/>
      <c r="BI453" s="308"/>
      <c r="BJ453" s="36">
        <f>SUM(Table1[[#This Row],[Pipa 63 mm2]:[Pipa 1,800 mm21]])</f>
        <v>0</v>
      </c>
      <c r="BK453" s="32"/>
      <c r="BL453" s="32"/>
      <c r="BM453" s="32"/>
      <c r="BN453" s="32"/>
      <c r="BO453" s="32"/>
      <c r="BP453" s="32"/>
      <c r="BQ453" s="32"/>
      <c r="BR453" s="32"/>
      <c r="BS453" s="32"/>
      <c r="BT453" s="32"/>
      <c r="BU453" s="32"/>
      <c r="BV453" s="32"/>
      <c r="BW453" s="32"/>
      <c r="BX453" s="32"/>
      <c r="BY453" s="32"/>
      <c r="BZ453" s="32"/>
      <c r="CA453" s="32"/>
      <c r="CB453" s="32"/>
      <c r="CC453" s="32"/>
      <c r="CD453" s="32"/>
      <c r="CE453" s="32"/>
      <c r="CF453" s="32"/>
      <c r="CG453" s="32"/>
      <c r="CH453" s="32"/>
      <c r="CI453" s="32"/>
      <c r="CJ453" s="32">
        <f>IF((Table1[[#This Row],["Volume
BA MC-0"]]-Table1[[#This Row],[Total Panjang Pipa Aktual
(Sum-&gt;)3]]-Table1[[#This Row],[Total Volume
tidak dapat dipasang]])&gt;=0,Table1[[#This Row],["Volume
BA MC-0"]]-Table1[[#This Row],[Total Panjang Pipa Aktual
(Sum-&gt;)3]]-Table1[[#This Row],[Total Volume
tidak dapat dipasang]],0)</f>
        <v>0</v>
      </c>
      <c r="CK453" s="42"/>
      <c r="CL453" s="113"/>
      <c r="CM453" s="307"/>
      <c r="CN453" s="113"/>
      <c r="CO453" s="113"/>
      <c r="CP453" s="286"/>
      <c r="CQ453" s="406">
        <f>IFERROR(Table1[[#This Row],[Progres Keg. Umum
(%)]]*Table1[[#This Row],[Nilai RAB Jaringan
(file pa aji)]],0)</f>
        <v>0</v>
      </c>
      <c r="CR453" s="406">
        <f>IFERROR(Table1[[#This Row],[Progres MOS
(%)]]*Table1[[#This Row],[Nilai RAB Jaringan
(file pa aji)]],0)</f>
        <v>0</v>
      </c>
      <c r="CS453" s="406">
        <f>IFERROR(Table1[[#This Row],[Progres Pemasangan
(%)]]*Table1[[#This Row],[Nilai RAB Jaringan
(file pa aji)]],0)</f>
        <v>0</v>
      </c>
      <c r="CT453" s="406">
        <f>IFERROR(Table1[[#This Row],[Progres Perizinan
(%)]]*Table1[[#This Row],[Nilai RAB Jaringan
(file pa aji)]],0)</f>
        <v>0</v>
      </c>
      <c r="CU453" s="789">
        <v>0</v>
      </c>
      <c r="CV453" s="536">
        <v>0</v>
      </c>
      <c r="CW453" s="481">
        <v>0</v>
      </c>
      <c r="CX453" s="789">
        <f>_xlfn.XLOOKUP(Table1[[#This Row],[Kode Program]],'[1]Breakdown VOWD Greenfield'!$E:$E,'[1]Breakdown VOWD Greenfield'!$AT:$AT)</f>
        <v>0</v>
      </c>
      <c r="CY453" s="42"/>
      <c r="CZ453" s="301"/>
      <c r="DA453" s="301"/>
      <c r="DB453" s="301"/>
      <c r="DC453" s="286"/>
      <c r="DD453" s="478"/>
      <c r="DE45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3" s="301"/>
      <c r="DG453" s="286"/>
      <c r="DH453" s="478"/>
      <c r="DI45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3" s="301"/>
      <c r="DK453" s="301"/>
      <c r="DL453" s="301"/>
      <c r="DM453" s="286"/>
      <c r="DN45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3" s="301"/>
      <c r="DP453" s="286"/>
      <c r="DQ453" s="308"/>
      <c r="DR45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3" s="301"/>
      <c r="DT453" s="301" t="e">
        <v>#N/A</v>
      </c>
      <c r="DU453" s="301"/>
      <c r="DV453" s="301" t="e">
        <v>#N/A</v>
      </c>
      <c r="DW453" s="301"/>
      <c r="DX453" s="286"/>
      <c r="DY453" s="305"/>
      <c r="DZ453" s="305"/>
      <c r="EA45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3" s="301"/>
      <c r="EC453" s="302"/>
      <c r="ED453" s="302"/>
      <c r="EE453" s="300"/>
      <c r="EF453" s="307"/>
      <c r="EG453" s="307"/>
      <c r="EH453" s="286" t="str">
        <f>IF(Table1[[#This Row],[PO Material Aktual 
(%)]]&gt;=100%,"Selesai PO = 100%",IF(Table1[[#This Row],[PO Material Aktual 
(%)]]&gt;=50%,"Proses PO &gt; 100%",IF(Table1[[#This Row],[PO Material Aktual 
(%)]]&gt;0%,"Proses PO &gt; 50%",IF(Table1[[#This Row],[PO Material Aktual 
(%)]]=0,"Belum PO = 0%"))))</f>
        <v>Belum PO = 0%</v>
      </c>
      <c r="EI45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3" s="301"/>
      <c r="EK453" s="301" t="e">
        <v>#N/A</v>
      </c>
      <c r="EL453" s="301"/>
      <c r="EM453" s="301" t="e">
        <v>#N/A</v>
      </c>
      <c r="EN453" s="301"/>
      <c r="EO453" s="286"/>
      <c r="EP453" s="305"/>
      <c r="EQ453" s="307"/>
      <c r="ER453" s="307"/>
      <c r="ES453" s="286" t="str">
        <f>IF(Table1[[#This Row],[Progres MOS]]&gt;=100%,"Selesai MOS = 100%",IF(Table1[[#This Row],[Progres MOS]]&gt;=50%,"Proses MOS &gt; 100%",IF(Table1[[#This Row],[Progres MOS]]&gt;0%,"Proses MOS &gt; 50%",IF(Table1[[#This Row],[Progres MOS]]=0,"Belum MOS = 0%"))))</f>
        <v>Belum MOS = 0%</v>
      </c>
      <c r="ET45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3" s="42"/>
      <c r="EV453" s="301"/>
      <c r="EW453" s="301" t="e">
        <v>#N/A</v>
      </c>
      <c r="EX453" s="301"/>
      <c r="EY453" s="301" t="e">
        <v>#N/A</v>
      </c>
      <c r="EZ453" s="322"/>
      <c r="FA453" s="354"/>
      <c r="FB453" s="301"/>
      <c r="FC453" s="301"/>
      <c r="FD453" s="301"/>
      <c r="FE453" s="301"/>
      <c r="FF453" s="301"/>
      <c r="FG453" s="301"/>
      <c r="FH453" s="301"/>
      <c r="FI453" s="301"/>
      <c r="FJ453" s="301"/>
      <c r="FK453" s="301"/>
      <c r="FL453" s="322"/>
      <c r="FM453" s="322"/>
      <c r="FN453" s="308" t="str">
        <f>IF(Table1[[#This Row],[Tanggal Pengajuan Dokumen]]="","",Table1[[#This Row],[PLAN PERMIT
start]]-Table1[[#This Row],[Tanggal Pengajuan Dokumen]])</f>
        <v/>
      </c>
      <c r="FO453" s="322"/>
      <c r="FP453" s="286"/>
      <c r="FQ453" s="308"/>
      <c r="FR453" s="322"/>
      <c r="FS453" s="308"/>
      <c r="FT45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3" s="314">
        <f ca="1">IF(Table1[[#This Row],[Status Izin]]="Selesai",Table1[[#This Row],[PLAN PERMIT
finish]]-Table1[[#This Row],[Tanggal Terbit/ Target Izin Terbit]],ROUNDUP(Table1[[#This Row],[PLAN PERMIT
finish]]-NOW(),0))</f>
        <v>-46204</v>
      </c>
      <c r="FV45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3" s="314"/>
      <c r="FX453" s="42"/>
      <c r="FY453" s="540"/>
      <c r="FZ453" s="541"/>
      <c r="GA45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3" s="301"/>
      <c r="GC453" s="322">
        <v>46112</v>
      </c>
      <c r="GD45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53" s="301"/>
      <c r="GF453" s="322">
        <v>46112</v>
      </c>
      <c r="GG45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3" s="301"/>
      <c r="GI453" s="301"/>
      <c r="GJ453" s="322">
        <v>46150</v>
      </c>
      <c r="GK45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3" s="301"/>
      <c r="GM453" s="301" t="e">
        <v>#N/A</v>
      </c>
      <c r="GN453" s="301"/>
      <c r="GO453" s="497" t="e">
        <v>#N/A</v>
      </c>
      <c r="GP453" s="286"/>
      <c r="GQ45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3" s="301"/>
      <c r="GS453" s="301"/>
      <c r="GT453" s="324"/>
      <c r="GU453" s="314" t="str">
        <f>IF(Table1[[#This Row],[Hydro Tes Actual
(tanggal)]]&lt;&gt;"","Sudah","Belum")</f>
        <v>Belum</v>
      </c>
      <c r="GV453" s="300"/>
      <c r="GW453" s="300"/>
      <c r="GX453" s="301"/>
      <c r="GY453" s="314" t="str">
        <f>IF(Table1[[#This Row],[Interkoneksi Actual
(tanggal)]]&lt;&gt;"","Sudah","Belum")</f>
        <v>Belum</v>
      </c>
      <c r="GZ453" s="300"/>
      <c r="HA453" s="300"/>
      <c r="HB453" s="301"/>
      <c r="HC453" s="314" t="str">
        <f>IF(Table1[[#This Row],[Flushing Actual
(tanggal)]]&lt;&gt;"","Sudah","Belum")</f>
        <v>Belum</v>
      </c>
      <c r="HD453" s="301"/>
      <c r="HE453" s="301" t="e">
        <v>#N/A</v>
      </c>
      <c r="HF453" s="301"/>
      <c r="HG453" s="322"/>
      <c r="HH45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3" s="300"/>
      <c r="HJ453" s="300"/>
      <c r="HK453" s="301"/>
      <c r="HL453" s="286"/>
      <c r="HM453" s="301"/>
      <c r="HN453" s="301"/>
      <c r="HO453" s="497" t="e">
        <v>#N/A</v>
      </c>
      <c r="HP453" s="497"/>
      <c r="HQ453" s="301"/>
      <c r="HR45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3" s="322"/>
      <c r="HT453" s="322"/>
      <c r="HU453" s="322"/>
      <c r="HV453" s="444"/>
      <c r="HW453" s="301"/>
      <c r="HX45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3" s="42"/>
      <c r="HZ453" s="322"/>
      <c r="IA453" s="306"/>
      <c r="IB453"/>
      <c r="IC453" s="585">
        <f>IFERROR(ROUND((Table1[[#This Row],[PLAN TC
finish]]-Table1[[#This Row],[PLAN MC-0
start]])/30,2),"")</f>
        <v>0</v>
      </c>
      <c r="ID453">
        <f>DATEDIF(Table1[[#This Row],[PLAN MC-0
start]],Table1[[#This Row],[PLAN TC
finish]],"m")</f>
        <v>0</v>
      </c>
      <c r="IE453" s="8"/>
      <c r="IF453" s="8"/>
      <c r="IG453" s="4"/>
      <c r="IH453" s="6"/>
      <c r="II453" s="67"/>
      <c r="IJ453" s="67"/>
      <c r="IK453" s="8"/>
      <c r="IM453" s="6"/>
      <c r="IN453" s="6"/>
      <c r="IO453" s="67"/>
      <c r="IP453" s="8"/>
      <c r="IR453" s="4"/>
      <c r="IS453" s="4"/>
      <c r="IT453" s="6"/>
      <c r="IU453" s="6"/>
      <c r="IX453" s="6"/>
      <c r="IY453" s="6"/>
      <c r="JA453" s="6"/>
      <c r="JB453" s="6"/>
    </row>
    <row r="454" spans="2:262" ht="15" customHeight="1" x14ac:dyDescent="0.25">
      <c r="B454" s="281">
        <f>SUBTOTAL(3,$D$5:D454)</f>
        <v>450</v>
      </c>
      <c r="C454" s="286">
        <v>464</v>
      </c>
      <c r="D454" s="430" t="s">
        <v>673</v>
      </c>
      <c r="E454" s="308" t="s">
        <v>3495</v>
      </c>
      <c r="F454" s="431" t="s">
        <v>3496</v>
      </c>
      <c r="G454" s="319">
        <v>46482</v>
      </c>
      <c r="H454" s="431" t="s">
        <v>681</v>
      </c>
      <c r="I454" s="308"/>
      <c r="J454" s="450"/>
      <c r="K454" s="308"/>
      <c r="L454" s="286"/>
      <c r="M454" s="325"/>
      <c r="N454" s="528">
        <v>0</v>
      </c>
      <c r="O454" s="434" t="s">
        <v>252</v>
      </c>
      <c r="P45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MC-0</v>
      </c>
      <c r="R454" s="307"/>
      <c r="S454" s="297"/>
      <c r="T454" s="297">
        <f>Table1[[#This Row],[Progres Total Aktual
(%)]]</f>
        <v>0</v>
      </c>
      <c r="U454" s="537">
        <f>Table1[[#This Row],[Progres Aktual
(%)]]-Table1[[#This Row],[Target Progres
(%)]]</f>
        <v>0</v>
      </c>
      <c r="V454" s="538">
        <f>Table1[[#This Row],["Volume
BA MC-0"]]</f>
        <v>0</v>
      </c>
      <c r="W454" s="538">
        <f>Table1[[#This Row],[Total Panjang Pipa Aktual
(Sum-&gt;)3]]</f>
        <v>0</v>
      </c>
      <c r="X454" s="99"/>
      <c r="Y454" s="265"/>
      <c r="Z454" s="478"/>
      <c r="AA454" s="478">
        <f>ROUND((Table1[[#This Row],[Nilai RAB Jaringan
(Exclude Ppn)]]-Table1[[#This Row],[RAB Perizinan]])*1.11+Table1[[#This Row],[RAB Perizinan]],0)</f>
        <v>0</v>
      </c>
      <c r="AB454" s="406">
        <f>SUM(Table1[[#This Row],[RAB Kegiatan Umum]:[RAB Perizinan]])</f>
        <v>0</v>
      </c>
      <c r="AC454" s="406"/>
      <c r="AD454" s="406"/>
      <c r="AE454" s="406"/>
      <c r="AF454" s="406"/>
      <c r="AG454" s="406"/>
      <c r="AH454" s="539" t="e">
        <f>SUM(Table1[[#This Row],[Bobot Keg Umum]:[Bobot Perizinan]])</f>
        <v>#DIV/0!</v>
      </c>
      <c r="AI454" s="539" t="e">
        <f>Table1[[#This Row],[RAB Kegiatan Umum]]/Table1[[#This Row],[Nilai RAB Jaringan
(Exclude Ppn)]]</f>
        <v>#DIV/0!</v>
      </c>
      <c r="AJ454" s="539" t="e">
        <f>Table1[[#This Row],[RAB Pemasangan]]/Table1[[#This Row],[Nilai RAB Jaringan
(Exclude Ppn)]]</f>
        <v>#DIV/0!</v>
      </c>
      <c r="AK454" s="539" t="e">
        <f>Table1[[#This Row],[RAB Pengadaan]]/Table1[[#This Row],[Nilai RAB Jaringan
(Exclude Ppn)]]</f>
        <v>#DIV/0!</v>
      </c>
      <c r="AL454" s="307" t="e">
        <f>Table1[[#This Row],[RAB Perizinan]]/Table1[[#This Row],[Nilai RAB Jaringan
(Exclude Ppn)]]</f>
        <v>#DIV/0!</v>
      </c>
      <c r="AM454" s="42"/>
      <c r="AN454" s="308"/>
      <c r="AO454" s="484">
        <f>SUM(Table1[[#This Row],[Pipa 63 mm]:[Pipa 1,800 mm]])</f>
        <v>0</v>
      </c>
      <c r="AP454" s="308"/>
      <c r="AQ454" s="308"/>
      <c r="AR454" s="308"/>
      <c r="AS454" s="308"/>
      <c r="AT454" s="308"/>
      <c r="AU454" s="308"/>
      <c r="AV454" s="308"/>
      <c r="AW454" s="308"/>
      <c r="AX454" s="308"/>
      <c r="AY454" s="308"/>
      <c r="AZ454" s="308"/>
      <c r="BA454" s="308"/>
      <c r="BB454" s="308"/>
      <c r="BC454" s="308"/>
      <c r="BD454" s="308"/>
      <c r="BE454" s="308"/>
      <c r="BF454" s="308"/>
      <c r="BG454" s="308"/>
      <c r="BH454" s="308"/>
      <c r="BI454" s="308"/>
      <c r="BJ454" s="36">
        <f>SUM(Table1[[#This Row],[Pipa 63 mm2]:[Pipa 1,800 mm21]])</f>
        <v>0</v>
      </c>
      <c r="BK454" s="32"/>
      <c r="BL454" s="32"/>
      <c r="BM454" s="32"/>
      <c r="BN454" s="32"/>
      <c r="BO454" s="32"/>
      <c r="BP454" s="32"/>
      <c r="BQ454" s="32"/>
      <c r="BR454" s="32"/>
      <c r="BS454" s="32"/>
      <c r="BT454" s="32"/>
      <c r="BU454" s="32"/>
      <c r="BV454" s="32"/>
      <c r="BW454" s="32"/>
      <c r="BX454" s="32"/>
      <c r="BY454" s="32"/>
      <c r="BZ454" s="32"/>
      <c r="CA454" s="32"/>
      <c r="CB454" s="32"/>
      <c r="CC454" s="32"/>
      <c r="CD454" s="32"/>
      <c r="CE454" s="32"/>
      <c r="CF454" s="32"/>
      <c r="CG454" s="32"/>
      <c r="CH454" s="32"/>
      <c r="CI454" s="32"/>
      <c r="CJ454" s="32">
        <f>IF((Table1[[#This Row],["Volume
BA MC-0"]]-Table1[[#This Row],[Total Panjang Pipa Aktual
(Sum-&gt;)3]]-Table1[[#This Row],[Total Volume
tidak dapat dipasang]])&gt;=0,Table1[[#This Row],["Volume
BA MC-0"]]-Table1[[#This Row],[Total Panjang Pipa Aktual
(Sum-&gt;)3]]-Table1[[#This Row],[Total Volume
tidak dapat dipasang]],0)</f>
        <v>0</v>
      </c>
      <c r="CK454" s="42"/>
      <c r="CL454" s="113"/>
      <c r="CM454" s="307"/>
      <c r="CN454" s="113"/>
      <c r="CO454" s="113"/>
      <c r="CP454" s="286"/>
      <c r="CQ454" s="406">
        <f>IFERROR(Table1[[#This Row],[Progres Keg. Umum
(%)]]*Table1[[#This Row],[Nilai RAB Jaringan
(file pa aji)]],0)</f>
        <v>0</v>
      </c>
      <c r="CR454" s="406">
        <f>IFERROR(Table1[[#This Row],[Progres MOS
(%)]]*Table1[[#This Row],[Nilai RAB Jaringan
(file pa aji)]],0)</f>
        <v>0</v>
      </c>
      <c r="CS454" s="406">
        <f>IFERROR(Table1[[#This Row],[Progres Pemasangan
(%)]]*Table1[[#This Row],[Nilai RAB Jaringan
(file pa aji)]],0)</f>
        <v>0</v>
      </c>
      <c r="CT454" s="406">
        <f>IFERROR(Table1[[#This Row],[Progres Perizinan
(%)]]*Table1[[#This Row],[Nilai RAB Jaringan
(file pa aji)]],0)</f>
        <v>0</v>
      </c>
      <c r="CU454" s="789">
        <v>0</v>
      </c>
      <c r="CV454" s="527">
        <v>0</v>
      </c>
      <c r="CW454" s="481">
        <v>0</v>
      </c>
      <c r="CX454" s="789">
        <f>_xlfn.XLOOKUP(Table1[[#This Row],[Kode Program]],'[1]Breakdown VOWD Greenfield'!$E:$E,'[1]Breakdown VOWD Greenfield'!$AT:$AT)</f>
        <v>0</v>
      </c>
      <c r="CY454" s="42"/>
      <c r="CZ454" s="301"/>
      <c r="DA454" s="301"/>
      <c r="DB454" s="301"/>
      <c r="DC454" s="286"/>
      <c r="DD454" s="478"/>
      <c r="DE45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4" s="301"/>
      <c r="DG454" s="286"/>
      <c r="DH454" s="478"/>
      <c r="DI45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4" s="301"/>
      <c r="DK454" s="301"/>
      <c r="DL454" s="301"/>
      <c r="DM454" s="286"/>
      <c r="DN454"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4" s="301"/>
      <c r="DP454" s="286"/>
      <c r="DQ454" s="308"/>
      <c r="DR454"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4" s="301"/>
      <c r="DT454" s="301" t="e">
        <v>#N/A</v>
      </c>
      <c r="DU454" s="301"/>
      <c r="DV454" s="301" t="e">
        <v>#N/A</v>
      </c>
      <c r="DW454" s="301"/>
      <c r="DX454" s="286"/>
      <c r="DY454" s="305"/>
      <c r="DZ454" s="305"/>
      <c r="EA454"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4" s="301"/>
      <c r="EC454" s="302"/>
      <c r="ED454" s="302"/>
      <c r="EE454" s="300"/>
      <c r="EF454" s="307"/>
      <c r="EG454" s="307"/>
      <c r="EH454" s="286" t="str">
        <f>IF(Table1[[#This Row],[PO Material Aktual 
(%)]]&gt;=100%,"Selesai PO = 100%",IF(Table1[[#This Row],[PO Material Aktual 
(%)]]&gt;=50%,"Proses PO &gt; 100%",IF(Table1[[#This Row],[PO Material Aktual 
(%)]]&gt;0%,"Proses PO &gt; 50%",IF(Table1[[#This Row],[PO Material Aktual 
(%)]]=0,"Belum PO = 0%"))))</f>
        <v>Belum PO = 0%</v>
      </c>
      <c r="EI45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4" s="301"/>
      <c r="EK454" s="301" t="e">
        <v>#N/A</v>
      </c>
      <c r="EL454" s="301"/>
      <c r="EM454" s="301" t="e">
        <v>#N/A</v>
      </c>
      <c r="EN454" s="301"/>
      <c r="EO454" s="286"/>
      <c r="EP454" s="302"/>
      <c r="EQ454" s="307"/>
      <c r="ER454" s="307"/>
      <c r="ES454" s="286" t="str">
        <f>IF(Table1[[#This Row],[Progres MOS]]&gt;=100%,"Selesai MOS = 100%",IF(Table1[[#This Row],[Progres MOS]]&gt;=50%,"Proses MOS &gt; 100%",IF(Table1[[#This Row],[Progres MOS]]&gt;0%,"Proses MOS &gt; 50%",IF(Table1[[#This Row],[Progres MOS]]=0,"Belum MOS = 0%"))))</f>
        <v>Belum MOS = 0%</v>
      </c>
      <c r="ET45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4" s="42"/>
      <c r="EV454" s="301"/>
      <c r="EW454" s="301" t="e">
        <v>#N/A</v>
      </c>
      <c r="EX454" s="301"/>
      <c r="EY454" s="301" t="e">
        <v>#N/A</v>
      </c>
      <c r="EZ454" s="322"/>
      <c r="FA454" s="354"/>
      <c r="FB454" s="301" t="e">
        <v>#N/A</v>
      </c>
      <c r="FC454" s="301" t="e">
        <v>#N/A</v>
      </c>
      <c r="FD454" s="301" t="e">
        <v>#N/A</v>
      </c>
      <c r="FE454" s="301" t="e">
        <v>#N/A</v>
      </c>
      <c r="FF454" s="301" t="e">
        <v>#N/A</v>
      </c>
      <c r="FG454" s="301" t="e">
        <v>#N/A</v>
      </c>
      <c r="FH454" s="301" t="e">
        <v>#N/A</v>
      </c>
      <c r="FI454" s="301" t="e">
        <v>#N/A</v>
      </c>
      <c r="FJ454" s="301" t="e">
        <v>#N/A</v>
      </c>
      <c r="FK454" s="301" t="e">
        <v>#N/A</v>
      </c>
      <c r="FL454" s="322"/>
      <c r="FM454" s="322"/>
      <c r="FN454" s="308" t="str">
        <f>IF(Table1[[#This Row],[Tanggal Pengajuan Dokumen]]="","",Table1[[#This Row],[PLAN PERMIT
start]]-Table1[[#This Row],[Tanggal Pengajuan Dokumen]])</f>
        <v/>
      </c>
      <c r="FO454" s="322"/>
      <c r="FP454" s="286"/>
      <c r="FQ454" s="308"/>
      <c r="FR454" s="322"/>
      <c r="FS454" s="308"/>
      <c r="FT45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4" s="314">
        <f ca="1">IF(Table1[[#This Row],[Status Izin]]="Selesai",Table1[[#This Row],[PLAN PERMIT
finish]]-Table1[[#This Row],[Tanggal Terbit/ Target Izin Terbit]],ROUNDUP(Table1[[#This Row],[PLAN PERMIT
finish]]-NOW(),0))</f>
        <v>-46204</v>
      </c>
      <c r="FV45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4" s="314"/>
      <c r="FX454" s="42"/>
      <c r="FY454" s="540"/>
      <c r="FZ454" s="541"/>
      <c r="GA454"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4" s="301"/>
      <c r="GC454" s="322">
        <v>46161</v>
      </c>
      <c r="GD45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Sudah, Delay</v>
      </c>
      <c r="GE454" s="301"/>
      <c r="GF454" s="322">
        <v>46161</v>
      </c>
      <c r="GG45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4" s="301"/>
      <c r="GI454" s="301"/>
      <c r="GJ454" s="322">
        <v>46163</v>
      </c>
      <c r="GK45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4" s="301"/>
      <c r="GM454" s="301" t="e">
        <v>#N/A</v>
      </c>
      <c r="GN454" s="301"/>
      <c r="GO454" s="300" t="e">
        <v>#N/A</v>
      </c>
      <c r="GP454" s="286"/>
      <c r="GQ45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4" s="301"/>
      <c r="GS454" s="301"/>
      <c r="GT454" s="324"/>
      <c r="GU454" s="314" t="str">
        <f>IF(Table1[[#This Row],[Hydro Tes Actual
(tanggal)]]&lt;&gt;"","Sudah","Belum")</f>
        <v>Belum</v>
      </c>
      <c r="GV454" s="300"/>
      <c r="GW454" s="300"/>
      <c r="GX454" s="301"/>
      <c r="GY454" s="314" t="str">
        <f>IF(Table1[[#This Row],[Interkoneksi Actual
(tanggal)]]&lt;&gt;"","Sudah","Belum")</f>
        <v>Belum</v>
      </c>
      <c r="GZ454" s="300"/>
      <c r="HA454" s="300"/>
      <c r="HB454" s="301"/>
      <c r="HC454" s="314" t="str">
        <f>IF(Table1[[#This Row],[Flushing Actual
(tanggal)]]&lt;&gt;"","Sudah","Belum")</f>
        <v>Belum</v>
      </c>
      <c r="HD454" s="301"/>
      <c r="HE454" s="301" t="e">
        <v>#N/A</v>
      </c>
      <c r="HF454" s="301"/>
      <c r="HG454" s="322"/>
      <c r="HH45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4" s="300"/>
      <c r="HJ454" s="300"/>
      <c r="HK454" s="301"/>
      <c r="HL454" s="286"/>
      <c r="HM454" s="301"/>
      <c r="HN454" s="301"/>
      <c r="HO454" s="300" t="e">
        <v>#N/A</v>
      </c>
      <c r="HP454" s="300"/>
      <c r="HQ454" s="301"/>
      <c r="HR45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4" s="322"/>
      <c r="HT454" s="322"/>
      <c r="HU454" s="322"/>
      <c r="HV454" s="444"/>
      <c r="HW454" s="301"/>
      <c r="HX45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4" s="42"/>
      <c r="HZ454" s="322"/>
      <c r="IA454" s="306"/>
      <c r="IB454"/>
      <c r="IC454" s="585">
        <f>IFERROR(ROUND((Table1[[#This Row],[PLAN TC
finish]]-Table1[[#This Row],[PLAN MC-0
start]])/30,2),"")</f>
        <v>0</v>
      </c>
      <c r="ID454">
        <f>DATEDIF(Table1[[#This Row],[PLAN MC-0
start]],Table1[[#This Row],[PLAN TC
finish]],"m")</f>
        <v>0</v>
      </c>
      <c r="IE454" s="8"/>
      <c r="IF454" s="8"/>
      <c r="IG454" s="4"/>
      <c r="IH454" s="6"/>
      <c r="II454" s="67"/>
      <c r="IJ454" s="67"/>
      <c r="IK454" s="8"/>
      <c r="IM454" s="6"/>
      <c r="IN454" s="6"/>
      <c r="IO454" s="67"/>
      <c r="IP454" s="8"/>
      <c r="IR454" s="4"/>
      <c r="IS454" s="4"/>
      <c r="IT454" s="6"/>
      <c r="IU454" s="6"/>
      <c r="IX454" s="6"/>
      <c r="IY454" s="6"/>
      <c r="JA454" s="6"/>
      <c r="JB454" s="6"/>
    </row>
    <row r="455" spans="2:262" ht="15" customHeight="1" x14ac:dyDescent="0.25">
      <c r="B455" s="281">
        <f>SUBTOTAL(3,$D$5:D455)</f>
        <v>451</v>
      </c>
      <c r="C455" s="286">
        <v>465</v>
      </c>
      <c r="D455" s="430" t="s">
        <v>629</v>
      </c>
      <c r="E455" s="308" t="s">
        <v>3497</v>
      </c>
      <c r="F455" s="308" t="s">
        <v>3498</v>
      </c>
      <c r="G455" s="319">
        <v>46482</v>
      </c>
      <c r="H455" s="431" t="s">
        <v>247</v>
      </c>
      <c r="I455" s="308"/>
      <c r="J455" s="450"/>
      <c r="K455" s="308"/>
      <c r="L455" s="286"/>
      <c r="M455" s="325"/>
      <c r="N455" s="528">
        <v>2948</v>
      </c>
      <c r="O455" s="434" t="s">
        <v>252</v>
      </c>
      <c r="P45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5" s="290" t="s">
        <v>3499</v>
      </c>
      <c r="R455" s="307"/>
      <c r="S455" s="297">
        <v>0.99999999999999989</v>
      </c>
      <c r="T455" s="297">
        <f>Table1[[#This Row],[Progres Total Aktual
(%)]]</f>
        <v>0</v>
      </c>
      <c r="U455" s="537">
        <f>Table1[[#This Row],[Progres Aktual
(%)]]-Table1[[#This Row],[Target Progres
(%)]]</f>
        <v>-0.99999999999999989</v>
      </c>
      <c r="V455" s="538">
        <f>Table1[[#This Row],["Volume
BA MC-0"]]</f>
        <v>2725</v>
      </c>
      <c r="W455" s="538">
        <f>Table1[[#This Row],[Total Panjang Pipa Aktual
(Sum-&gt;)3]]</f>
        <v>0</v>
      </c>
      <c r="X455" s="99"/>
      <c r="Y455" s="265"/>
      <c r="Z455" s="478"/>
      <c r="AA455" s="478">
        <f>ROUND((Table1[[#This Row],[Nilai RAB Jaringan
(Exclude Ppn)]]-Table1[[#This Row],[RAB Perizinan]])*1.11+Table1[[#This Row],[RAB Perizinan]],0)</f>
        <v>0</v>
      </c>
      <c r="AB455" s="406">
        <f>SUM(Table1[[#This Row],[RAB Kegiatan Umum]:[RAB Perizinan]])</f>
        <v>0</v>
      </c>
      <c r="AC455" s="406"/>
      <c r="AD455" s="406"/>
      <c r="AE455" s="406"/>
      <c r="AF455" s="406"/>
      <c r="AG455" s="406"/>
      <c r="AH455" s="539" t="e">
        <f>SUM(Table1[[#This Row],[Bobot Keg Umum]:[Bobot Perizinan]])</f>
        <v>#DIV/0!</v>
      </c>
      <c r="AI455" s="539" t="e">
        <f>Table1[[#This Row],[RAB Kegiatan Umum]]/Table1[[#This Row],[Nilai RAB Jaringan
(Exclude Ppn)]]</f>
        <v>#DIV/0!</v>
      </c>
      <c r="AJ455" s="539" t="e">
        <f>Table1[[#This Row],[RAB Pemasangan]]/Table1[[#This Row],[Nilai RAB Jaringan
(Exclude Ppn)]]</f>
        <v>#DIV/0!</v>
      </c>
      <c r="AK455" s="539" t="e">
        <f>Table1[[#This Row],[RAB Pengadaan]]/Table1[[#This Row],[Nilai RAB Jaringan
(Exclude Ppn)]]</f>
        <v>#DIV/0!</v>
      </c>
      <c r="AL455" s="307" t="e">
        <f>Table1[[#This Row],[RAB Perizinan]]/Table1[[#This Row],[Nilai RAB Jaringan
(Exclude Ppn)]]</f>
        <v>#DIV/0!</v>
      </c>
      <c r="AM455" s="42"/>
      <c r="AN455" s="308">
        <v>2725</v>
      </c>
      <c r="AO455" s="484">
        <f>SUM(Table1[[#This Row],[Pipa 63 mm]:[Pipa 1,800 mm]])</f>
        <v>2725</v>
      </c>
      <c r="AP455" s="308"/>
      <c r="AQ455" s="308"/>
      <c r="AR455" s="308"/>
      <c r="AS455" s="308"/>
      <c r="AT455" s="308"/>
      <c r="AU455" s="308"/>
      <c r="AV455" s="308"/>
      <c r="AW455" s="308"/>
      <c r="AX455" s="308"/>
      <c r="AY455" s="308"/>
      <c r="AZ455" s="308"/>
      <c r="BA455" s="308"/>
      <c r="BB455" s="308"/>
      <c r="BC455" s="308"/>
      <c r="BD455" s="308">
        <v>2725</v>
      </c>
      <c r="BE455" s="308"/>
      <c r="BF455" s="308"/>
      <c r="BG455" s="308"/>
      <c r="BH455" s="308"/>
      <c r="BI455" s="308"/>
      <c r="BJ455" s="36">
        <f>SUM(Table1[[#This Row],[Pipa 63 mm2]:[Pipa 1,800 mm21]])</f>
        <v>0</v>
      </c>
      <c r="BK455" s="32"/>
      <c r="BL455" s="32"/>
      <c r="BM455" s="32"/>
      <c r="BN455" s="32"/>
      <c r="BO455" s="32"/>
      <c r="BP455" s="32"/>
      <c r="BQ455" s="32"/>
      <c r="BR455" s="32"/>
      <c r="BS455" s="32"/>
      <c r="BT455" s="32"/>
      <c r="BU455" s="32"/>
      <c r="BV455" s="32"/>
      <c r="BW455" s="32"/>
      <c r="BX455" s="32"/>
      <c r="BY455" s="32"/>
      <c r="BZ455" s="32"/>
      <c r="CA455" s="32"/>
      <c r="CB455" s="32"/>
      <c r="CC455" s="32"/>
      <c r="CD455" s="32"/>
      <c r="CE455" s="32"/>
      <c r="CF455" s="32"/>
      <c r="CG455" s="32"/>
      <c r="CH455" s="32"/>
      <c r="CI455" s="32"/>
      <c r="CJ455" s="32">
        <f>IF((Table1[[#This Row],["Volume
BA MC-0"]]-Table1[[#This Row],[Total Panjang Pipa Aktual
(Sum-&gt;)3]]-Table1[[#This Row],[Total Volume
tidak dapat dipasang]])&gt;=0,Table1[[#This Row],["Volume
BA MC-0"]]-Table1[[#This Row],[Total Panjang Pipa Aktual
(Sum-&gt;)3]]-Table1[[#This Row],[Total Volume
tidak dapat dipasang]],0)</f>
        <v>2725</v>
      </c>
      <c r="CK455" s="42"/>
      <c r="CL455" s="113"/>
      <c r="CM455" s="307"/>
      <c r="CN455" s="113"/>
      <c r="CO455" s="113"/>
      <c r="CP455" s="286"/>
      <c r="CQ455" s="406">
        <f>IFERROR(Table1[[#This Row],[Progres Keg. Umum
(%)]]*Table1[[#This Row],[Nilai RAB Jaringan
(file pa aji)]],0)</f>
        <v>0</v>
      </c>
      <c r="CR455" s="406">
        <f>IFERROR(Table1[[#This Row],[Progres MOS
(%)]]*Table1[[#This Row],[Nilai RAB Jaringan
(file pa aji)]],0)</f>
        <v>0</v>
      </c>
      <c r="CS455" s="406">
        <f>IFERROR(Table1[[#This Row],[Progres Pemasangan
(%)]]*Table1[[#This Row],[Nilai RAB Jaringan
(file pa aji)]],0)</f>
        <v>0</v>
      </c>
      <c r="CT455" s="406">
        <f>IFERROR(Table1[[#This Row],[Progres Perizinan
(%)]]*Table1[[#This Row],[Nilai RAB Jaringan
(file pa aji)]],0)</f>
        <v>0</v>
      </c>
      <c r="CU455" s="789">
        <v>11831038521.041998</v>
      </c>
      <c r="CV455" s="527">
        <v>11831038521.041998</v>
      </c>
      <c r="CW455" s="481">
        <v>0</v>
      </c>
      <c r="CX455" s="789">
        <f>_xlfn.XLOOKUP(Table1[[#This Row],[Kode Program]],'[1]Breakdown VOWD Greenfield'!$E:$E,'[1]Breakdown VOWD Greenfield'!$AT:$AT)</f>
        <v>0</v>
      </c>
      <c r="CY455" s="42"/>
      <c r="CZ455" s="301"/>
      <c r="DA455" s="301"/>
      <c r="DB455" s="301"/>
      <c r="DC455" s="286"/>
      <c r="DD455" s="478"/>
      <c r="DE45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5" s="301"/>
      <c r="DG455" s="286"/>
      <c r="DH455" s="478"/>
      <c r="DI45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5" s="301"/>
      <c r="DK455" s="301"/>
      <c r="DL455" s="301"/>
      <c r="DM455" s="286"/>
      <c r="DN455"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5" s="301"/>
      <c r="DP455" s="286"/>
      <c r="DQ455" s="308"/>
      <c r="DR455"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5" s="301"/>
      <c r="DT455" s="301" t="e">
        <v>#N/A</v>
      </c>
      <c r="DU455" s="301"/>
      <c r="DV455" s="301" t="e">
        <v>#N/A</v>
      </c>
      <c r="DW455" s="301"/>
      <c r="DX455" s="286"/>
      <c r="DY455" s="304"/>
      <c r="DZ455" s="304"/>
      <c r="EA455"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5" s="301"/>
      <c r="EC455" s="302"/>
      <c r="ED455" s="302"/>
      <c r="EE455" s="300"/>
      <c r="EF455" s="307"/>
      <c r="EG455" s="307"/>
      <c r="EH455" s="286" t="str">
        <f>IF(Table1[[#This Row],[PO Material Aktual 
(%)]]&gt;=100%,"Selesai PO = 100%",IF(Table1[[#This Row],[PO Material Aktual 
(%)]]&gt;=50%,"Proses PO &gt; 100%",IF(Table1[[#This Row],[PO Material Aktual 
(%)]]&gt;0%,"Proses PO &gt; 50%",IF(Table1[[#This Row],[PO Material Aktual 
(%)]]=0,"Belum PO = 0%"))))</f>
        <v>Belum PO = 0%</v>
      </c>
      <c r="EI45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5" s="301"/>
      <c r="EK455" s="301" t="e">
        <v>#N/A</v>
      </c>
      <c r="EL455" s="301"/>
      <c r="EM455" s="301" t="e">
        <v>#N/A</v>
      </c>
      <c r="EN455" s="301"/>
      <c r="EO455" s="286"/>
      <c r="EP455" s="302"/>
      <c r="EQ455" s="307"/>
      <c r="ER455" s="307"/>
      <c r="ES455" s="286" t="str">
        <f>IF(Table1[[#This Row],[Progres MOS]]&gt;=100%,"Selesai MOS = 100%",IF(Table1[[#This Row],[Progres MOS]]&gt;=50%,"Proses MOS &gt; 100%",IF(Table1[[#This Row],[Progres MOS]]&gt;0%,"Proses MOS &gt; 50%",IF(Table1[[#This Row],[Progres MOS]]=0,"Belum MOS = 0%"))))</f>
        <v>Belum MOS = 0%</v>
      </c>
      <c r="ET45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5" s="42"/>
      <c r="EV455" s="301"/>
      <c r="EW455" s="301" t="e">
        <v>#N/A</v>
      </c>
      <c r="EX455" s="301"/>
      <c r="EY455" s="301" t="e">
        <v>#N/A</v>
      </c>
      <c r="EZ455" s="322"/>
      <c r="FA455" s="354"/>
      <c r="FB455" s="301" t="e">
        <v>#N/A</v>
      </c>
      <c r="FC455" s="301" t="e">
        <v>#N/A</v>
      </c>
      <c r="FD455" s="301" t="e">
        <v>#N/A</v>
      </c>
      <c r="FE455" s="301" t="e">
        <v>#N/A</v>
      </c>
      <c r="FF455" s="301" t="e">
        <v>#N/A</v>
      </c>
      <c r="FG455" s="301" t="e">
        <v>#N/A</v>
      </c>
      <c r="FH455" s="301" t="e">
        <v>#N/A</v>
      </c>
      <c r="FI455" s="301" t="e">
        <v>#N/A</v>
      </c>
      <c r="FJ455" s="301" t="e">
        <v>#N/A</v>
      </c>
      <c r="FK455" s="301" t="e">
        <v>#N/A</v>
      </c>
      <c r="FL455" s="322"/>
      <c r="FM455" s="322"/>
      <c r="FN455" s="308" t="str">
        <f>IF(Table1[[#This Row],[Tanggal Pengajuan Dokumen]]="","",Table1[[#This Row],[PLAN PERMIT
start]]-Table1[[#This Row],[Tanggal Pengajuan Dokumen]])</f>
        <v/>
      </c>
      <c r="FO455" s="322"/>
      <c r="FP455" s="286"/>
      <c r="FQ455" s="308"/>
      <c r="FR455" s="322"/>
      <c r="FS455" s="308"/>
      <c r="FT45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5" s="314">
        <f ca="1">IF(Table1[[#This Row],[Status Izin]]="Selesai",Table1[[#This Row],[PLAN PERMIT
finish]]-Table1[[#This Row],[Tanggal Terbit/ Target Izin Terbit]],ROUNDUP(Table1[[#This Row],[PLAN PERMIT
finish]]-NOW(),0))</f>
        <v>-46204</v>
      </c>
      <c r="FV45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5" s="314"/>
      <c r="FX455" s="42"/>
      <c r="FY455" s="540"/>
      <c r="FZ455" s="541"/>
      <c r="GA455"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5" s="301"/>
      <c r="GC455" s="322"/>
      <c r="GD45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5" s="301"/>
      <c r="GF455" s="322">
        <v>46148</v>
      </c>
      <c r="GG45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5" s="301"/>
      <c r="GI455" s="301"/>
      <c r="GJ455" s="322">
        <v>46155</v>
      </c>
      <c r="GK45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5" s="301"/>
      <c r="GM455" s="301" t="e">
        <v>#N/A</v>
      </c>
      <c r="GN455" s="301"/>
      <c r="GO455" s="300" t="e">
        <v>#N/A</v>
      </c>
      <c r="GP455" s="286"/>
      <c r="GQ45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5" s="301"/>
      <c r="GS455" s="301"/>
      <c r="GT455" s="324"/>
      <c r="GU455" s="314" t="str">
        <f>IF(Table1[[#This Row],[Hydro Tes Actual
(tanggal)]]&lt;&gt;"","Sudah","Belum")</f>
        <v>Belum</v>
      </c>
      <c r="GV455" s="300"/>
      <c r="GW455" s="300"/>
      <c r="GX455" s="301"/>
      <c r="GY455" s="314" t="str">
        <f>IF(Table1[[#This Row],[Interkoneksi Actual
(tanggal)]]&lt;&gt;"","Sudah","Belum")</f>
        <v>Belum</v>
      </c>
      <c r="GZ455" s="300"/>
      <c r="HA455" s="300"/>
      <c r="HB455" s="301"/>
      <c r="HC455" s="314" t="str">
        <f>IF(Table1[[#This Row],[Flushing Actual
(tanggal)]]&lt;&gt;"","Sudah","Belum")</f>
        <v>Belum</v>
      </c>
      <c r="HD455" s="301"/>
      <c r="HE455" s="301" t="e">
        <v>#N/A</v>
      </c>
      <c r="HF455" s="301"/>
      <c r="HG455" s="322"/>
      <c r="HH45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5" s="300"/>
      <c r="HJ455" s="300"/>
      <c r="HK455" s="301"/>
      <c r="HL455" s="286"/>
      <c r="HM455" s="301"/>
      <c r="HN455" s="301"/>
      <c r="HO455" s="300" t="e">
        <v>#N/A</v>
      </c>
      <c r="HP455" s="300"/>
      <c r="HQ455" s="301"/>
      <c r="HR45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5" s="322"/>
      <c r="HT455" s="322"/>
      <c r="HU455" s="322"/>
      <c r="HV455" s="447"/>
      <c r="HW455" s="301"/>
      <c r="HX45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5" s="42"/>
      <c r="HZ455" s="322"/>
      <c r="IA455" s="306"/>
      <c r="IB455"/>
      <c r="IC455" s="585">
        <f>IFERROR(ROUND((Table1[[#This Row],[PLAN TC
finish]]-Table1[[#This Row],[PLAN MC-0
start]])/30,2),"")</f>
        <v>0</v>
      </c>
      <c r="ID455">
        <f>DATEDIF(Table1[[#This Row],[PLAN MC-0
start]],Table1[[#This Row],[PLAN TC
finish]],"m")</f>
        <v>0</v>
      </c>
      <c r="IE455" s="8"/>
      <c r="IF455" s="8"/>
      <c r="IG455" s="4"/>
      <c r="IH455" s="6"/>
      <c r="II455" s="67"/>
      <c r="IJ455" s="67"/>
      <c r="IK455" s="8"/>
      <c r="IM455" s="6"/>
      <c r="IN455" s="6"/>
      <c r="IO455" s="67"/>
      <c r="IP455" s="8"/>
      <c r="IR455" s="4"/>
      <c r="IS455" s="4"/>
      <c r="IT455" s="6"/>
      <c r="IU455" s="6"/>
      <c r="IX455" s="6"/>
      <c r="IY455" s="6"/>
      <c r="JA455" s="6"/>
      <c r="JB455" s="6"/>
    </row>
    <row r="456" spans="2:262" ht="15" customHeight="1" x14ac:dyDescent="0.25">
      <c r="B456" s="281">
        <f>SUBTOTAL(3,$D$5:D456)</f>
        <v>452</v>
      </c>
      <c r="C456" s="286">
        <v>466</v>
      </c>
      <c r="D456" s="430" t="s">
        <v>629</v>
      </c>
      <c r="E456" s="308" t="s">
        <v>3500</v>
      </c>
      <c r="F456" s="308" t="s">
        <v>3501</v>
      </c>
      <c r="G456" s="319">
        <v>46482</v>
      </c>
      <c r="H456" s="431" t="s">
        <v>247</v>
      </c>
      <c r="I456" s="308"/>
      <c r="J456" s="450"/>
      <c r="K456" s="308"/>
      <c r="L456" s="286"/>
      <c r="M456" s="325"/>
      <c r="N456" s="528">
        <v>200</v>
      </c>
      <c r="O456" s="434" t="s">
        <v>252</v>
      </c>
      <c r="P45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6" s="307"/>
      <c r="S456" s="297">
        <v>0.99999999999999989</v>
      </c>
      <c r="T456" s="297">
        <f>Table1[[#This Row],[Progres Total Aktual
(%)]]</f>
        <v>0</v>
      </c>
      <c r="U456" s="537">
        <f>Table1[[#This Row],[Progres Aktual
(%)]]-Table1[[#This Row],[Target Progres
(%)]]</f>
        <v>-0.99999999999999989</v>
      </c>
      <c r="V456" s="538">
        <f>Table1[[#This Row],["Volume
BA MC-0"]]</f>
        <v>0</v>
      </c>
      <c r="W456" s="538">
        <f>Table1[[#This Row],[Total Panjang Pipa Aktual
(Sum-&gt;)3]]</f>
        <v>0</v>
      </c>
      <c r="X456" s="99"/>
      <c r="Y456" s="265"/>
      <c r="Z456" s="478"/>
      <c r="AA456" s="478">
        <f>ROUND((Table1[[#This Row],[Nilai RAB Jaringan
(Exclude Ppn)]]-Table1[[#This Row],[RAB Perizinan]])*1.11+Table1[[#This Row],[RAB Perizinan]],0)</f>
        <v>0</v>
      </c>
      <c r="AB456" s="406">
        <f>SUM(Table1[[#This Row],[RAB Kegiatan Umum]:[RAB Perizinan]])</f>
        <v>0</v>
      </c>
      <c r="AC456" s="406"/>
      <c r="AD456" s="406"/>
      <c r="AE456" s="406"/>
      <c r="AF456" s="406"/>
      <c r="AG456" s="406"/>
      <c r="AH456" s="539" t="e">
        <f>SUM(Table1[[#This Row],[Bobot Keg Umum]:[Bobot Perizinan]])</f>
        <v>#DIV/0!</v>
      </c>
      <c r="AI456" s="539" t="e">
        <f>Table1[[#This Row],[RAB Kegiatan Umum]]/Table1[[#This Row],[Nilai RAB Jaringan
(Exclude Ppn)]]</f>
        <v>#DIV/0!</v>
      </c>
      <c r="AJ456" s="539" t="e">
        <f>Table1[[#This Row],[RAB Pemasangan]]/Table1[[#This Row],[Nilai RAB Jaringan
(Exclude Ppn)]]</f>
        <v>#DIV/0!</v>
      </c>
      <c r="AK456" s="539" t="e">
        <f>Table1[[#This Row],[RAB Pengadaan]]/Table1[[#This Row],[Nilai RAB Jaringan
(Exclude Ppn)]]</f>
        <v>#DIV/0!</v>
      </c>
      <c r="AL456" s="307" t="e">
        <f>Table1[[#This Row],[RAB Perizinan]]/Table1[[#This Row],[Nilai RAB Jaringan
(Exclude Ppn)]]</f>
        <v>#DIV/0!</v>
      </c>
      <c r="AM456" s="42"/>
      <c r="AN456" s="308"/>
      <c r="AO456" s="484">
        <f>SUM(Table1[[#This Row],[Pipa 63 mm]:[Pipa 1,800 mm]])</f>
        <v>0</v>
      </c>
      <c r="AP456" s="308"/>
      <c r="AQ456" s="308"/>
      <c r="AR456" s="308"/>
      <c r="AS456" s="308"/>
      <c r="AT456" s="308"/>
      <c r="AU456" s="308"/>
      <c r="AV456" s="308"/>
      <c r="AW456" s="308"/>
      <c r="AX456" s="308"/>
      <c r="AY456" s="308"/>
      <c r="AZ456" s="308"/>
      <c r="BA456" s="308"/>
      <c r="BB456" s="308"/>
      <c r="BC456" s="308"/>
      <c r="BD456" s="308"/>
      <c r="BE456" s="308"/>
      <c r="BF456" s="308"/>
      <c r="BG456" s="308"/>
      <c r="BH456" s="308"/>
      <c r="BI456" s="308"/>
      <c r="BJ456" s="36">
        <f>SUM(Table1[[#This Row],[Pipa 63 mm2]:[Pipa 1,800 mm21]])</f>
        <v>0</v>
      </c>
      <c r="BK456" s="32"/>
      <c r="BL456" s="32"/>
      <c r="BM456" s="32"/>
      <c r="BN456" s="32"/>
      <c r="BO456" s="32"/>
      <c r="BP456" s="32"/>
      <c r="BQ456" s="32"/>
      <c r="BR456" s="32"/>
      <c r="BS456" s="32"/>
      <c r="BT456" s="32"/>
      <c r="BU456" s="32"/>
      <c r="BV456" s="32"/>
      <c r="BW456" s="32"/>
      <c r="BX456" s="32"/>
      <c r="BY456" s="32"/>
      <c r="BZ456" s="32"/>
      <c r="CA456" s="32"/>
      <c r="CB456" s="32"/>
      <c r="CC456" s="32"/>
      <c r="CD456" s="32"/>
      <c r="CE456" s="32"/>
      <c r="CF456" s="32"/>
      <c r="CG456" s="32"/>
      <c r="CH456" s="32"/>
      <c r="CI456" s="32"/>
      <c r="CJ456" s="32">
        <f>IF((Table1[[#This Row],["Volume
BA MC-0"]]-Table1[[#This Row],[Total Panjang Pipa Aktual
(Sum-&gt;)3]]-Table1[[#This Row],[Total Volume
tidak dapat dipasang]])&gt;=0,Table1[[#This Row],["Volume
BA MC-0"]]-Table1[[#This Row],[Total Panjang Pipa Aktual
(Sum-&gt;)3]]-Table1[[#This Row],[Total Volume
tidak dapat dipasang]],0)</f>
        <v>0</v>
      </c>
      <c r="CK456" s="42"/>
      <c r="CL456" s="113"/>
      <c r="CM456" s="307"/>
      <c r="CN456" s="113"/>
      <c r="CO456" s="113"/>
      <c r="CP456" s="286"/>
      <c r="CQ456" s="406">
        <f>IFERROR(Table1[[#This Row],[Progres Keg. Umum
(%)]]*Table1[[#This Row],[Nilai RAB Jaringan
(file pa aji)]],0)</f>
        <v>0</v>
      </c>
      <c r="CR456" s="406">
        <f>IFERROR(Table1[[#This Row],[Progres MOS
(%)]]*Table1[[#This Row],[Nilai RAB Jaringan
(file pa aji)]],0)</f>
        <v>0</v>
      </c>
      <c r="CS456" s="406">
        <f>IFERROR(Table1[[#This Row],[Progres Pemasangan
(%)]]*Table1[[#This Row],[Nilai RAB Jaringan
(file pa aji)]],0)</f>
        <v>0</v>
      </c>
      <c r="CT456" s="406">
        <f>IFERROR(Table1[[#This Row],[Progres Perizinan
(%)]]*Table1[[#This Row],[Nilai RAB Jaringan
(file pa aji)]],0)</f>
        <v>0</v>
      </c>
      <c r="CU456" s="789">
        <v>0</v>
      </c>
      <c r="CV456" s="536">
        <v>0</v>
      </c>
      <c r="CW456" s="481">
        <v>0</v>
      </c>
      <c r="CX456" s="789">
        <f>_xlfn.XLOOKUP(Table1[[#This Row],[Kode Program]],'[1]Breakdown VOWD Greenfield'!$E:$E,'[1]Breakdown VOWD Greenfield'!$AT:$AT)</f>
        <v>0</v>
      </c>
      <c r="CY456" s="42"/>
      <c r="CZ456" s="301"/>
      <c r="DA456" s="301"/>
      <c r="DB456" s="301"/>
      <c r="DC456" s="286"/>
      <c r="DD456" s="478"/>
      <c r="DE45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6" s="301"/>
      <c r="DG456" s="286"/>
      <c r="DH456" s="478"/>
      <c r="DI45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6" s="301"/>
      <c r="DK456" s="301"/>
      <c r="DL456" s="301"/>
      <c r="DM456" s="286"/>
      <c r="DN45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6" s="301"/>
      <c r="DP456" s="286"/>
      <c r="DQ456" s="308"/>
      <c r="DR45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6" s="301"/>
      <c r="DT456" s="301" t="e">
        <v>#N/A</v>
      </c>
      <c r="DU456" s="301"/>
      <c r="DV456" s="301" t="e">
        <v>#N/A</v>
      </c>
      <c r="DW456" s="301"/>
      <c r="DX456" s="286"/>
      <c r="DY456" s="304"/>
      <c r="DZ456" s="304"/>
      <c r="EA45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6" s="301"/>
      <c r="EC456" s="302"/>
      <c r="ED456" s="302"/>
      <c r="EE456" s="300"/>
      <c r="EF456" s="307"/>
      <c r="EG456" s="307"/>
      <c r="EH456" s="286" t="str">
        <f>IF(Table1[[#This Row],[PO Material Aktual 
(%)]]&gt;=100%,"Selesai PO = 100%",IF(Table1[[#This Row],[PO Material Aktual 
(%)]]&gt;=50%,"Proses PO &gt; 100%",IF(Table1[[#This Row],[PO Material Aktual 
(%)]]&gt;0%,"Proses PO &gt; 50%",IF(Table1[[#This Row],[PO Material Aktual 
(%)]]=0,"Belum PO = 0%"))))</f>
        <v>Belum PO = 0%</v>
      </c>
      <c r="EI45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6" s="301"/>
      <c r="EK456" s="301" t="e">
        <v>#N/A</v>
      </c>
      <c r="EL456" s="301"/>
      <c r="EM456" s="301" t="e">
        <v>#N/A</v>
      </c>
      <c r="EN456" s="301"/>
      <c r="EO456" s="286"/>
      <c r="EP456" s="305"/>
      <c r="EQ456" s="307"/>
      <c r="ER456" s="307"/>
      <c r="ES456" s="286" t="str">
        <f>IF(Table1[[#This Row],[Progres MOS]]&gt;=100%,"Selesai MOS = 100%",IF(Table1[[#This Row],[Progres MOS]]&gt;=50%,"Proses MOS &gt; 100%",IF(Table1[[#This Row],[Progres MOS]]&gt;0%,"Proses MOS &gt; 50%",IF(Table1[[#This Row],[Progres MOS]]=0,"Belum MOS = 0%"))))</f>
        <v>Belum MOS = 0%</v>
      </c>
      <c r="ET45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6" s="42"/>
      <c r="EV456" s="301"/>
      <c r="EW456" s="301" t="e">
        <v>#N/A</v>
      </c>
      <c r="EX456" s="301"/>
      <c r="EY456" s="301" t="e">
        <v>#N/A</v>
      </c>
      <c r="EZ456" s="322"/>
      <c r="FA456" s="354"/>
      <c r="FB456" s="301" t="e">
        <v>#N/A</v>
      </c>
      <c r="FC456" s="301" t="e">
        <v>#N/A</v>
      </c>
      <c r="FD456" s="301" t="e">
        <v>#N/A</v>
      </c>
      <c r="FE456" s="301" t="e">
        <v>#N/A</v>
      </c>
      <c r="FF456" s="301" t="e">
        <v>#N/A</v>
      </c>
      <c r="FG456" s="301" t="e">
        <v>#N/A</v>
      </c>
      <c r="FH456" s="301" t="e">
        <v>#N/A</v>
      </c>
      <c r="FI456" s="301" t="e">
        <v>#N/A</v>
      </c>
      <c r="FJ456" s="301" t="e">
        <v>#N/A</v>
      </c>
      <c r="FK456" s="301" t="e">
        <v>#N/A</v>
      </c>
      <c r="FL456" s="322"/>
      <c r="FM456" s="322"/>
      <c r="FN456" s="308" t="str">
        <f>IF(Table1[[#This Row],[Tanggal Pengajuan Dokumen]]="","",Table1[[#This Row],[PLAN PERMIT
start]]-Table1[[#This Row],[Tanggal Pengajuan Dokumen]])</f>
        <v/>
      </c>
      <c r="FO456" s="322"/>
      <c r="FP456" s="286"/>
      <c r="FQ456" s="308"/>
      <c r="FR456" s="322"/>
      <c r="FS456" s="308"/>
      <c r="FT45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6" s="314">
        <f ca="1">IF(Table1[[#This Row],[Status Izin]]="Selesai",Table1[[#This Row],[PLAN PERMIT
finish]]-Table1[[#This Row],[Tanggal Terbit/ Target Izin Terbit]],ROUNDUP(Table1[[#This Row],[PLAN PERMIT
finish]]-NOW(),0))</f>
        <v>-46204</v>
      </c>
      <c r="FV45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6" s="314"/>
      <c r="FX456" s="42"/>
      <c r="FY456" s="540"/>
      <c r="FZ456" s="541"/>
      <c r="GA45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6" s="301"/>
      <c r="GC456" s="322"/>
      <c r="GD45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6" s="301"/>
      <c r="GF456" s="322"/>
      <c r="GG45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6" s="301"/>
      <c r="GI456" s="301"/>
      <c r="GJ456" s="322"/>
      <c r="GK45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6" s="301"/>
      <c r="GM456" s="301" t="e">
        <v>#N/A</v>
      </c>
      <c r="GN456" s="301"/>
      <c r="GO456" s="497" t="e">
        <v>#N/A</v>
      </c>
      <c r="GP456" s="286"/>
      <c r="GQ45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6" s="301"/>
      <c r="GS456" s="301"/>
      <c r="GT456" s="324"/>
      <c r="GU456" s="314" t="str">
        <f>IF(Table1[[#This Row],[Hydro Tes Actual
(tanggal)]]&lt;&gt;"","Sudah","Belum")</f>
        <v>Belum</v>
      </c>
      <c r="GV456" s="300"/>
      <c r="GW456" s="300"/>
      <c r="GX456" s="301"/>
      <c r="GY456" s="314" t="str">
        <f>IF(Table1[[#This Row],[Interkoneksi Actual
(tanggal)]]&lt;&gt;"","Sudah","Belum")</f>
        <v>Belum</v>
      </c>
      <c r="GZ456" s="300"/>
      <c r="HA456" s="300"/>
      <c r="HB456" s="301"/>
      <c r="HC456" s="314" t="str">
        <f>IF(Table1[[#This Row],[Flushing Actual
(tanggal)]]&lt;&gt;"","Sudah","Belum")</f>
        <v>Belum</v>
      </c>
      <c r="HD456" s="301"/>
      <c r="HE456" s="301" t="e">
        <v>#N/A</v>
      </c>
      <c r="HF456" s="301"/>
      <c r="HG456" s="322"/>
      <c r="HH45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6" s="300"/>
      <c r="HJ456" s="300"/>
      <c r="HK456" s="301"/>
      <c r="HL456" s="286"/>
      <c r="HM456" s="301"/>
      <c r="HN456" s="301"/>
      <c r="HO456" s="497" t="e">
        <v>#N/A</v>
      </c>
      <c r="HP456" s="497"/>
      <c r="HQ456" s="301"/>
      <c r="HR45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6" s="322"/>
      <c r="HT456" s="322"/>
      <c r="HU456" s="322"/>
      <c r="HV456" s="447"/>
      <c r="HW456" s="301"/>
      <c r="HX45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6" s="42"/>
      <c r="HZ456" s="322"/>
      <c r="IA456" s="306"/>
      <c r="IB456"/>
      <c r="IC456" s="585">
        <f>IFERROR(ROUND((Table1[[#This Row],[PLAN TC
finish]]-Table1[[#This Row],[PLAN MC-0
start]])/30,2),"")</f>
        <v>0</v>
      </c>
      <c r="ID456">
        <f>DATEDIF(Table1[[#This Row],[PLAN MC-0
start]],Table1[[#This Row],[PLAN TC
finish]],"m")</f>
        <v>0</v>
      </c>
      <c r="IE456" s="8"/>
      <c r="IF456" s="8"/>
      <c r="IG456" s="4"/>
      <c r="IH456" s="6"/>
      <c r="II456" s="67"/>
      <c r="IJ456" s="67"/>
      <c r="IK456" s="8"/>
      <c r="IM456" s="6"/>
      <c r="IN456" s="6"/>
      <c r="IO456" s="67"/>
      <c r="IP456" s="8"/>
      <c r="IR456" s="4"/>
      <c r="IS456" s="4"/>
      <c r="IT456" s="6"/>
      <c r="IU456" s="6"/>
      <c r="IX456" s="6"/>
      <c r="IY456" s="6"/>
      <c r="JA456" s="6"/>
      <c r="JB456" s="6"/>
    </row>
    <row r="457" spans="2:262" ht="15" customHeight="1" x14ac:dyDescent="0.25">
      <c r="B457" s="281">
        <f>SUBTOTAL(3,$D$5:D457)</f>
        <v>453</v>
      </c>
      <c r="C457" s="286">
        <v>467</v>
      </c>
      <c r="D457" s="430" t="s">
        <v>629</v>
      </c>
      <c r="E457" s="308" t="s">
        <v>3502</v>
      </c>
      <c r="F457" s="308" t="s">
        <v>3503</v>
      </c>
      <c r="G457" s="319">
        <v>46482</v>
      </c>
      <c r="H457" s="431" t="s">
        <v>247</v>
      </c>
      <c r="I457" s="308"/>
      <c r="J457" s="450"/>
      <c r="K457" s="308"/>
      <c r="L457" s="286"/>
      <c r="M457" s="325"/>
      <c r="N457" s="528">
        <v>2658</v>
      </c>
      <c r="O457" s="434" t="s">
        <v>252</v>
      </c>
      <c r="P45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7" s="290" t="s">
        <v>3499</v>
      </c>
      <c r="R457" s="307"/>
      <c r="S457" s="297">
        <v>0.99999999999999989</v>
      </c>
      <c r="T457" s="297">
        <f>Table1[[#This Row],[Progres Total Aktual
(%)]]</f>
        <v>0</v>
      </c>
      <c r="U457" s="537">
        <f>Table1[[#This Row],[Progres Aktual
(%)]]-Table1[[#This Row],[Target Progres
(%)]]</f>
        <v>-0.99999999999999989</v>
      </c>
      <c r="V457" s="538">
        <f>Table1[[#This Row],["Volume
BA MC-0"]]</f>
        <v>2382</v>
      </c>
      <c r="W457" s="538">
        <f>Table1[[#This Row],[Total Panjang Pipa Aktual
(Sum-&gt;)3]]</f>
        <v>0</v>
      </c>
      <c r="X457" s="99"/>
      <c r="Y457" s="265"/>
      <c r="Z457" s="478"/>
      <c r="AA457" s="478">
        <f>ROUND((Table1[[#This Row],[Nilai RAB Jaringan
(Exclude Ppn)]]-Table1[[#This Row],[RAB Perizinan]])*1.11+Table1[[#This Row],[RAB Perizinan]],0)</f>
        <v>0</v>
      </c>
      <c r="AB457" s="406">
        <f>SUM(Table1[[#This Row],[RAB Kegiatan Umum]:[RAB Perizinan]])</f>
        <v>0</v>
      </c>
      <c r="AC457" s="406"/>
      <c r="AD457" s="406"/>
      <c r="AE457" s="406"/>
      <c r="AF457" s="406"/>
      <c r="AG457" s="406"/>
      <c r="AH457" s="539" t="e">
        <f>SUM(Table1[[#This Row],[Bobot Keg Umum]:[Bobot Perizinan]])</f>
        <v>#DIV/0!</v>
      </c>
      <c r="AI457" s="539" t="e">
        <f>Table1[[#This Row],[RAB Kegiatan Umum]]/Table1[[#This Row],[Nilai RAB Jaringan
(Exclude Ppn)]]</f>
        <v>#DIV/0!</v>
      </c>
      <c r="AJ457" s="539" t="e">
        <f>Table1[[#This Row],[RAB Pemasangan]]/Table1[[#This Row],[Nilai RAB Jaringan
(Exclude Ppn)]]</f>
        <v>#DIV/0!</v>
      </c>
      <c r="AK457" s="539" t="e">
        <f>Table1[[#This Row],[RAB Pengadaan]]/Table1[[#This Row],[Nilai RAB Jaringan
(Exclude Ppn)]]</f>
        <v>#DIV/0!</v>
      </c>
      <c r="AL457" s="307" t="e">
        <f>Table1[[#This Row],[RAB Perizinan]]/Table1[[#This Row],[Nilai RAB Jaringan
(Exclude Ppn)]]</f>
        <v>#DIV/0!</v>
      </c>
      <c r="AM457" s="42"/>
      <c r="AN457" s="308">
        <v>2382</v>
      </c>
      <c r="AO457" s="484">
        <f>SUM(Table1[[#This Row],[Pipa 63 mm]:[Pipa 1,800 mm]])</f>
        <v>2382</v>
      </c>
      <c r="AP457" s="308"/>
      <c r="AQ457" s="308"/>
      <c r="AR457" s="308"/>
      <c r="AS457" s="308"/>
      <c r="AT457" s="308"/>
      <c r="AU457" s="308"/>
      <c r="AV457" s="308"/>
      <c r="AW457" s="308"/>
      <c r="AX457" s="308"/>
      <c r="AY457" s="308"/>
      <c r="AZ457" s="308"/>
      <c r="BA457" s="308"/>
      <c r="BB457" s="308">
        <v>2382</v>
      </c>
      <c r="BC457" s="308"/>
      <c r="BD457" s="308"/>
      <c r="BE457" s="308"/>
      <c r="BF457" s="308"/>
      <c r="BG457" s="308"/>
      <c r="BH457" s="308"/>
      <c r="BI457" s="308"/>
      <c r="BJ457" s="36">
        <f>SUM(Table1[[#This Row],[Pipa 63 mm2]:[Pipa 1,800 mm21]])</f>
        <v>0</v>
      </c>
      <c r="BK457" s="32"/>
      <c r="BL457" s="32"/>
      <c r="BM457" s="32"/>
      <c r="BN457" s="32"/>
      <c r="BO457" s="32"/>
      <c r="BP457" s="32"/>
      <c r="BQ457" s="32"/>
      <c r="BR457" s="32"/>
      <c r="BS457" s="32"/>
      <c r="BT457" s="32"/>
      <c r="BU457" s="32"/>
      <c r="BV457" s="32"/>
      <c r="BW457" s="32"/>
      <c r="BX457" s="32"/>
      <c r="BY457" s="32"/>
      <c r="BZ457" s="32"/>
      <c r="CA457" s="32"/>
      <c r="CB457" s="32"/>
      <c r="CC457" s="32"/>
      <c r="CD457" s="32"/>
      <c r="CE457" s="32"/>
      <c r="CF457" s="32"/>
      <c r="CG457" s="32"/>
      <c r="CH457" s="32"/>
      <c r="CI457" s="32"/>
      <c r="CJ457" s="32">
        <f>IF((Table1[[#This Row],["Volume
BA MC-0"]]-Table1[[#This Row],[Total Panjang Pipa Aktual
(Sum-&gt;)3]]-Table1[[#This Row],[Total Volume
tidak dapat dipasang]])&gt;=0,Table1[[#This Row],["Volume
BA MC-0"]]-Table1[[#This Row],[Total Panjang Pipa Aktual
(Sum-&gt;)3]]-Table1[[#This Row],[Total Volume
tidak dapat dipasang]],0)</f>
        <v>2382</v>
      </c>
      <c r="CK457" s="42"/>
      <c r="CL457" s="113"/>
      <c r="CM457" s="307"/>
      <c r="CN457" s="113"/>
      <c r="CO457" s="113"/>
      <c r="CP457" s="286"/>
      <c r="CQ457" s="406">
        <f>IFERROR(Table1[[#This Row],[Progres Keg. Umum
(%)]]*Table1[[#This Row],[Nilai RAB Jaringan
(file pa aji)]],0)</f>
        <v>0</v>
      </c>
      <c r="CR457" s="406">
        <f>IFERROR(Table1[[#This Row],[Progres MOS
(%)]]*Table1[[#This Row],[Nilai RAB Jaringan
(file pa aji)]],0)</f>
        <v>0</v>
      </c>
      <c r="CS457" s="406">
        <f>IFERROR(Table1[[#This Row],[Progres Pemasangan
(%)]]*Table1[[#This Row],[Nilai RAB Jaringan
(file pa aji)]],0)</f>
        <v>0</v>
      </c>
      <c r="CT457" s="406">
        <f>IFERROR(Table1[[#This Row],[Progres Perizinan
(%)]]*Table1[[#This Row],[Nilai RAB Jaringan
(file pa aji)]],0)</f>
        <v>0</v>
      </c>
      <c r="CU457" s="789">
        <v>5604432719.5044012</v>
      </c>
      <c r="CV457" s="536">
        <v>5604432719.5044012</v>
      </c>
      <c r="CW457" s="481">
        <v>0</v>
      </c>
      <c r="CX457" s="789">
        <f>_xlfn.XLOOKUP(Table1[[#This Row],[Kode Program]],'[1]Breakdown VOWD Greenfield'!$E:$E,'[1]Breakdown VOWD Greenfield'!$AT:$AT)</f>
        <v>0</v>
      </c>
      <c r="CY457" s="42"/>
      <c r="CZ457" s="301"/>
      <c r="DA457" s="301"/>
      <c r="DB457" s="301"/>
      <c r="DC457" s="286"/>
      <c r="DD457" s="478"/>
      <c r="DE45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7" s="301"/>
      <c r="DG457" s="286"/>
      <c r="DH457" s="478"/>
      <c r="DI45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7" s="301"/>
      <c r="DK457" s="301"/>
      <c r="DL457" s="301"/>
      <c r="DM457" s="286"/>
      <c r="DN45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7" s="301"/>
      <c r="DP457" s="286"/>
      <c r="DQ457" s="308"/>
      <c r="DR45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7" s="301"/>
      <c r="DT457" s="301" t="e">
        <v>#N/A</v>
      </c>
      <c r="DU457" s="301"/>
      <c r="DV457" s="301" t="e">
        <v>#N/A</v>
      </c>
      <c r="DW457" s="301"/>
      <c r="DX457" s="286"/>
      <c r="DY457" s="305"/>
      <c r="DZ457" s="305"/>
      <c r="EA45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7" s="301"/>
      <c r="EC457" s="302"/>
      <c r="ED457" s="302"/>
      <c r="EE457" s="300"/>
      <c r="EF457" s="307"/>
      <c r="EG457" s="307"/>
      <c r="EH457" s="286" t="str">
        <f>IF(Table1[[#This Row],[PO Material Aktual 
(%)]]&gt;=100%,"Selesai PO = 100%",IF(Table1[[#This Row],[PO Material Aktual 
(%)]]&gt;=50%,"Proses PO &gt; 100%",IF(Table1[[#This Row],[PO Material Aktual 
(%)]]&gt;0%,"Proses PO &gt; 50%",IF(Table1[[#This Row],[PO Material Aktual 
(%)]]=0,"Belum PO = 0%"))))</f>
        <v>Belum PO = 0%</v>
      </c>
      <c r="EI45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7" s="301"/>
      <c r="EK457" s="301" t="e">
        <v>#N/A</v>
      </c>
      <c r="EL457" s="301"/>
      <c r="EM457" s="301" t="e">
        <v>#N/A</v>
      </c>
      <c r="EN457" s="301"/>
      <c r="EO457" s="286"/>
      <c r="EP457" s="305"/>
      <c r="EQ457" s="307"/>
      <c r="ER457" s="307"/>
      <c r="ES457" s="286" t="str">
        <f>IF(Table1[[#This Row],[Progres MOS]]&gt;=100%,"Selesai MOS = 100%",IF(Table1[[#This Row],[Progres MOS]]&gt;=50%,"Proses MOS &gt; 100%",IF(Table1[[#This Row],[Progres MOS]]&gt;0%,"Proses MOS &gt; 50%",IF(Table1[[#This Row],[Progres MOS]]=0,"Belum MOS = 0%"))))</f>
        <v>Belum MOS = 0%</v>
      </c>
      <c r="ET45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7" s="42"/>
      <c r="EV457" s="301"/>
      <c r="EW457" s="301" t="e">
        <v>#N/A</v>
      </c>
      <c r="EX457" s="301"/>
      <c r="EY457" s="301" t="e">
        <v>#N/A</v>
      </c>
      <c r="EZ457" s="322"/>
      <c r="FA457" s="354"/>
      <c r="FB457" s="301" t="e">
        <v>#N/A</v>
      </c>
      <c r="FC457" s="301" t="e">
        <v>#N/A</v>
      </c>
      <c r="FD457" s="301" t="e">
        <v>#N/A</v>
      </c>
      <c r="FE457" s="301" t="e">
        <v>#N/A</v>
      </c>
      <c r="FF457" s="301" t="e">
        <v>#N/A</v>
      </c>
      <c r="FG457" s="301" t="e">
        <v>#N/A</v>
      </c>
      <c r="FH457" s="301" t="e">
        <v>#N/A</v>
      </c>
      <c r="FI457" s="301" t="e">
        <v>#N/A</v>
      </c>
      <c r="FJ457" s="301" t="e">
        <v>#N/A</v>
      </c>
      <c r="FK457" s="301" t="e">
        <v>#N/A</v>
      </c>
      <c r="FL457" s="322"/>
      <c r="FM457" s="322"/>
      <c r="FN457" s="308" t="str">
        <f>IF(Table1[[#This Row],[Tanggal Pengajuan Dokumen]]="","",Table1[[#This Row],[PLAN PERMIT
start]]-Table1[[#This Row],[Tanggal Pengajuan Dokumen]])</f>
        <v/>
      </c>
      <c r="FO457" s="322"/>
      <c r="FP457" s="286"/>
      <c r="FQ457" s="308"/>
      <c r="FR457" s="322"/>
      <c r="FS457" s="308"/>
      <c r="FT45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7" s="314">
        <f ca="1">IF(Table1[[#This Row],[Status Izin]]="Selesai",Table1[[#This Row],[PLAN PERMIT
finish]]-Table1[[#This Row],[Tanggal Terbit/ Target Izin Terbit]],ROUNDUP(Table1[[#This Row],[PLAN PERMIT
finish]]-NOW(),0))</f>
        <v>-46204</v>
      </c>
      <c r="FV45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7" s="314"/>
      <c r="FX457" s="42"/>
      <c r="FY457" s="540"/>
      <c r="FZ457" s="541"/>
      <c r="GA45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7" s="301"/>
      <c r="GC457" s="322"/>
      <c r="GD45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7" s="301"/>
      <c r="GF457" s="322">
        <v>46148</v>
      </c>
      <c r="GG45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Sudah, Delay</v>
      </c>
      <c r="GH457" s="301"/>
      <c r="GI457" s="301"/>
      <c r="GJ457" s="322">
        <v>46155</v>
      </c>
      <c r="GK45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Sudah, Delay</v>
      </c>
      <c r="GL457" s="301"/>
      <c r="GM457" s="301" t="e">
        <v>#N/A</v>
      </c>
      <c r="GN457" s="301"/>
      <c r="GO457" s="497" t="e">
        <v>#N/A</v>
      </c>
      <c r="GP457" s="286"/>
      <c r="GQ45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7" s="301"/>
      <c r="GS457" s="301"/>
      <c r="GT457" s="324"/>
      <c r="GU457" s="314" t="str">
        <f>IF(Table1[[#This Row],[Hydro Tes Actual
(tanggal)]]&lt;&gt;"","Sudah","Belum")</f>
        <v>Belum</v>
      </c>
      <c r="GV457" s="300"/>
      <c r="GW457" s="300"/>
      <c r="GX457" s="301"/>
      <c r="GY457" s="314" t="str">
        <f>IF(Table1[[#This Row],[Interkoneksi Actual
(tanggal)]]&lt;&gt;"","Sudah","Belum")</f>
        <v>Belum</v>
      </c>
      <c r="GZ457" s="300"/>
      <c r="HA457" s="300"/>
      <c r="HB457" s="301"/>
      <c r="HC457" s="314" t="str">
        <f>IF(Table1[[#This Row],[Flushing Actual
(tanggal)]]&lt;&gt;"","Sudah","Belum")</f>
        <v>Belum</v>
      </c>
      <c r="HD457" s="301"/>
      <c r="HE457" s="301" t="e">
        <v>#N/A</v>
      </c>
      <c r="HF457" s="301"/>
      <c r="HG457" s="322"/>
      <c r="HH45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7" s="300"/>
      <c r="HJ457" s="300"/>
      <c r="HK457" s="301"/>
      <c r="HL457" s="286"/>
      <c r="HM457" s="301"/>
      <c r="HN457" s="301"/>
      <c r="HO457" s="497" t="e">
        <v>#N/A</v>
      </c>
      <c r="HP457" s="497"/>
      <c r="HQ457" s="301"/>
      <c r="HR45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7" s="322"/>
      <c r="HT457" s="322"/>
      <c r="HU457" s="322"/>
      <c r="HV457" s="444"/>
      <c r="HW457" s="301"/>
      <c r="HX45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7" s="42"/>
      <c r="HZ457" s="322"/>
      <c r="IA457" s="306"/>
      <c r="IB457"/>
      <c r="IC457" s="585">
        <f>IFERROR(ROUND((Table1[[#This Row],[PLAN TC
finish]]-Table1[[#This Row],[PLAN MC-0
start]])/30,2),"")</f>
        <v>0</v>
      </c>
      <c r="ID457">
        <f>DATEDIF(Table1[[#This Row],[PLAN MC-0
start]],Table1[[#This Row],[PLAN TC
finish]],"m")</f>
        <v>0</v>
      </c>
      <c r="IE457" s="8"/>
      <c r="IF457" s="8"/>
      <c r="IG457" s="4"/>
      <c r="IH457" s="6"/>
      <c r="II457" s="67"/>
      <c r="IJ457" s="67"/>
      <c r="IK457" s="8"/>
      <c r="IM457" s="6"/>
      <c r="IN457" s="6"/>
      <c r="IO457" s="67"/>
      <c r="IP457" s="8"/>
      <c r="IR457" s="4"/>
      <c r="IS457" s="4"/>
      <c r="IT457" s="6"/>
      <c r="IU457" s="6"/>
      <c r="IX457" s="6"/>
      <c r="IY457" s="6"/>
      <c r="JA457" s="6"/>
      <c r="JB457" s="6"/>
    </row>
    <row r="458" spans="2:262" ht="15" customHeight="1" x14ac:dyDescent="0.25">
      <c r="B458" s="281">
        <f>SUBTOTAL(3,$D$5:D458)</f>
        <v>454</v>
      </c>
      <c r="C458" s="286">
        <v>468</v>
      </c>
      <c r="D458" s="430" t="s">
        <v>629</v>
      </c>
      <c r="E458" s="308" t="s">
        <v>3504</v>
      </c>
      <c r="F458" s="308" t="s">
        <v>3505</v>
      </c>
      <c r="G458" s="319">
        <v>46482</v>
      </c>
      <c r="H458" s="431" t="s">
        <v>247</v>
      </c>
      <c r="I458" s="308"/>
      <c r="J458" s="450"/>
      <c r="K458" s="308"/>
      <c r="L458" s="286"/>
      <c r="M458" s="325"/>
      <c r="N458" s="528">
        <v>2900</v>
      </c>
      <c r="O458" s="434" t="s">
        <v>252</v>
      </c>
      <c r="P45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8" s="307"/>
      <c r="S458" s="297">
        <v>0.99999999999999989</v>
      </c>
      <c r="T458" s="297">
        <f>Table1[[#This Row],[Progres Total Aktual
(%)]]</f>
        <v>0</v>
      </c>
      <c r="U458" s="537">
        <f>Table1[[#This Row],[Progres Aktual
(%)]]-Table1[[#This Row],[Target Progres
(%)]]</f>
        <v>-0.99999999999999989</v>
      </c>
      <c r="V458" s="538">
        <f>Table1[[#This Row],["Volume
BA MC-0"]]</f>
        <v>0</v>
      </c>
      <c r="W458" s="538">
        <f>Table1[[#This Row],[Total Panjang Pipa Aktual
(Sum-&gt;)3]]</f>
        <v>0</v>
      </c>
      <c r="X458" s="99"/>
      <c r="Y458" s="265"/>
      <c r="Z458" s="478"/>
      <c r="AA458" s="478">
        <f>ROUND((Table1[[#This Row],[Nilai RAB Jaringan
(Exclude Ppn)]]-Table1[[#This Row],[RAB Perizinan]])*1.11+Table1[[#This Row],[RAB Perizinan]],0)</f>
        <v>0</v>
      </c>
      <c r="AB458" s="406">
        <f>SUM(Table1[[#This Row],[RAB Kegiatan Umum]:[RAB Perizinan]])</f>
        <v>0</v>
      </c>
      <c r="AC458" s="406"/>
      <c r="AD458" s="406"/>
      <c r="AE458" s="406"/>
      <c r="AF458" s="406"/>
      <c r="AG458" s="406"/>
      <c r="AH458" s="539" t="e">
        <f>SUM(Table1[[#This Row],[Bobot Keg Umum]:[Bobot Perizinan]])</f>
        <v>#DIV/0!</v>
      </c>
      <c r="AI458" s="539" t="e">
        <f>Table1[[#This Row],[RAB Kegiatan Umum]]/Table1[[#This Row],[Nilai RAB Jaringan
(Exclude Ppn)]]</f>
        <v>#DIV/0!</v>
      </c>
      <c r="AJ458" s="539" t="e">
        <f>Table1[[#This Row],[RAB Pemasangan]]/Table1[[#This Row],[Nilai RAB Jaringan
(Exclude Ppn)]]</f>
        <v>#DIV/0!</v>
      </c>
      <c r="AK458" s="539" t="e">
        <f>Table1[[#This Row],[RAB Pengadaan]]/Table1[[#This Row],[Nilai RAB Jaringan
(Exclude Ppn)]]</f>
        <v>#DIV/0!</v>
      </c>
      <c r="AL458" s="307" t="e">
        <f>Table1[[#This Row],[RAB Perizinan]]/Table1[[#This Row],[Nilai RAB Jaringan
(Exclude Ppn)]]</f>
        <v>#DIV/0!</v>
      </c>
      <c r="AM458" s="42"/>
      <c r="AN458" s="308"/>
      <c r="AO458" s="484">
        <f>SUM(Table1[[#This Row],[Pipa 63 mm]:[Pipa 1,800 mm]])</f>
        <v>0</v>
      </c>
      <c r="AP458" s="308"/>
      <c r="AQ458" s="308"/>
      <c r="AR458" s="308"/>
      <c r="AS458" s="308"/>
      <c r="AT458" s="308"/>
      <c r="AU458" s="308"/>
      <c r="AV458" s="308"/>
      <c r="AW458" s="308"/>
      <c r="AX458" s="308"/>
      <c r="AY458" s="308"/>
      <c r="AZ458" s="308"/>
      <c r="BA458" s="308"/>
      <c r="BB458" s="308"/>
      <c r="BC458" s="308"/>
      <c r="BD458" s="308"/>
      <c r="BE458" s="308"/>
      <c r="BF458" s="308"/>
      <c r="BG458" s="308"/>
      <c r="BH458" s="308"/>
      <c r="BI458" s="308"/>
      <c r="BJ458" s="36">
        <f>SUM(Table1[[#This Row],[Pipa 63 mm2]:[Pipa 1,800 mm21]])</f>
        <v>0</v>
      </c>
      <c r="BK458" s="32"/>
      <c r="BL458" s="32"/>
      <c r="BM458" s="32"/>
      <c r="BN458" s="32"/>
      <c r="BO458" s="32"/>
      <c r="BP458" s="32"/>
      <c r="BQ458" s="32"/>
      <c r="BR458" s="32"/>
      <c r="BS458" s="32"/>
      <c r="BT458" s="32"/>
      <c r="BU458" s="32"/>
      <c r="BV458" s="32"/>
      <c r="BW458" s="32"/>
      <c r="BX458" s="32"/>
      <c r="BY458" s="32"/>
      <c r="BZ458" s="32"/>
      <c r="CA458" s="32"/>
      <c r="CB458" s="32"/>
      <c r="CC458" s="32"/>
      <c r="CD458" s="32"/>
      <c r="CE458" s="32"/>
      <c r="CF458" s="32"/>
      <c r="CG458" s="32"/>
      <c r="CH458" s="32"/>
      <c r="CI458" s="32"/>
      <c r="CJ458" s="32">
        <f>IF((Table1[[#This Row],["Volume
BA MC-0"]]-Table1[[#This Row],[Total Panjang Pipa Aktual
(Sum-&gt;)3]]-Table1[[#This Row],[Total Volume
tidak dapat dipasang]])&gt;=0,Table1[[#This Row],["Volume
BA MC-0"]]-Table1[[#This Row],[Total Panjang Pipa Aktual
(Sum-&gt;)3]]-Table1[[#This Row],[Total Volume
tidak dapat dipasang]],0)</f>
        <v>0</v>
      </c>
      <c r="CK458" s="42"/>
      <c r="CL458" s="113"/>
      <c r="CM458" s="307"/>
      <c r="CN458" s="113"/>
      <c r="CO458" s="113"/>
      <c r="CP458" s="286"/>
      <c r="CQ458" s="406">
        <f>IFERROR(Table1[[#This Row],[Progres Keg. Umum
(%)]]*Table1[[#This Row],[Nilai RAB Jaringan
(file pa aji)]],0)</f>
        <v>0</v>
      </c>
      <c r="CR458" s="406">
        <f>IFERROR(Table1[[#This Row],[Progres MOS
(%)]]*Table1[[#This Row],[Nilai RAB Jaringan
(file pa aji)]],0)</f>
        <v>0</v>
      </c>
      <c r="CS458" s="406">
        <f>IFERROR(Table1[[#This Row],[Progres Pemasangan
(%)]]*Table1[[#This Row],[Nilai RAB Jaringan
(file pa aji)]],0)</f>
        <v>0</v>
      </c>
      <c r="CT458" s="406">
        <f>IFERROR(Table1[[#This Row],[Progres Perizinan
(%)]]*Table1[[#This Row],[Nilai RAB Jaringan
(file pa aji)]],0)</f>
        <v>0</v>
      </c>
      <c r="CU458" s="789">
        <v>0</v>
      </c>
      <c r="CV458" s="536">
        <v>0</v>
      </c>
      <c r="CW458" s="481">
        <v>0</v>
      </c>
      <c r="CX458" s="789">
        <f>_xlfn.XLOOKUP(Table1[[#This Row],[Kode Program]],'[1]Breakdown VOWD Greenfield'!$E:$E,'[1]Breakdown VOWD Greenfield'!$AT:$AT)</f>
        <v>0</v>
      </c>
      <c r="CY458" s="42"/>
      <c r="CZ458" s="301"/>
      <c r="DA458" s="301"/>
      <c r="DB458" s="301"/>
      <c r="DC458" s="286"/>
      <c r="DD458" s="478"/>
      <c r="DE45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8" s="301"/>
      <c r="DG458" s="286"/>
      <c r="DH458" s="478"/>
      <c r="DI45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8" s="301"/>
      <c r="DK458" s="301"/>
      <c r="DL458" s="301"/>
      <c r="DM458" s="286"/>
      <c r="DN45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8" s="301"/>
      <c r="DP458" s="286"/>
      <c r="DQ458" s="308"/>
      <c r="DR45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8" s="301"/>
      <c r="DT458" s="301" t="e">
        <v>#N/A</v>
      </c>
      <c r="DU458" s="301"/>
      <c r="DV458" s="301" t="e">
        <v>#N/A</v>
      </c>
      <c r="DW458" s="301"/>
      <c r="DX458" s="286"/>
      <c r="DY458" s="305"/>
      <c r="DZ458" s="305"/>
      <c r="EA45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8" s="301"/>
      <c r="EC458" s="302"/>
      <c r="ED458" s="302"/>
      <c r="EE458" s="300"/>
      <c r="EF458" s="307"/>
      <c r="EG458" s="307"/>
      <c r="EH458" s="286" t="str">
        <f>IF(Table1[[#This Row],[PO Material Aktual 
(%)]]&gt;=100%,"Selesai PO = 100%",IF(Table1[[#This Row],[PO Material Aktual 
(%)]]&gt;=50%,"Proses PO &gt; 100%",IF(Table1[[#This Row],[PO Material Aktual 
(%)]]&gt;0%,"Proses PO &gt; 50%",IF(Table1[[#This Row],[PO Material Aktual 
(%)]]=0,"Belum PO = 0%"))))</f>
        <v>Belum PO = 0%</v>
      </c>
      <c r="EI45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8" s="301"/>
      <c r="EK458" s="301" t="e">
        <v>#N/A</v>
      </c>
      <c r="EL458" s="301"/>
      <c r="EM458" s="301" t="e">
        <v>#N/A</v>
      </c>
      <c r="EN458" s="301"/>
      <c r="EO458" s="286"/>
      <c r="EP458" s="305"/>
      <c r="EQ458" s="307"/>
      <c r="ER458" s="307"/>
      <c r="ES458" s="286" t="str">
        <f>IF(Table1[[#This Row],[Progres MOS]]&gt;=100%,"Selesai MOS = 100%",IF(Table1[[#This Row],[Progres MOS]]&gt;=50%,"Proses MOS &gt; 100%",IF(Table1[[#This Row],[Progres MOS]]&gt;0%,"Proses MOS &gt; 50%",IF(Table1[[#This Row],[Progres MOS]]=0,"Belum MOS = 0%"))))</f>
        <v>Belum MOS = 0%</v>
      </c>
      <c r="ET45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8" s="42"/>
      <c r="EV458" s="301"/>
      <c r="EW458" s="301" t="e">
        <v>#N/A</v>
      </c>
      <c r="EX458" s="301"/>
      <c r="EY458" s="301" t="e">
        <v>#N/A</v>
      </c>
      <c r="EZ458" s="322"/>
      <c r="FA458" s="354"/>
      <c r="FB458" s="301" t="e">
        <v>#N/A</v>
      </c>
      <c r="FC458" s="301" t="e">
        <v>#N/A</v>
      </c>
      <c r="FD458" s="301" t="e">
        <v>#N/A</v>
      </c>
      <c r="FE458" s="301" t="e">
        <v>#N/A</v>
      </c>
      <c r="FF458" s="301" t="e">
        <v>#N/A</v>
      </c>
      <c r="FG458" s="301" t="e">
        <v>#N/A</v>
      </c>
      <c r="FH458" s="301" t="e">
        <v>#N/A</v>
      </c>
      <c r="FI458" s="301" t="e">
        <v>#N/A</v>
      </c>
      <c r="FJ458" s="301" t="e">
        <v>#N/A</v>
      </c>
      <c r="FK458" s="301" t="e">
        <v>#N/A</v>
      </c>
      <c r="FL458" s="322"/>
      <c r="FM458" s="322"/>
      <c r="FN458" s="308" t="str">
        <f>IF(Table1[[#This Row],[Tanggal Pengajuan Dokumen]]="","",Table1[[#This Row],[PLAN PERMIT
start]]-Table1[[#This Row],[Tanggal Pengajuan Dokumen]])</f>
        <v/>
      </c>
      <c r="FO458" s="322"/>
      <c r="FP458" s="286"/>
      <c r="FQ458" s="308"/>
      <c r="FR458" s="322"/>
      <c r="FS458" s="308"/>
      <c r="FT45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8" s="314">
        <f ca="1">IF(Table1[[#This Row],[Status Izin]]="Selesai",Table1[[#This Row],[PLAN PERMIT
finish]]-Table1[[#This Row],[Tanggal Terbit/ Target Izin Terbit]],ROUNDUP(Table1[[#This Row],[PLAN PERMIT
finish]]-NOW(),0))</f>
        <v>-46204</v>
      </c>
      <c r="FV45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8" s="314"/>
      <c r="FX458" s="42"/>
      <c r="FY458" s="540"/>
      <c r="FZ458" s="541"/>
      <c r="GA45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8" s="301"/>
      <c r="GC458" s="322"/>
      <c r="GD45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8" s="301"/>
      <c r="GF458" s="322"/>
      <c r="GG45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8" s="301"/>
      <c r="GI458" s="301"/>
      <c r="GJ458" s="322"/>
      <c r="GK45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8" s="301"/>
      <c r="GM458" s="301" t="e">
        <v>#N/A</v>
      </c>
      <c r="GN458" s="301"/>
      <c r="GO458" s="497" t="e">
        <v>#N/A</v>
      </c>
      <c r="GP458" s="286"/>
      <c r="GQ45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8" s="301"/>
      <c r="GS458" s="301"/>
      <c r="GT458" s="324"/>
      <c r="GU458" s="314" t="str">
        <f>IF(Table1[[#This Row],[Hydro Tes Actual
(tanggal)]]&lt;&gt;"","Sudah","Belum")</f>
        <v>Belum</v>
      </c>
      <c r="GV458" s="300"/>
      <c r="GW458" s="300"/>
      <c r="GX458" s="301"/>
      <c r="GY458" s="314" t="str">
        <f>IF(Table1[[#This Row],[Interkoneksi Actual
(tanggal)]]&lt;&gt;"","Sudah","Belum")</f>
        <v>Belum</v>
      </c>
      <c r="GZ458" s="300"/>
      <c r="HA458" s="300"/>
      <c r="HB458" s="301"/>
      <c r="HC458" s="314" t="str">
        <f>IF(Table1[[#This Row],[Flushing Actual
(tanggal)]]&lt;&gt;"","Sudah","Belum")</f>
        <v>Belum</v>
      </c>
      <c r="HD458" s="301"/>
      <c r="HE458" s="301" t="e">
        <v>#N/A</v>
      </c>
      <c r="HF458" s="301"/>
      <c r="HG458" s="322"/>
      <c r="HH45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8" s="300"/>
      <c r="HJ458" s="300"/>
      <c r="HK458" s="301"/>
      <c r="HL458" s="286"/>
      <c r="HM458" s="301"/>
      <c r="HN458" s="301"/>
      <c r="HO458" s="497" t="e">
        <v>#N/A</v>
      </c>
      <c r="HP458" s="497"/>
      <c r="HQ458" s="301"/>
      <c r="HR45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8" s="322"/>
      <c r="HT458" s="322"/>
      <c r="HU458" s="322"/>
      <c r="HV458" s="444"/>
      <c r="HW458" s="301"/>
      <c r="HX45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8" s="42"/>
      <c r="HZ458" s="322"/>
      <c r="IA458" s="306"/>
      <c r="IB458"/>
      <c r="IC458" s="585">
        <f>IFERROR(ROUND((Table1[[#This Row],[PLAN TC
finish]]-Table1[[#This Row],[PLAN MC-0
start]])/30,2),"")</f>
        <v>0</v>
      </c>
      <c r="ID458">
        <f>DATEDIF(Table1[[#This Row],[PLAN MC-0
start]],Table1[[#This Row],[PLAN TC
finish]],"m")</f>
        <v>0</v>
      </c>
      <c r="IE458" s="8"/>
      <c r="IF458" s="8"/>
      <c r="IG458" s="4"/>
      <c r="IH458" s="6"/>
      <c r="II458" s="67"/>
      <c r="IJ458" s="67"/>
      <c r="IK458" s="8"/>
      <c r="IM458" s="6"/>
      <c r="IN458" s="6"/>
      <c r="IO458" s="67"/>
      <c r="IP458" s="8"/>
      <c r="IR458" s="4"/>
      <c r="IS458" s="4"/>
      <c r="IT458" s="6"/>
      <c r="IU458" s="6"/>
      <c r="IX458" s="6"/>
      <c r="IY458" s="6"/>
      <c r="JA458" s="6"/>
      <c r="JB458" s="6"/>
    </row>
    <row r="459" spans="2:262" ht="15" customHeight="1" x14ac:dyDescent="0.25">
      <c r="B459" s="281">
        <f>SUBTOTAL(3,$D$5:D459)</f>
        <v>455</v>
      </c>
      <c r="C459" s="286">
        <v>469</v>
      </c>
      <c r="D459" s="430" t="s">
        <v>629</v>
      </c>
      <c r="E459" s="308" t="s">
        <v>3506</v>
      </c>
      <c r="F459" s="308" t="s">
        <v>3507</v>
      </c>
      <c r="G459" s="319">
        <v>46482</v>
      </c>
      <c r="H459" s="431" t="s">
        <v>247</v>
      </c>
      <c r="I459" s="308"/>
      <c r="J459" s="450"/>
      <c r="K459" s="308"/>
      <c r="L459" s="286"/>
      <c r="M459" s="325"/>
      <c r="N459" s="528">
        <v>3000</v>
      </c>
      <c r="O459" s="434" t="s">
        <v>2772</v>
      </c>
      <c r="P459"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59"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59" s="307"/>
      <c r="S459" s="297">
        <v>0.99999999999999989</v>
      </c>
      <c r="T459" s="297">
        <f>Table1[[#This Row],[Progres Total Aktual
(%)]]</f>
        <v>0</v>
      </c>
      <c r="U459" s="537">
        <f>Table1[[#This Row],[Progres Aktual
(%)]]-Table1[[#This Row],[Target Progres
(%)]]</f>
        <v>-0.99999999999999989</v>
      </c>
      <c r="V459" s="538">
        <f>Table1[[#This Row],["Volume
BA MC-0"]]</f>
        <v>0</v>
      </c>
      <c r="W459" s="538">
        <f>Table1[[#This Row],[Total Panjang Pipa Aktual
(Sum-&gt;)3]]</f>
        <v>0</v>
      </c>
      <c r="X459" s="99"/>
      <c r="Y459" s="265"/>
      <c r="Z459" s="478"/>
      <c r="AA459" s="478">
        <f>ROUND((Table1[[#This Row],[Nilai RAB Jaringan
(Exclude Ppn)]]-Table1[[#This Row],[RAB Perizinan]])*1.11+Table1[[#This Row],[RAB Perizinan]],0)</f>
        <v>0</v>
      </c>
      <c r="AB459" s="406">
        <f>SUM(Table1[[#This Row],[RAB Kegiatan Umum]:[RAB Perizinan]])</f>
        <v>0</v>
      </c>
      <c r="AC459" s="406"/>
      <c r="AD459" s="406"/>
      <c r="AE459" s="406"/>
      <c r="AF459" s="406"/>
      <c r="AG459" s="406"/>
      <c r="AH459" s="539" t="e">
        <f>SUM(Table1[[#This Row],[Bobot Keg Umum]:[Bobot Perizinan]])</f>
        <v>#DIV/0!</v>
      </c>
      <c r="AI459" s="539" t="e">
        <f>Table1[[#This Row],[RAB Kegiatan Umum]]/Table1[[#This Row],[Nilai RAB Jaringan
(Exclude Ppn)]]</f>
        <v>#DIV/0!</v>
      </c>
      <c r="AJ459" s="539" t="e">
        <f>Table1[[#This Row],[RAB Pemasangan]]/Table1[[#This Row],[Nilai RAB Jaringan
(Exclude Ppn)]]</f>
        <v>#DIV/0!</v>
      </c>
      <c r="AK459" s="539" t="e">
        <f>Table1[[#This Row],[RAB Pengadaan]]/Table1[[#This Row],[Nilai RAB Jaringan
(Exclude Ppn)]]</f>
        <v>#DIV/0!</v>
      </c>
      <c r="AL459" s="307" t="e">
        <f>Table1[[#This Row],[RAB Perizinan]]/Table1[[#This Row],[Nilai RAB Jaringan
(Exclude Ppn)]]</f>
        <v>#DIV/0!</v>
      </c>
      <c r="AM459" s="42"/>
      <c r="AN459" s="308"/>
      <c r="AO459" s="484">
        <f>SUM(Table1[[#This Row],[Pipa 63 mm]:[Pipa 1,800 mm]])</f>
        <v>0</v>
      </c>
      <c r="AP459" s="308"/>
      <c r="AQ459" s="308"/>
      <c r="AR459" s="308"/>
      <c r="AS459" s="308"/>
      <c r="AT459" s="308"/>
      <c r="AU459" s="308"/>
      <c r="AV459" s="308"/>
      <c r="AW459" s="308"/>
      <c r="AX459" s="308"/>
      <c r="AY459" s="308"/>
      <c r="AZ459" s="308"/>
      <c r="BA459" s="308"/>
      <c r="BB459" s="308"/>
      <c r="BC459" s="308"/>
      <c r="BD459" s="308"/>
      <c r="BE459" s="308"/>
      <c r="BF459" s="308"/>
      <c r="BG459" s="308"/>
      <c r="BH459" s="308"/>
      <c r="BI459" s="308"/>
      <c r="BJ459" s="36">
        <f>SUM(Table1[[#This Row],[Pipa 63 mm2]:[Pipa 1,800 mm21]])</f>
        <v>0</v>
      </c>
      <c r="BK459" s="32"/>
      <c r="BL459" s="32"/>
      <c r="BM459" s="32"/>
      <c r="BN459" s="32"/>
      <c r="BO459" s="32"/>
      <c r="BP459" s="32"/>
      <c r="BQ459" s="32"/>
      <c r="BR459" s="32"/>
      <c r="BS459" s="32"/>
      <c r="BT459" s="32"/>
      <c r="BU459" s="32"/>
      <c r="BV459" s="32"/>
      <c r="BW459" s="32"/>
      <c r="BX459" s="32"/>
      <c r="BY459" s="32"/>
      <c r="BZ459" s="32"/>
      <c r="CA459" s="32"/>
      <c r="CB459" s="32"/>
      <c r="CC459" s="32"/>
      <c r="CD459" s="32"/>
      <c r="CE459" s="32"/>
      <c r="CF459" s="32"/>
      <c r="CG459" s="32"/>
      <c r="CH459" s="32"/>
      <c r="CI459" s="32"/>
      <c r="CJ459" s="32">
        <f>IF((Table1[[#This Row],["Volume
BA MC-0"]]-Table1[[#This Row],[Total Panjang Pipa Aktual
(Sum-&gt;)3]]-Table1[[#This Row],[Total Volume
tidak dapat dipasang]])&gt;=0,Table1[[#This Row],["Volume
BA MC-0"]]-Table1[[#This Row],[Total Panjang Pipa Aktual
(Sum-&gt;)3]]-Table1[[#This Row],[Total Volume
tidak dapat dipasang]],0)</f>
        <v>0</v>
      </c>
      <c r="CK459" s="42"/>
      <c r="CL459" s="113"/>
      <c r="CM459" s="307"/>
      <c r="CN459" s="113"/>
      <c r="CO459" s="113"/>
      <c r="CP459" s="286"/>
      <c r="CQ459" s="406">
        <f>IFERROR(Table1[[#This Row],[Progres Keg. Umum
(%)]]*Table1[[#This Row],[Nilai RAB Jaringan
(file pa aji)]],0)</f>
        <v>0</v>
      </c>
      <c r="CR459" s="406">
        <f>IFERROR(Table1[[#This Row],[Progres MOS
(%)]]*Table1[[#This Row],[Nilai RAB Jaringan
(file pa aji)]],0)</f>
        <v>0</v>
      </c>
      <c r="CS459" s="406">
        <f>IFERROR(Table1[[#This Row],[Progres Pemasangan
(%)]]*Table1[[#This Row],[Nilai RAB Jaringan
(file pa aji)]],0)</f>
        <v>0</v>
      </c>
      <c r="CT459" s="406">
        <f>IFERROR(Table1[[#This Row],[Progres Perizinan
(%)]]*Table1[[#This Row],[Nilai RAB Jaringan
(file pa aji)]],0)</f>
        <v>0</v>
      </c>
      <c r="CU459" s="789">
        <v>0</v>
      </c>
      <c r="CV459" s="536">
        <v>0</v>
      </c>
      <c r="CW459" s="481">
        <v>0</v>
      </c>
      <c r="CX459" s="789">
        <f>_xlfn.XLOOKUP(Table1[[#This Row],[Kode Program]],'[1]Breakdown VOWD Greenfield'!$E:$E,'[1]Breakdown VOWD Greenfield'!$AT:$AT)</f>
        <v>0</v>
      </c>
      <c r="CY459" s="42"/>
      <c r="CZ459" s="301"/>
      <c r="DA459" s="301"/>
      <c r="DB459" s="301"/>
      <c r="DC459" s="286"/>
      <c r="DD459" s="478"/>
      <c r="DE459"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59" s="301"/>
      <c r="DG459" s="286"/>
      <c r="DH459" s="478"/>
      <c r="DI459"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59" s="301"/>
      <c r="DK459" s="301"/>
      <c r="DL459" s="301"/>
      <c r="DM459" s="286"/>
      <c r="DN459"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59" s="301"/>
      <c r="DP459" s="286"/>
      <c r="DQ459" s="308"/>
      <c r="DR459"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59" s="301"/>
      <c r="DT459" s="301" t="e">
        <v>#N/A</v>
      </c>
      <c r="DU459" s="301"/>
      <c r="DV459" s="301" t="e">
        <v>#N/A</v>
      </c>
      <c r="DW459" s="301"/>
      <c r="DX459" s="286"/>
      <c r="DY459" s="305"/>
      <c r="DZ459" s="305"/>
      <c r="EA459"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59" s="301"/>
      <c r="EC459" s="302"/>
      <c r="ED459" s="302"/>
      <c r="EE459" s="300"/>
      <c r="EF459" s="307"/>
      <c r="EG459" s="307"/>
      <c r="EH459" s="286" t="str">
        <f>IF(Table1[[#This Row],[PO Material Aktual 
(%)]]&gt;=100%,"Selesai PO = 100%",IF(Table1[[#This Row],[PO Material Aktual 
(%)]]&gt;=50%,"Proses PO &gt; 100%",IF(Table1[[#This Row],[PO Material Aktual 
(%)]]&gt;0%,"Proses PO &gt; 50%",IF(Table1[[#This Row],[PO Material Aktual 
(%)]]=0,"Belum PO = 0%"))))</f>
        <v>Belum PO = 0%</v>
      </c>
      <c r="EI459"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59" s="301"/>
      <c r="EK459" s="301" t="e">
        <v>#N/A</v>
      </c>
      <c r="EL459" s="301"/>
      <c r="EM459" s="301" t="e">
        <v>#N/A</v>
      </c>
      <c r="EN459" s="301"/>
      <c r="EO459" s="286"/>
      <c r="EP459" s="305"/>
      <c r="EQ459" s="307"/>
      <c r="ER459" s="307"/>
      <c r="ES459" s="286" t="str">
        <f>IF(Table1[[#This Row],[Progres MOS]]&gt;=100%,"Selesai MOS = 100%",IF(Table1[[#This Row],[Progres MOS]]&gt;=50%,"Proses MOS &gt; 100%",IF(Table1[[#This Row],[Progres MOS]]&gt;0%,"Proses MOS &gt; 50%",IF(Table1[[#This Row],[Progres MOS]]=0,"Belum MOS = 0%"))))</f>
        <v>Belum MOS = 0%</v>
      </c>
      <c r="ET459"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59" s="42"/>
      <c r="EV459" s="301"/>
      <c r="EW459" s="301" t="e">
        <v>#N/A</v>
      </c>
      <c r="EX459" s="301"/>
      <c r="EY459" s="301" t="e">
        <v>#N/A</v>
      </c>
      <c r="EZ459" s="322"/>
      <c r="FA459" s="354"/>
      <c r="FB459" s="301" t="e">
        <v>#N/A</v>
      </c>
      <c r="FC459" s="301" t="e">
        <v>#N/A</v>
      </c>
      <c r="FD459" s="301" t="e">
        <v>#N/A</v>
      </c>
      <c r="FE459" s="301" t="e">
        <v>#N/A</v>
      </c>
      <c r="FF459" s="301" t="e">
        <v>#N/A</v>
      </c>
      <c r="FG459" s="301" t="e">
        <v>#N/A</v>
      </c>
      <c r="FH459" s="301" t="e">
        <v>#N/A</v>
      </c>
      <c r="FI459" s="301" t="e">
        <v>#N/A</v>
      </c>
      <c r="FJ459" s="301" t="e">
        <v>#N/A</v>
      </c>
      <c r="FK459" s="301" t="e">
        <v>#N/A</v>
      </c>
      <c r="FL459" s="322"/>
      <c r="FM459" s="322"/>
      <c r="FN459" s="308" t="str">
        <f>IF(Table1[[#This Row],[Tanggal Pengajuan Dokumen]]="","",Table1[[#This Row],[PLAN PERMIT
start]]-Table1[[#This Row],[Tanggal Pengajuan Dokumen]])</f>
        <v/>
      </c>
      <c r="FO459" s="322"/>
      <c r="FP459" s="286"/>
      <c r="FQ459" s="308"/>
      <c r="FR459" s="322"/>
      <c r="FS459" s="308"/>
      <c r="FT459"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59" s="314">
        <f ca="1">IF(Table1[[#This Row],[Status Izin]]="Selesai",Table1[[#This Row],[PLAN PERMIT
finish]]-Table1[[#This Row],[Tanggal Terbit/ Target Izin Terbit]],ROUNDUP(Table1[[#This Row],[PLAN PERMIT
finish]]-NOW(),0))</f>
        <v>-46204</v>
      </c>
      <c r="FV459"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59" s="314"/>
      <c r="FX459" s="42"/>
      <c r="FY459" s="540"/>
      <c r="FZ459" s="541"/>
      <c r="GA459"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59" s="301"/>
      <c r="GC459" s="322"/>
      <c r="GD459"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59" s="301"/>
      <c r="GF459" s="322"/>
      <c r="GG459"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59" s="301"/>
      <c r="GI459" s="301"/>
      <c r="GJ459" s="322"/>
      <c r="GK459"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59" s="301"/>
      <c r="GM459" s="301" t="e">
        <v>#N/A</v>
      </c>
      <c r="GN459" s="301"/>
      <c r="GO459" s="497" t="e">
        <v>#N/A</v>
      </c>
      <c r="GP459" s="286"/>
      <c r="GQ459"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59" s="301"/>
      <c r="GS459" s="301"/>
      <c r="GT459" s="324"/>
      <c r="GU459" s="314" t="str">
        <f>IF(Table1[[#This Row],[Hydro Tes Actual
(tanggal)]]&lt;&gt;"","Sudah","Belum")</f>
        <v>Belum</v>
      </c>
      <c r="GV459" s="300"/>
      <c r="GW459" s="300"/>
      <c r="GX459" s="301"/>
      <c r="GY459" s="314" t="str">
        <f>IF(Table1[[#This Row],[Interkoneksi Actual
(tanggal)]]&lt;&gt;"","Sudah","Belum")</f>
        <v>Belum</v>
      </c>
      <c r="GZ459" s="300"/>
      <c r="HA459" s="300"/>
      <c r="HB459" s="301"/>
      <c r="HC459" s="314" t="str">
        <f>IF(Table1[[#This Row],[Flushing Actual
(tanggal)]]&lt;&gt;"","Sudah","Belum")</f>
        <v>Belum</v>
      </c>
      <c r="HD459" s="301"/>
      <c r="HE459" s="301" t="e">
        <v>#N/A</v>
      </c>
      <c r="HF459" s="301"/>
      <c r="HG459" s="322"/>
      <c r="HH459"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59" s="300"/>
      <c r="HJ459" s="300"/>
      <c r="HK459" s="301"/>
      <c r="HL459" s="286"/>
      <c r="HM459" s="301"/>
      <c r="HN459" s="301"/>
      <c r="HO459" s="497" t="e">
        <v>#N/A</v>
      </c>
      <c r="HP459" s="497"/>
      <c r="HQ459" s="301"/>
      <c r="HR459"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59" s="322"/>
      <c r="HT459" s="322"/>
      <c r="HU459" s="322"/>
      <c r="HV459" s="444"/>
      <c r="HW459" s="301"/>
      <c r="HX459"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59" s="42"/>
      <c r="HZ459" s="322"/>
      <c r="IA459" s="306"/>
      <c r="IB459"/>
      <c r="IC459" s="585">
        <f>IFERROR(ROUND((Table1[[#This Row],[PLAN TC
finish]]-Table1[[#This Row],[PLAN MC-0
start]])/30,2),"")</f>
        <v>0</v>
      </c>
      <c r="ID459">
        <f>DATEDIF(Table1[[#This Row],[PLAN MC-0
start]],Table1[[#This Row],[PLAN TC
finish]],"m")</f>
        <v>0</v>
      </c>
      <c r="IE459" s="8"/>
      <c r="IF459" s="8"/>
      <c r="IG459" s="4"/>
      <c r="IH459" s="6"/>
      <c r="II459" s="67"/>
      <c r="IJ459" s="67"/>
      <c r="IK459" s="8"/>
      <c r="IM459" s="6"/>
      <c r="IN459" s="6"/>
      <c r="IO459" s="67"/>
      <c r="IP459" s="8"/>
      <c r="IR459" s="4"/>
      <c r="IS459" s="4"/>
      <c r="IT459" s="6"/>
      <c r="IU459" s="6"/>
      <c r="IX459" s="6"/>
      <c r="IY459" s="6"/>
      <c r="JA459" s="6"/>
      <c r="JB459" s="6"/>
    </row>
    <row r="460" spans="2:262" ht="15" customHeight="1" x14ac:dyDescent="0.25">
      <c r="B460" s="281">
        <f>SUBTOTAL(3,$D$5:D460)</f>
        <v>456</v>
      </c>
      <c r="C460" s="286">
        <v>470</v>
      </c>
      <c r="D460" s="430" t="s">
        <v>629</v>
      </c>
      <c r="E460" s="308" t="s">
        <v>3508</v>
      </c>
      <c r="F460" s="308" t="s">
        <v>3509</v>
      </c>
      <c r="G460" s="319">
        <v>46482</v>
      </c>
      <c r="H460" s="431" t="s">
        <v>247</v>
      </c>
      <c r="I460" s="308"/>
      <c r="J460" s="450"/>
      <c r="K460" s="308"/>
      <c r="L460" s="286"/>
      <c r="M460" s="325"/>
      <c r="N460" s="528">
        <v>11954</v>
      </c>
      <c r="O460" s="434" t="s">
        <v>252</v>
      </c>
      <c r="P460"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0"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0" s="307"/>
      <c r="S460" s="297">
        <v>0.99999999999999989</v>
      </c>
      <c r="T460" s="297">
        <f>Table1[[#This Row],[Progres Total Aktual
(%)]]</f>
        <v>0</v>
      </c>
      <c r="U460" s="537">
        <f>Table1[[#This Row],[Progres Aktual
(%)]]-Table1[[#This Row],[Target Progres
(%)]]</f>
        <v>-0.99999999999999989</v>
      </c>
      <c r="V460" s="538">
        <f>Table1[[#This Row],["Volume
BA MC-0"]]</f>
        <v>0</v>
      </c>
      <c r="W460" s="538">
        <f>Table1[[#This Row],[Total Panjang Pipa Aktual
(Sum-&gt;)3]]</f>
        <v>0</v>
      </c>
      <c r="X460" s="99"/>
      <c r="Y460" s="265"/>
      <c r="Z460" s="478"/>
      <c r="AA460" s="478">
        <f>ROUND((Table1[[#This Row],[Nilai RAB Jaringan
(Exclude Ppn)]]-Table1[[#This Row],[RAB Perizinan]])*1.11+Table1[[#This Row],[RAB Perizinan]],0)</f>
        <v>0</v>
      </c>
      <c r="AB460" s="406">
        <f>SUM(Table1[[#This Row],[RAB Kegiatan Umum]:[RAB Perizinan]])</f>
        <v>0</v>
      </c>
      <c r="AC460" s="406"/>
      <c r="AD460" s="406"/>
      <c r="AE460" s="406"/>
      <c r="AF460" s="406"/>
      <c r="AG460" s="406"/>
      <c r="AH460" s="539" t="e">
        <f>SUM(Table1[[#This Row],[Bobot Keg Umum]:[Bobot Perizinan]])</f>
        <v>#DIV/0!</v>
      </c>
      <c r="AI460" s="539" t="e">
        <f>Table1[[#This Row],[RAB Kegiatan Umum]]/Table1[[#This Row],[Nilai RAB Jaringan
(Exclude Ppn)]]</f>
        <v>#DIV/0!</v>
      </c>
      <c r="AJ460" s="539" t="e">
        <f>Table1[[#This Row],[RAB Pemasangan]]/Table1[[#This Row],[Nilai RAB Jaringan
(Exclude Ppn)]]</f>
        <v>#DIV/0!</v>
      </c>
      <c r="AK460" s="539" t="e">
        <f>Table1[[#This Row],[RAB Pengadaan]]/Table1[[#This Row],[Nilai RAB Jaringan
(Exclude Ppn)]]</f>
        <v>#DIV/0!</v>
      </c>
      <c r="AL460" s="307" t="e">
        <f>Table1[[#This Row],[RAB Perizinan]]/Table1[[#This Row],[Nilai RAB Jaringan
(Exclude Ppn)]]</f>
        <v>#DIV/0!</v>
      </c>
      <c r="AM460" s="42"/>
      <c r="AN460" s="308"/>
      <c r="AO460" s="484">
        <f>SUM(Table1[[#This Row],[Pipa 63 mm]:[Pipa 1,800 mm]])</f>
        <v>0</v>
      </c>
      <c r="AP460" s="308"/>
      <c r="AQ460" s="308"/>
      <c r="AR460" s="308"/>
      <c r="AS460" s="308"/>
      <c r="AT460" s="308"/>
      <c r="AU460" s="308"/>
      <c r="AV460" s="308"/>
      <c r="AW460" s="308"/>
      <c r="AX460" s="308"/>
      <c r="AY460" s="308"/>
      <c r="AZ460" s="308"/>
      <c r="BA460" s="308"/>
      <c r="BB460" s="308"/>
      <c r="BC460" s="308"/>
      <c r="BD460" s="308"/>
      <c r="BE460" s="308"/>
      <c r="BF460" s="308"/>
      <c r="BG460" s="308"/>
      <c r="BH460" s="308"/>
      <c r="BI460" s="308"/>
      <c r="BJ460" s="36">
        <f>SUM(Table1[[#This Row],[Pipa 63 mm2]:[Pipa 1,800 mm21]])</f>
        <v>0</v>
      </c>
      <c r="BK460" s="32"/>
      <c r="BL460" s="32"/>
      <c r="BM460" s="32"/>
      <c r="BN460" s="32"/>
      <c r="BO460" s="32"/>
      <c r="BP460" s="32"/>
      <c r="BQ460" s="32"/>
      <c r="BR460" s="32"/>
      <c r="BS460" s="32"/>
      <c r="BT460" s="32"/>
      <c r="BU460" s="32"/>
      <c r="BV460" s="32"/>
      <c r="BW460" s="32"/>
      <c r="BX460" s="32"/>
      <c r="BY460" s="32"/>
      <c r="BZ460" s="32"/>
      <c r="CA460" s="32"/>
      <c r="CB460" s="32"/>
      <c r="CC460" s="32"/>
      <c r="CD460" s="32"/>
      <c r="CE460" s="32"/>
      <c r="CF460" s="32"/>
      <c r="CG460" s="32"/>
      <c r="CH460" s="32"/>
      <c r="CI460" s="32"/>
      <c r="CJ460" s="32">
        <f>IF((Table1[[#This Row],["Volume
BA MC-0"]]-Table1[[#This Row],[Total Panjang Pipa Aktual
(Sum-&gt;)3]]-Table1[[#This Row],[Total Volume
tidak dapat dipasang]])&gt;=0,Table1[[#This Row],["Volume
BA MC-0"]]-Table1[[#This Row],[Total Panjang Pipa Aktual
(Sum-&gt;)3]]-Table1[[#This Row],[Total Volume
tidak dapat dipasang]],0)</f>
        <v>0</v>
      </c>
      <c r="CK460" s="42"/>
      <c r="CL460" s="113"/>
      <c r="CM460" s="307"/>
      <c r="CN460" s="113"/>
      <c r="CO460" s="113"/>
      <c r="CP460" s="286"/>
      <c r="CQ460" s="406">
        <f>IFERROR(Table1[[#This Row],[Progres Keg. Umum
(%)]]*Table1[[#This Row],[Nilai RAB Jaringan
(file pa aji)]],0)</f>
        <v>0</v>
      </c>
      <c r="CR460" s="406">
        <f>IFERROR(Table1[[#This Row],[Progres MOS
(%)]]*Table1[[#This Row],[Nilai RAB Jaringan
(file pa aji)]],0)</f>
        <v>0</v>
      </c>
      <c r="CS460" s="406">
        <f>IFERROR(Table1[[#This Row],[Progres Pemasangan
(%)]]*Table1[[#This Row],[Nilai RAB Jaringan
(file pa aji)]],0)</f>
        <v>0</v>
      </c>
      <c r="CT460" s="406">
        <f>IFERROR(Table1[[#This Row],[Progres Perizinan
(%)]]*Table1[[#This Row],[Nilai RAB Jaringan
(file pa aji)]],0)</f>
        <v>0</v>
      </c>
      <c r="CU460" s="789">
        <v>0</v>
      </c>
      <c r="CV460" s="536">
        <v>0</v>
      </c>
      <c r="CW460" s="481">
        <v>0</v>
      </c>
      <c r="CX460" s="789">
        <f>_xlfn.XLOOKUP(Table1[[#This Row],[Kode Program]],'[1]Breakdown VOWD Greenfield'!$E:$E,'[1]Breakdown VOWD Greenfield'!$AT:$AT)</f>
        <v>0</v>
      </c>
      <c r="CY460" s="42"/>
      <c r="CZ460" s="301"/>
      <c r="DA460" s="301"/>
      <c r="DB460" s="301"/>
      <c r="DC460" s="286"/>
      <c r="DD460" s="478"/>
      <c r="DE460"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0" s="301"/>
      <c r="DG460" s="286"/>
      <c r="DH460" s="478"/>
      <c r="DI460"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0" s="301"/>
      <c r="DK460" s="301"/>
      <c r="DL460" s="301"/>
      <c r="DM460" s="286"/>
      <c r="DN460"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0" s="301"/>
      <c r="DP460" s="286"/>
      <c r="DQ460" s="308"/>
      <c r="DR460"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0" s="301"/>
      <c r="DT460" s="301" t="e">
        <v>#N/A</v>
      </c>
      <c r="DU460" s="301"/>
      <c r="DV460" s="301" t="e">
        <v>#N/A</v>
      </c>
      <c r="DW460" s="301"/>
      <c r="DX460" s="286"/>
      <c r="DY460" s="305"/>
      <c r="DZ460" s="305"/>
      <c r="EA460"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0" s="301"/>
      <c r="EC460" s="302"/>
      <c r="ED460" s="302"/>
      <c r="EE460" s="300"/>
      <c r="EF460" s="307"/>
      <c r="EG460" s="307"/>
      <c r="EH460" s="286" t="str">
        <f>IF(Table1[[#This Row],[PO Material Aktual 
(%)]]&gt;=100%,"Selesai PO = 100%",IF(Table1[[#This Row],[PO Material Aktual 
(%)]]&gt;=50%,"Proses PO &gt; 100%",IF(Table1[[#This Row],[PO Material Aktual 
(%)]]&gt;0%,"Proses PO &gt; 50%",IF(Table1[[#This Row],[PO Material Aktual 
(%)]]=0,"Belum PO = 0%"))))</f>
        <v>Belum PO = 0%</v>
      </c>
      <c r="EI460"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0" s="301"/>
      <c r="EK460" s="301" t="e">
        <v>#N/A</v>
      </c>
      <c r="EL460" s="301"/>
      <c r="EM460" s="301" t="e">
        <v>#N/A</v>
      </c>
      <c r="EN460" s="301"/>
      <c r="EO460" s="286"/>
      <c r="EP460" s="305"/>
      <c r="EQ460" s="307"/>
      <c r="ER460" s="307"/>
      <c r="ES460" s="286" t="str">
        <f>IF(Table1[[#This Row],[Progres MOS]]&gt;=100%,"Selesai MOS = 100%",IF(Table1[[#This Row],[Progres MOS]]&gt;=50%,"Proses MOS &gt; 100%",IF(Table1[[#This Row],[Progres MOS]]&gt;0%,"Proses MOS &gt; 50%",IF(Table1[[#This Row],[Progres MOS]]=0,"Belum MOS = 0%"))))</f>
        <v>Belum MOS = 0%</v>
      </c>
      <c r="ET460"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0" s="42"/>
      <c r="EV460" s="301"/>
      <c r="EW460" s="301" t="e">
        <v>#N/A</v>
      </c>
      <c r="EX460" s="301"/>
      <c r="EY460" s="301" t="e">
        <v>#N/A</v>
      </c>
      <c r="EZ460" s="322"/>
      <c r="FA460" s="354"/>
      <c r="FB460" s="301" t="e">
        <v>#N/A</v>
      </c>
      <c r="FC460" s="301" t="e">
        <v>#N/A</v>
      </c>
      <c r="FD460" s="301" t="e">
        <v>#N/A</v>
      </c>
      <c r="FE460" s="301" t="e">
        <v>#N/A</v>
      </c>
      <c r="FF460" s="301" t="e">
        <v>#N/A</v>
      </c>
      <c r="FG460" s="301" t="e">
        <v>#N/A</v>
      </c>
      <c r="FH460" s="301" t="e">
        <v>#N/A</v>
      </c>
      <c r="FI460" s="301" t="e">
        <v>#N/A</v>
      </c>
      <c r="FJ460" s="301" t="e">
        <v>#N/A</v>
      </c>
      <c r="FK460" s="301" t="e">
        <v>#N/A</v>
      </c>
      <c r="FL460" s="322"/>
      <c r="FM460" s="322"/>
      <c r="FN460" s="308" t="str">
        <f>IF(Table1[[#This Row],[Tanggal Pengajuan Dokumen]]="","",Table1[[#This Row],[PLAN PERMIT
start]]-Table1[[#This Row],[Tanggal Pengajuan Dokumen]])</f>
        <v/>
      </c>
      <c r="FO460" s="322"/>
      <c r="FP460" s="286"/>
      <c r="FQ460" s="308"/>
      <c r="FR460" s="322"/>
      <c r="FS460" s="308"/>
      <c r="FT460"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0" s="314">
        <f ca="1">IF(Table1[[#This Row],[Status Izin]]="Selesai",Table1[[#This Row],[PLAN PERMIT
finish]]-Table1[[#This Row],[Tanggal Terbit/ Target Izin Terbit]],ROUNDUP(Table1[[#This Row],[PLAN PERMIT
finish]]-NOW(),0))</f>
        <v>-46204</v>
      </c>
      <c r="FV460"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0" s="314"/>
      <c r="FX460" s="42"/>
      <c r="FY460" s="540"/>
      <c r="FZ460" s="541"/>
      <c r="GA460"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0" s="301"/>
      <c r="GC460" s="322"/>
      <c r="GD460"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0" s="301"/>
      <c r="GF460" s="322"/>
      <c r="GG460"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0" s="301"/>
      <c r="GI460" s="301"/>
      <c r="GJ460" s="322"/>
      <c r="GK460"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0" s="301"/>
      <c r="GM460" s="301" t="e">
        <v>#N/A</v>
      </c>
      <c r="GN460" s="301"/>
      <c r="GO460" s="497" t="e">
        <v>#N/A</v>
      </c>
      <c r="GP460" s="286"/>
      <c r="GQ460"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0" s="301"/>
      <c r="GS460" s="301"/>
      <c r="GT460" s="324"/>
      <c r="GU460" s="314" t="str">
        <f>IF(Table1[[#This Row],[Hydro Tes Actual
(tanggal)]]&lt;&gt;"","Sudah","Belum")</f>
        <v>Belum</v>
      </c>
      <c r="GV460" s="300"/>
      <c r="GW460" s="300"/>
      <c r="GX460" s="301"/>
      <c r="GY460" s="314" t="str">
        <f>IF(Table1[[#This Row],[Interkoneksi Actual
(tanggal)]]&lt;&gt;"","Sudah","Belum")</f>
        <v>Belum</v>
      </c>
      <c r="GZ460" s="300"/>
      <c r="HA460" s="300"/>
      <c r="HB460" s="301"/>
      <c r="HC460" s="314" t="str">
        <f>IF(Table1[[#This Row],[Flushing Actual
(tanggal)]]&lt;&gt;"","Sudah","Belum")</f>
        <v>Belum</v>
      </c>
      <c r="HD460" s="301"/>
      <c r="HE460" s="301" t="e">
        <v>#N/A</v>
      </c>
      <c r="HF460" s="301"/>
      <c r="HG460" s="322"/>
      <c r="HH460"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0" s="300"/>
      <c r="HJ460" s="300"/>
      <c r="HK460" s="301"/>
      <c r="HL460" s="286"/>
      <c r="HM460" s="301"/>
      <c r="HN460" s="301"/>
      <c r="HO460" s="497" t="e">
        <v>#N/A</v>
      </c>
      <c r="HP460" s="497"/>
      <c r="HQ460" s="301"/>
      <c r="HR460"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0" s="322"/>
      <c r="HT460" s="322"/>
      <c r="HU460" s="322"/>
      <c r="HV460" s="444"/>
      <c r="HW460" s="301"/>
      <c r="HX460"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0" s="42"/>
      <c r="HZ460" s="322"/>
      <c r="IA460" s="306"/>
      <c r="IB460"/>
      <c r="IC460" s="585">
        <f>IFERROR(ROUND((Table1[[#This Row],[PLAN TC
finish]]-Table1[[#This Row],[PLAN MC-0
start]])/30,2),"")</f>
        <v>0</v>
      </c>
      <c r="ID460">
        <f>DATEDIF(Table1[[#This Row],[PLAN MC-0
start]],Table1[[#This Row],[PLAN TC
finish]],"m")</f>
        <v>0</v>
      </c>
      <c r="IE460" s="8"/>
      <c r="IF460" s="8"/>
      <c r="IG460" s="4"/>
      <c r="IH460" s="6"/>
      <c r="II460" s="67"/>
      <c r="IJ460" s="67"/>
      <c r="IK460" s="8"/>
      <c r="IM460" s="6"/>
      <c r="IN460" s="6"/>
      <c r="IO460" s="67"/>
      <c r="IP460" s="8"/>
      <c r="IR460" s="4"/>
      <c r="IS460" s="4"/>
      <c r="IT460" s="6"/>
      <c r="IU460" s="6"/>
      <c r="IX460" s="6"/>
      <c r="IY460" s="6"/>
      <c r="JA460" s="6"/>
      <c r="JB460" s="6"/>
    </row>
    <row r="461" spans="2:262" ht="15" customHeight="1" x14ac:dyDescent="0.25">
      <c r="B461" s="281">
        <f>SUBTOTAL(3,$D$5:D461)</f>
        <v>457</v>
      </c>
      <c r="C461" s="286">
        <v>471</v>
      </c>
      <c r="D461" s="430" t="s">
        <v>629</v>
      </c>
      <c r="E461" s="308" t="s">
        <v>3510</v>
      </c>
      <c r="F461" s="308" t="s">
        <v>3511</v>
      </c>
      <c r="G461" s="319">
        <v>46482</v>
      </c>
      <c r="H461" s="431" t="s">
        <v>247</v>
      </c>
      <c r="I461" s="308"/>
      <c r="J461" s="450"/>
      <c r="K461" s="308"/>
      <c r="L461" s="286"/>
      <c r="M461" s="325"/>
      <c r="N461" s="528">
        <v>16859</v>
      </c>
      <c r="O461" s="434" t="s">
        <v>252</v>
      </c>
      <c r="P461"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1"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1" s="307"/>
      <c r="S461" s="297">
        <v>0.99999999999999989</v>
      </c>
      <c r="T461" s="297">
        <f>Table1[[#This Row],[Progres Total Aktual
(%)]]</f>
        <v>0</v>
      </c>
      <c r="U461" s="537">
        <f>Table1[[#This Row],[Progres Aktual
(%)]]-Table1[[#This Row],[Target Progres
(%)]]</f>
        <v>-0.99999999999999989</v>
      </c>
      <c r="V461" s="538">
        <f>Table1[[#This Row],["Volume
BA MC-0"]]</f>
        <v>0</v>
      </c>
      <c r="W461" s="538">
        <f>Table1[[#This Row],[Total Panjang Pipa Aktual
(Sum-&gt;)3]]</f>
        <v>0</v>
      </c>
      <c r="X461" s="99"/>
      <c r="Y461" s="265"/>
      <c r="Z461" s="478"/>
      <c r="AA461" s="478">
        <f>ROUND((Table1[[#This Row],[Nilai RAB Jaringan
(Exclude Ppn)]]-Table1[[#This Row],[RAB Perizinan]])*1.11+Table1[[#This Row],[RAB Perizinan]],0)</f>
        <v>0</v>
      </c>
      <c r="AB461" s="406">
        <f>SUM(Table1[[#This Row],[RAB Kegiatan Umum]:[RAB Perizinan]])</f>
        <v>0</v>
      </c>
      <c r="AC461" s="406"/>
      <c r="AD461" s="406"/>
      <c r="AE461" s="406"/>
      <c r="AF461" s="406"/>
      <c r="AG461" s="406"/>
      <c r="AH461" s="539" t="e">
        <f>SUM(Table1[[#This Row],[Bobot Keg Umum]:[Bobot Perizinan]])</f>
        <v>#DIV/0!</v>
      </c>
      <c r="AI461" s="539" t="e">
        <f>Table1[[#This Row],[RAB Kegiatan Umum]]/Table1[[#This Row],[Nilai RAB Jaringan
(Exclude Ppn)]]</f>
        <v>#DIV/0!</v>
      </c>
      <c r="AJ461" s="539" t="e">
        <f>Table1[[#This Row],[RAB Pemasangan]]/Table1[[#This Row],[Nilai RAB Jaringan
(Exclude Ppn)]]</f>
        <v>#DIV/0!</v>
      </c>
      <c r="AK461" s="539" t="e">
        <f>Table1[[#This Row],[RAB Pengadaan]]/Table1[[#This Row],[Nilai RAB Jaringan
(Exclude Ppn)]]</f>
        <v>#DIV/0!</v>
      </c>
      <c r="AL461" s="307" t="e">
        <f>Table1[[#This Row],[RAB Perizinan]]/Table1[[#This Row],[Nilai RAB Jaringan
(Exclude Ppn)]]</f>
        <v>#DIV/0!</v>
      </c>
      <c r="AM461" s="42"/>
      <c r="AN461" s="308"/>
      <c r="AO461" s="484">
        <f>SUM(Table1[[#This Row],[Pipa 63 mm]:[Pipa 1,800 mm]])</f>
        <v>0</v>
      </c>
      <c r="AP461" s="308"/>
      <c r="AQ461" s="308"/>
      <c r="AR461" s="308"/>
      <c r="AS461" s="308"/>
      <c r="AT461" s="308"/>
      <c r="AU461" s="308"/>
      <c r="AV461" s="308"/>
      <c r="AW461" s="308"/>
      <c r="AX461" s="308"/>
      <c r="AY461" s="308"/>
      <c r="AZ461" s="308"/>
      <c r="BA461" s="308"/>
      <c r="BB461" s="308"/>
      <c r="BC461" s="308"/>
      <c r="BD461" s="308"/>
      <c r="BE461" s="308"/>
      <c r="BF461" s="308"/>
      <c r="BG461" s="308"/>
      <c r="BH461" s="308"/>
      <c r="BI461" s="308"/>
      <c r="BJ461" s="36">
        <f>SUM(Table1[[#This Row],[Pipa 63 mm2]:[Pipa 1,800 mm21]])</f>
        <v>0</v>
      </c>
      <c r="BK461" s="32"/>
      <c r="BL461" s="32"/>
      <c r="BM461" s="32"/>
      <c r="BN461" s="32"/>
      <c r="BO461" s="32"/>
      <c r="BP461" s="32"/>
      <c r="BQ461" s="32"/>
      <c r="BR461" s="32"/>
      <c r="BS461" s="32"/>
      <c r="BT461" s="32"/>
      <c r="BU461" s="32"/>
      <c r="BV461" s="32"/>
      <c r="BW461" s="32"/>
      <c r="BX461" s="32"/>
      <c r="BY461" s="32"/>
      <c r="BZ461" s="32"/>
      <c r="CA461" s="32"/>
      <c r="CB461" s="32"/>
      <c r="CC461" s="32"/>
      <c r="CD461" s="32"/>
      <c r="CE461" s="32"/>
      <c r="CF461" s="32"/>
      <c r="CG461" s="32"/>
      <c r="CH461" s="32"/>
      <c r="CI461" s="32"/>
      <c r="CJ461" s="32">
        <f>IF((Table1[[#This Row],["Volume
BA MC-0"]]-Table1[[#This Row],[Total Panjang Pipa Aktual
(Sum-&gt;)3]]-Table1[[#This Row],[Total Volume
tidak dapat dipasang]])&gt;=0,Table1[[#This Row],["Volume
BA MC-0"]]-Table1[[#This Row],[Total Panjang Pipa Aktual
(Sum-&gt;)3]]-Table1[[#This Row],[Total Volume
tidak dapat dipasang]],0)</f>
        <v>0</v>
      </c>
      <c r="CK461" s="42"/>
      <c r="CL461" s="113"/>
      <c r="CM461" s="307"/>
      <c r="CN461" s="113"/>
      <c r="CO461" s="113"/>
      <c r="CP461" s="286"/>
      <c r="CQ461" s="406">
        <f>IFERROR(Table1[[#This Row],[Progres Keg. Umum
(%)]]*Table1[[#This Row],[Nilai RAB Jaringan
(file pa aji)]],0)</f>
        <v>0</v>
      </c>
      <c r="CR461" s="406">
        <f>IFERROR(Table1[[#This Row],[Progres MOS
(%)]]*Table1[[#This Row],[Nilai RAB Jaringan
(file pa aji)]],0)</f>
        <v>0</v>
      </c>
      <c r="CS461" s="406">
        <f>IFERROR(Table1[[#This Row],[Progres Pemasangan
(%)]]*Table1[[#This Row],[Nilai RAB Jaringan
(file pa aji)]],0)</f>
        <v>0</v>
      </c>
      <c r="CT461" s="406">
        <f>IFERROR(Table1[[#This Row],[Progres Perizinan
(%)]]*Table1[[#This Row],[Nilai RAB Jaringan
(file pa aji)]],0)</f>
        <v>0</v>
      </c>
      <c r="CU461" s="789">
        <v>0</v>
      </c>
      <c r="CV461" s="536">
        <v>0</v>
      </c>
      <c r="CW461" s="481">
        <v>0</v>
      </c>
      <c r="CX461" s="789">
        <f>_xlfn.XLOOKUP(Table1[[#This Row],[Kode Program]],'[1]Breakdown VOWD Greenfield'!$E:$E,'[1]Breakdown VOWD Greenfield'!$AT:$AT)</f>
        <v>0</v>
      </c>
      <c r="CY461" s="42"/>
      <c r="CZ461" s="301"/>
      <c r="DA461" s="301"/>
      <c r="DB461" s="301"/>
      <c r="DC461" s="286"/>
      <c r="DD461" s="478"/>
      <c r="DE461"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1" s="301"/>
      <c r="DG461" s="286"/>
      <c r="DH461" s="478"/>
      <c r="DI461"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1" s="301"/>
      <c r="DK461" s="301"/>
      <c r="DL461" s="301"/>
      <c r="DM461" s="286"/>
      <c r="DN461"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1" s="301"/>
      <c r="DP461" s="286"/>
      <c r="DQ461" s="308"/>
      <c r="DR461"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1" s="301"/>
      <c r="DT461" s="301" t="e">
        <v>#N/A</v>
      </c>
      <c r="DU461" s="301"/>
      <c r="DV461" s="301" t="e">
        <v>#N/A</v>
      </c>
      <c r="DW461" s="301"/>
      <c r="DX461" s="286"/>
      <c r="DY461" s="305"/>
      <c r="DZ461" s="305"/>
      <c r="EA461"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1" s="301"/>
      <c r="EC461" s="302"/>
      <c r="ED461" s="302"/>
      <c r="EE461" s="300"/>
      <c r="EF461" s="307"/>
      <c r="EG461" s="307"/>
      <c r="EH461" s="286" t="str">
        <f>IF(Table1[[#This Row],[PO Material Aktual 
(%)]]&gt;=100%,"Selesai PO = 100%",IF(Table1[[#This Row],[PO Material Aktual 
(%)]]&gt;=50%,"Proses PO &gt; 100%",IF(Table1[[#This Row],[PO Material Aktual 
(%)]]&gt;0%,"Proses PO &gt; 50%",IF(Table1[[#This Row],[PO Material Aktual 
(%)]]=0,"Belum PO = 0%"))))</f>
        <v>Belum PO = 0%</v>
      </c>
      <c r="EI461"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1" s="301"/>
      <c r="EK461" s="301" t="e">
        <v>#N/A</v>
      </c>
      <c r="EL461" s="301"/>
      <c r="EM461" s="301" t="e">
        <v>#N/A</v>
      </c>
      <c r="EN461" s="301"/>
      <c r="EO461" s="286"/>
      <c r="EP461" s="305"/>
      <c r="EQ461" s="307"/>
      <c r="ER461" s="307"/>
      <c r="ES461" s="286" t="str">
        <f>IF(Table1[[#This Row],[Progres MOS]]&gt;=100%,"Selesai MOS = 100%",IF(Table1[[#This Row],[Progres MOS]]&gt;=50%,"Proses MOS &gt; 100%",IF(Table1[[#This Row],[Progres MOS]]&gt;0%,"Proses MOS &gt; 50%",IF(Table1[[#This Row],[Progres MOS]]=0,"Belum MOS = 0%"))))</f>
        <v>Belum MOS = 0%</v>
      </c>
      <c r="ET461"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1" s="42"/>
      <c r="EV461" s="301"/>
      <c r="EW461" s="301" t="e">
        <v>#N/A</v>
      </c>
      <c r="EX461" s="301"/>
      <c r="EY461" s="301" t="e">
        <v>#N/A</v>
      </c>
      <c r="EZ461" s="322"/>
      <c r="FA461" s="354"/>
      <c r="FB461" s="301" t="e">
        <v>#N/A</v>
      </c>
      <c r="FC461" s="301" t="e">
        <v>#N/A</v>
      </c>
      <c r="FD461" s="301" t="e">
        <v>#N/A</v>
      </c>
      <c r="FE461" s="301" t="e">
        <v>#N/A</v>
      </c>
      <c r="FF461" s="301" t="e">
        <v>#N/A</v>
      </c>
      <c r="FG461" s="301" t="e">
        <v>#N/A</v>
      </c>
      <c r="FH461" s="301" t="e">
        <v>#N/A</v>
      </c>
      <c r="FI461" s="301" t="e">
        <v>#N/A</v>
      </c>
      <c r="FJ461" s="301" t="e">
        <v>#N/A</v>
      </c>
      <c r="FK461" s="301" t="e">
        <v>#N/A</v>
      </c>
      <c r="FL461" s="322"/>
      <c r="FM461" s="322"/>
      <c r="FN461" s="308" t="str">
        <f>IF(Table1[[#This Row],[Tanggal Pengajuan Dokumen]]="","",Table1[[#This Row],[PLAN PERMIT
start]]-Table1[[#This Row],[Tanggal Pengajuan Dokumen]])</f>
        <v/>
      </c>
      <c r="FO461" s="322"/>
      <c r="FP461" s="286"/>
      <c r="FQ461" s="308"/>
      <c r="FR461" s="322"/>
      <c r="FS461" s="308"/>
      <c r="FT461"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1" s="314">
        <f ca="1">IF(Table1[[#This Row],[Status Izin]]="Selesai",Table1[[#This Row],[PLAN PERMIT
finish]]-Table1[[#This Row],[Tanggal Terbit/ Target Izin Terbit]],ROUNDUP(Table1[[#This Row],[PLAN PERMIT
finish]]-NOW(),0))</f>
        <v>-46204</v>
      </c>
      <c r="FV461"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1" s="314"/>
      <c r="FX461" s="42"/>
      <c r="FY461" s="540"/>
      <c r="FZ461" s="541"/>
      <c r="GA461"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1" s="301"/>
      <c r="GC461" s="322"/>
      <c r="GD461"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1" s="301"/>
      <c r="GF461" s="322"/>
      <c r="GG461"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1" s="301"/>
      <c r="GI461" s="301"/>
      <c r="GJ461" s="322"/>
      <c r="GK461"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1" s="301"/>
      <c r="GM461" s="301" t="e">
        <v>#N/A</v>
      </c>
      <c r="GN461" s="301"/>
      <c r="GO461" s="497" t="e">
        <v>#N/A</v>
      </c>
      <c r="GP461" s="286"/>
      <c r="GQ461"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1" s="301"/>
      <c r="GS461" s="301"/>
      <c r="GT461" s="324"/>
      <c r="GU461" s="314" t="str">
        <f>IF(Table1[[#This Row],[Hydro Tes Actual
(tanggal)]]&lt;&gt;"","Sudah","Belum")</f>
        <v>Belum</v>
      </c>
      <c r="GV461" s="300"/>
      <c r="GW461" s="300"/>
      <c r="GX461" s="301"/>
      <c r="GY461" s="314" t="str">
        <f>IF(Table1[[#This Row],[Interkoneksi Actual
(tanggal)]]&lt;&gt;"","Sudah","Belum")</f>
        <v>Belum</v>
      </c>
      <c r="GZ461" s="300"/>
      <c r="HA461" s="300"/>
      <c r="HB461" s="301"/>
      <c r="HC461" s="314" t="str">
        <f>IF(Table1[[#This Row],[Flushing Actual
(tanggal)]]&lt;&gt;"","Sudah","Belum")</f>
        <v>Belum</v>
      </c>
      <c r="HD461" s="301"/>
      <c r="HE461" s="301" t="e">
        <v>#N/A</v>
      </c>
      <c r="HF461" s="301"/>
      <c r="HG461" s="322"/>
      <c r="HH461"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1" s="300"/>
      <c r="HJ461" s="300"/>
      <c r="HK461" s="301"/>
      <c r="HL461" s="286"/>
      <c r="HM461" s="301"/>
      <c r="HN461" s="301"/>
      <c r="HO461" s="497" t="e">
        <v>#N/A</v>
      </c>
      <c r="HP461" s="497"/>
      <c r="HQ461" s="301"/>
      <c r="HR461"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1" s="322"/>
      <c r="HT461" s="322"/>
      <c r="HU461" s="322"/>
      <c r="HV461" s="444"/>
      <c r="HW461" s="301"/>
      <c r="HX461"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1" s="42"/>
      <c r="HZ461" s="322"/>
      <c r="IA461" s="306"/>
      <c r="IB461"/>
      <c r="IC461" s="585">
        <f>IFERROR(ROUND((Table1[[#This Row],[PLAN TC
finish]]-Table1[[#This Row],[PLAN MC-0
start]])/30,2),"")</f>
        <v>0</v>
      </c>
      <c r="ID461">
        <f>DATEDIF(Table1[[#This Row],[PLAN MC-0
start]],Table1[[#This Row],[PLAN TC
finish]],"m")</f>
        <v>0</v>
      </c>
      <c r="IE461" s="8"/>
      <c r="IF461" s="8"/>
      <c r="IG461" s="4"/>
      <c r="IH461" s="6"/>
      <c r="II461" s="67"/>
      <c r="IJ461" s="67"/>
      <c r="IK461" s="8"/>
      <c r="IM461" s="6"/>
      <c r="IN461" s="6"/>
      <c r="IO461" s="67"/>
      <c r="IP461" s="8"/>
      <c r="IR461" s="4"/>
      <c r="IS461" s="4"/>
      <c r="IT461" s="6"/>
      <c r="IU461" s="6"/>
      <c r="IX461" s="6"/>
      <c r="IY461" s="6"/>
      <c r="JA461" s="6"/>
      <c r="JB461" s="6"/>
    </row>
    <row r="462" spans="2:262" ht="15" customHeight="1" x14ac:dyDescent="0.25">
      <c r="B462" s="281">
        <f>SUBTOTAL(3,$D$5:D462)</f>
        <v>458</v>
      </c>
      <c r="C462" s="286">
        <v>472</v>
      </c>
      <c r="D462" s="430" t="s">
        <v>629</v>
      </c>
      <c r="E462" s="308" t="s">
        <v>3512</v>
      </c>
      <c r="F462" s="308" t="s">
        <v>3513</v>
      </c>
      <c r="G462" s="319">
        <v>46482</v>
      </c>
      <c r="H462" s="431" t="s">
        <v>247</v>
      </c>
      <c r="I462" s="308"/>
      <c r="J462" s="450"/>
      <c r="K462" s="308"/>
      <c r="L462" s="286"/>
      <c r="M462" s="325"/>
      <c r="N462" s="528">
        <v>11313</v>
      </c>
      <c r="O462" s="434" t="s">
        <v>252</v>
      </c>
      <c r="P462"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2"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2" s="307"/>
      <c r="S462" s="297">
        <v>0.99999999999999989</v>
      </c>
      <c r="T462" s="297">
        <f>Table1[[#This Row],[Progres Total Aktual
(%)]]</f>
        <v>0</v>
      </c>
      <c r="U462" s="537">
        <f>Table1[[#This Row],[Progres Aktual
(%)]]-Table1[[#This Row],[Target Progres
(%)]]</f>
        <v>-0.99999999999999989</v>
      </c>
      <c r="V462" s="538">
        <f>Table1[[#This Row],["Volume
BA MC-0"]]</f>
        <v>0</v>
      </c>
      <c r="W462" s="538">
        <f>Table1[[#This Row],[Total Panjang Pipa Aktual
(Sum-&gt;)3]]</f>
        <v>0</v>
      </c>
      <c r="X462" s="99"/>
      <c r="Y462" s="265"/>
      <c r="Z462" s="478"/>
      <c r="AA462" s="478">
        <f>ROUND((Table1[[#This Row],[Nilai RAB Jaringan
(Exclude Ppn)]]-Table1[[#This Row],[RAB Perizinan]])*1.11+Table1[[#This Row],[RAB Perizinan]],0)</f>
        <v>0</v>
      </c>
      <c r="AB462" s="406">
        <f>SUM(Table1[[#This Row],[RAB Kegiatan Umum]:[RAB Perizinan]])</f>
        <v>0</v>
      </c>
      <c r="AC462" s="406"/>
      <c r="AD462" s="406"/>
      <c r="AE462" s="406"/>
      <c r="AF462" s="406"/>
      <c r="AG462" s="406"/>
      <c r="AH462" s="539" t="e">
        <f>SUM(Table1[[#This Row],[Bobot Keg Umum]:[Bobot Perizinan]])</f>
        <v>#DIV/0!</v>
      </c>
      <c r="AI462" s="539" t="e">
        <f>Table1[[#This Row],[RAB Kegiatan Umum]]/Table1[[#This Row],[Nilai RAB Jaringan
(Exclude Ppn)]]</f>
        <v>#DIV/0!</v>
      </c>
      <c r="AJ462" s="539" t="e">
        <f>Table1[[#This Row],[RAB Pemasangan]]/Table1[[#This Row],[Nilai RAB Jaringan
(Exclude Ppn)]]</f>
        <v>#DIV/0!</v>
      </c>
      <c r="AK462" s="539" t="e">
        <f>Table1[[#This Row],[RAB Pengadaan]]/Table1[[#This Row],[Nilai RAB Jaringan
(Exclude Ppn)]]</f>
        <v>#DIV/0!</v>
      </c>
      <c r="AL462" s="307" t="e">
        <f>Table1[[#This Row],[RAB Perizinan]]/Table1[[#This Row],[Nilai RAB Jaringan
(Exclude Ppn)]]</f>
        <v>#DIV/0!</v>
      </c>
      <c r="AM462" s="42"/>
      <c r="AN462" s="308"/>
      <c r="AO462" s="484">
        <f>SUM(Table1[[#This Row],[Pipa 63 mm]:[Pipa 1,800 mm]])</f>
        <v>0</v>
      </c>
      <c r="AP462" s="308"/>
      <c r="AQ462" s="308"/>
      <c r="AR462" s="308"/>
      <c r="AS462" s="308"/>
      <c r="AT462" s="308"/>
      <c r="AU462" s="308"/>
      <c r="AV462" s="308"/>
      <c r="AW462" s="308"/>
      <c r="AX462" s="308"/>
      <c r="AY462" s="308"/>
      <c r="AZ462" s="308"/>
      <c r="BA462" s="308"/>
      <c r="BB462" s="308"/>
      <c r="BC462" s="308"/>
      <c r="BD462" s="308"/>
      <c r="BE462" s="308"/>
      <c r="BF462" s="308"/>
      <c r="BG462" s="308"/>
      <c r="BH462" s="308"/>
      <c r="BI462" s="308"/>
      <c r="BJ462" s="36">
        <f>SUM(Table1[[#This Row],[Pipa 63 mm2]:[Pipa 1,800 mm21]])</f>
        <v>0</v>
      </c>
      <c r="BK462" s="32"/>
      <c r="BL462" s="32"/>
      <c r="BM462" s="32"/>
      <c r="BN462" s="32"/>
      <c r="BO462" s="32"/>
      <c r="BP462" s="32"/>
      <c r="BQ462" s="32"/>
      <c r="BR462" s="32"/>
      <c r="BS462" s="32"/>
      <c r="BT462" s="32"/>
      <c r="BU462" s="32"/>
      <c r="BV462" s="32"/>
      <c r="BW462" s="32"/>
      <c r="BX462" s="32"/>
      <c r="BY462" s="32"/>
      <c r="BZ462" s="32"/>
      <c r="CA462" s="32"/>
      <c r="CB462" s="32"/>
      <c r="CC462" s="32"/>
      <c r="CD462" s="32"/>
      <c r="CE462" s="32"/>
      <c r="CF462" s="32"/>
      <c r="CG462" s="32"/>
      <c r="CH462" s="32"/>
      <c r="CI462" s="32"/>
      <c r="CJ462" s="32">
        <f>IF((Table1[[#This Row],["Volume
BA MC-0"]]-Table1[[#This Row],[Total Panjang Pipa Aktual
(Sum-&gt;)3]]-Table1[[#This Row],[Total Volume
tidak dapat dipasang]])&gt;=0,Table1[[#This Row],["Volume
BA MC-0"]]-Table1[[#This Row],[Total Panjang Pipa Aktual
(Sum-&gt;)3]]-Table1[[#This Row],[Total Volume
tidak dapat dipasang]],0)</f>
        <v>0</v>
      </c>
      <c r="CK462" s="42"/>
      <c r="CL462" s="113"/>
      <c r="CM462" s="307"/>
      <c r="CN462" s="113"/>
      <c r="CO462" s="113"/>
      <c r="CP462" s="286"/>
      <c r="CQ462" s="406">
        <f>IFERROR(Table1[[#This Row],[Progres Keg. Umum
(%)]]*Table1[[#This Row],[Nilai RAB Jaringan
(file pa aji)]],0)</f>
        <v>0</v>
      </c>
      <c r="CR462" s="406">
        <f>IFERROR(Table1[[#This Row],[Progres MOS
(%)]]*Table1[[#This Row],[Nilai RAB Jaringan
(file pa aji)]],0)</f>
        <v>0</v>
      </c>
      <c r="CS462" s="406">
        <f>IFERROR(Table1[[#This Row],[Progres Pemasangan
(%)]]*Table1[[#This Row],[Nilai RAB Jaringan
(file pa aji)]],0)</f>
        <v>0</v>
      </c>
      <c r="CT462" s="406">
        <f>IFERROR(Table1[[#This Row],[Progres Perizinan
(%)]]*Table1[[#This Row],[Nilai RAB Jaringan
(file pa aji)]],0)</f>
        <v>0</v>
      </c>
      <c r="CU462" s="789">
        <v>0</v>
      </c>
      <c r="CV462" s="536">
        <v>0</v>
      </c>
      <c r="CW462" s="481">
        <v>0</v>
      </c>
      <c r="CX462" s="789">
        <f>_xlfn.XLOOKUP(Table1[[#This Row],[Kode Program]],'[1]Breakdown VOWD Greenfield'!$E:$E,'[1]Breakdown VOWD Greenfield'!$AT:$AT)</f>
        <v>0</v>
      </c>
      <c r="CY462" s="42"/>
      <c r="CZ462" s="301"/>
      <c r="DA462" s="301"/>
      <c r="DB462" s="301"/>
      <c r="DC462" s="286"/>
      <c r="DD462" s="478"/>
      <c r="DE462"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2" s="301"/>
      <c r="DG462" s="286"/>
      <c r="DH462" s="478"/>
      <c r="DI462"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2" s="301"/>
      <c r="DK462" s="301"/>
      <c r="DL462" s="301"/>
      <c r="DM462" s="286"/>
      <c r="DN462"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2" s="301"/>
      <c r="DP462" s="286"/>
      <c r="DQ462" s="308"/>
      <c r="DR462"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2" s="301"/>
      <c r="DT462" s="301" t="e">
        <v>#N/A</v>
      </c>
      <c r="DU462" s="301"/>
      <c r="DV462" s="301" t="e">
        <v>#N/A</v>
      </c>
      <c r="DW462" s="301"/>
      <c r="DX462" s="286"/>
      <c r="DY462" s="305"/>
      <c r="DZ462" s="305"/>
      <c r="EA462"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2" s="301"/>
      <c r="EC462" s="302"/>
      <c r="ED462" s="302"/>
      <c r="EE462" s="300"/>
      <c r="EF462" s="307"/>
      <c r="EG462" s="307"/>
      <c r="EH462" s="286" t="str">
        <f>IF(Table1[[#This Row],[PO Material Aktual 
(%)]]&gt;=100%,"Selesai PO = 100%",IF(Table1[[#This Row],[PO Material Aktual 
(%)]]&gt;=50%,"Proses PO &gt; 100%",IF(Table1[[#This Row],[PO Material Aktual 
(%)]]&gt;0%,"Proses PO &gt; 50%",IF(Table1[[#This Row],[PO Material Aktual 
(%)]]=0,"Belum PO = 0%"))))</f>
        <v>Belum PO = 0%</v>
      </c>
      <c r="EI462"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2" s="301"/>
      <c r="EK462" s="301" t="e">
        <v>#N/A</v>
      </c>
      <c r="EL462" s="301"/>
      <c r="EM462" s="301" t="e">
        <v>#N/A</v>
      </c>
      <c r="EN462" s="301"/>
      <c r="EO462" s="286"/>
      <c r="EP462" s="305"/>
      <c r="EQ462" s="307"/>
      <c r="ER462" s="307"/>
      <c r="ES462" s="286" t="str">
        <f>IF(Table1[[#This Row],[Progres MOS]]&gt;=100%,"Selesai MOS = 100%",IF(Table1[[#This Row],[Progres MOS]]&gt;=50%,"Proses MOS &gt; 100%",IF(Table1[[#This Row],[Progres MOS]]&gt;0%,"Proses MOS &gt; 50%",IF(Table1[[#This Row],[Progres MOS]]=0,"Belum MOS = 0%"))))</f>
        <v>Belum MOS = 0%</v>
      </c>
      <c r="ET462"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2" s="42"/>
      <c r="EV462" s="301"/>
      <c r="EW462" s="301" t="e">
        <v>#N/A</v>
      </c>
      <c r="EX462" s="301"/>
      <c r="EY462" s="301" t="e">
        <v>#N/A</v>
      </c>
      <c r="EZ462" s="322"/>
      <c r="FA462" s="354"/>
      <c r="FB462" s="301" t="e">
        <v>#N/A</v>
      </c>
      <c r="FC462" s="301" t="e">
        <v>#N/A</v>
      </c>
      <c r="FD462" s="301" t="e">
        <v>#N/A</v>
      </c>
      <c r="FE462" s="301" t="e">
        <v>#N/A</v>
      </c>
      <c r="FF462" s="301" t="e">
        <v>#N/A</v>
      </c>
      <c r="FG462" s="301" t="e">
        <v>#N/A</v>
      </c>
      <c r="FH462" s="301" t="e">
        <v>#N/A</v>
      </c>
      <c r="FI462" s="301" t="e">
        <v>#N/A</v>
      </c>
      <c r="FJ462" s="301" t="e">
        <v>#N/A</v>
      </c>
      <c r="FK462" s="301" t="e">
        <v>#N/A</v>
      </c>
      <c r="FL462" s="322"/>
      <c r="FM462" s="322"/>
      <c r="FN462" s="308" t="str">
        <f>IF(Table1[[#This Row],[Tanggal Pengajuan Dokumen]]="","",Table1[[#This Row],[PLAN PERMIT
start]]-Table1[[#This Row],[Tanggal Pengajuan Dokumen]])</f>
        <v/>
      </c>
      <c r="FO462" s="322"/>
      <c r="FP462" s="286"/>
      <c r="FQ462" s="308"/>
      <c r="FR462" s="322"/>
      <c r="FS462" s="308"/>
      <c r="FT462"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2" s="314">
        <f ca="1">IF(Table1[[#This Row],[Status Izin]]="Selesai",Table1[[#This Row],[PLAN PERMIT
finish]]-Table1[[#This Row],[Tanggal Terbit/ Target Izin Terbit]],ROUNDUP(Table1[[#This Row],[PLAN PERMIT
finish]]-NOW(),0))</f>
        <v>-46204</v>
      </c>
      <c r="FV462"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2" s="314"/>
      <c r="FX462" s="42"/>
      <c r="FY462" s="540"/>
      <c r="FZ462" s="541"/>
      <c r="GA462"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2" s="301"/>
      <c r="GC462" s="322"/>
      <c r="GD462"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2" s="301"/>
      <c r="GF462" s="322"/>
      <c r="GG462"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2" s="301"/>
      <c r="GI462" s="301"/>
      <c r="GJ462" s="322"/>
      <c r="GK462"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2" s="301"/>
      <c r="GM462" s="301" t="e">
        <v>#N/A</v>
      </c>
      <c r="GN462" s="301"/>
      <c r="GO462" s="497" t="e">
        <v>#N/A</v>
      </c>
      <c r="GP462" s="286"/>
      <c r="GQ462"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2" s="301"/>
      <c r="GS462" s="301"/>
      <c r="GT462" s="324"/>
      <c r="GU462" s="314" t="str">
        <f>IF(Table1[[#This Row],[Hydro Tes Actual
(tanggal)]]&lt;&gt;"","Sudah","Belum")</f>
        <v>Belum</v>
      </c>
      <c r="GV462" s="300"/>
      <c r="GW462" s="300"/>
      <c r="GX462" s="301"/>
      <c r="GY462" s="314" t="str">
        <f>IF(Table1[[#This Row],[Interkoneksi Actual
(tanggal)]]&lt;&gt;"","Sudah","Belum")</f>
        <v>Belum</v>
      </c>
      <c r="GZ462" s="300"/>
      <c r="HA462" s="300"/>
      <c r="HB462" s="301"/>
      <c r="HC462" s="314" t="str">
        <f>IF(Table1[[#This Row],[Flushing Actual
(tanggal)]]&lt;&gt;"","Sudah","Belum")</f>
        <v>Belum</v>
      </c>
      <c r="HD462" s="301"/>
      <c r="HE462" s="301" t="e">
        <v>#N/A</v>
      </c>
      <c r="HF462" s="301"/>
      <c r="HG462" s="322"/>
      <c r="HH462"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2" s="300"/>
      <c r="HJ462" s="300"/>
      <c r="HK462" s="301"/>
      <c r="HL462" s="286"/>
      <c r="HM462" s="301"/>
      <c r="HN462" s="301"/>
      <c r="HO462" s="497" t="e">
        <v>#N/A</v>
      </c>
      <c r="HP462" s="497"/>
      <c r="HQ462" s="301"/>
      <c r="HR462"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2" s="322"/>
      <c r="HT462" s="322"/>
      <c r="HU462" s="322"/>
      <c r="HV462" s="444"/>
      <c r="HW462" s="301"/>
      <c r="HX462"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2" s="42"/>
      <c r="HZ462" s="322"/>
      <c r="IA462" s="306"/>
      <c r="IB462"/>
      <c r="IC462" s="585">
        <f>IFERROR(ROUND((Table1[[#This Row],[PLAN TC
finish]]-Table1[[#This Row],[PLAN MC-0
start]])/30,2),"")</f>
        <v>0</v>
      </c>
      <c r="ID462">
        <f>DATEDIF(Table1[[#This Row],[PLAN MC-0
start]],Table1[[#This Row],[PLAN TC
finish]],"m")</f>
        <v>0</v>
      </c>
      <c r="IE462" s="8"/>
      <c r="IF462" s="8"/>
      <c r="IG462" s="4"/>
      <c r="IH462" s="6"/>
      <c r="II462" s="67"/>
      <c r="IJ462" s="67"/>
      <c r="IK462" s="8"/>
      <c r="IM462" s="6"/>
      <c r="IN462" s="6"/>
      <c r="IO462" s="67"/>
      <c r="IP462" s="8"/>
      <c r="IR462" s="4"/>
      <c r="IS462" s="4"/>
      <c r="IT462" s="6"/>
      <c r="IU462" s="6"/>
      <c r="IX462" s="6"/>
      <c r="IY462" s="6"/>
      <c r="JA462" s="6"/>
      <c r="JB462" s="6"/>
    </row>
    <row r="463" spans="2:262" ht="15" customHeight="1" x14ac:dyDescent="0.25">
      <c r="B463" s="281">
        <f>SUBTOTAL(3,$D$5:D463)</f>
        <v>459</v>
      </c>
      <c r="C463" s="286">
        <v>473</v>
      </c>
      <c r="D463" s="430" t="s">
        <v>629</v>
      </c>
      <c r="E463" s="308" t="s">
        <v>3514</v>
      </c>
      <c r="F463" s="308" t="s">
        <v>3515</v>
      </c>
      <c r="G463" s="319">
        <v>46482</v>
      </c>
      <c r="H463" s="431" t="s">
        <v>247</v>
      </c>
      <c r="I463" s="308"/>
      <c r="J463" s="450"/>
      <c r="K463" s="308"/>
      <c r="L463" s="286"/>
      <c r="M463" s="325"/>
      <c r="N463" s="528">
        <v>24289</v>
      </c>
      <c r="O463" s="434" t="s">
        <v>252</v>
      </c>
      <c r="P463"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3"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3" s="307"/>
      <c r="S463" s="297">
        <v>0.99999999999999989</v>
      </c>
      <c r="T463" s="297">
        <f>Table1[[#This Row],[Progres Total Aktual
(%)]]</f>
        <v>0</v>
      </c>
      <c r="U463" s="537">
        <f>Table1[[#This Row],[Progres Aktual
(%)]]-Table1[[#This Row],[Target Progres
(%)]]</f>
        <v>-0.99999999999999989</v>
      </c>
      <c r="V463" s="538">
        <f>Table1[[#This Row],["Volume
BA MC-0"]]</f>
        <v>0</v>
      </c>
      <c r="W463" s="538">
        <f>Table1[[#This Row],[Total Panjang Pipa Aktual
(Sum-&gt;)3]]</f>
        <v>0</v>
      </c>
      <c r="X463" s="99"/>
      <c r="Y463" s="265"/>
      <c r="Z463" s="478"/>
      <c r="AA463" s="478">
        <f>ROUND((Table1[[#This Row],[Nilai RAB Jaringan
(Exclude Ppn)]]-Table1[[#This Row],[RAB Perizinan]])*1.11+Table1[[#This Row],[RAB Perizinan]],0)</f>
        <v>0</v>
      </c>
      <c r="AB463" s="406">
        <f>SUM(Table1[[#This Row],[RAB Kegiatan Umum]:[RAB Perizinan]])</f>
        <v>0</v>
      </c>
      <c r="AC463" s="406"/>
      <c r="AD463" s="406"/>
      <c r="AE463" s="406"/>
      <c r="AF463" s="406"/>
      <c r="AG463" s="406"/>
      <c r="AH463" s="539" t="e">
        <f>SUM(Table1[[#This Row],[Bobot Keg Umum]:[Bobot Perizinan]])</f>
        <v>#DIV/0!</v>
      </c>
      <c r="AI463" s="539" t="e">
        <f>Table1[[#This Row],[RAB Kegiatan Umum]]/Table1[[#This Row],[Nilai RAB Jaringan
(Exclude Ppn)]]</f>
        <v>#DIV/0!</v>
      </c>
      <c r="AJ463" s="539" t="e">
        <f>Table1[[#This Row],[RAB Pemasangan]]/Table1[[#This Row],[Nilai RAB Jaringan
(Exclude Ppn)]]</f>
        <v>#DIV/0!</v>
      </c>
      <c r="AK463" s="539" t="e">
        <f>Table1[[#This Row],[RAB Pengadaan]]/Table1[[#This Row],[Nilai RAB Jaringan
(Exclude Ppn)]]</f>
        <v>#DIV/0!</v>
      </c>
      <c r="AL463" s="307" t="e">
        <f>Table1[[#This Row],[RAB Perizinan]]/Table1[[#This Row],[Nilai RAB Jaringan
(Exclude Ppn)]]</f>
        <v>#DIV/0!</v>
      </c>
      <c r="AM463" s="42"/>
      <c r="AN463" s="308"/>
      <c r="AO463" s="484">
        <f>SUM(Table1[[#This Row],[Pipa 63 mm]:[Pipa 1,800 mm]])</f>
        <v>0</v>
      </c>
      <c r="AP463" s="308"/>
      <c r="AQ463" s="308"/>
      <c r="AR463" s="308"/>
      <c r="AS463" s="308"/>
      <c r="AT463" s="308"/>
      <c r="AU463" s="308"/>
      <c r="AV463" s="308"/>
      <c r="AW463" s="308"/>
      <c r="AX463" s="308"/>
      <c r="AY463" s="308"/>
      <c r="AZ463" s="308"/>
      <c r="BA463" s="308"/>
      <c r="BB463" s="308"/>
      <c r="BC463" s="308"/>
      <c r="BD463" s="308"/>
      <c r="BE463" s="308"/>
      <c r="BF463" s="308"/>
      <c r="BG463" s="308"/>
      <c r="BH463" s="308"/>
      <c r="BI463" s="308"/>
      <c r="BJ463" s="36">
        <f>SUM(Table1[[#This Row],[Pipa 63 mm2]:[Pipa 1,800 mm21]])</f>
        <v>0</v>
      </c>
      <c r="BK463" s="32"/>
      <c r="BL463" s="32"/>
      <c r="BM463" s="32"/>
      <c r="BN463" s="32"/>
      <c r="BO463" s="32"/>
      <c r="BP463" s="32"/>
      <c r="BQ463" s="32"/>
      <c r="BR463" s="32"/>
      <c r="BS463" s="32"/>
      <c r="BT463" s="32"/>
      <c r="BU463" s="32"/>
      <c r="BV463" s="32"/>
      <c r="BW463" s="32"/>
      <c r="BX463" s="32"/>
      <c r="BY463" s="32"/>
      <c r="BZ463" s="32"/>
      <c r="CA463" s="32"/>
      <c r="CB463" s="32"/>
      <c r="CC463" s="32"/>
      <c r="CD463" s="32"/>
      <c r="CE463" s="32"/>
      <c r="CF463" s="32"/>
      <c r="CG463" s="32"/>
      <c r="CH463" s="32"/>
      <c r="CI463" s="32"/>
      <c r="CJ463" s="32">
        <f>IF((Table1[[#This Row],["Volume
BA MC-0"]]-Table1[[#This Row],[Total Panjang Pipa Aktual
(Sum-&gt;)3]]-Table1[[#This Row],[Total Volume
tidak dapat dipasang]])&gt;=0,Table1[[#This Row],["Volume
BA MC-0"]]-Table1[[#This Row],[Total Panjang Pipa Aktual
(Sum-&gt;)3]]-Table1[[#This Row],[Total Volume
tidak dapat dipasang]],0)</f>
        <v>0</v>
      </c>
      <c r="CK463" s="42"/>
      <c r="CL463" s="113"/>
      <c r="CM463" s="307"/>
      <c r="CN463" s="113"/>
      <c r="CO463" s="113"/>
      <c r="CP463" s="286"/>
      <c r="CQ463" s="406">
        <f>IFERROR(Table1[[#This Row],[Progres Keg. Umum
(%)]]*Table1[[#This Row],[Nilai RAB Jaringan
(file pa aji)]],0)</f>
        <v>0</v>
      </c>
      <c r="CR463" s="406">
        <f>IFERROR(Table1[[#This Row],[Progres MOS
(%)]]*Table1[[#This Row],[Nilai RAB Jaringan
(file pa aji)]],0)</f>
        <v>0</v>
      </c>
      <c r="CS463" s="406">
        <f>IFERROR(Table1[[#This Row],[Progres Pemasangan
(%)]]*Table1[[#This Row],[Nilai RAB Jaringan
(file pa aji)]],0)</f>
        <v>0</v>
      </c>
      <c r="CT463" s="406">
        <f>IFERROR(Table1[[#This Row],[Progres Perizinan
(%)]]*Table1[[#This Row],[Nilai RAB Jaringan
(file pa aji)]],0)</f>
        <v>0</v>
      </c>
      <c r="CU463" s="789">
        <v>0</v>
      </c>
      <c r="CV463" s="536">
        <v>0</v>
      </c>
      <c r="CW463" s="481">
        <v>0</v>
      </c>
      <c r="CX463" s="789">
        <f>_xlfn.XLOOKUP(Table1[[#This Row],[Kode Program]],'[1]Breakdown VOWD Greenfield'!$E:$E,'[1]Breakdown VOWD Greenfield'!$AT:$AT)</f>
        <v>0</v>
      </c>
      <c r="CY463" s="42"/>
      <c r="CZ463" s="301"/>
      <c r="DA463" s="301"/>
      <c r="DB463" s="301"/>
      <c r="DC463" s="286"/>
      <c r="DD463" s="478"/>
      <c r="DE463"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3" s="301"/>
      <c r="DG463" s="286"/>
      <c r="DH463" s="478"/>
      <c r="DI463"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3" s="301"/>
      <c r="DK463" s="301"/>
      <c r="DL463" s="301"/>
      <c r="DM463" s="286"/>
      <c r="DN463"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3" s="301"/>
      <c r="DP463" s="286"/>
      <c r="DQ463" s="308"/>
      <c r="DR463"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3" s="301"/>
      <c r="DT463" s="301" t="e">
        <v>#N/A</v>
      </c>
      <c r="DU463" s="301"/>
      <c r="DV463" s="301" t="e">
        <v>#N/A</v>
      </c>
      <c r="DW463" s="301"/>
      <c r="DX463" s="286"/>
      <c r="DY463" s="305"/>
      <c r="DZ463" s="305"/>
      <c r="EA463"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3" s="301"/>
      <c r="EC463" s="302"/>
      <c r="ED463" s="302"/>
      <c r="EE463" s="300"/>
      <c r="EF463" s="307"/>
      <c r="EG463" s="307"/>
      <c r="EH463" s="286" t="str">
        <f>IF(Table1[[#This Row],[PO Material Aktual 
(%)]]&gt;=100%,"Selesai PO = 100%",IF(Table1[[#This Row],[PO Material Aktual 
(%)]]&gt;=50%,"Proses PO &gt; 100%",IF(Table1[[#This Row],[PO Material Aktual 
(%)]]&gt;0%,"Proses PO &gt; 50%",IF(Table1[[#This Row],[PO Material Aktual 
(%)]]=0,"Belum PO = 0%"))))</f>
        <v>Belum PO = 0%</v>
      </c>
      <c r="EI463"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3" s="301"/>
      <c r="EK463" s="301" t="e">
        <v>#N/A</v>
      </c>
      <c r="EL463" s="301"/>
      <c r="EM463" s="301" t="e">
        <v>#N/A</v>
      </c>
      <c r="EN463" s="301"/>
      <c r="EO463" s="286"/>
      <c r="EP463" s="305"/>
      <c r="EQ463" s="307"/>
      <c r="ER463" s="307"/>
      <c r="ES463" s="286" t="str">
        <f>IF(Table1[[#This Row],[Progres MOS]]&gt;=100%,"Selesai MOS = 100%",IF(Table1[[#This Row],[Progres MOS]]&gt;=50%,"Proses MOS &gt; 100%",IF(Table1[[#This Row],[Progres MOS]]&gt;0%,"Proses MOS &gt; 50%",IF(Table1[[#This Row],[Progres MOS]]=0,"Belum MOS = 0%"))))</f>
        <v>Belum MOS = 0%</v>
      </c>
      <c r="ET463"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3" s="42"/>
      <c r="EV463" s="301"/>
      <c r="EW463" s="301" t="e">
        <v>#N/A</v>
      </c>
      <c r="EX463" s="301"/>
      <c r="EY463" s="301" t="e">
        <v>#N/A</v>
      </c>
      <c r="EZ463" s="322"/>
      <c r="FA463" s="354"/>
      <c r="FB463" s="301" t="e">
        <v>#N/A</v>
      </c>
      <c r="FC463" s="301" t="e">
        <v>#N/A</v>
      </c>
      <c r="FD463" s="301" t="e">
        <v>#N/A</v>
      </c>
      <c r="FE463" s="301" t="e">
        <v>#N/A</v>
      </c>
      <c r="FF463" s="301" t="e">
        <v>#N/A</v>
      </c>
      <c r="FG463" s="301" t="e">
        <v>#N/A</v>
      </c>
      <c r="FH463" s="301" t="e">
        <v>#N/A</v>
      </c>
      <c r="FI463" s="301" t="e">
        <v>#N/A</v>
      </c>
      <c r="FJ463" s="301" t="e">
        <v>#N/A</v>
      </c>
      <c r="FK463" s="301" t="e">
        <v>#N/A</v>
      </c>
      <c r="FL463" s="322"/>
      <c r="FM463" s="322"/>
      <c r="FN463" s="308" t="str">
        <f>IF(Table1[[#This Row],[Tanggal Pengajuan Dokumen]]="","",Table1[[#This Row],[PLAN PERMIT
start]]-Table1[[#This Row],[Tanggal Pengajuan Dokumen]])</f>
        <v/>
      </c>
      <c r="FO463" s="322"/>
      <c r="FP463" s="286"/>
      <c r="FQ463" s="308"/>
      <c r="FR463" s="322"/>
      <c r="FS463" s="308"/>
      <c r="FT463"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3" s="314">
        <f ca="1">IF(Table1[[#This Row],[Status Izin]]="Selesai",Table1[[#This Row],[PLAN PERMIT
finish]]-Table1[[#This Row],[Tanggal Terbit/ Target Izin Terbit]],ROUNDUP(Table1[[#This Row],[PLAN PERMIT
finish]]-NOW(),0))</f>
        <v>-46204</v>
      </c>
      <c r="FV463"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3" s="314"/>
      <c r="FX463" s="42"/>
      <c r="FY463" s="540"/>
      <c r="FZ463" s="541"/>
      <c r="GA463"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3" s="301"/>
      <c r="GC463" s="322"/>
      <c r="GD463"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3" s="301"/>
      <c r="GF463" s="322"/>
      <c r="GG463"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3" s="301"/>
      <c r="GI463" s="301"/>
      <c r="GJ463" s="322"/>
      <c r="GK463"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3" s="301"/>
      <c r="GM463" s="301" t="e">
        <v>#N/A</v>
      </c>
      <c r="GN463" s="301"/>
      <c r="GO463" s="497" t="e">
        <v>#N/A</v>
      </c>
      <c r="GP463" s="286"/>
      <c r="GQ463"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3" s="301"/>
      <c r="GS463" s="301"/>
      <c r="GT463" s="324"/>
      <c r="GU463" s="314" t="str">
        <f>IF(Table1[[#This Row],[Hydro Tes Actual
(tanggal)]]&lt;&gt;"","Sudah","Belum")</f>
        <v>Belum</v>
      </c>
      <c r="GV463" s="300"/>
      <c r="GW463" s="300"/>
      <c r="GX463" s="301"/>
      <c r="GY463" s="314" t="str">
        <f>IF(Table1[[#This Row],[Interkoneksi Actual
(tanggal)]]&lt;&gt;"","Sudah","Belum")</f>
        <v>Belum</v>
      </c>
      <c r="GZ463" s="300"/>
      <c r="HA463" s="300"/>
      <c r="HB463" s="301"/>
      <c r="HC463" s="314" t="str">
        <f>IF(Table1[[#This Row],[Flushing Actual
(tanggal)]]&lt;&gt;"","Sudah","Belum")</f>
        <v>Belum</v>
      </c>
      <c r="HD463" s="301"/>
      <c r="HE463" s="301" t="e">
        <v>#N/A</v>
      </c>
      <c r="HF463" s="301"/>
      <c r="HG463" s="322"/>
      <c r="HH463"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3" s="300"/>
      <c r="HJ463" s="300"/>
      <c r="HK463" s="301"/>
      <c r="HL463" s="286"/>
      <c r="HM463" s="301"/>
      <c r="HN463" s="301"/>
      <c r="HO463" s="497" t="e">
        <v>#N/A</v>
      </c>
      <c r="HP463" s="497"/>
      <c r="HQ463" s="301"/>
      <c r="HR463"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3" s="322"/>
      <c r="HT463" s="322"/>
      <c r="HU463" s="322"/>
      <c r="HV463" s="444"/>
      <c r="HW463" s="301"/>
      <c r="HX463"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3" s="42"/>
      <c r="HZ463" s="322"/>
      <c r="IA463" s="306"/>
      <c r="IB463"/>
      <c r="IC463" s="585">
        <f>IFERROR(ROUND((Table1[[#This Row],[PLAN TC
finish]]-Table1[[#This Row],[PLAN MC-0
start]])/30,2),"")</f>
        <v>0</v>
      </c>
      <c r="ID463">
        <f>DATEDIF(Table1[[#This Row],[PLAN MC-0
start]],Table1[[#This Row],[PLAN TC
finish]],"m")</f>
        <v>0</v>
      </c>
      <c r="IE463" s="8"/>
      <c r="IF463" s="8"/>
      <c r="IG463" s="4"/>
      <c r="IH463" s="6"/>
      <c r="II463" s="67"/>
      <c r="IJ463" s="67"/>
      <c r="IK463" s="8"/>
      <c r="IM463" s="6"/>
      <c r="IN463" s="6"/>
      <c r="IO463" s="67"/>
      <c r="IP463" s="8"/>
      <c r="IR463" s="4"/>
      <c r="IS463" s="4"/>
      <c r="IT463" s="6"/>
      <c r="IU463" s="6"/>
      <c r="IX463" s="6"/>
      <c r="IY463" s="6"/>
      <c r="JA463" s="6"/>
      <c r="JB463" s="6"/>
    </row>
    <row r="464" spans="2:262" ht="15" customHeight="1" x14ac:dyDescent="0.25">
      <c r="B464" s="281">
        <f>SUBTOTAL(3,$D$5:D464)</f>
        <v>460</v>
      </c>
      <c r="C464" s="286">
        <v>474</v>
      </c>
      <c r="D464" s="430" t="s">
        <v>629</v>
      </c>
      <c r="E464" s="308" t="s">
        <v>3516</v>
      </c>
      <c r="F464" s="308" t="s">
        <v>3517</v>
      </c>
      <c r="G464" s="319">
        <v>46482</v>
      </c>
      <c r="H464" s="431" t="s">
        <v>247</v>
      </c>
      <c r="I464" s="308"/>
      <c r="J464" s="450"/>
      <c r="K464" s="308"/>
      <c r="L464" s="286"/>
      <c r="M464" s="325"/>
      <c r="N464" s="528">
        <v>11214</v>
      </c>
      <c r="O464" s="434" t="s">
        <v>252</v>
      </c>
      <c r="P464"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4"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4" s="307"/>
      <c r="S464" s="297">
        <v>0.99999999999999989</v>
      </c>
      <c r="T464" s="297">
        <f>Table1[[#This Row],[Progres Total Aktual
(%)]]</f>
        <v>0</v>
      </c>
      <c r="U464" s="537">
        <f>Table1[[#This Row],[Progres Aktual
(%)]]-Table1[[#This Row],[Target Progres
(%)]]</f>
        <v>-0.99999999999999989</v>
      </c>
      <c r="V464" s="538">
        <f>Table1[[#This Row],["Volume
BA MC-0"]]</f>
        <v>0</v>
      </c>
      <c r="W464" s="538">
        <f>Table1[[#This Row],[Total Panjang Pipa Aktual
(Sum-&gt;)3]]</f>
        <v>0</v>
      </c>
      <c r="X464" s="99"/>
      <c r="Y464" s="265"/>
      <c r="Z464" s="478"/>
      <c r="AA464" s="478">
        <f>ROUND((Table1[[#This Row],[Nilai RAB Jaringan
(Exclude Ppn)]]-Table1[[#This Row],[RAB Perizinan]])*1.11+Table1[[#This Row],[RAB Perizinan]],0)</f>
        <v>0</v>
      </c>
      <c r="AB464" s="406">
        <f>SUM(Table1[[#This Row],[RAB Kegiatan Umum]:[RAB Perizinan]])</f>
        <v>0</v>
      </c>
      <c r="AC464" s="406"/>
      <c r="AD464" s="406"/>
      <c r="AE464" s="406"/>
      <c r="AF464" s="406"/>
      <c r="AG464" s="406"/>
      <c r="AH464" s="539" t="e">
        <f>SUM(Table1[[#This Row],[Bobot Keg Umum]:[Bobot Perizinan]])</f>
        <v>#DIV/0!</v>
      </c>
      <c r="AI464" s="539" t="e">
        <f>Table1[[#This Row],[RAB Kegiatan Umum]]/Table1[[#This Row],[Nilai RAB Jaringan
(Exclude Ppn)]]</f>
        <v>#DIV/0!</v>
      </c>
      <c r="AJ464" s="539" t="e">
        <f>Table1[[#This Row],[RAB Pemasangan]]/Table1[[#This Row],[Nilai RAB Jaringan
(Exclude Ppn)]]</f>
        <v>#DIV/0!</v>
      </c>
      <c r="AK464" s="539" t="e">
        <f>Table1[[#This Row],[RAB Pengadaan]]/Table1[[#This Row],[Nilai RAB Jaringan
(Exclude Ppn)]]</f>
        <v>#DIV/0!</v>
      </c>
      <c r="AL464" s="307" t="e">
        <f>Table1[[#This Row],[RAB Perizinan]]/Table1[[#This Row],[Nilai RAB Jaringan
(Exclude Ppn)]]</f>
        <v>#DIV/0!</v>
      </c>
      <c r="AM464" s="42"/>
      <c r="AN464" s="308"/>
      <c r="AO464" s="484">
        <f>SUM(Table1[[#This Row],[Pipa 63 mm]:[Pipa 1,800 mm]])</f>
        <v>0</v>
      </c>
      <c r="AP464" s="308"/>
      <c r="AQ464" s="308"/>
      <c r="AR464" s="308"/>
      <c r="AS464" s="308"/>
      <c r="AT464" s="308"/>
      <c r="AU464" s="308"/>
      <c r="AV464" s="308"/>
      <c r="AW464" s="308"/>
      <c r="AX464" s="308"/>
      <c r="AY464" s="308"/>
      <c r="AZ464" s="308"/>
      <c r="BA464" s="308"/>
      <c r="BB464" s="308"/>
      <c r="BC464" s="308"/>
      <c r="BD464" s="308"/>
      <c r="BE464" s="308"/>
      <c r="BF464" s="308"/>
      <c r="BG464" s="308"/>
      <c r="BH464" s="308"/>
      <c r="BI464" s="308"/>
      <c r="BJ464" s="36">
        <f>SUM(Table1[[#This Row],[Pipa 63 mm2]:[Pipa 1,800 mm21]])</f>
        <v>0</v>
      </c>
      <c r="BK464" s="32"/>
      <c r="BL464" s="32"/>
      <c r="BM464" s="32"/>
      <c r="BN464" s="32"/>
      <c r="BO464" s="32"/>
      <c r="BP464" s="32"/>
      <c r="BQ464" s="32"/>
      <c r="BR464" s="32"/>
      <c r="BS464" s="32"/>
      <c r="BT464" s="32"/>
      <c r="BU464" s="32"/>
      <c r="BV464" s="32"/>
      <c r="BW464" s="32"/>
      <c r="BX464" s="32"/>
      <c r="BY464" s="32"/>
      <c r="BZ464" s="32"/>
      <c r="CA464" s="32"/>
      <c r="CB464" s="32"/>
      <c r="CC464" s="32"/>
      <c r="CD464" s="32"/>
      <c r="CE464" s="32"/>
      <c r="CF464" s="32"/>
      <c r="CG464" s="32"/>
      <c r="CH464" s="32"/>
      <c r="CI464" s="32"/>
      <c r="CJ464" s="32">
        <f>IF((Table1[[#This Row],["Volume
BA MC-0"]]-Table1[[#This Row],[Total Panjang Pipa Aktual
(Sum-&gt;)3]]-Table1[[#This Row],[Total Volume
tidak dapat dipasang]])&gt;=0,Table1[[#This Row],["Volume
BA MC-0"]]-Table1[[#This Row],[Total Panjang Pipa Aktual
(Sum-&gt;)3]]-Table1[[#This Row],[Total Volume
tidak dapat dipasang]],0)</f>
        <v>0</v>
      </c>
      <c r="CK464" s="42"/>
      <c r="CL464" s="113"/>
      <c r="CM464" s="307"/>
      <c r="CN464" s="113"/>
      <c r="CO464" s="113"/>
      <c r="CP464" s="286"/>
      <c r="CQ464" s="406">
        <f>IFERROR(Table1[[#This Row],[Progres Keg. Umum
(%)]]*Table1[[#This Row],[Nilai RAB Jaringan
(file pa aji)]],0)</f>
        <v>0</v>
      </c>
      <c r="CR464" s="406">
        <f>IFERROR(Table1[[#This Row],[Progres MOS
(%)]]*Table1[[#This Row],[Nilai RAB Jaringan
(file pa aji)]],0)</f>
        <v>0</v>
      </c>
      <c r="CS464" s="406">
        <f>IFERROR(Table1[[#This Row],[Progres Pemasangan
(%)]]*Table1[[#This Row],[Nilai RAB Jaringan
(file pa aji)]],0)</f>
        <v>0</v>
      </c>
      <c r="CT464" s="406">
        <f>IFERROR(Table1[[#This Row],[Progres Perizinan
(%)]]*Table1[[#This Row],[Nilai RAB Jaringan
(file pa aji)]],0)</f>
        <v>0</v>
      </c>
      <c r="CU464" s="789">
        <v>0</v>
      </c>
      <c r="CV464" s="536">
        <v>0</v>
      </c>
      <c r="CW464" s="481">
        <v>0</v>
      </c>
      <c r="CX464" s="789">
        <f>_xlfn.XLOOKUP(Table1[[#This Row],[Kode Program]],'[1]Breakdown VOWD Greenfield'!$E:$E,'[1]Breakdown VOWD Greenfield'!$AT:$AT)</f>
        <v>0</v>
      </c>
      <c r="CY464" s="42"/>
      <c r="CZ464" s="301"/>
      <c r="DA464" s="301"/>
      <c r="DB464" s="301"/>
      <c r="DC464" s="286"/>
      <c r="DD464" s="478"/>
      <c r="DE464"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4" s="301"/>
      <c r="DG464" s="286"/>
      <c r="DH464" s="478"/>
      <c r="DI464"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4" s="301"/>
      <c r="DK464" s="301"/>
      <c r="DL464" s="301"/>
      <c r="DM464" s="286"/>
      <c r="DN464"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4" s="301"/>
      <c r="DP464" s="286"/>
      <c r="DQ464" s="308"/>
      <c r="DR464"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4" s="301"/>
      <c r="DT464" s="301" t="e">
        <v>#N/A</v>
      </c>
      <c r="DU464" s="301"/>
      <c r="DV464" s="301" t="e">
        <v>#N/A</v>
      </c>
      <c r="DW464" s="301"/>
      <c r="DX464" s="286"/>
      <c r="DY464" s="305"/>
      <c r="DZ464" s="305"/>
      <c r="EA464"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4" s="301"/>
      <c r="EC464" s="302"/>
      <c r="ED464" s="302"/>
      <c r="EE464" s="300"/>
      <c r="EF464" s="307"/>
      <c r="EG464" s="307"/>
      <c r="EH464" s="286" t="str">
        <f>IF(Table1[[#This Row],[PO Material Aktual 
(%)]]&gt;=100%,"Selesai PO = 100%",IF(Table1[[#This Row],[PO Material Aktual 
(%)]]&gt;=50%,"Proses PO &gt; 100%",IF(Table1[[#This Row],[PO Material Aktual 
(%)]]&gt;0%,"Proses PO &gt; 50%",IF(Table1[[#This Row],[PO Material Aktual 
(%)]]=0,"Belum PO = 0%"))))</f>
        <v>Belum PO = 0%</v>
      </c>
      <c r="EI464"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4" s="301"/>
      <c r="EK464" s="301" t="e">
        <v>#N/A</v>
      </c>
      <c r="EL464" s="301"/>
      <c r="EM464" s="301" t="e">
        <v>#N/A</v>
      </c>
      <c r="EN464" s="301"/>
      <c r="EO464" s="286"/>
      <c r="EP464" s="305"/>
      <c r="EQ464" s="307"/>
      <c r="ER464" s="307"/>
      <c r="ES464" s="286" t="str">
        <f>IF(Table1[[#This Row],[Progres MOS]]&gt;=100%,"Selesai MOS = 100%",IF(Table1[[#This Row],[Progres MOS]]&gt;=50%,"Proses MOS &gt; 100%",IF(Table1[[#This Row],[Progres MOS]]&gt;0%,"Proses MOS &gt; 50%",IF(Table1[[#This Row],[Progres MOS]]=0,"Belum MOS = 0%"))))</f>
        <v>Belum MOS = 0%</v>
      </c>
      <c r="ET464"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4" s="42"/>
      <c r="EV464" s="301"/>
      <c r="EW464" s="301" t="e">
        <v>#N/A</v>
      </c>
      <c r="EX464" s="301"/>
      <c r="EY464" s="301" t="e">
        <v>#N/A</v>
      </c>
      <c r="EZ464" s="322"/>
      <c r="FA464" s="354"/>
      <c r="FB464" s="301" t="e">
        <v>#N/A</v>
      </c>
      <c r="FC464" s="301" t="e">
        <v>#N/A</v>
      </c>
      <c r="FD464" s="301" t="e">
        <v>#N/A</v>
      </c>
      <c r="FE464" s="301" t="e">
        <v>#N/A</v>
      </c>
      <c r="FF464" s="301" t="e">
        <v>#N/A</v>
      </c>
      <c r="FG464" s="301" t="e">
        <v>#N/A</v>
      </c>
      <c r="FH464" s="301" t="e">
        <v>#N/A</v>
      </c>
      <c r="FI464" s="301" t="e">
        <v>#N/A</v>
      </c>
      <c r="FJ464" s="301" t="e">
        <v>#N/A</v>
      </c>
      <c r="FK464" s="301" t="e">
        <v>#N/A</v>
      </c>
      <c r="FL464" s="322"/>
      <c r="FM464" s="322"/>
      <c r="FN464" s="308" t="str">
        <f>IF(Table1[[#This Row],[Tanggal Pengajuan Dokumen]]="","",Table1[[#This Row],[PLAN PERMIT
start]]-Table1[[#This Row],[Tanggal Pengajuan Dokumen]])</f>
        <v/>
      </c>
      <c r="FO464" s="322"/>
      <c r="FP464" s="286"/>
      <c r="FQ464" s="308"/>
      <c r="FR464" s="322"/>
      <c r="FS464" s="308"/>
      <c r="FT464"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4" s="314">
        <f ca="1">IF(Table1[[#This Row],[Status Izin]]="Selesai",Table1[[#This Row],[PLAN PERMIT
finish]]-Table1[[#This Row],[Tanggal Terbit/ Target Izin Terbit]],ROUNDUP(Table1[[#This Row],[PLAN PERMIT
finish]]-NOW(),0))</f>
        <v>-46204</v>
      </c>
      <c r="FV464"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4" s="314"/>
      <c r="FX464" s="42"/>
      <c r="FY464" s="540"/>
      <c r="FZ464" s="541"/>
      <c r="GA464"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4" s="301"/>
      <c r="GC464" s="322"/>
      <c r="GD464"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4" s="301"/>
      <c r="GF464" s="322"/>
      <c r="GG464"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4" s="301"/>
      <c r="GI464" s="301"/>
      <c r="GJ464" s="322"/>
      <c r="GK464"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4" s="301"/>
      <c r="GM464" s="301" t="e">
        <v>#N/A</v>
      </c>
      <c r="GN464" s="301"/>
      <c r="GO464" s="497" t="e">
        <v>#N/A</v>
      </c>
      <c r="GP464" s="286"/>
      <c r="GQ464"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4" s="301"/>
      <c r="GS464" s="301"/>
      <c r="GT464" s="324"/>
      <c r="GU464" s="314" t="str">
        <f>IF(Table1[[#This Row],[Hydro Tes Actual
(tanggal)]]&lt;&gt;"","Sudah","Belum")</f>
        <v>Belum</v>
      </c>
      <c r="GV464" s="300"/>
      <c r="GW464" s="300"/>
      <c r="GX464" s="301"/>
      <c r="GY464" s="314" t="str">
        <f>IF(Table1[[#This Row],[Interkoneksi Actual
(tanggal)]]&lt;&gt;"","Sudah","Belum")</f>
        <v>Belum</v>
      </c>
      <c r="GZ464" s="300"/>
      <c r="HA464" s="300"/>
      <c r="HB464" s="301"/>
      <c r="HC464" s="314" t="str">
        <f>IF(Table1[[#This Row],[Flushing Actual
(tanggal)]]&lt;&gt;"","Sudah","Belum")</f>
        <v>Belum</v>
      </c>
      <c r="HD464" s="301"/>
      <c r="HE464" s="301" t="e">
        <v>#N/A</v>
      </c>
      <c r="HF464" s="301"/>
      <c r="HG464" s="322"/>
      <c r="HH464"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4" s="300"/>
      <c r="HJ464" s="300"/>
      <c r="HK464" s="301"/>
      <c r="HL464" s="286"/>
      <c r="HM464" s="301"/>
      <c r="HN464" s="301"/>
      <c r="HO464" s="497" t="e">
        <v>#N/A</v>
      </c>
      <c r="HP464" s="497"/>
      <c r="HQ464" s="301"/>
      <c r="HR464"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4" s="322"/>
      <c r="HT464" s="322"/>
      <c r="HU464" s="322"/>
      <c r="HV464" s="444"/>
      <c r="HW464" s="301"/>
      <c r="HX464"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4" s="42"/>
      <c r="HZ464" s="322"/>
      <c r="IA464" s="306"/>
      <c r="IB464"/>
      <c r="IC464" s="585">
        <f>IFERROR(ROUND((Table1[[#This Row],[PLAN TC
finish]]-Table1[[#This Row],[PLAN MC-0
start]])/30,2),"")</f>
        <v>0</v>
      </c>
      <c r="ID464">
        <f>DATEDIF(Table1[[#This Row],[PLAN MC-0
start]],Table1[[#This Row],[PLAN TC
finish]],"m")</f>
        <v>0</v>
      </c>
      <c r="IE464" s="8"/>
      <c r="IF464" s="8"/>
      <c r="IG464" s="4"/>
      <c r="IH464" s="6"/>
      <c r="II464" s="67"/>
      <c r="IJ464" s="67"/>
      <c r="IK464" s="8"/>
      <c r="IM464" s="6"/>
      <c r="IN464" s="6"/>
      <c r="IO464" s="67"/>
      <c r="IP464" s="8"/>
      <c r="IR464" s="4"/>
      <c r="IS464" s="4"/>
      <c r="IT464" s="6"/>
      <c r="IU464" s="6"/>
      <c r="IX464" s="6"/>
      <c r="IY464" s="6"/>
      <c r="JA464" s="6"/>
      <c r="JB464" s="6"/>
    </row>
    <row r="465" spans="2:262" ht="15" customHeight="1" x14ac:dyDescent="0.25">
      <c r="B465" s="281">
        <f>SUBTOTAL(3,$D$5:D465)</f>
        <v>461</v>
      </c>
      <c r="C465" s="286">
        <v>475</v>
      </c>
      <c r="D465" s="430" t="s">
        <v>629</v>
      </c>
      <c r="E465" s="308" t="s">
        <v>3518</v>
      </c>
      <c r="F465" s="308" t="s">
        <v>3519</v>
      </c>
      <c r="G465" s="319">
        <v>46482</v>
      </c>
      <c r="H465" s="431" t="s">
        <v>247</v>
      </c>
      <c r="I465" s="308"/>
      <c r="J465" s="450"/>
      <c r="K465" s="308"/>
      <c r="L465" s="286"/>
      <c r="M465" s="325"/>
      <c r="N465" s="528">
        <v>84051</v>
      </c>
      <c r="O465" s="434" t="s">
        <v>252</v>
      </c>
      <c r="P465"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5"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5" s="307"/>
      <c r="S465" s="297">
        <v>0.99999999999999989</v>
      </c>
      <c r="T465" s="297">
        <f>Table1[[#This Row],[Progres Total Aktual
(%)]]</f>
        <v>0</v>
      </c>
      <c r="U465" s="537">
        <f>Table1[[#This Row],[Progres Aktual
(%)]]-Table1[[#This Row],[Target Progres
(%)]]</f>
        <v>-0.99999999999999989</v>
      </c>
      <c r="V465" s="538">
        <f>Table1[[#This Row],["Volume
BA MC-0"]]</f>
        <v>0</v>
      </c>
      <c r="W465" s="538">
        <f>Table1[[#This Row],[Total Panjang Pipa Aktual
(Sum-&gt;)3]]</f>
        <v>0</v>
      </c>
      <c r="X465" s="99"/>
      <c r="Y465" s="265"/>
      <c r="Z465" s="478"/>
      <c r="AA465" s="478">
        <f>ROUND((Table1[[#This Row],[Nilai RAB Jaringan
(Exclude Ppn)]]-Table1[[#This Row],[RAB Perizinan]])*1.11+Table1[[#This Row],[RAB Perizinan]],0)</f>
        <v>0</v>
      </c>
      <c r="AB465" s="406">
        <f>SUM(Table1[[#This Row],[RAB Kegiatan Umum]:[RAB Perizinan]])</f>
        <v>0</v>
      </c>
      <c r="AC465" s="406"/>
      <c r="AD465" s="406"/>
      <c r="AE465" s="406"/>
      <c r="AF465" s="406"/>
      <c r="AG465" s="406"/>
      <c r="AH465" s="539" t="e">
        <f>SUM(Table1[[#This Row],[Bobot Keg Umum]:[Bobot Perizinan]])</f>
        <v>#DIV/0!</v>
      </c>
      <c r="AI465" s="539" t="e">
        <f>Table1[[#This Row],[RAB Kegiatan Umum]]/Table1[[#This Row],[Nilai RAB Jaringan
(Exclude Ppn)]]</f>
        <v>#DIV/0!</v>
      </c>
      <c r="AJ465" s="539" t="e">
        <f>Table1[[#This Row],[RAB Pemasangan]]/Table1[[#This Row],[Nilai RAB Jaringan
(Exclude Ppn)]]</f>
        <v>#DIV/0!</v>
      </c>
      <c r="AK465" s="539" t="e">
        <f>Table1[[#This Row],[RAB Pengadaan]]/Table1[[#This Row],[Nilai RAB Jaringan
(Exclude Ppn)]]</f>
        <v>#DIV/0!</v>
      </c>
      <c r="AL465" s="307" t="e">
        <f>Table1[[#This Row],[RAB Perizinan]]/Table1[[#This Row],[Nilai RAB Jaringan
(Exclude Ppn)]]</f>
        <v>#DIV/0!</v>
      </c>
      <c r="AM465" s="42"/>
      <c r="AN465" s="308"/>
      <c r="AO465" s="484">
        <f>SUM(Table1[[#This Row],[Pipa 63 mm]:[Pipa 1,800 mm]])</f>
        <v>0</v>
      </c>
      <c r="AP465" s="308"/>
      <c r="AQ465" s="308"/>
      <c r="AR465" s="308"/>
      <c r="AS465" s="308"/>
      <c r="AT465" s="308"/>
      <c r="AU465" s="308"/>
      <c r="AV465" s="308"/>
      <c r="AW465" s="308"/>
      <c r="AX465" s="308"/>
      <c r="AY465" s="308"/>
      <c r="AZ465" s="308"/>
      <c r="BA465" s="308"/>
      <c r="BB465" s="308"/>
      <c r="BC465" s="308"/>
      <c r="BD465" s="308"/>
      <c r="BE465" s="308"/>
      <c r="BF465" s="308"/>
      <c r="BG465" s="308"/>
      <c r="BH465" s="308"/>
      <c r="BI465" s="308"/>
      <c r="BJ465" s="36">
        <f>SUM(Table1[[#This Row],[Pipa 63 mm2]:[Pipa 1,800 mm21]])</f>
        <v>0</v>
      </c>
      <c r="BK465" s="32"/>
      <c r="BL465" s="32"/>
      <c r="BM465" s="32"/>
      <c r="BN465" s="32"/>
      <c r="BO465" s="32"/>
      <c r="BP465" s="32"/>
      <c r="BQ465" s="32"/>
      <c r="BR465" s="32"/>
      <c r="BS465" s="32"/>
      <c r="BT465" s="32"/>
      <c r="BU465" s="32"/>
      <c r="BV465" s="32"/>
      <c r="BW465" s="32"/>
      <c r="BX465" s="32"/>
      <c r="BY465" s="32"/>
      <c r="BZ465" s="32"/>
      <c r="CA465" s="32"/>
      <c r="CB465" s="32"/>
      <c r="CC465" s="32"/>
      <c r="CD465" s="32"/>
      <c r="CE465" s="32"/>
      <c r="CF465" s="32"/>
      <c r="CG465" s="32"/>
      <c r="CH465" s="32"/>
      <c r="CI465" s="32"/>
      <c r="CJ465" s="32">
        <f>IF((Table1[[#This Row],["Volume
BA MC-0"]]-Table1[[#This Row],[Total Panjang Pipa Aktual
(Sum-&gt;)3]]-Table1[[#This Row],[Total Volume
tidak dapat dipasang]])&gt;=0,Table1[[#This Row],["Volume
BA MC-0"]]-Table1[[#This Row],[Total Panjang Pipa Aktual
(Sum-&gt;)3]]-Table1[[#This Row],[Total Volume
tidak dapat dipasang]],0)</f>
        <v>0</v>
      </c>
      <c r="CK465" s="42"/>
      <c r="CL465" s="113"/>
      <c r="CM465" s="307"/>
      <c r="CN465" s="113"/>
      <c r="CO465" s="113"/>
      <c r="CP465" s="286"/>
      <c r="CQ465" s="406">
        <f>IFERROR(Table1[[#This Row],[Progres Keg. Umum
(%)]]*Table1[[#This Row],[Nilai RAB Jaringan
(file pa aji)]],0)</f>
        <v>0</v>
      </c>
      <c r="CR465" s="406">
        <f>IFERROR(Table1[[#This Row],[Progres MOS
(%)]]*Table1[[#This Row],[Nilai RAB Jaringan
(file pa aji)]],0)</f>
        <v>0</v>
      </c>
      <c r="CS465" s="406">
        <f>IFERROR(Table1[[#This Row],[Progres Pemasangan
(%)]]*Table1[[#This Row],[Nilai RAB Jaringan
(file pa aji)]],0)</f>
        <v>0</v>
      </c>
      <c r="CT465" s="406">
        <f>IFERROR(Table1[[#This Row],[Progres Perizinan
(%)]]*Table1[[#This Row],[Nilai RAB Jaringan
(file pa aji)]],0)</f>
        <v>0</v>
      </c>
      <c r="CU465" s="789">
        <v>0</v>
      </c>
      <c r="CV465" s="536">
        <v>0</v>
      </c>
      <c r="CW465" s="481">
        <v>0</v>
      </c>
      <c r="CX465" s="789">
        <f>_xlfn.XLOOKUP(Table1[[#This Row],[Kode Program]],'[1]Breakdown VOWD Greenfield'!$E:$E,'[1]Breakdown VOWD Greenfield'!$AT:$AT)</f>
        <v>0</v>
      </c>
      <c r="CY465" s="42"/>
      <c r="CZ465" s="301"/>
      <c r="DA465" s="301"/>
      <c r="DB465" s="301"/>
      <c r="DC465" s="286"/>
      <c r="DD465" s="478"/>
      <c r="DE465"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5" s="301"/>
      <c r="DG465" s="286"/>
      <c r="DH465" s="478"/>
      <c r="DI465"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5" s="301"/>
      <c r="DK465" s="301"/>
      <c r="DL465" s="301"/>
      <c r="DM465" s="286"/>
      <c r="DN465"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5" s="301"/>
      <c r="DP465" s="286"/>
      <c r="DQ465" s="308"/>
      <c r="DR465"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5" s="301"/>
      <c r="DT465" s="301" t="e">
        <v>#N/A</v>
      </c>
      <c r="DU465" s="301"/>
      <c r="DV465" s="301" t="e">
        <v>#N/A</v>
      </c>
      <c r="DW465" s="301"/>
      <c r="DX465" s="286"/>
      <c r="DY465" s="305"/>
      <c r="DZ465" s="305"/>
      <c r="EA465"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5" s="301"/>
      <c r="EC465" s="302"/>
      <c r="ED465" s="302"/>
      <c r="EE465" s="300"/>
      <c r="EF465" s="307"/>
      <c r="EG465" s="307"/>
      <c r="EH465" s="286" t="str">
        <f>IF(Table1[[#This Row],[PO Material Aktual 
(%)]]&gt;=100%,"Selesai PO = 100%",IF(Table1[[#This Row],[PO Material Aktual 
(%)]]&gt;=50%,"Proses PO &gt; 100%",IF(Table1[[#This Row],[PO Material Aktual 
(%)]]&gt;0%,"Proses PO &gt; 50%",IF(Table1[[#This Row],[PO Material Aktual 
(%)]]=0,"Belum PO = 0%"))))</f>
        <v>Belum PO = 0%</v>
      </c>
      <c r="EI465"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5" s="301"/>
      <c r="EK465" s="301" t="e">
        <v>#N/A</v>
      </c>
      <c r="EL465" s="301"/>
      <c r="EM465" s="301" t="e">
        <v>#N/A</v>
      </c>
      <c r="EN465" s="301"/>
      <c r="EO465" s="286"/>
      <c r="EP465" s="305"/>
      <c r="EQ465" s="307"/>
      <c r="ER465" s="307"/>
      <c r="ES465" s="286" t="str">
        <f>IF(Table1[[#This Row],[Progres MOS]]&gt;=100%,"Selesai MOS = 100%",IF(Table1[[#This Row],[Progres MOS]]&gt;=50%,"Proses MOS &gt; 100%",IF(Table1[[#This Row],[Progres MOS]]&gt;0%,"Proses MOS &gt; 50%",IF(Table1[[#This Row],[Progres MOS]]=0,"Belum MOS = 0%"))))</f>
        <v>Belum MOS = 0%</v>
      </c>
      <c r="ET465"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5" s="42"/>
      <c r="EV465" s="301"/>
      <c r="EW465" s="301" t="e">
        <v>#N/A</v>
      </c>
      <c r="EX465" s="301"/>
      <c r="EY465" s="301" t="e">
        <v>#N/A</v>
      </c>
      <c r="EZ465" s="322"/>
      <c r="FA465" s="354"/>
      <c r="FB465" s="301" t="e">
        <v>#N/A</v>
      </c>
      <c r="FC465" s="301" t="e">
        <v>#N/A</v>
      </c>
      <c r="FD465" s="301" t="e">
        <v>#N/A</v>
      </c>
      <c r="FE465" s="301" t="e">
        <v>#N/A</v>
      </c>
      <c r="FF465" s="301" t="e">
        <v>#N/A</v>
      </c>
      <c r="FG465" s="301" t="e">
        <v>#N/A</v>
      </c>
      <c r="FH465" s="301" t="e">
        <v>#N/A</v>
      </c>
      <c r="FI465" s="301" t="e">
        <v>#N/A</v>
      </c>
      <c r="FJ465" s="301" t="e">
        <v>#N/A</v>
      </c>
      <c r="FK465" s="301" t="e">
        <v>#N/A</v>
      </c>
      <c r="FL465" s="322"/>
      <c r="FM465" s="322"/>
      <c r="FN465" s="308" t="str">
        <f>IF(Table1[[#This Row],[Tanggal Pengajuan Dokumen]]="","",Table1[[#This Row],[PLAN PERMIT
start]]-Table1[[#This Row],[Tanggal Pengajuan Dokumen]])</f>
        <v/>
      </c>
      <c r="FO465" s="322"/>
      <c r="FP465" s="286"/>
      <c r="FQ465" s="308"/>
      <c r="FR465" s="322"/>
      <c r="FS465" s="308"/>
      <c r="FT465"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5" s="314">
        <f ca="1">IF(Table1[[#This Row],[Status Izin]]="Selesai",Table1[[#This Row],[PLAN PERMIT
finish]]-Table1[[#This Row],[Tanggal Terbit/ Target Izin Terbit]],ROUNDUP(Table1[[#This Row],[PLAN PERMIT
finish]]-NOW(),0))</f>
        <v>-46204</v>
      </c>
      <c r="FV465"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5" s="314"/>
      <c r="FX465" s="42"/>
      <c r="FY465" s="540"/>
      <c r="FZ465" s="541"/>
      <c r="GA465"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5" s="301"/>
      <c r="GC465" s="322"/>
      <c r="GD465"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5" s="301"/>
      <c r="GF465" s="322"/>
      <c r="GG465"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5" s="301"/>
      <c r="GI465" s="301"/>
      <c r="GJ465" s="322"/>
      <c r="GK465"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5" s="301"/>
      <c r="GM465" s="301" t="e">
        <v>#N/A</v>
      </c>
      <c r="GN465" s="301"/>
      <c r="GO465" s="497" t="e">
        <v>#N/A</v>
      </c>
      <c r="GP465" s="286"/>
      <c r="GQ465"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5" s="301"/>
      <c r="GS465" s="301"/>
      <c r="GT465" s="324"/>
      <c r="GU465" s="314" t="str">
        <f>IF(Table1[[#This Row],[Hydro Tes Actual
(tanggal)]]&lt;&gt;"","Sudah","Belum")</f>
        <v>Belum</v>
      </c>
      <c r="GV465" s="300"/>
      <c r="GW465" s="300"/>
      <c r="GX465" s="301"/>
      <c r="GY465" s="314" t="str">
        <f>IF(Table1[[#This Row],[Interkoneksi Actual
(tanggal)]]&lt;&gt;"","Sudah","Belum")</f>
        <v>Belum</v>
      </c>
      <c r="GZ465" s="300"/>
      <c r="HA465" s="300"/>
      <c r="HB465" s="301"/>
      <c r="HC465" s="314" t="str">
        <f>IF(Table1[[#This Row],[Flushing Actual
(tanggal)]]&lt;&gt;"","Sudah","Belum")</f>
        <v>Belum</v>
      </c>
      <c r="HD465" s="301"/>
      <c r="HE465" s="301" t="e">
        <v>#N/A</v>
      </c>
      <c r="HF465" s="301"/>
      <c r="HG465" s="322"/>
      <c r="HH465"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5" s="300"/>
      <c r="HJ465" s="300"/>
      <c r="HK465" s="301"/>
      <c r="HL465" s="286"/>
      <c r="HM465" s="301"/>
      <c r="HN465" s="301"/>
      <c r="HO465" s="497" t="e">
        <v>#N/A</v>
      </c>
      <c r="HP465" s="497"/>
      <c r="HQ465" s="301"/>
      <c r="HR465"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5" s="322"/>
      <c r="HT465" s="322"/>
      <c r="HU465" s="322"/>
      <c r="HV465" s="444"/>
      <c r="HW465" s="301"/>
      <c r="HX465"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5" s="42"/>
      <c r="HZ465" s="322"/>
      <c r="IA465" s="306"/>
      <c r="IB465"/>
      <c r="IC465" s="585">
        <f>IFERROR(ROUND((Table1[[#This Row],[PLAN TC
finish]]-Table1[[#This Row],[PLAN MC-0
start]])/30,2),"")</f>
        <v>0</v>
      </c>
      <c r="ID465">
        <f>DATEDIF(Table1[[#This Row],[PLAN MC-0
start]],Table1[[#This Row],[PLAN TC
finish]],"m")</f>
        <v>0</v>
      </c>
      <c r="IE465" s="8"/>
      <c r="IF465" s="8"/>
      <c r="IG465" s="4"/>
      <c r="IH465" s="6"/>
      <c r="II465" s="67"/>
      <c r="IJ465" s="67"/>
      <c r="IK465" s="8"/>
      <c r="IM465" s="6"/>
      <c r="IN465" s="6"/>
      <c r="IO465" s="67"/>
      <c r="IP465" s="8"/>
      <c r="IR465" s="4"/>
      <c r="IS465" s="4"/>
      <c r="IT465" s="6"/>
      <c r="IU465" s="6"/>
      <c r="IX465" s="6"/>
      <c r="IY465" s="6"/>
      <c r="JA465" s="6"/>
      <c r="JB465" s="6"/>
    </row>
    <row r="466" spans="2:262" ht="15" customHeight="1" x14ac:dyDescent="0.25">
      <c r="B466" s="281">
        <f>SUBTOTAL(3,$D$5:D466)</f>
        <v>462</v>
      </c>
      <c r="C466" s="286">
        <v>476</v>
      </c>
      <c r="D466" s="430" t="s">
        <v>629</v>
      </c>
      <c r="E466" s="308" t="s">
        <v>3520</v>
      </c>
      <c r="F466" s="308" t="s">
        <v>3521</v>
      </c>
      <c r="G466" s="319">
        <v>46482</v>
      </c>
      <c r="H466" s="431" t="s">
        <v>247</v>
      </c>
      <c r="I466" s="308"/>
      <c r="J466" s="450"/>
      <c r="K466" s="308"/>
      <c r="L466" s="286"/>
      <c r="M466" s="325"/>
      <c r="N466" s="528">
        <v>53858</v>
      </c>
      <c r="O466" s="434" t="s">
        <v>252</v>
      </c>
      <c r="P466"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6"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6" s="307"/>
      <c r="S466" s="297">
        <v>0.99999999999999989</v>
      </c>
      <c r="T466" s="297">
        <f>Table1[[#This Row],[Progres Total Aktual
(%)]]</f>
        <v>0</v>
      </c>
      <c r="U466" s="537">
        <f>Table1[[#This Row],[Progres Aktual
(%)]]-Table1[[#This Row],[Target Progres
(%)]]</f>
        <v>-0.99999999999999989</v>
      </c>
      <c r="V466" s="538">
        <f>Table1[[#This Row],["Volume
BA MC-0"]]</f>
        <v>0</v>
      </c>
      <c r="W466" s="538">
        <f>Table1[[#This Row],[Total Panjang Pipa Aktual
(Sum-&gt;)3]]</f>
        <v>0</v>
      </c>
      <c r="X466" s="99"/>
      <c r="Y466" s="265"/>
      <c r="Z466" s="478"/>
      <c r="AA466" s="478">
        <f>ROUND((Table1[[#This Row],[Nilai RAB Jaringan
(Exclude Ppn)]]-Table1[[#This Row],[RAB Perizinan]])*1.11+Table1[[#This Row],[RAB Perizinan]],0)</f>
        <v>0</v>
      </c>
      <c r="AB466" s="406">
        <f>SUM(Table1[[#This Row],[RAB Kegiatan Umum]:[RAB Perizinan]])</f>
        <v>0</v>
      </c>
      <c r="AC466" s="406"/>
      <c r="AD466" s="406"/>
      <c r="AE466" s="406"/>
      <c r="AF466" s="406"/>
      <c r="AG466" s="406"/>
      <c r="AH466" s="539" t="e">
        <f>SUM(Table1[[#This Row],[Bobot Keg Umum]:[Bobot Perizinan]])</f>
        <v>#DIV/0!</v>
      </c>
      <c r="AI466" s="539" t="e">
        <f>Table1[[#This Row],[RAB Kegiatan Umum]]/Table1[[#This Row],[Nilai RAB Jaringan
(Exclude Ppn)]]</f>
        <v>#DIV/0!</v>
      </c>
      <c r="AJ466" s="539" t="e">
        <f>Table1[[#This Row],[RAB Pemasangan]]/Table1[[#This Row],[Nilai RAB Jaringan
(Exclude Ppn)]]</f>
        <v>#DIV/0!</v>
      </c>
      <c r="AK466" s="539" t="e">
        <f>Table1[[#This Row],[RAB Pengadaan]]/Table1[[#This Row],[Nilai RAB Jaringan
(Exclude Ppn)]]</f>
        <v>#DIV/0!</v>
      </c>
      <c r="AL466" s="307" t="e">
        <f>Table1[[#This Row],[RAB Perizinan]]/Table1[[#This Row],[Nilai RAB Jaringan
(Exclude Ppn)]]</f>
        <v>#DIV/0!</v>
      </c>
      <c r="AM466" s="42"/>
      <c r="AN466" s="308"/>
      <c r="AO466" s="484">
        <f>SUM(Table1[[#This Row],[Pipa 63 mm]:[Pipa 1,800 mm]])</f>
        <v>0</v>
      </c>
      <c r="AP466" s="308"/>
      <c r="AQ466" s="308"/>
      <c r="AR466" s="308"/>
      <c r="AS466" s="308"/>
      <c r="AT466" s="308"/>
      <c r="AU466" s="308"/>
      <c r="AV466" s="308"/>
      <c r="AW466" s="308"/>
      <c r="AX466" s="308"/>
      <c r="AY466" s="308"/>
      <c r="AZ466" s="308"/>
      <c r="BA466" s="308"/>
      <c r="BB466" s="308"/>
      <c r="BC466" s="308"/>
      <c r="BD466" s="308"/>
      <c r="BE466" s="308"/>
      <c r="BF466" s="308"/>
      <c r="BG466" s="308"/>
      <c r="BH466" s="308"/>
      <c r="BI466" s="308"/>
      <c r="BJ466" s="36">
        <f>SUM(Table1[[#This Row],[Pipa 63 mm2]:[Pipa 1,800 mm21]])</f>
        <v>0</v>
      </c>
      <c r="BK466" s="32"/>
      <c r="BL466" s="32"/>
      <c r="BM466" s="32"/>
      <c r="BN466" s="32"/>
      <c r="BO466" s="32"/>
      <c r="BP466" s="32"/>
      <c r="BQ466" s="32"/>
      <c r="BR466" s="32"/>
      <c r="BS466" s="32"/>
      <c r="BT466" s="32"/>
      <c r="BU466" s="32"/>
      <c r="BV466" s="32"/>
      <c r="BW466" s="32"/>
      <c r="BX466" s="32"/>
      <c r="BY466" s="32"/>
      <c r="BZ466" s="32"/>
      <c r="CA466" s="32"/>
      <c r="CB466" s="32"/>
      <c r="CC466" s="32"/>
      <c r="CD466" s="32"/>
      <c r="CE466" s="32"/>
      <c r="CF466" s="32"/>
      <c r="CG466" s="32"/>
      <c r="CH466" s="32"/>
      <c r="CI466" s="32"/>
      <c r="CJ466" s="32">
        <f>IF((Table1[[#This Row],["Volume
BA MC-0"]]-Table1[[#This Row],[Total Panjang Pipa Aktual
(Sum-&gt;)3]]-Table1[[#This Row],[Total Volume
tidak dapat dipasang]])&gt;=0,Table1[[#This Row],["Volume
BA MC-0"]]-Table1[[#This Row],[Total Panjang Pipa Aktual
(Sum-&gt;)3]]-Table1[[#This Row],[Total Volume
tidak dapat dipasang]],0)</f>
        <v>0</v>
      </c>
      <c r="CK466" s="42"/>
      <c r="CL466" s="113"/>
      <c r="CM466" s="307"/>
      <c r="CN466" s="113"/>
      <c r="CO466" s="113"/>
      <c r="CP466" s="286"/>
      <c r="CQ466" s="406">
        <f>IFERROR(Table1[[#This Row],[Progres Keg. Umum
(%)]]*Table1[[#This Row],[Nilai RAB Jaringan
(file pa aji)]],0)</f>
        <v>0</v>
      </c>
      <c r="CR466" s="406">
        <f>IFERROR(Table1[[#This Row],[Progres MOS
(%)]]*Table1[[#This Row],[Nilai RAB Jaringan
(file pa aji)]],0)</f>
        <v>0</v>
      </c>
      <c r="CS466" s="406">
        <f>IFERROR(Table1[[#This Row],[Progres Pemasangan
(%)]]*Table1[[#This Row],[Nilai RAB Jaringan
(file pa aji)]],0)</f>
        <v>0</v>
      </c>
      <c r="CT466" s="406">
        <f>IFERROR(Table1[[#This Row],[Progres Perizinan
(%)]]*Table1[[#This Row],[Nilai RAB Jaringan
(file pa aji)]],0)</f>
        <v>0</v>
      </c>
      <c r="CU466" s="789">
        <v>0</v>
      </c>
      <c r="CV466" s="536">
        <v>0</v>
      </c>
      <c r="CW466" s="481">
        <v>0</v>
      </c>
      <c r="CX466" s="789">
        <f>_xlfn.XLOOKUP(Table1[[#This Row],[Kode Program]],'[1]Breakdown VOWD Greenfield'!$E:$E,'[1]Breakdown VOWD Greenfield'!$AT:$AT)</f>
        <v>0</v>
      </c>
      <c r="CY466" s="42"/>
      <c r="CZ466" s="301"/>
      <c r="DA466" s="301"/>
      <c r="DB466" s="301"/>
      <c r="DC466" s="286"/>
      <c r="DD466" s="478"/>
      <c r="DE466"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6" s="301"/>
      <c r="DG466" s="286"/>
      <c r="DH466" s="478"/>
      <c r="DI466"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6" s="301"/>
      <c r="DK466" s="301"/>
      <c r="DL466" s="301"/>
      <c r="DM466" s="286"/>
      <c r="DN466"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6" s="301"/>
      <c r="DP466" s="286"/>
      <c r="DQ466" s="308"/>
      <c r="DR466"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6" s="301"/>
      <c r="DT466" s="301" t="e">
        <v>#N/A</v>
      </c>
      <c r="DU466" s="301"/>
      <c r="DV466" s="301" t="e">
        <v>#N/A</v>
      </c>
      <c r="DW466" s="301"/>
      <c r="DX466" s="286"/>
      <c r="DY466" s="305"/>
      <c r="DZ466" s="305"/>
      <c r="EA466"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6" s="301"/>
      <c r="EC466" s="302"/>
      <c r="ED466" s="302"/>
      <c r="EE466" s="300"/>
      <c r="EF466" s="307"/>
      <c r="EG466" s="307"/>
      <c r="EH466" s="286" t="str">
        <f>IF(Table1[[#This Row],[PO Material Aktual 
(%)]]&gt;=100%,"Selesai PO = 100%",IF(Table1[[#This Row],[PO Material Aktual 
(%)]]&gt;=50%,"Proses PO &gt; 100%",IF(Table1[[#This Row],[PO Material Aktual 
(%)]]&gt;0%,"Proses PO &gt; 50%",IF(Table1[[#This Row],[PO Material Aktual 
(%)]]=0,"Belum PO = 0%"))))</f>
        <v>Belum PO = 0%</v>
      </c>
      <c r="EI466"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6" s="301"/>
      <c r="EK466" s="301" t="e">
        <v>#N/A</v>
      </c>
      <c r="EL466" s="301"/>
      <c r="EM466" s="301" t="e">
        <v>#N/A</v>
      </c>
      <c r="EN466" s="301"/>
      <c r="EO466" s="286"/>
      <c r="EP466" s="305"/>
      <c r="EQ466" s="307"/>
      <c r="ER466" s="307"/>
      <c r="ES466" s="286" t="str">
        <f>IF(Table1[[#This Row],[Progres MOS]]&gt;=100%,"Selesai MOS = 100%",IF(Table1[[#This Row],[Progres MOS]]&gt;=50%,"Proses MOS &gt; 100%",IF(Table1[[#This Row],[Progres MOS]]&gt;0%,"Proses MOS &gt; 50%",IF(Table1[[#This Row],[Progres MOS]]=0,"Belum MOS = 0%"))))</f>
        <v>Belum MOS = 0%</v>
      </c>
      <c r="ET466"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6" s="42"/>
      <c r="EV466" s="301"/>
      <c r="EW466" s="301" t="e">
        <v>#N/A</v>
      </c>
      <c r="EX466" s="301"/>
      <c r="EY466" s="301" t="e">
        <v>#N/A</v>
      </c>
      <c r="EZ466" s="322"/>
      <c r="FA466" s="354"/>
      <c r="FB466" s="301" t="e">
        <v>#N/A</v>
      </c>
      <c r="FC466" s="301" t="e">
        <v>#N/A</v>
      </c>
      <c r="FD466" s="301" t="e">
        <v>#N/A</v>
      </c>
      <c r="FE466" s="301" t="e">
        <v>#N/A</v>
      </c>
      <c r="FF466" s="301" t="e">
        <v>#N/A</v>
      </c>
      <c r="FG466" s="301" t="e">
        <v>#N/A</v>
      </c>
      <c r="FH466" s="301" t="e">
        <v>#N/A</v>
      </c>
      <c r="FI466" s="301" t="e">
        <v>#N/A</v>
      </c>
      <c r="FJ466" s="301" t="e">
        <v>#N/A</v>
      </c>
      <c r="FK466" s="301" t="e">
        <v>#N/A</v>
      </c>
      <c r="FL466" s="322"/>
      <c r="FM466" s="322"/>
      <c r="FN466" s="308" t="str">
        <f>IF(Table1[[#This Row],[Tanggal Pengajuan Dokumen]]="","",Table1[[#This Row],[PLAN PERMIT
start]]-Table1[[#This Row],[Tanggal Pengajuan Dokumen]])</f>
        <v/>
      </c>
      <c r="FO466" s="322"/>
      <c r="FP466" s="286"/>
      <c r="FQ466" s="308"/>
      <c r="FR466" s="322"/>
      <c r="FS466" s="308"/>
      <c r="FT466"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6" s="314">
        <f ca="1">IF(Table1[[#This Row],[Status Izin]]="Selesai",Table1[[#This Row],[PLAN PERMIT
finish]]-Table1[[#This Row],[Tanggal Terbit/ Target Izin Terbit]],ROUNDUP(Table1[[#This Row],[PLAN PERMIT
finish]]-NOW(),0))</f>
        <v>-46204</v>
      </c>
      <c r="FV466"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6" s="314"/>
      <c r="FX466" s="42"/>
      <c r="FY466" s="540"/>
      <c r="FZ466" s="541"/>
      <c r="GA466"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6" s="301"/>
      <c r="GC466" s="322"/>
      <c r="GD466"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6" s="301"/>
      <c r="GF466" s="322"/>
      <c r="GG466"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6" s="301"/>
      <c r="GI466" s="301"/>
      <c r="GJ466" s="322"/>
      <c r="GK466"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6" s="301"/>
      <c r="GM466" s="301" t="e">
        <v>#N/A</v>
      </c>
      <c r="GN466" s="301"/>
      <c r="GO466" s="497" t="e">
        <v>#N/A</v>
      </c>
      <c r="GP466" s="286"/>
      <c r="GQ466"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6" s="301"/>
      <c r="GS466" s="301"/>
      <c r="GT466" s="324"/>
      <c r="GU466" s="314" t="str">
        <f>IF(Table1[[#This Row],[Hydro Tes Actual
(tanggal)]]&lt;&gt;"","Sudah","Belum")</f>
        <v>Belum</v>
      </c>
      <c r="GV466" s="300"/>
      <c r="GW466" s="300"/>
      <c r="GX466" s="301"/>
      <c r="GY466" s="314" t="str">
        <f>IF(Table1[[#This Row],[Interkoneksi Actual
(tanggal)]]&lt;&gt;"","Sudah","Belum")</f>
        <v>Belum</v>
      </c>
      <c r="GZ466" s="300"/>
      <c r="HA466" s="300"/>
      <c r="HB466" s="301"/>
      <c r="HC466" s="314" t="str">
        <f>IF(Table1[[#This Row],[Flushing Actual
(tanggal)]]&lt;&gt;"","Sudah","Belum")</f>
        <v>Belum</v>
      </c>
      <c r="HD466" s="301"/>
      <c r="HE466" s="301" t="e">
        <v>#N/A</v>
      </c>
      <c r="HF466" s="301"/>
      <c r="HG466" s="322"/>
      <c r="HH466"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6" s="300"/>
      <c r="HJ466" s="300"/>
      <c r="HK466" s="301"/>
      <c r="HL466" s="286"/>
      <c r="HM466" s="301"/>
      <c r="HN466" s="301"/>
      <c r="HO466" s="497" t="e">
        <v>#N/A</v>
      </c>
      <c r="HP466" s="497"/>
      <c r="HQ466" s="301"/>
      <c r="HR466"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6" s="322"/>
      <c r="HT466" s="322"/>
      <c r="HU466" s="322"/>
      <c r="HV466" s="444"/>
      <c r="HW466" s="301"/>
      <c r="HX466"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6" s="42"/>
      <c r="HZ466" s="322"/>
      <c r="IA466" s="306"/>
      <c r="IB466"/>
      <c r="IC466" s="585">
        <f>IFERROR(ROUND((Table1[[#This Row],[PLAN TC
finish]]-Table1[[#This Row],[PLAN MC-0
start]])/30,2),"")</f>
        <v>0</v>
      </c>
      <c r="ID466">
        <f>DATEDIF(Table1[[#This Row],[PLAN MC-0
start]],Table1[[#This Row],[PLAN TC
finish]],"m")</f>
        <v>0</v>
      </c>
      <c r="IE466" s="8"/>
      <c r="IF466" s="8"/>
      <c r="IG466" s="4"/>
      <c r="IH466" s="6"/>
      <c r="II466" s="67"/>
      <c r="IJ466" s="67"/>
      <c r="IK466" s="8"/>
      <c r="IM466" s="6"/>
      <c r="IN466" s="6"/>
      <c r="IO466" s="67"/>
      <c r="IP466" s="8"/>
      <c r="IR466" s="4"/>
      <c r="IS466" s="4"/>
      <c r="IT466" s="6"/>
      <c r="IU466" s="6"/>
      <c r="IX466" s="6"/>
      <c r="IY466" s="6"/>
      <c r="JA466" s="6"/>
      <c r="JB466" s="6"/>
    </row>
    <row r="467" spans="2:262" ht="15" customHeight="1" x14ac:dyDescent="0.25">
      <c r="B467" s="281">
        <f>SUBTOTAL(3,$D$5:D467)</f>
        <v>463</v>
      </c>
      <c r="C467" s="286">
        <v>477</v>
      </c>
      <c r="D467" s="430" t="s">
        <v>629</v>
      </c>
      <c r="E467" s="308" t="s">
        <v>3522</v>
      </c>
      <c r="F467" s="308" t="s">
        <v>3523</v>
      </c>
      <c r="G467" s="319">
        <v>46482</v>
      </c>
      <c r="H467" s="431" t="s">
        <v>247</v>
      </c>
      <c r="I467" s="308"/>
      <c r="J467" s="450"/>
      <c r="K467" s="308"/>
      <c r="L467" s="286"/>
      <c r="M467" s="325"/>
      <c r="N467" s="528">
        <v>13994</v>
      </c>
      <c r="O467" s="434" t="s">
        <v>252</v>
      </c>
      <c r="P467"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7"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7" s="307"/>
      <c r="S467" s="297">
        <v>0.99999999999999989</v>
      </c>
      <c r="T467" s="297">
        <f>Table1[[#This Row],[Progres Total Aktual
(%)]]</f>
        <v>0</v>
      </c>
      <c r="U467" s="537">
        <f>Table1[[#This Row],[Progres Aktual
(%)]]-Table1[[#This Row],[Target Progres
(%)]]</f>
        <v>-0.99999999999999989</v>
      </c>
      <c r="V467" s="538">
        <f>Table1[[#This Row],["Volume
BA MC-0"]]</f>
        <v>0</v>
      </c>
      <c r="W467" s="538">
        <f>Table1[[#This Row],[Total Panjang Pipa Aktual
(Sum-&gt;)3]]</f>
        <v>0</v>
      </c>
      <c r="X467" s="99"/>
      <c r="Y467" s="265"/>
      <c r="Z467" s="478"/>
      <c r="AA467" s="478">
        <f>ROUND((Table1[[#This Row],[Nilai RAB Jaringan
(Exclude Ppn)]]-Table1[[#This Row],[RAB Perizinan]])*1.11+Table1[[#This Row],[RAB Perizinan]],0)</f>
        <v>0</v>
      </c>
      <c r="AB467" s="406">
        <f>SUM(Table1[[#This Row],[RAB Kegiatan Umum]:[RAB Perizinan]])</f>
        <v>0</v>
      </c>
      <c r="AC467" s="406"/>
      <c r="AD467" s="406"/>
      <c r="AE467" s="406"/>
      <c r="AF467" s="406"/>
      <c r="AG467" s="406"/>
      <c r="AH467" s="539" t="e">
        <f>SUM(Table1[[#This Row],[Bobot Keg Umum]:[Bobot Perizinan]])</f>
        <v>#DIV/0!</v>
      </c>
      <c r="AI467" s="539" t="e">
        <f>Table1[[#This Row],[RAB Kegiatan Umum]]/Table1[[#This Row],[Nilai RAB Jaringan
(Exclude Ppn)]]</f>
        <v>#DIV/0!</v>
      </c>
      <c r="AJ467" s="539" t="e">
        <f>Table1[[#This Row],[RAB Pemasangan]]/Table1[[#This Row],[Nilai RAB Jaringan
(Exclude Ppn)]]</f>
        <v>#DIV/0!</v>
      </c>
      <c r="AK467" s="539" t="e">
        <f>Table1[[#This Row],[RAB Pengadaan]]/Table1[[#This Row],[Nilai RAB Jaringan
(Exclude Ppn)]]</f>
        <v>#DIV/0!</v>
      </c>
      <c r="AL467" s="307" t="e">
        <f>Table1[[#This Row],[RAB Perizinan]]/Table1[[#This Row],[Nilai RAB Jaringan
(Exclude Ppn)]]</f>
        <v>#DIV/0!</v>
      </c>
      <c r="AM467" s="42"/>
      <c r="AN467" s="308"/>
      <c r="AO467" s="484">
        <f>SUM(Table1[[#This Row],[Pipa 63 mm]:[Pipa 1,800 mm]])</f>
        <v>0</v>
      </c>
      <c r="AP467" s="308"/>
      <c r="AQ467" s="308"/>
      <c r="AR467" s="308"/>
      <c r="AS467" s="308"/>
      <c r="AT467" s="308"/>
      <c r="AU467" s="308"/>
      <c r="AV467" s="308"/>
      <c r="AW467" s="308"/>
      <c r="AX467" s="308"/>
      <c r="AY467" s="308"/>
      <c r="AZ467" s="308"/>
      <c r="BA467" s="308"/>
      <c r="BB467" s="308"/>
      <c r="BC467" s="308"/>
      <c r="BD467" s="308"/>
      <c r="BE467" s="308"/>
      <c r="BF467" s="308"/>
      <c r="BG467" s="308"/>
      <c r="BH467" s="308"/>
      <c r="BI467" s="308"/>
      <c r="BJ467" s="36">
        <f>SUM(Table1[[#This Row],[Pipa 63 mm2]:[Pipa 1,800 mm21]])</f>
        <v>0</v>
      </c>
      <c r="BK467" s="32"/>
      <c r="BL467" s="32"/>
      <c r="BM467" s="32"/>
      <c r="BN467" s="32"/>
      <c r="BO467" s="32"/>
      <c r="BP467" s="32"/>
      <c r="BQ467" s="32"/>
      <c r="BR467" s="32"/>
      <c r="BS467" s="32"/>
      <c r="BT467" s="32"/>
      <c r="BU467" s="32"/>
      <c r="BV467" s="32"/>
      <c r="BW467" s="32"/>
      <c r="BX467" s="32"/>
      <c r="BY467" s="32"/>
      <c r="BZ467" s="32"/>
      <c r="CA467" s="32"/>
      <c r="CB467" s="32"/>
      <c r="CC467" s="32"/>
      <c r="CD467" s="32"/>
      <c r="CE467" s="32"/>
      <c r="CF467" s="32"/>
      <c r="CG467" s="32"/>
      <c r="CH467" s="32"/>
      <c r="CI467" s="32"/>
      <c r="CJ467" s="32">
        <f>IF((Table1[[#This Row],["Volume
BA MC-0"]]-Table1[[#This Row],[Total Panjang Pipa Aktual
(Sum-&gt;)3]]-Table1[[#This Row],[Total Volume
tidak dapat dipasang]])&gt;=0,Table1[[#This Row],["Volume
BA MC-0"]]-Table1[[#This Row],[Total Panjang Pipa Aktual
(Sum-&gt;)3]]-Table1[[#This Row],[Total Volume
tidak dapat dipasang]],0)</f>
        <v>0</v>
      </c>
      <c r="CK467" s="42"/>
      <c r="CL467" s="113"/>
      <c r="CM467" s="307"/>
      <c r="CN467" s="113"/>
      <c r="CO467" s="113"/>
      <c r="CP467" s="286"/>
      <c r="CQ467" s="406">
        <f>IFERROR(Table1[[#This Row],[Progres Keg. Umum
(%)]]*Table1[[#This Row],[Nilai RAB Jaringan
(file pa aji)]],0)</f>
        <v>0</v>
      </c>
      <c r="CR467" s="406">
        <f>IFERROR(Table1[[#This Row],[Progres MOS
(%)]]*Table1[[#This Row],[Nilai RAB Jaringan
(file pa aji)]],0)</f>
        <v>0</v>
      </c>
      <c r="CS467" s="406">
        <f>IFERROR(Table1[[#This Row],[Progres Pemasangan
(%)]]*Table1[[#This Row],[Nilai RAB Jaringan
(file pa aji)]],0)</f>
        <v>0</v>
      </c>
      <c r="CT467" s="406">
        <f>IFERROR(Table1[[#This Row],[Progres Perizinan
(%)]]*Table1[[#This Row],[Nilai RAB Jaringan
(file pa aji)]],0)</f>
        <v>0</v>
      </c>
      <c r="CU467" s="789">
        <v>0</v>
      </c>
      <c r="CV467" s="536">
        <v>0</v>
      </c>
      <c r="CW467" s="481">
        <v>0</v>
      </c>
      <c r="CX467" s="789">
        <f>_xlfn.XLOOKUP(Table1[[#This Row],[Kode Program]],'[1]Breakdown VOWD Greenfield'!$E:$E,'[1]Breakdown VOWD Greenfield'!$AT:$AT)</f>
        <v>0</v>
      </c>
      <c r="CY467" s="42"/>
      <c r="CZ467" s="301"/>
      <c r="DA467" s="301"/>
      <c r="DB467" s="301"/>
      <c r="DC467" s="286"/>
      <c r="DD467" s="478"/>
      <c r="DE467"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7" s="301"/>
      <c r="DG467" s="286"/>
      <c r="DH467" s="478"/>
      <c r="DI467"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7" s="301"/>
      <c r="DK467" s="301"/>
      <c r="DL467" s="301"/>
      <c r="DM467" s="286"/>
      <c r="DN467"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7" s="301"/>
      <c r="DP467" s="286"/>
      <c r="DQ467" s="308"/>
      <c r="DR467"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7" s="301"/>
      <c r="DT467" s="301" t="e">
        <v>#N/A</v>
      </c>
      <c r="DU467" s="301"/>
      <c r="DV467" s="301" t="e">
        <v>#N/A</v>
      </c>
      <c r="DW467" s="301"/>
      <c r="DX467" s="286"/>
      <c r="DY467" s="305"/>
      <c r="DZ467" s="305"/>
      <c r="EA467"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7" s="301"/>
      <c r="EC467" s="302"/>
      <c r="ED467" s="302"/>
      <c r="EE467" s="300"/>
      <c r="EF467" s="307"/>
      <c r="EG467" s="307"/>
      <c r="EH467" s="286" t="str">
        <f>IF(Table1[[#This Row],[PO Material Aktual 
(%)]]&gt;=100%,"Selesai PO = 100%",IF(Table1[[#This Row],[PO Material Aktual 
(%)]]&gt;=50%,"Proses PO &gt; 100%",IF(Table1[[#This Row],[PO Material Aktual 
(%)]]&gt;0%,"Proses PO &gt; 50%",IF(Table1[[#This Row],[PO Material Aktual 
(%)]]=0,"Belum PO = 0%"))))</f>
        <v>Belum PO = 0%</v>
      </c>
      <c r="EI467"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7" s="301"/>
      <c r="EK467" s="301" t="e">
        <v>#N/A</v>
      </c>
      <c r="EL467" s="301"/>
      <c r="EM467" s="301" t="e">
        <v>#N/A</v>
      </c>
      <c r="EN467" s="301"/>
      <c r="EO467" s="286"/>
      <c r="EP467" s="305"/>
      <c r="EQ467" s="307"/>
      <c r="ER467" s="307"/>
      <c r="ES467" s="286" t="str">
        <f>IF(Table1[[#This Row],[Progres MOS]]&gt;=100%,"Selesai MOS = 100%",IF(Table1[[#This Row],[Progres MOS]]&gt;=50%,"Proses MOS &gt; 100%",IF(Table1[[#This Row],[Progres MOS]]&gt;0%,"Proses MOS &gt; 50%",IF(Table1[[#This Row],[Progres MOS]]=0,"Belum MOS = 0%"))))</f>
        <v>Belum MOS = 0%</v>
      </c>
      <c r="ET467"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7" s="42"/>
      <c r="EV467" s="301"/>
      <c r="EW467" s="301" t="e">
        <v>#N/A</v>
      </c>
      <c r="EX467" s="301"/>
      <c r="EY467" s="301" t="e">
        <v>#N/A</v>
      </c>
      <c r="EZ467" s="322"/>
      <c r="FA467" s="354"/>
      <c r="FB467" s="301" t="e">
        <v>#N/A</v>
      </c>
      <c r="FC467" s="301" t="e">
        <v>#N/A</v>
      </c>
      <c r="FD467" s="301" t="e">
        <v>#N/A</v>
      </c>
      <c r="FE467" s="301" t="e">
        <v>#N/A</v>
      </c>
      <c r="FF467" s="301" t="e">
        <v>#N/A</v>
      </c>
      <c r="FG467" s="301" t="e">
        <v>#N/A</v>
      </c>
      <c r="FH467" s="301" t="e">
        <v>#N/A</v>
      </c>
      <c r="FI467" s="301" t="e">
        <v>#N/A</v>
      </c>
      <c r="FJ467" s="301" t="e">
        <v>#N/A</v>
      </c>
      <c r="FK467" s="301" t="e">
        <v>#N/A</v>
      </c>
      <c r="FL467" s="322"/>
      <c r="FM467" s="322"/>
      <c r="FN467" s="308" t="str">
        <f>IF(Table1[[#This Row],[Tanggal Pengajuan Dokumen]]="","",Table1[[#This Row],[PLAN PERMIT
start]]-Table1[[#This Row],[Tanggal Pengajuan Dokumen]])</f>
        <v/>
      </c>
      <c r="FO467" s="322"/>
      <c r="FP467" s="286"/>
      <c r="FQ467" s="308"/>
      <c r="FR467" s="322"/>
      <c r="FS467" s="308"/>
      <c r="FT467"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7" s="314">
        <f ca="1">IF(Table1[[#This Row],[Status Izin]]="Selesai",Table1[[#This Row],[PLAN PERMIT
finish]]-Table1[[#This Row],[Tanggal Terbit/ Target Izin Terbit]],ROUNDUP(Table1[[#This Row],[PLAN PERMIT
finish]]-NOW(),0))</f>
        <v>-46204</v>
      </c>
      <c r="FV467"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7" s="314"/>
      <c r="FX467" s="42"/>
      <c r="FY467" s="540"/>
      <c r="FZ467" s="541"/>
      <c r="GA467"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7" s="301"/>
      <c r="GC467" s="322"/>
      <c r="GD467"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7" s="301"/>
      <c r="GF467" s="322"/>
      <c r="GG467"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7" s="301"/>
      <c r="GI467" s="301"/>
      <c r="GJ467" s="322"/>
      <c r="GK467"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7" s="301"/>
      <c r="GM467" s="301" t="e">
        <v>#N/A</v>
      </c>
      <c r="GN467" s="301"/>
      <c r="GO467" s="497" t="e">
        <v>#N/A</v>
      </c>
      <c r="GP467" s="286"/>
      <c r="GQ467"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7" s="301"/>
      <c r="GS467" s="301"/>
      <c r="GT467" s="324"/>
      <c r="GU467" s="314" t="str">
        <f>IF(Table1[[#This Row],[Hydro Tes Actual
(tanggal)]]&lt;&gt;"","Sudah","Belum")</f>
        <v>Belum</v>
      </c>
      <c r="GV467" s="300"/>
      <c r="GW467" s="300"/>
      <c r="GX467" s="301"/>
      <c r="GY467" s="314" t="str">
        <f>IF(Table1[[#This Row],[Interkoneksi Actual
(tanggal)]]&lt;&gt;"","Sudah","Belum")</f>
        <v>Belum</v>
      </c>
      <c r="GZ467" s="300"/>
      <c r="HA467" s="300"/>
      <c r="HB467" s="301"/>
      <c r="HC467" s="314" t="str">
        <f>IF(Table1[[#This Row],[Flushing Actual
(tanggal)]]&lt;&gt;"","Sudah","Belum")</f>
        <v>Belum</v>
      </c>
      <c r="HD467" s="301"/>
      <c r="HE467" s="301" t="e">
        <v>#N/A</v>
      </c>
      <c r="HF467" s="301"/>
      <c r="HG467" s="322"/>
      <c r="HH467"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7" s="300"/>
      <c r="HJ467" s="300"/>
      <c r="HK467" s="301"/>
      <c r="HL467" s="286"/>
      <c r="HM467" s="301"/>
      <c r="HN467" s="301"/>
      <c r="HO467" s="497" t="e">
        <v>#N/A</v>
      </c>
      <c r="HP467" s="497"/>
      <c r="HQ467" s="301"/>
      <c r="HR467"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7" s="322"/>
      <c r="HT467" s="322"/>
      <c r="HU467" s="322"/>
      <c r="HV467" s="444"/>
      <c r="HW467" s="301"/>
      <c r="HX467"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7" s="42"/>
      <c r="HZ467" s="322"/>
      <c r="IA467" s="306"/>
      <c r="IB467"/>
      <c r="IC467" s="585">
        <f>IFERROR(ROUND((Table1[[#This Row],[PLAN TC
finish]]-Table1[[#This Row],[PLAN MC-0
start]])/30,2),"")</f>
        <v>0</v>
      </c>
      <c r="ID467">
        <f>DATEDIF(Table1[[#This Row],[PLAN MC-0
start]],Table1[[#This Row],[PLAN TC
finish]],"m")</f>
        <v>0</v>
      </c>
      <c r="IE467" s="8"/>
      <c r="IF467" s="8"/>
      <c r="IG467" s="4"/>
      <c r="IH467" s="6"/>
      <c r="II467" s="67"/>
      <c r="IJ467" s="67"/>
      <c r="IK467" s="8"/>
      <c r="IM467" s="6"/>
      <c r="IN467" s="6"/>
      <c r="IO467" s="67"/>
      <c r="IP467" s="8"/>
      <c r="IR467" s="4"/>
      <c r="IS467" s="4"/>
      <c r="IT467" s="6"/>
      <c r="IU467" s="6"/>
      <c r="IX467" s="6"/>
      <c r="IY467" s="6"/>
      <c r="JA467" s="6"/>
      <c r="JB467" s="6"/>
    </row>
    <row r="468" spans="2:262" ht="15" customHeight="1" x14ac:dyDescent="0.25">
      <c r="B468" s="281">
        <f>SUBTOTAL(3,$D$5:D468)</f>
        <v>464</v>
      </c>
      <c r="C468" s="286">
        <v>478</v>
      </c>
      <c r="D468" s="430" t="s">
        <v>629</v>
      </c>
      <c r="E468" s="308" t="s">
        <v>3524</v>
      </c>
      <c r="F468" s="308" t="s">
        <v>3525</v>
      </c>
      <c r="G468" s="319">
        <v>46482</v>
      </c>
      <c r="H468" s="431" t="s">
        <v>247</v>
      </c>
      <c r="I468" s="308"/>
      <c r="J468" s="450"/>
      <c r="K468" s="308"/>
      <c r="L468" s="286"/>
      <c r="M468" s="325"/>
      <c r="N468" s="528">
        <v>0</v>
      </c>
      <c r="O468" s="434" t="s">
        <v>252</v>
      </c>
      <c r="P468" s="31" t="str">
        <f ca="1">IF(NOW()&gt;Table1[[#This Row],[PLAN MC-100
start]],"Selesai Fisik dan Dokumen",IF(AND(Table1[[#This Row],[PLAN MC-100
start]]&lt;=NOW(),NOW()&lt;=Table1[[#This Row],[PLAN MC-100
finish]]),"MC-100",IF(AND(Table1[[#This Row],[PLAN TC
start]]&lt;=NOW(),NOW()&lt;=Table1[[#This Row],[PLAN TC
finish]]),"Tes Com",IF(AND(Table1[[#This Row],[PLAN KONSTRUKSI
start]]&lt;=NOW(),NOW()&lt;=Table1[[#This Row],[PLAN KONSTRUKSI
finish]]),"Proses Konstruksi",IF(AND(Table1[[#This Row],[PLAN MOS
start]]&lt;=NOW(),NOW()&lt;=Table1[[#This Row],[PLAN MOS
finish]]),"Proses MOS",IF(AND(Table1[[#This Row],[PLAN MC-0
start]]&lt;=NOW(),NOW()&lt;=Table1[[#This Row],[PLAN MC-0
finish]]),"MC-0",IF(AND(Table1[[#This Row],[PLAN PR-PO BPM Jasa
start]]&lt;=NOW(),NOW()&lt;=Table1[[#This Row],[PLAN PR-PO BPM Material
finish]]),"PR-PO BPM",IF(AND(Table1[[#This Row],[PLAN PR-PO ABJ
start]]&lt;=NOW(),NOW()&lt;=Table1[[#This Row],[PLAN PR-PO ABJ
finish]]),"PR-PO ABJ",IF(NOW()&lt;Table1[[#This Row],[PLAN PR-PO ABJ
finish]],"Persiapan","")))))))))</f>
        <v>Selesai Fisik dan Dokumen</v>
      </c>
      <c r="Q468" s="290" t="str">
        <f ca="1">IF(LEFT(Table1[[#This Row],[Review DPPP]],5)="Sudah","DPPP",IF(LEFT(Table1[[#This Row],[Review MC-100]],5)="Sudah","MC-100",IF(LEFT(Table1[[#This Row],[Status TC]],5)="Sudah","Tes Com",IF(Table1[[#This Row],[Status Flushing]]="Sudah","Flushing",IF(Table1[[#This Row],[Total Panjang Pipa Aktual
(Sum-&gt;)3]]&gt;0,"Proses Konstruksi",IF(LEFT(Table1[[#This Row],[Review MC-0]],5)="Sudah","MC-0",IF(LEFT(Table1[[#This Row],[Review Kick Off]],5)="Sudah","Kick Off Meeting",IF(LEFT(Table1[[#This Row],[Review PCM]],5)="Sudah","PCM",IF(LEFT(Table1[[#This Row],[Status MOS]],10)="Proses MOS","Proses MOS",IF(LEFT(Table1[[#This Row],[Review PO Jasa BPM]],5)="Sudah","PO Jasa BPM",IF(LEFT(Table1[[#This Row],[Review PR Jasa BPM]],5)="Sudah","PR Jasa BPM",IF(LEFT(Table1[[#This Row],[Review PO Material BPM]],5)="Sudah","PO Material BPM",IF(LEFT(Table1[[#This Row],[Review PR Material BPM]],5)="Sudah","PR Material BPM",IF(LEFT(Table1[[#This Row],[Review PO ABJ]],5)="Sudah","PO ABJ",IF(LEFT(Table1[[#This Row],[Review PR ABJ]],5)="Sudah","PR ABJ","Persiapan")))))))))))))))</f>
        <v>Persiapan</v>
      </c>
      <c r="R468" s="307"/>
      <c r="S468" s="297">
        <v>0.99999999999999989</v>
      </c>
      <c r="T468" s="297">
        <f>Table1[[#This Row],[Progres Total Aktual
(%)]]</f>
        <v>0</v>
      </c>
      <c r="U468" s="537">
        <f>Table1[[#This Row],[Progres Aktual
(%)]]-Table1[[#This Row],[Target Progres
(%)]]</f>
        <v>-0.99999999999999989</v>
      </c>
      <c r="V468" s="538">
        <f>Table1[[#This Row],["Volume
BA MC-0"]]</f>
        <v>0</v>
      </c>
      <c r="W468" s="538">
        <f>Table1[[#This Row],[Total Panjang Pipa Aktual
(Sum-&gt;)3]]</f>
        <v>0</v>
      </c>
      <c r="X468" s="99"/>
      <c r="Y468" s="265"/>
      <c r="Z468" s="478"/>
      <c r="AA468" s="478">
        <f>ROUND((Table1[[#This Row],[Nilai RAB Jaringan
(Exclude Ppn)]]-Table1[[#This Row],[RAB Perizinan]])*1.11+Table1[[#This Row],[RAB Perizinan]],0)</f>
        <v>0</v>
      </c>
      <c r="AB468" s="406">
        <f>SUM(Table1[[#This Row],[RAB Kegiatan Umum]:[RAB Perizinan]])</f>
        <v>0</v>
      </c>
      <c r="AC468" s="406"/>
      <c r="AD468" s="406"/>
      <c r="AE468" s="406"/>
      <c r="AF468" s="406"/>
      <c r="AG468" s="406"/>
      <c r="AH468" s="539" t="e">
        <f>SUM(Table1[[#This Row],[Bobot Keg Umum]:[Bobot Perizinan]])</f>
        <v>#DIV/0!</v>
      </c>
      <c r="AI468" s="539" t="e">
        <f>Table1[[#This Row],[RAB Kegiatan Umum]]/Table1[[#This Row],[Nilai RAB Jaringan
(Exclude Ppn)]]</f>
        <v>#DIV/0!</v>
      </c>
      <c r="AJ468" s="539" t="e">
        <f>Table1[[#This Row],[RAB Pemasangan]]/Table1[[#This Row],[Nilai RAB Jaringan
(Exclude Ppn)]]</f>
        <v>#DIV/0!</v>
      </c>
      <c r="AK468" s="539" t="e">
        <f>Table1[[#This Row],[RAB Pengadaan]]/Table1[[#This Row],[Nilai RAB Jaringan
(Exclude Ppn)]]</f>
        <v>#DIV/0!</v>
      </c>
      <c r="AL468" s="307" t="e">
        <f>Table1[[#This Row],[RAB Perizinan]]/Table1[[#This Row],[Nilai RAB Jaringan
(Exclude Ppn)]]</f>
        <v>#DIV/0!</v>
      </c>
      <c r="AM468" s="42"/>
      <c r="AN468" s="308"/>
      <c r="AO468" s="484">
        <f>SUM(Table1[[#This Row],[Pipa 63 mm]:[Pipa 1,800 mm]])</f>
        <v>0</v>
      </c>
      <c r="AP468" s="308"/>
      <c r="AQ468" s="308"/>
      <c r="AR468" s="308"/>
      <c r="AS468" s="308"/>
      <c r="AT468" s="308"/>
      <c r="AU468" s="308"/>
      <c r="AV468" s="308"/>
      <c r="AW468" s="308"/>
      <c r="AX468" s="308"/>
      <c r="AY468" s="308"/>
      <c r="AZ468" s="308"/>
      <c r="BA468" s="308"/>
      <c r="BB468" s="308"/>
      <c r="BC468" s="308"/>
      <c r="BD468" s="308"/>
      <c r="BE468" s="308"/>
      <c r="BF468" s="308"/>
      <c r="BG468" s="308"/>
      <c r="BH468" s="308"/>
      <c r="BI468" s="308"/>
      <c r="BJ468" s="36">
        <f>SUM(Table1[[#This Row],[Pipa 63 mm2]:[Pipa 1,800 mm21]])</f>
        <v>0</v>
      </c>
      <c r="BK468" s="32"/>
      <c r="BL468" s="32"/>
      <c r="BM468" s="32"/>
      <c r="BN468" s="32"/>
      <c r="BO468" s="32"/>
      <c r="BP468" s="32"/>
      <c r="BQ468" s="32"/>
      <c r="BR468" s="32"/>
      <c r="BS468" s="32"/>
      <c r="BT468" s="32"/>
      <c r="BU468" s="32"/>
      <c r="BV468" s="32"/>
      <c r="BW468" s="32"/>
      <c r="BX468" s="32"/>
      <c r="BY468" s="32"/>
      <c r="BZ468" s="32"/>
      <c r="CA468" s="32"/>
      <c r="CB468" s="32"/>
      <c r="CC468" s="32"/>
      <c r="CD468" s="32"/>
      <c r="CE468" s="32"/>
      <c r="CF468" s="32"/>
      <c r="CG468" s="32"/>
      <c r="CH468" s="32"/>
      <c r="CI468" s="32"/>
      <c r="CJ468" s="32">
        <f>IF((Table1[[#This Row],["Volume
BA MC-0"]]-Table1[[#This Row],[Total Panjang Pipa Aktual
(Sum-&gt;)3]]-Table1[[#This Row],[Total Volume
tidak dapat dipasang]])&gt;=0,Table1[[#This Row],["Volume
BA MC-0"]]-Table1[[#This Row],[Total Panjang Pipa Aktual
(Sum-&gt;)3]]-Table1[[#This Row],[Total Volume
tidak dapat dipasang]],0)</f>
        <v>0</v>
      </c>
      <c r="CK468" s="42"/>
      <c r="CL468" s="113"/>
      <c r="CM468" s="307"/>
      <c r="CN468" s="113"/>
      <c r="CO468" s="113"/>
      <c r="CP468" s="286"/>
      <c r="CQ468" s="406">
        <f>IFERROR(Table1[[#This Row],[Progres Keg. Umum
(%)]]*Table1[[#This Row],[Nilai RAB Jaringan
(file pa aji)]],0)</f>
        <v>0</v>
      </c>
      <c r="CR468" s="406">
        <f>IFERROR(Table1[[#This Row],[Progres MOS
(%)]]*Table1[[#This Row],[Nilai RAB Jaringan
(file pa aji)]],0)</f>
        <v>0</v>
      </c>
      <c r="CS468" s="406">
        <f>IFERROR(Table1[[#This Row],[Progres Pemasangan
(%)]]*Table1[[#This Row],[Nilai RAB Jaringan
(file pa aji)]],0)</f>
        <v>0</v>
      </c>
      <c r="CT468" s="406">
        <f>IFERROR(Table1[[#This Row],[Progres Perizinan
(%)]]*Table1[[#This Row],[Nilai RAB Jaringan
(file pa aji)]],0)</f>
        <v>0</v>
      </c>
      <c r="CU468" s="789">
        <v>0</v>
      </c>
      <c r="CV468" s="527">
        <v>0</v>
      </c>
      <c r="CW468" s="481">
        <v>0</v>
      </c>
      <c r="CX468" s="789">
        <f>_xlfn.XLOOKUP(Table1[[#This Row],[Kode Program]],'[1]Breakdown VOWD Greenfield'!$E:$E,'[1]Breakdown VOWD Greenfield'!$AT:$AT)</f>
        <v>0</v>
      </c>
      <c r="CY468" s="42"/>
      <c r="CZ468" s="301"/>
      <c r="DA468" s="301"/>
      <c r="DB468" s="301"/>
      <c r="DC468" s="286"/>
      <c r="DD468" s="478"/>
      <c r="DE468" s="286" t="str">
        <f ca="1">IF(AND(Table1[[#This Row],[PR Aktual
(tanggal)]]="",Table1[[#This Row],[PLAN PR-PO ABJ
finish]]&gt;=NOW()),"Belum, OnSchedule",IF(AND(Table1[[#This Row],[PR Aktual
(tanggal)]]="",Table1[[#This Row],[PLAN PR-PO ABJ
finish]]&lt;NOW()),"Belum, Delay",IF(AND(Table1[[#This Row],[PR Aktual
(tanggal)]]&lt;&gt;"",Table1[[#This Row],[PR Aktual
(tanggal)]]&lt;=Table1[[#This Row],[PLAN PR-PO ABJ
finish]]),"Sudah, OnSchedule",IF(AND(Table1[[#This Row],[PR Aktual
(tanggal)]]&lt;&gt;"",Table1[[#This Row],[PR Aktual
(tanggal)]]&gt;Table1[[#This Row],[PLAN PR-PO ABJ
finish]]),"Sudah, Delay"))))</f>
        <v>Belum, Delay</v>
      </c>
      <c r="DF468" s="301"/>
      <c r="DG468" s="286"/>
      <c r="DH468" s="478"/>
      <c r="DI468" s="286" t="str">
        <f ca="1">IF(AND(Table1[[#This Row],[PO Aktual
(tanggal)]]="",Table1[[#This Row],[PLAN PR-PO ABJ
finish]]&gt;NOW()),"Belum, OnSchedule",IF(AND(Table1[[#This Row],[PO Aktual
(tanggal)]]="",Table1[[#This Row],[PLAN PR-PO ABJ
finish]]&lt;NOW()),"Belum, Delay",IF(AND(Table1[[#This Row],[PO Aktual
(tanggal)]]&lt;&gt;"",Table1[[#This Row],[PO Aktual
(tanggal)]]&lt;Table1[[#This Row],[PLAN PR-PO ABJ
finish]]),"Sudah, OnSchedule",IF(AND(Table1[[#This Row],[PO Aktual
(tanggal)]]&lt;&gt;"",Table1[[#This Row],[PO Aktual
(tanggal)]]&gt;Table1[[#This Row],[PLAN PR-PO ABJ
finish]]),"Sudah, Delay"))))</f>
        <v>Belum, Delay</v>
      </c>
      <c r="DJ468" s="301"/>
      <c r="DK468" s="301"/>
      <c r="DL468" s="301"/>
      <c r="DM468" s="286"/>
      <c r="DN468" s="286" t="str">
        <f ca="1">IF(AND(Table1[[#This Row],[PR Jasa Aktual 
(tanggal)]]="",Table1[[#This Row],[PLAN PR-PO BPM Jasa
finish]]&gt;NOW()),"Belum, OnSchedule",IF(AND(Table1[[#This Row],[PR Jasa Aktual 
(tanggal)]]="",Table1[[#This Row],[PLAN PR-PO BPM Jasa
finish]]&lt;NOW()),"Belum, Delay",IF(AND(Table1[[#This Row],[PR Jasa Aktual 
(tanggal)]]&lt;&gt;"",Table1[[#This Row],[PR Jasa Aktual 
(tanggal)]]&lt;=Table1[[#This Row],[PLAN PR-PO BPM Jasa
finish]]),"Sudah, OnSchedule",IF(AND(Table1[[#This Row],[PR Jasa Aktual 
(tanggal)]]&lt;&gt;"",Table1[[#This Row],[PR Jasa Aktual 
(tanggal)]]&gt;Table1[[#This Row],[PLAN PR-PO BPM Jasa
finish]]),"Sudah, Delay"))))</f>
        <v>Belum, Delay</v>
      </c>
      <c r="DO468" s="301"/>
      <c r="DP468" s="286"/>
      <c r="DQ468" s="308"/>
      <c r="DR468" s="286" t="str">
        <f ca="1">IF(AND(Table1[[#This Row],[PO Jasa Aktual 
(tanggal)]]="",Table1[[#This Row],[PLAN PR-PO BPM Jasa
finish]]&gt;NOW()),"Belum, OnSchedule",IF(AND(Table1[[#This Row],[PO Jasa Aktual 
(tanggal)]]="",Table1[[#This Row],[PLAN PR-PO BPM Jasa
finish]]&lt;NOW()),"Belum, Delay",IF(AND(Table1[[#This Row],[PO Jasa Aktual 
(tanggal)]]&lt;&gt;"",Table1[[#This Row],[PO Jasa Aktual 
(tanggal)]]&lt;Table1[[#This Row],[PLAN PR-PO BPM Jasa
finish]]),"Sudah, OnSchedule",IF(AND(Table1[[#This Row],[PO Jasa Aktual 
(tanggal)]]&lt;&gt;"",Table1[[#This Row],[PO Jasa Aktual 
(tanggal)]]&gt;Table1[[#This Row],[PLAN PR-PO BPM Jasa
finish]]),"Sudah, Delay"))))</f>
        <v>Belum, Delay</v>
      </c>
      <c r="DS468" s="301"/>
      <c r="DT468" s="301" t="e">
        <v>#N/A</v>
      </c>
      <c r="DU468" s="301"/>
      <c r="DV468" s="301" t="e">
        <v>#N/A</v>
      </c>
      <c r="DW468" s="301"/>
      <c r="DX468" s="286"/>
      <c r="DY468" s="305"/>
      <c r="DZ468" s="305"/>
      <c r="EA468" s="286" t="str">
        <f ca="1">IF(AND(Table1[[#This Row],[PR Material Aktual 
(tanggal)]]="",Table1[[#This Row],[PLAN PR-PO BPM Material
finish]]&gt;NOW()),"Belum, OnSchedule",IF(AND(Table1[[#This Row],[PR Material Aktual 
(tanggal)]]="",Table1[[#This Row],[PLAN PR-PO BPM Material
finish]]&lt;NOW()),"Belum, Delay",IF(AND(Table1[[#This Row],[PR Material Aktual 
(tanggal)]]&lt;&gt;"",Table1[[#This Row],[PR Material Aktual 
(tanggal)]]&lt;Table1[[#This Row],[PLAN PR-PO BPM Material
finish]]),"Sudah, OnSchedule",IF(AND(Table1[[#This Row],[PR Material Aktual 
(tanggal)]]&lt;&gt;"",Table1[[#This Row],[PR Material Aktual 
(tanggal)]]&gt;Table1[[#This Row],[PLAN PR-PO BPM Material
finish]]),"Sudah, Delay"))))</f>
        <v>Belum, Delay</v>
      </c>
      <c r="EB468" s="301"/>
      <c r="EC468" s="302"/>
      <c r="ED468" s="302"/>
      <c r="EE468" s="300"/>
      <c r="EF468" s="307"/>
      <c r="EG468" s="307"/>
      <c r="EH468" s="286" t="str">
        <f>IF(Table1[[#This Row],[PO Material Aktual 
(%)]]&gt;=100%,"Selesai PO = 100%",IF(Table1[[#This Row],[PO Material Aktual 
(%)]]&gt;=50%,"Proses PO &gt; 100%",IF(Table1[[#This Row],[PO Material Aktual 
(%)]]&gt;0%,"Proses PO &gt; 50%",IF(Table1[[#This Row],[PO Material Aktual 
(%)]]=0,"Belum PO = 0%"))))</f>
        <v>Belum PO = 0%</v>
      </c>
      <c r="EI468" s="286" t="str">
        <f ca="1">IF(AND(Table1[[#This Row],[Tanggal Selesai PO Material]]="",Table1[[#This Row],[PLAN PR-PO BPM Material
finish]]&gt;=NOW()),"Belum, OnSchedule",IF(AND(Table1[[#This Row],[Tanggal Selesai PO Material]]="",Table1[[#This Row],[PLAN PR-PO BPM Material
finish]]&lt;NOW()),"Belum, Delay",IF(AND(Table1[[#This Row],[Tanggal Selesai PO Material]]&lt;&gt;"",Table1[[#This Row],[Tanggal Selesai PO Material]]&lt;=Table1[[#This Row],[PLAN PR-PO BPM Material
finish]]),"Sudah, OnSchedule",IF(AND(Table1[[#This Row],[Tanggal Selesai PO Material]]&lt;&gt;"",Table1[[#This Row],[Tanggal Selesai PO Material]]&gt;Table1[[#This Row],[PLAN PR-PO BPM Material
finish]]),"Sudah, Delay"))))</f>
        <v>Belum, Delay</v>
      </c>
      <c r="EJ468" s="301"/>
      <c r="EK468" s="301" t="e">
        <v>#N/A</v>
      </c>
      <c r="EL468" s="301"/>
      <c r="EM468" s="301" t="e">
        <v>#N/A</v>
      </c>
      <c r="EN468" s="301"/>
      <c r="EO468" s="286"/>
      <c r="EP468" s="302"/>
      <c r="EQ468" s="307"/>
      <c r="ER468" s="307"/>
      <c r="ES468" s="286" t="str">
        <f>IF(Table1[[#This Row],[Progres MOS]]&gt;=100%,"Selesai MOS = 100%",IF(Table1[[#This Row],[Progres MOS]]&gt;=50%,"Proses MOS &gt; 100%",IF(Table1[[#This Row],[Progres MOS]]&gt;0%,"Proses MOS &gt; 50%",IF(Table1[[#This Row],[Progres MOS]]=0,"Belum MOS = 0%"))))</f>
        <v>Belum MOS = 0%</v>
      </c>
      <c r="ET468" s="286" t="str">
        <f ca="1">IF(AND(Table1[[#This Row],[Tanggal Selesai MOS]]="",Table1[[#This Row],[PLAN MOS
finish]]&gt;=NOW()),"Belum, OnSchedule",IF(AND(Table1[[#This Row],[Tanggal Selesai MOS]]="",Table1[[#This Row],[PLAN MOS
finish]]&lt;NOW()),"Belum, Delay",IF(AND(Table1[[#This Row],[Tanggal Selesai MOS]]&lt;&gt;"",Table1[[#This Row],[Tanggal Selesai MOS]]&lt;=Table1[[#This Row],[PLAN MOS
finish]]),"Sudah, OnSchedule",IF(AND(Table1[[#This Row],[Tanggal Selesai MOS]]&lt;&gt;"",Table1[[#This Row],[Tanggal Selesai MOS]]&gt;Table1[[#This Row],[PLAN MOS
finish]]),"Sudah, Delay"))))</f>
        <v>Belum, Delay</v>
      </c>
      <c r="EU468" s="42"/>
      <c r="EV468" s="301"/>
      <c r="EW468" s="301" t="e">
        <v>#N/A</v>
      </c>
      <c r="EX468" s="301"/>
      <c r="EY468" s="301" t="e">
        <v>#N/A</v>
      </c>
      <c r="EZ468" s="322"/>
      <c r="FA468" s="354"/>
      <c r="FB468" s="301" t="e">
        <v>#N/A</v>
      </c>
      <c r="FC468" s="301" t="e">
        <v>#N/A</v>
      </c>
      <c r="FD468" s="301" t="e">
        <v>#N/A</v>
      </c>
      <c r="FE468" s="301" t="e">
        <v>#N/A</v>
      </c>
      <c r="FF468" s="301" t="e">
        <v>#N/A</v>
      </c>
      <c r="FG468" s="301" t="e">
        <v>#N/A</v>
      </c>
      <c r="FH468" s="301" t="e">
        <v>#N/A</v>
      </c>
      <c r="FI468" s="301" t="e">
        <v>#N/A</v>
      </c>
      <c r="FJ468" s="301" t="e">
        <v>#N/A</v>
      </c>
      <c r="FK468" s="301" t="e">
        <v>#N/A</v>
      </c>
      <c r="FL468" s="322"/>
      <c r="FM468" s="322"/>
      <c r="FN468" s="308" t="str">
        <f>IF(Table1[[#This Row],[Tanggal Pengajuan Dokumen]]="","",Table1[[#This Row],[PLAN PERMIT
start]]-Table1[[#This Row],[Tanggal Pengajuan Dokumen]])</f>
        <v/>
      </c>
      <c r="FO468" s="322"/>
      <c r="FP468" s="286"/>
      <c r="FQ468" s="308"/>
      <c r="FR468" s="322"/>
      <c r="FS468" s="308"/>
      <c r="FT468" s="286" t="str">
        <f ca="1">IF(ISNUMBER(SEARCH("On Going",Table1[[#This Row],[Status Perizinan]])),"On Going",IF(ISNUMBER(SEARCH("Sudah Terbit",Table1[[#This Row],[Status Perizinan]])),"Selesai",IF(NOW()&lt;Table1[[#This Row],[PLAN PERMIT
start]],"Belum",IF(AND(NOW()&gt;=Table1[[#This Row],[PLAN PERMIT
start]],NOW()&lt;=Table1[[#This Row],[PLAN PERMIT
finish]]),"On Going","Terlambat"))))</f>
        <v>Terlambat</v>
      </c>
      <c r="FU468" s="314">
        <f ca="1">IF(Table1[[#This Row],[Status Izin]]="Selesai",Table1[[#This Row],[PLAN PERMIT
finish]]-Table1[[#This Row],[Tanggal Terbit/ Target Izin Terbit]],ROUNDUP(Table1[[#This Row],[PLAN PERMIT
finish]]-NOW(),0))</f>
        <v>-46204</v>
      </c>
      <c r="FV468" s="314" t="str">
        <f>IF(Table1[[#This Row],[Tanggal Terbit/ Target Izin Terbit]]="","Delay",IF(Table1[[#This Row],[Tanggal Terbit/ Target Izin Terbit]]&lt;Table1[[#This Row],[PLAN PERMIT
start]],"Ahead",IF(AND(Table1[[#This Row],[PLAN PERMIT
start]]&lt;=Table1[[#This Row],[Tanggal Terbit/ Target Izin Terbit]],Table1[[#This Row],[PLAN PERMIT
finish]]&gt;=Table1[[#This Row],[Tanggal Terbit/ Target Izin Terbit]]),"On Schedule",IF(Table1[[#This Row],[Tanggal Terbit/ Target Izin Terbit]]&gt;Table1[[#This Row],[PLAN PERMIT
finish]],"Delay"))))</f>
        <v>Delay</v>
      </c>
      <c r="FW468" s="314"/>
      <c r="FX468" s="42"/>
      <c r="FY468" s="540"/>
      <c r="FZ468" s="541"/>
      <c r="GA468" s="542" t="str">
        <f ca="1">IF(AND(Table1[[#This Row],[Aktual DPPK]]="",Table1[[#This Row],[PLAN Penyerahan DPPK]]&gt;NOW()),"Belum, OnSchedule",IF(AND(Table1[[#This Row],[Aktual DPPK]]="",Table1[[#This Row],[PLAN Penyerahan DPPK]]&lt;NOW()),"Belum, Delay",IF(AND(Table1[[#This Row],[Aktual DPPK]]&lt;&gt;"",Table1[[#This Row],[Aktual DPPK]]&lt;Table1[[#This Row],[PLAN Penyerahan DPPK]]),"Sudah, OnSchedule",IF(AND(Table1[[#This Row],[Aktual DPPK]]&lt;&gt;"",Table1[[#This Row],[Aktual DPPK]]&gt;Table1[[#This Row],[PLAN Penyerahan DPPK]]),"Sudah, Delay"))))</f>
        <v>Belum, Delay</v>
      </c>
      <c r="GB468" s="301"/>
      <c r="GC468" s="322"/>
      <c r="GD468" s="286" t="str">
        <f ca="1">IF(AND(Table1[[#This Row],[Tanggal Aktual PCM]]="",Table1[[#This Row],[PLAN PCM]]&gt;NOW()),"Belum, OnSchedule",IF(AND(Table1[[#This Row],[Tanggal Aktual PCM]]="",Table1[[#This Row],[PLAN PCM]]&lt;NOW()),"Belum, Delay",IF(AND(Table1[[#This Row],[Tanggal Aktual PCM]]&lt;&gt;"",Table1[[#This Row],[Tanggal Aktual PCM]]&lt;=Table1[[#This Row],[PLAN PCM]]),"Sudah, OnSchedule",IF(AND(Table1[[#This Row],[Tanggal Aktual PCM]]&lt;&gt;"",Table1[[#This Row],[Tanggal Aktual PCM]]&gt;=Table1[[#This Row],[PLAN PCM]]),"Sudah, Delay"))))</f>
        <v>Belum, Delay</v>
      </c>
      <c r="GE468" s="301"/>
      <c r="GF468" s="322"/>
      <c r="GG468" s="286" t="str">
        <f ca="1">IF(AND(Table1[[#This Row],[Tanggal Aktual Kick Off]]="",Table1[[#This Row],[PLAN Kick Off]]&gt;NOW()),"Belum, OnSchedule",IF(AND(Table1[[#This Row],[Tanggal Aktual Kick Off]]="",Table1[[#This Row],[PLAN Kick Off]]&lt;NOW()),"Belum, Delay",IF(AND(Table1[[#This Row],[Tanggal Aktual Kick Off]]&lt;&gt;"",Table1[[#This Row],[Tanggal Aktual Kick Off]]&lt;=Table1[[#This Row],[PLAN Kick Off]]),"Sudah, OnSchedule",IF(AND(Table1[[#This Row],[Tanggal Aktual Kick Off]]&lt;&gt;"",Table1[[#This Row],[Tanggal Aktual Kick Off]]&gt;=Table1[[#This Row],[PLAN Kick Off]]),"Sudah, Delay"))))</f>
        <v>Belum, Delay</v>
      </c>
      <c r="GH468" s="301"/>
      <c r="GI468" s="301"/>
      <c r="GJ468" s="322"/>
      <c r="GK468" s="286" t="str">
        <f ca="1">IF(AND(Table1[[#This Row],[Tanggal Aktual MC-0]]="",Table1[[#This Row],[PLAN MC-0
finish]]&gt;NOW()),"Belum, OnSchedule",IF(AND(Table1[[#This Row],[Tanggal Aktual MC-0]]="",Table1[[#This Row],[PLAN MC-0
finish]]&lt;NOW()),"Belum, Delay",IF(AND(Table1[[#This Row],[Tanggal Aktual MC-0]]&lt;&gt;"",Table1[[#This Row],[Tanggal Aktual MC-0]]&lt;Table1[[#This Row],[PLAN MC-0
finish]]),"Sudah, OnSchedule",IF(AND(Table1[[#This Row],[Tanggal Aktual MC-0]]&lt;&gt;"",Table1[[#This Row],[Tanggal Aktual MC-0]]&gt;Table1[[#This Row],[PLAN MC-0
finish]]),"Sudah, Delay"))))</f>
        <v>Belum, Delay</v>
      </c>
      <c r="GL468" s="301"/>
      <c r="GM468" s="301" t="e">
        <v>#N/A</v>
      </c>
      <c r="GN468" s="301"/>
      <c r="GO468" s="300" t="e">
        <v>#N/A</v>
      </c>
      <c r="GP468" s="286"/>
      <c r="GQ468" s="286" t="str">
        <f ca="1">IF(AND(Table1[[#This Row],[Aktual Selesai Konstruksi*
(tanggal)]]="",Table1[[#This Row],[PLAN KONSTRUKSI
finish]]&gt;NOW()),"Belum, OnSchedule",IF(AND(Table1[[#This Row],[Aktual Selesai Konstruksi*
(tanggal)]]="",Table1[[#This Row],[PLAN KONSTRUKSI
finish]]&lt;NOW()),"Belum, Delay",IF(AND(Table1[[#This Row],[Aktual Selesai Konstruksi*
(tanggal)]]&lt;&gt;"",Table1[[#This Row],[Aktual Selesai Konstruksi*
(tanggal)]]&lt;Table1[[#This Row],[PLAN KONSTRUKSI
finish]]),"Sudah, OnSchedule",IF(AND(Table1[[#This Row],[Aktual Selesai Konstruksi*
(tanggal)]]&lt;&gt;"",Table1[[#This Row],[Aktual Selesai Konstruksi*
(tanggal)]]&gt;Table1[[#This Row],[PLAN KONSTRUKSI
finish]]),"Sudah, Delay"))))</f>
        <v>Belum, Delay</v>
      </c>
      <c r="GR468" s="301"/>
      <c r="GS468" s="301"/>
      <c r="GT468" s="324"/>
      <c r="GU468" s="314" t="str">
        <f>IF(Table1[[#This Row],[Hydro Tes Actual
(tanggal)]]&lt;&gt;"","Sudah","Belum")</f>
        <v>Belum</v>
      </c>
      <c r="GV468" s="300"/>
      <c r="GW468" s="300"/>
      <c r="GX468" s="301"/>
      <c r="GY468" s="314" t="str">
        <f>IF(Table1[[#This Row],[Interkoneksi Actual
(tanggal)]]&lt;&gt;"","Sudah","Belum")</f>
        <v>Belum</v>
      </c>
      <c r="GZ468" s="300"/>
      <c r="HA468" s="300"/>
      <c r="HB468" s="301"/>
      <c r="HC468" s="314" t="str">
        <f>IF(Table1[[#This Row],[Flushing Actual
(tanggal)]]&lt;&gt;"","Sudah","Belum")</f>
        <v>Belum</v>
      </c>
      <c r="HD468" s="301"/>
      <c r="HE468" s="301" t="e">
        <v>#N/A</v>
      </c>
      <c r="HF468" s="301"/>
      <c r="HG468" s="322"/>
      <c r="HH468" s="286" t="str">
        <f ca="1">IF(AND(Table1[[#This Row],[TC Aktual
(tanggal)]]="",Table1[[#This Row],[PLAN TC
finish]]&gt;NOW()),"Belum, OnSchedule",IF(AND(Table1[[#This Row],[TC Aktual
(tanggal)]]="",Table1[[#This Row],[PLAN TC
finish]]&lt;NOW()),"Belum, Delay",IF(AND(Table1[[#This Row],[TC Aktual
(tanggal)]]&lt;&gt;"",Table1[[#This Row],[TC Aktual
(tanggal)]]&lt;Table1[[#This Row],[PLAN TC
finish]]),"Sudah, OnSchedule",IF(AND(Table1[[#This Row],[TC Aktual
(tanggal)]]&lt;&gt;"",Table1[[#This Row],[TC Aktual
(tanggal)]]&gt;Table1[[#This Row],[PLAN TC
finish]]),"Sudah, Delay"))))</f>
        <v>Belum, Delay</v>
      </c>
      <c r="HI468" s="300"/>
      <c r="HJ468" s="300"/>
      <c r="HK468" s="301"/>
      <c r="HL468" s="286"/>
      <c r="HM468" s="301"/>
      <c r="HN468" s="301"/>
      <c r="HO468" s="300" t="e">
        <v>#N/A</v>
      </c>
      <c r="HP468" s="300"/>
      <c r="HQ468" s="301"/>
      <c r="HR468" s="325" t="str">
        <f ca="1">IF(AND(Table1[[#This Row],[BA MC-100 Aktual
(Verifikasi)]]="",Table1[[#This Row],[PLAN MC-100
finish]]&gt;NOW()),"Belum, OnSchedule",IF(AND(Table1[[#This Row],[BA MC-100 Aktual
(Verifikasi)]]="",Table1[[#This Row],[PLAN MC-100
finish]]&lt;NOW()),"Belum, Delay",IF(AND(Table1[[#This Row],[BA MC-100 Aktual
(Verifikasi)]]&lt;&gt;"",Table1[[#This Row],[BA MC-100 Aktual
(Verifikasi)]]&lt;Table1[[#This Row],[PLAN MC-100
finish]]),"Sudah, OnSchedule",IF(AND(Table1[[#This Row],[BA MC-100 Aktual
(Verifikasi)]]&lt;&gt;"",Table1[[#This Row],[BA MC-100 Aktual
(Verifikasi)]]&gt;Table1[[#This Row],[PLAN MC-100
finish]]),"Sudah, Delay"))))</f>
        <v>Belum, Delay</v>
      </c>
      <c r="HS468" s="322"/>
      <c r="HT468" s="322"/>
      <c r="HU468" s="322"/>
      <c r="HV468" s="444"/>
      <c r="HW468" s="301"/>
      <c r="HX468" s="286" t="str">
        <f ca="1">IF(AND(Table1[[#This Row],[Aktual Submit DPPP
(tanggal)]]="",Table1[[#This Row],[PLAN DPPP
finish]]&gt;NOW()),"Belum, OnSchedule",IF(AND(Table1[[#This Row],[Aktual Submit DPPP
(tanggal)]]="",Table1[[#This Row],[PLAN DPPP
finish]]&lt;NOW()),"Belum, Delay",IF(AND(Table1[[#This Row],[Aktual Submit DPPP
(tanggal)]]&lt;&gt;"",Table1[[#This Row],[Aktual Submit DPPP
(tanggal)]]&lt;Table1[[#This Row],[PLAN DPPP
finish]]),"Sudah, OnSchedule",IF(AND(Table1[[#This Row],[Aktual Submit DPPP
(tanggal)]]&lt;&gt;"",Table1[[#This Row],[Aktual Submit DPPP
(tanggal)]]&gt;Table1[[#This Row],[PLAN DPPP
finish]]),"Sudah, Delay"))))</f>
        <v>Belum, Delay</v>
      </c>
      <c r="HY468" s="42"/>
      <c r="HZ468" s="322"/>
      <c r="IA468" s="306"/>
      <c r="IB468"/>
      <c r="IC468" s="585">
        <f>IFERROR(ROUND((Table1[[#This Row],[PLAN TC
finish]]-Table1[[#This Row],[PLAN MC-0
start]])/30,2),"")</f>
        <v>0</v>
      </c>
      <c r="ID468">
        <f>DATEDIF(Table1[[#This Row],[PLAN MC-0
start]],Table1[[#This Row],[PLAN TC
finish]],"m")</f>
        <v>0</v>
      </c>
      <c r="IE468" s="8"/>
      <c r="IF468" s="8"/>
      <c r="IG468" s="4"/>
      <c r="IH468" s="6"/>
      <c r="II468" s="67"/>
      <c r="IJ468" s="67"/>
      <c r="IK468" s="8"/>
      <c r="IM468" s="6"/>
      <c r="IN468" s="6"/>
      <c r="IO468" s="67"/>
      <c r="IP468" s="8"/>
      <c r="IR468" s="4"/>
      <c r="IS468" s="4"/>
      <c r="IT468" s="6"/>
      <c r="IU468" s="6"/>
      <c r="IX468" s="6"/>
      <c r="IY468" s="6"/>
      <c r="JA468" s="6"/>
      <c r="JB468" s="6"/>
    </row>
    <row r="469" spans="2:262" ht="15" customHeight="1" x14ac:dyDescent="0.25">
      <c r="Y469"/>
      <c r="Z469" s="199"/>
      <c r="AD469" s="123">
        <v>7000000</v>
      </c>
    </row>
    <row r="470" spans="2:262" ht="15" customHeight="1" x14ac:dyDescent="0.25">
      <c r="Y470"/>
      <c r="Z470" s="199"/>
      <c r="AD470" s="123">
        <v>42000000</v>
      </c>
    </row>
    <row r="471" spans="2:262" ht="15" customHeight="1" x14ac:dyDescent="0.25">
      <c r="U471" s="64">
        <f>T391*S391</f>
        <v>0.57990724198105525</v>
      </c>
      <c r="Y471"/>
      <c r="Z471" s="199"/>
    </row>
    <row r="473" spans="2:262" ht="15" customHeight="1" x14ac:dyDescent="0.25">
      <c r="GG473"/>
    </row>
    <row r="474" spans="2:262" ht="15" customHeight="1" x14ac:dyDescent="0.25">
      <c r="GG474"/>
    </row>
    <row r="475" spans="2:262" ht="15" customHeight="1" x14ac:dyDescent="0.25">
      <c r="GG475"/>
    </row>
    <row r="476" spans="2:262" ht="15" customHeight="1" x14ac:dyDescent="0.25">
      <c r="GG476"/>
    </row>
  </sheetData>
  <autoFilter ref="V470" xr:uid="{67C650C1-0536-4CAE-AEF5-050CBDEC4C30}"/>
  <phoneticPr fontId="9" type="noConversion"/>
  <conditionalFormatting sqref="B5:EY5 FB5:HO468 HQ5:IA468 CY6:EY344 B6:CX468 EE345:EO345 CY345:DW346 DY345:EC346 ED345:ED440 EP345:EY440 EF346 EG346:EO431 CY347:EC347 EC347:EC348 EE347:EF388 CY348:DY351 DZ348:EC394 CY352:DW352 DY352 CY353:DY355 CY356:DW356 DY356 CY357:DY357 CY358:DW360 DY358:DY360 CY361:DY378 CY379:DW379 DY379 CY380:DY390 EF389 EE390:EF431 CY391:DW391 DY391 CY392:DY394 CY395:EC395 CY396:DW396 DY396:EC396 CY397:EC406 CY407:DW407 DY407:EC407 CY408:EC408 CY409:DW410 DY409:EC410 CY411:EC419 CY420:DW420 DY420:EC420 CY421:EC429 CY430:DW431 DY430:EC431 CY432:EC434 EE432:EO434 EF435:EO435 CY435:DW436 DY435:DY436 DZ435:EC440 EE436:EO438 CY437:DY440 EF439:EO439 EE440:EO440 CY441:EY468">
    <cfRule type="expression" dxfId="71" priority="25">
      <formula>$Q5="BATAL / CANCEL"</formula>
    </cfRule>
  </conditionalFormatting>
  <conditionalFormatting sqref="T5:T468">
    <cfRule type="cellIs" dxfId="70" priority="42" operator="greaterThan">
      <formula>1</formula>
    </cfRule>
  </conditionalFormatting>
  <conditionalFormatting sqref="DH469:DH1048576 DH347:DH351 DH379 DH383 DH385:DH387 DH391 DH415:DH424 DH397 DX469:DX1048576 DX347:DX351 DX387:DX390 DX437:DX439 DX353:DX355 DX361:DX377 DX392:DX395 DX357 DX397:DX406 DX408 DX411:DX419 DX421:DX429 DX432:DX434">
    <cfRule type="duplicateValues" dxfId="69" priority="110"/>
  </conditionalFormatting>
  <conditionalFormatting sqref="DM368:DM387">
    <cfRule type="duplicateValues" dxfId="68" priority="40"/>
  </conditionalFormatting>
  <conditionalFormatting sqref="DN1:DN1048576 EA1:EA1048576 GU5:GU468 GY5:GY468 HC5:HC468">
    <cfRule type="containsText" dxfId="67" priority="29" operator="containsText" text="Belum">
      <formula>NOT(ISERROR(SEARCH("Belum",DN1)))</formula>
    </cfRule>
  </conditionalFormatting>
  <conditionalFormatting sqref="DN469:DN1048576">
    <cfRule type="duplicateValues" dxfId="66" priority="109"/>
  </conditionalFormatting>
  <conditionalFormatting sqref="EI193">
    <cfRule type="containsText" dxfId="65" priority="26" operator="containsText" text="Belum">
      <formula>NOT(ISERROR(SEARCH("Belum",EI193)))</formula>
    </cfRule>
  </conditionalFormatting>
  <conditionalFormatting sqref="FI469:FJ1048576">
    <cfRule type="uniqueValues" dxfId="64" priority="27"/>
  </conditionalFormatting>
  <conditionalFormatting sqref="FU237:FW344">
    <cfRule type="cellIs" dxfId="63" priority="95" operator="greaterThan">
      <formula>0</formula>
    </cfRule>
    <cfRule type="cellIs" dxfId="62" priority="96" operator="lessThan">
      <formula>0</formula>
    </cfRule>
  </conditionalFormatting>
  <printOptions horizontalCentered="1"/>
  <pageMargins left="0.7" right="0.7" top="0.75" bottom="0.75" header="0.3" footer="0.3"/>
  <pageSetup paperSize="9" scale="26" fitToHeight="0" orientation="landscape" r:id="rId1"/>
  <headerFooter>
    <oddFooter>Page &amp;P of &amp;N</oddFooter>
  </headerFooter>
  <rowBreaks count="4" manualBreakCount="4">
    <brk id="52" max="16383" man="1"/>
    <brk id="98" max="16383" man="1"/>
    <brk id="135" max="16383" man="1"/>
    <brk id="187" max="16383" man="1"/>
  </row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88E3F-5C31-4673-8D6F-98323D14BE0B}">
  <sheetPr codeName="Sheet6"/>
  <dimension ref="B2:AP475"/>
  <sheetViews>
    <sheetView zoomScale="80" zoomScaleNormal="80" workbookViewId="0">
      <pane xSplit="8" ySplit="3" topLeftCell="L480" activePane="bottomRight" state="frozen"/>
      <selection pane="topRight" activeCell="I1" sqref="I1"/>
      <selection pane="bottomLeft" activeCell="A4" sqref="A4"/>
      <selection pane="bottomRight" activeCell="E484" sqref="E484"/>
    </sheetView>
  </sheetViews>
  <sheetFormatPr defaultColWidth="9" defaultRowHeight="15" x14ac:dyDescent="0.25"/>
  <cols>
    <col min="1" max="1" width="3.28515625" style="4" customWidth="1"/>
    <col min="2" max="2" width="7.5703125" style="4" bestFit="1" customWidth="1"/>
    <col min="3" max="3" width="21.7109375" style="4" hidden="1" customWidth="1"/>
    <col min="4" max="4" width="25" style="4" hidden="1" customWidth="1"/>
    <col min="5" max="5" width="32.5703125" style="4" customWidth="1"/>
    <col min="6" max="6" width="15.42578125" style="4" bestFit="1" customWidth="1"/>
    <col min="7" max="8" width="10" style="4" customWidth="1"/>
    <col min="9" max="10" width="10" style="7" customWidth="1"/>
    <col min="11" max="11" width="12" style="7" customWidth="1"/>
    <col min="12" max="14" width="10" style="561" customWidth="1"/>
    <col min="15" max="26" width="17.28515625" style="7" customWidth="1"/>
    <col min="27" max="28" width="16" style="7" bestFit="1" customWidth="1"/>
    <col min="29" max="35" width="9" style="7"/>
    <col min="36" max="36" width="0" style="7" hidden="1" customWidth="1"/>
    <col min="37" max="38" width="9" style="7"/>
    <col min="39" max="39" width="9" style="279"/>
    <col min="40" max="42" width="9" style="7"/>
    <col min="43" max="16384" width="9" style="4"/>
  </cols>
  <sheetData>
    <row r="2" spans="2:42" x14ac:dyDescent="0.25">
      <c r="C2" s="7">
        <f>SUBTOTAL(3,C4:C467)</f>
        <v>74</v>
      </c>
      <c r="E2" s="57">
        <f>SUBTOTAL(3,E4:E467)</f>
        <v>74</v>
      </c>
      <c r="G2" s="6"/>
      <c r="H2" s="6"/>
      <c r="I2" s="8"/>
      <c r="J2" s="8"/>
      <c r="K2" s="8"/>
      <c r="L2" s="254">
        <f>SUBTOTAL(9,L4:L467)</f>
        <v>121283</v>
      </c>
      <c r="M2" s="254">
        <f>SUBTOTAL(9,M4:M467)</f>
        <v>87416.450000000012</v>
      </c>
      <c r="N2" s="254"/>
      <c r="AC2" s="576">
        <f>M2/L2</f>
        <v>0.72076424560738117</v>
      </c>
      <c r="AD2" s="577">
        <f>M2-L2</f>
        <v>-33866.549999999988</v>
      </c>
    </row>
    <row r="3" spans="2:42" s="1" customFormat="1" ht="60" x14ac:dyDescent="0.25">
      <c r="B3" s="266" t="s">
        <v>12</v>
      </c>
      <c r="C3" s="266" t="s">
        <v>14</v>
      </c>
      <c r="D3" s="266" t="s">
        <v>15</v>
      </c>
      <c r="E3" s="266" t="s">
        <v>16</v>
      </c>
      <c r="F3" s="267" t="s">
        <v>17</v>
      </c>
      <c r="G3" s="267" t="s">
        <v>18</v>
      </c>
      <c r="H3" s="267" t="s">
        <v>27</v>
      </c>
      <c r="I3" s="126" t="s">
        <v>29</v>
      </c>
      <c r="J3" s="126" t="s">
        <v>30</v>
      </c>
      <c r="K3" s="84" t="s">
        <v>31</v>
      </c>
      <c r="L3" s="559" t="s">
        <v>32</v>
      </c>
      <c r="M3" s="560" t="s">
        <v>33</v>
      </c>
      <c r="N3" s="578" t="s">
        <v>3526</v>
      </c>
      <c r="O3" s="266" t="s">
        <v>3527</v>
      </c>
      <c r="P3" s="266" t="s">
        <v>3528</v>
      </c>
      <c r="Q3" s="268" t="s">
        <v>3529</v>
      </c>
      <c r="R3" s="268" t="s">
        <v>3530</v>
      </c>
      <c r="S3" s="268" t="s">
        <v>3531</v>
      </c>
      <c r="T3" s="268" t="s">
        <v>3532</v>
      </c>
      <c r="U3" s="268" t="s">
        <v>3533</v>
      </c>
      <c r="V3" s="268" t="s">
        <v>3534</v>
      </c>
      <c r="W3" s="268" t="s">
        <v>3535</v>
      </c>
      <c r="X3" s="268" t="s">
        <v>3536</v>
      </c>
      <c r="Y3" s="268" t="s">
        <v>3537</v>
      </c>
      <c r="Z3" s="268" t="s">
        <v>3538</v>
      </c>
      <c r="AA3" s="268" t="s">
        <v>1819</v>
      </c>
      <c r="AB3" s="268" t="s">
        <v>944</v>
      </c>
      <c r="AC3" s="275" t="s">
        <v>3539</v>
      </c>
      <c r="AD3" s="267" t="s">
        <v>3540</v>
      </c>
      <c r="AE3" s="276" t="s">
        <v>3541</v>
      </c>
      <c r="AF3" s="276" t="s">
        <v>3542</v>
      </c>
      <c r="AG3" s="276" t="s">
        <v>3543</v>
      </c>
      <c r="AH3" s="276" t="s">
        <v>3544</v>
      </c>
      <c r="AI3" s="276" t="s">
        <v>3545</v>
      </c>
      <c r="AJ3" s="276" t="s">
        <v>3546</v>
      </c>
      <c r="AK3" s="276" t="s">
        <v>3547</v>
      </c>
      <c r="AL3" s="276" t="s">
        <v>3548</v>
      </c>
      <c r="AM3" s="278" t="s">
        <v>3549</v>
      </c>
      <c r="AN3" s="276" t="s">
        <v>3550</v>
      </c>
      <c r="AO3" s="276" t="s">
        <v>3551</v>
      </c>
      <c r="AP3" s="276" t="s">
        <v>3552</v>
      </c>
    </row>
    <row r="4" spans="2:42" x14ac:dyDescent="0.25">
      <c r="B4" s="7">
        <f>SUBTOTAL(3,$C4:C$4)</f>
        <v>1</v>
      </c>
      <c r="C4" s="269" t="s">
        <v>244</v>
      </c>
      <c r="D4" s="269" t="s">
        <v>245</v>
      </c>
      <c r="E4" s="269" t="s">
        <v>246</v>
      </c>
      <c r="F4" s="270">
        <v>45748</v>
      </c>
      <c r="G4" s="4" t="s">
        <v>247</v>
      </c>
      <c r="H4" s="4" t="str">
        <f ca="1">'Database MK'!Q5</f>
        <v>DPPP</v>
      </c>
      <c r="I4" s="24">
        <f>'Database MK'!S5</f>
        <v>1</v>
      </c>
      <c r="J4" s="24">
        <f>'Database MK'!T5</f>
        <v>1</v>
      </c>
      <c r="K4" s="571">
        <f>'Database MK'!U5</f>
        <v>0</v>
      </c>
      <c r="L4" s="561">
        <f>'Database MK'!V5</f>
        <v>0</v>
      </c>
      <c r="M4" s="561">
        <f>'Database MK'!W5</f>
        <v>852.5</v>
      </c>
      <c r="N4" s="561">
        <f>Table3[[#This Row],[Total Panjang Pipa Aktual]]-Table3[[#This Row],[Volume
BA MC-0]]</f>
        <v>852.5</v>
      </c>
      <c r="O4" s="7" t="str">
        <f ca="1">'Database MK'!DE5</f>
        <v>Sudah, OnSchedule</v>
      </c>
      <c r="P4" s="7" t="str">
        <f ca="1">'Database MK'!DI5</f>
        <v>Sudah, Delay</v>
      </c>
      <c r="Q4" s="7" t="str">
        <f ca="1">'Database MK'!DN5</f>
        <v>Sudah, Delay</v>
      </c>
      <c r="R4" s="7" t="str">
        <f ca="1">'Database MK'!DR5</f>
        <v>Sudah, Delay</v>
      </c>
      <c r="S4" s="7" t="str">
        <f ca="1">'Database MK'!EA5</f>
        <v>Belum, Delay</v>
      </c>
      <c r="T4" s="7" t="str">
        <f ca="1">'Database MK'!EI5</f>
        <v>Belum, Delay</v>
      </c>
      <c r="U4" s="7" t="str">
        <f ca="1">'Database MK'!ET5</f>
        <v>Belum, Delay</v>
      </c>
      <c r="V4" s="7" t="str">
        <f ca="1">'Database MK'!GA5</f>
        <v>Belum, Delay</v>
      </c>
      <c r="W4" s="7" t="str">
        <f ca="1">'Database MK'!GD5</f>
        <v>Sudah, OnSchedule</v>
      </c>
      <c r="X4" s="7" t="str">
        <f ca="1">'Database MK'!GG5</f>
        <v>Sudah, OnSchedule</v>
      </c>
      <c r="Y4" s="7" t="str">
        <f ca="1">'Database MK'!GK5</f>
        <v>Sudah, OnSchedule</v>
      </c>
      <c r="Z4" s="7" t="str">
        <f ca="1">'Database MK'!HH5</f>
        <v>Sudah, Delay</v>
      </c>
      <c r="AA4" s="7" t="str">
        <f ca="1">'Database MK'!HR5</f>
        <v>Sudah, Delay</v>
      </c>
      <c r="AB4" s="7" t="str">
        <f ca="1">'Database MK'!HX5</f>
        <v>Sudah, Delay</v>
      </c>
      <c r="AC4" s="7">
        <f>'Database MK'!DA5-'Database MK'!DB5</f>
        <v>18</v>
      </c>
      <c r="AD4" s="7">
        <f>'Database MK'!DA5-'Database MK'!DF5</f>
        <v>-22</v>
      </c>
      <c r="AE4" s="7">
        <f>'Database MK'!DK5-'Database MK'!DL5</f>
        <v>-75</v>
      </c>
      <c r="AF4" s="7">
        <f>'Database MK'!DK5-'Database MK'!DO5</f>
        <v>-212</v>
      </c>
      <c r="AG4" s="7">
        <f>'Database MK'!DU5-'Database MK'!DW5</f>
        <v>45277</v>
      </c>
      <c r="AH4" s="7" t="str">
        <f>IF('Database MK'!EB5="","Belum",'Database MK'!DU5-'Database MK'!EB5)</f>
        <v>Belum</v>
      </c>
      <c r="AI4" s="7" t="str">
        <f>IF('Database MK'!EN5="","Belum",'Database MK'!EL5-'Database MK'!EN5)</f>
        <v>Belum</v>
      </c>
      <c r="AJ4" s="7">
        <f>'Database MK'!FY5-'Database MK'!FZ5</f>
        <v>0</v>
      </c>
      <c r="AK4" s="7">
        <f>IF('Database MK'!GC5="","Belum",'Database MK'!GB5-'Database MK'!GC5)</f>
        <v>33</v>
      </c>
      <c r="AL4" s="7">
        <f>IF('Database MK'!GF5="","Belum",'Database MK'!GE5-'Database MK'!GF5)</f>
        <v>40</v>
      </c>
      <c r="AM4" s="279">
        <f>IF('Database MK'!GJ5="","Belum",'Database MK'!GI5-'Database MK'!GJ5)</f>
        <v>23</v>
      </c>
      <c r="AN4" s="7">
        <f>IF('Database MK'!HG5="","Belum",'Database MK'!HF5-'Database MK'!HG5)</f>
        <v>-79</v>
      </c>
      <c r="AO4" s="7">
        <f>IF('Database MK'!HQ5="","Belum",'Database MK'!HN5-'Database MK'!HQ5)</f>
        <v>-91</v>
      </c>
      <c r="AP4" s="7">
        <f>IF('Database MK'!HW5="","Belum",'Database MK'!HU5-'Database MK'!HW5)</f>
        <v>-98</v>
      </c>
    </row>
    <row r="5" spans="2:42" x14ac:dyDescent="0.25">
      <c r="B5" s="7">
        <f>SUBTOTAL(3,$C$4:C5)</f>
        <v>2</v>
      </c>
      <c r="C5" s="269" t="s">
        <v>244</v>
      </c>
      <c r="D5" s="269" t="s">
        <v>262</v>
      </c>
      <c r="E5" s="269" t="s">
        <v>263</v>
      </c>
      <c r="F5" s="270">
        <v>45748</v>
      </c>
      <c r="G5" s="4" t="s">
        <v>247</v>
      </c>
      <c r="H5" s="4" t="str">
        <f ca="1">'Database MK'!Q6</f>
        <v>DPPP</v>
      </c>
      <c r="I5" s="24">
        <f>'Database MK'!S6</f>
        <v>1</v>
      </c>
      <c r="J5" s="24">
        <f>'Database MK'!T6</f>
        <v>1</v>
      </c>
      <c r="K5" s="571">
        <f>'Database MK'!U6</f>
        <v>0</v>
      </c>
      <c r="L5" s="561">
        <f>'Database MK'!V6</f>
        <v>1083</v>
      </c>
      <c r="M5" s="561">
        <f>'Database MK'!W6</f>
        <v>1071.72</v>
      </c>
      <c r="N5" s="561">
        <f>Table3[[#This Row],[Total Panjang Pipa Aktual]]-Table3[[#This Row],[Volume
BA MC-0]]</f>
        <v>-11.279999999999973</v>
      </c>
      <c r="O5" s="7" t="str">
        <f ca="1">'Database MK'!DE6</f>
        <v>Sudah, Delay</v>
      </c>
      <c r="P5" s="7" t="str">
        <f ca="1">'Database MK'!DI6</f>
        <v>Sudah, Delay</v>
      </c>
      <c r="Q5" s="7" t="str">
        <f ca="1">'Database MK'!DN6</f>
        <v>Sudah, OnSchedule</v>
      </c>
      <c r="R5" s="7" t="str">
        <f ca="1">'Database MK'!DR6</f>
        <v>Sudah, Delay</v>
      </c>
      <c r="S5" s="7" t="str">
        <f ca="1">'Database MK'!EA6</f>
        <v>Belum, Delay</v>
      </c>
      <c r="T5" s="7" t="str">
        <f ca="1">'Database MK'!EI6</f>
        <v>Belum, Delay</v>
      </c>
      <c r="U5" s="7" t="str">
        <f ca="1">'Database MK'!ET6</f>
        <v>Belum, Delay</v>
      </c>
      <c r="V5" s="7" t="str">
        <f ca="1">'Database MK'!GA6</f>
        <v>Belum, Delay</v>
      </c>
      <c r="W5" s="7" t="str">
        <f ca="1">'Database MK'!GD6</f>
        <v>Sudah, OnSchedule</v>
      </c>
      <c r="X5" s="7" t="str">
        <f ca="1">'Database MK'!GG6</f>
        <v>Sudah, OnSchedule</v>
      </c>
      <c r="Y5" s="7" t="str">
        <f ca="1">'Database MK'!GK6</f>
        <v>Sudah, OnSchedule</v>
      </c>
      <c r="Z5" s="7" t="str">
        <f ca="1">'Database MK'!HH6</f>
        <v>Sudah, Delay</v>
      </c>
      <c r="AA5" s="7" t="str">
        <f ca="1">'Database MK'!HR6</f>
        <v>Sudah, Delay</v>
      </c>
      <c r="AB5" s="7" t="str">
        <f ca="1">'Database MK'!HX6</f>
        <v>Sudah, Delay</v>
      </c>
      <c r="AC5" s="7">
        <f>'Database MK'!DA6-'Database MK'!DB6</f>
        <v>-12</v>
      </c>
      <c r="AD5" s="7">
        <f>'Database MK'!DA6-'Database MK'!DF6</f>
        <v>-22</v>
      </c>
      <c r="AE5" s="7">
        <f>'Database MK'!DK6-'Database MK'!DL6</f>
        <v>170.28899305555387</v>
      </c>
      <c r="AF5" s="7">
        <f>'Database MK'!DK6-'Database MK'!DO6</f>
        <v>-11.291666666664241</v>
      </c>
      <c r="AG5" s="7">
        <f>'Database MK'!DU6-'Database MK'!DW6</f>
        <v>45277</v>
      </c>
      <c r="AH5" s="7" t="str">
        <f>IF('Database MK'!EB6="","Belum",'Database MK'!DU6-'Database MK'!EB6)</f>
        <v>Belum</v>
      </c>
      <c r="AI5" s="7" t="str">
        <f>IF('Database MK'!EN6="","Belum",'Database MK'!EL6-'Database MK'!EN6)</f>
        <v>Belum</v>
      </c>
      <c r="AJ5" s="7">
        <f>'Database MK'!FY6-'Database MK'!FZ6</f>
        <v>0</v>
      </c>
      <c r="AK5" s="7">
        <f>IF('Database MK'!GC6="","Belum",'Database MK'!GB6-'Database MK'!GC6)</f>
        <v>33</v>
      </c>
      <c r="AL5" s="7">
        <f>IF('Database MK'!GF6="","Belum",'Database MK'!GE6-'Database MK'!GF6)</f>
        <v>40</v>
      </c>
      <c r="AM5" s="279">
        <f>IF('Database MK'!GJ6="","Belum",'Database MK'!GI6-'Database MK'!GJ6)</f>
        <v>23</v>
      </c>
      <c r="AN5" s="7">
        <f>IF('Database MK'!HG6="","Belum",'Database MK'!HF6-'Database MK'!HG6)</f>
        <v>-79</v>
      </c>
      <c r="AO5" s="7">
        <f>IF('Database MK'!HQ6="","Belum",'Database MK'!HN6-'Database MK'!HQ6)</f>
        <v>-91</v>
      </c>
      <c r="AP5" s="7">
        <f>IF('Database MK'!HW6="","Belum",'Database MK'!HU6-'Database MK'!HW6)</f>
        <v>-98</v>
      </c>
    </row>
    <row r="6" spans="2:42" x14ac:dyDescent="0.25">
      <c r="B6" s="7">
        <f>SUBTOTAL(3,$C$4:C6)</f>
        <v>3</v>
      </c>
      <c r="C6" s="269" t="s">
        <v>244</v>
      </c>
      <c r="D6" s="269" t="s">
        <v>267</v>
      </c>
      <c r="E6" s="269" t="s">
        <v>268</v>
      </c>
      <c r="F6" s="270">
        <v>45748</v>
      </c>
      <c r="G6" s="4" t="s">
        <v>247</v>
      </c>
      <c r="H6" s="4" t="str">
        <f ca="1">'Database MK'!Q7</f>
        <v>DPPP</v>
      </c>
      <c r="I6" s="24">
        <f>'Database MK'!S7</f>
        <v>1</v>
      </c>
      <c r="J6" s="24">
        <f>'Database MK'!T7</f>
        <v>1</v>
      </c>
      <c r="K6" s="571">
        <f>'Database MK'!U7</f>
        <v>0</v>
      </c>
      <c r="L6" s="561">
        <f>'Database MK'!V7</f>
        <v>593</v>
      </c>
      <c r="M6" s="561">
        <f>'Database MK'!W7</f>
        <v>606.9</v>
      </c>
      <c r="N6" s="561">
        <f>Table3[[#This Row],[Total Panjang Pipa Aktual]]-Table3[[#This Row],[Volume
BA MC-0]]</f>
        <v>13.899999999999977</v>
      </c>
      <c r="O6" s="7" t="str">
        <f ca="1">'Database MK'!DE7</f>
        <v>Sudah, OnSchedule</v>
      </c>
      <c r="P6" s="7" t="str">
        <f ca="1">'Database MK'!DI7</f>
        <v>Sudah, Delay</v>
      </c>
      <c r="Q6" s="7" t="str">
        <f ca="1">'Database MK'!DN7</f>
        <v>Sudah, OnSchedule</v>
      </c>
      <c r="R6" s="7" t="str">
        <f ca="1">'Database MK'!DR7</f>
        <v>Sudah, Delay</v>
      </c>
      <c r="S6" s="7" t="str">
        <f ca="1">'Database MK'!EA7</f>
        <v>Belum, Delay</v>
      </c>
      <c r="T6" s="7" t="str">
        <f ca="1">'Database MK'!EI7</f>
        <v>Belum, Delay</v>
      </c>
      <c r="U6" s="7" t="str">
        <f ca="1">'Database MK'!ET7</f>
        <v>Belum, Delay</v>
      </c>
      <c r="V6" s="7" t="str">
        <f ca="1">'Database MK'!GA7</f>
        <v>Belum, Delay</v>
      </c>
      <c r="W6" s="7" t="str">
        <f ca="1">'Database MK'!GD7</f>
        <v>Sudah, OnSchedule</v>
      </c>
      <c r="X6" s="7" t="str">
        <f ca="1">'Database MK'!GG7</f>
        <v>Sudah, OnSchedule</v>
      </c>
      <c r="Y6" s="7" t="str">
        <f ca="1">'Database MK'!GK7</f>
        <v>Sudah, OnSchedule</v>
      </c>
      <c r="Z6" s="7" t="str">
        <f ca="1">'Database MK'!HH7</f>
        <v>Sudah, Delay</v>
      </c>
      <c r="AA6" s="7" t="str">
        <f ca="1">'Database MK'!HR7</f>
        <v>Sudah, Delay</v>
      </c>
      <c r="AB6" s="7" t="str">
        <f ca="1">'Database MK'!HX7</f>
        <v>Sudah, Delay</v>
      </c>
      <c r="AC6" s="7">
        <f>'Database MK'!DA7-'Database MK'!DB7</f>
        <v>43</v>
      </c>
      <c r="AD6" s="7">
        <f>'Database MK'!DA7-'Database MK'!DF7</f>
        <v>-15</v>
      </c>
      <c r="AE6" s="7">
        <f>'Database MK'!DK7-'Database MK'!DL7</f>
        <v>2</v>
      </c>
      <c r="AF6" s="7">
        <f>'Database MK'!DK7-'Database MK'!DO7</f>
        <v>-30</v>
      </c>
      <c r="AG6" s="7">
        <f>'Database MK'!DU7-'Database MK'!DW7</f>
        <v>45235</v>
      </c>
      <c r="AH6" s="7" t="str">
        <f>IF('Database MK'!EB7="","Belum",'Database MK'!DU7-'Database MK'!EB7)</f>
        <v>Belum</v>
      </c>
      <c r="AI6" s="7" t="str">
        <f>IF('Database MK'!EN7="","Belum",'Database MK'!EL7-'Database MK'!EN7)</f>
        <v>Belum</v>
      </c>
      <c r="AJ6" s="7">
        <f>'Database MK'!FY7-'Database MK'!FZ7</f>
        <v>0</v>
      </c>
      <c r="AK6" s="7">
        <f>IF('Database MK'!GC7="","Belum",'Database MK'!GB7-'Database MK'!GC7)</f>
        <v>15</v>
      </c>
      <c r="AL6" s="7">
        <f>IF('Database MK'!GF7="","Belum",'Database MK'!GE7-'Database MK'!GF7)</f>
        <v>22</v>
      </c>
      <c r="AM6" s="279">
        <f>IF('Database MK'!GJ7="","Belum",'Database MK'!GI7-'Database MK'!GJ7)</f>
        <v>219</v>
      </c>
      <c r="AN6" s="7">
        <f>IF('Database MK'!HG7="","Belum",'Database MK'!HF7-'Database MK'!HG7)</f>
        <v>-25</v>
      </c>
      <c r="AO6" s="7">
        <f>IF('Database MK'!HQ7="","Belum",'Database MK'!HN7-'Database MK'!HQ7)</f>
        <v>-20</v>
      </c>
      <c r="AP6" s="7">
        <f>IF('Database MK'!HW7="","Belum",'Database MK'!HU7-'Database MK'!HW7)</f>
        <v>-369</v>
      </c>
    </row>
    <row r="7" spans="2:42" x14ac:dyDescent="0.25">
      <c r="B7" s="7">
        <f>SUBTOTAL(3,$C$4:C7)</f>
        <v>4</v>
      </c>
      <c r="C7" s="269" t="s">
        <v>244</v>
      </c>
      <c r="D7" s="269" t="s">
        <v>276</v>
      </c>
      <c r="E7" s="269" t="s">
        <v>277</v>
      </c>
      <c r="F7" s="270">
        <v>45748</v>
      </c>
      <c r="G7" s="4" t="s">
        <v>247</v>
      </c>
      <c r="H7" s="4" t="str">
        <f ca="1">'Database MK'!Q8</f>
        <v>DPPP</v>
      </c>
      <c r="I7" s="24">
        <f>'Database MK'!S8</f>
        <v>1</v>
      </c>
      <c r="J7" s="24">
        <f>'Database MK'!T8</f>
        <v>1</v>
      </c>
      <c r="K7" s="571">
        <f>'Database MK'!U8</f>
        <v>0</v>
      </c>
      <c r="L7" s="561">
        <f>'Database MK'!V8</f>
        <v>1215</v>
      </c>
      <c r="M7" s="561">
        <f>'Database MK'!W8</f>
        <v>1215</v>
      </c>
      <c r="N7" s="561">
        <f>Table3[[#This Row],[Total Panjang Pipa Aktual]]-Table3[[#This Row],[Volume
BA MC-0]]</f>
        <v>0</v>
      </c>
      <c r="O7" s="7" t="str">
        <f ca="1">'Database MK'!DE8</f>
        <v>Sudah, Delay</v>
      </c>
      <c r="P7" s="7" t="str">
        <f ca="1">'Database MK'!DI8</f>
        <v>Sudah, Delay</v>
      </c>
      <c r="Q7" s="7" t="str">
        <f ca="1">'Database MK'!DN8</f>
        <v>Belum, Delay</v>
      </c>
      <c r="R7" s="7" t="str">
        <f ca="1">'Database MK'!DR8</f>
        <v>Belum, Delay</v>
      </c>
      <c r="S7" s="7" t="str">
        <f ca="1">'Database MK'!EA8</f>
        <v>Belum, Delay</v>
      </c>
      <c r="T7" s="7" t="str">
        <f ca="1">'Database MK'!EI8</f>
        <v>Belum, Delay</v>
      </c>
      <c r="U7" s="7" t="str">
        <f ca="1">'Database MK'!ET8</f>
        <v>Belum, Delay</v>
      </c>
      <c r="V7" s="7" t="str">
        <f ca="1">'Database MK'!GA8</f>
        <v>Belum, Delay</v>
      </c>
      <c r="W7" s="7" t="str">
        <f ca="1">'Database MK'!GD8</f>
        <v>Sudah, Delay</v>
      </c>
      <c r="X7" s="7" t="str">
        <f ca="1">'Database MK'!GG8</f>
        <v>Sudah, Delay</v>
      </c>
      <c r="Y7" s="7" t="str">
        <f ca="1">'Database MK'!GK8</f>
        <v>Sudah, OnSchedule</v>
      </c>
      <c r="Z7" s="7" t="str">
        <f ca="1">'Database MK'!HH8</f>
        <v>Sudah, Delay</v>
      </c>
      <c r="AA7" s="7" t="str">
        <f ca="1">'Database MK'!HR8</f>
        <v>Sudah, Delay</v>
      </c>
      <c r="AB7" s="7" t="str">
        <f ca="1">'Database MK'!HX8</f>
        <v>Sudah, Delay</v>
      </c>
      <c r="AC7" s="7">
        <f>'Database MK'!DA8-'Database MK'!DB8</f>
        <v>-32</v>
      </c>
      <c r="AD7" s="7">
        <f>'Database MK'!DA8-'Database MK'!DF8</f>
        <v>-128</v>
      </c>
      <c r="AE7" s="7">
        <f>'Database MK'!DK8-'Database MK'!DL8</f>
        <v>45171</v>
      </c>
      <c r="AF7" s="7">
        <f>'Database MK'!DK8-'Database MK'!DO8</f>
        <v>45171</v>
      </c>
      <c r="AG7" s="7">
        <f>'Database MK'!DU8-'Database MK'!DW8</f>
        <v>45171</v>
      </c>
      <c r="AH7" s="7" t="str">
        <f>IF('Database MK'!EB8="","Belum",'Database MK'!DU8-'Database MK'!EB8)</f>
        <v>Belum</v>
      </c>
      <c r="AI7" s="7" t="str">
        <f>IF('Database MK'!EN8="","Belum",'Database MK'!EL8-'Database MK'!EN8)</f>
        <v>Belum</v>
      </c>
      <c r="AJ7" s="7">
        <f>'Database MK'!FY8-'Database MK'!FZ8</f>
        <v>0</v>
      </c>
      <c r="AK7" s="7">
        <f>IF('Database MK'!GC8="","Belum",'Database MK'!GB8-'Database MK'!GC8)</f>
        <v>-91</v>
      </c>
      <c r="AL7" s="7">
        <f>IF('Database MK'!GF8="","Belum",'Database MK'!GE8-'Database MK'!GF8)</f>
        <v>-91</v>
      </c>
      <c r="AM7" s="279">
        <f>IF('Database MK'!GJ8="","Belum",'Database MK'!GI8-'Database MK'!GJ8)</f>
        <v>733</v>
      </c>
      <c r="AN7" s="7">
        <f>IF('Database MK'!HG8="","Belum",'Database MK'!HF8-'Database MK'!HG8)</f>
        <v>-34</v>
      </c>
      <c r="AO7" s="7">
        <f>IF('Database MK'!HQ8="","Belum",'Database MK'!HN8-'Database MK'!HQ8)</f>
        <v>-54</v>
      </c>
      <c r="AP7" s="7">
        <f>IF('Database MK'!HW8="","Belum",'Database MK'!HU8-'Database MK'!HW8)</f>
        <v>-426</v>
      </c>
    </row>
    <row r="8" spans="2:42" x14ac:dyDescent="0.25">
      <c r="B8" s="7">
        <f>SUBTOTAL(3,$C$4:C8)</f>
        <v>5</v>
      </c>
      <c r="C8" s="269" t="s">
        <v>244</v>
      </c>
      <c r="D8" s="269" t="s">
        <v>284</v>
      </c>
      <c r="E8" s="269" t="s">
        <v>285</v>
      </c>
      <c r="F8" s="270">
        <v>45748</v>
      </c>
      <c r="G8" s="4" t="s">
        <v>247</v>
      </c>
      <c r="H8" s="4" t="str">
        <f ca="1">'Database MK'!Q9</f>
        <v>DPPP</v>
      </c>
      <c r="I8" s="24">
        <f>'Database MK'!S9</f>
        <v>1</v>
      </c>
      <c r="J8" s="24">
        <f>'Database MK'!T9</f>
        <v>1</v>
      </c>
      <c r="K8" s="571">
        <f>'Database MK'!U9</f>
        <v>0</v>
      </c>
      <c r="L8" s="561">
        <f>'Database MK'!V9</f>
        <v>3274</v>
      </c>
      <c r="M8" s="561">
        <f>'Database MK'!W9</f>
        <v>3075</v>
      </c>
      <c r="N8" s="561">
        <f>Table3[[#This Row],[Total Panjang Pipa Aktual]]-Table3[[#This Row],[Volume
BA MC-0]]</f>
        <v>-199</v>
      </c>
      <c r="O8" s="7" t="str">
        <f ca="1">'Database MK'!DE9</f>
        <v>Sudah, OnSchedule</v>
      </c>
      <c r="P8" s="7" t="str">
        <f ca="1">'Database MK'!DI9</f>
        <v>Sudah, Delay</v>
      </c>
      <c r="Q8" s="7" t="str">
        <f ca="1">'Database MK'!DN9</f>
        <v>Belum, Delay</v>
      </c>
      <c r="R8" s="7" t="str">
        <f ca="1">'Database MK'!DR9</f>
        <v>Belum, Delay</v>
      </c>
      <c r="S8" s="7" t="str">
        <f ca="1">'Database MK'!EA9</f>
        <v>Belum, Delay</v>
      </c>
      <c r="T8" s="7" t="str">
        <f ca="1">'Database MK'!EI9</f>
        <v>Belum, Delay</v>
      </c>
      <c r="U8" s="7" t="str">
        <f ca="1">'Database MK'!ET9</f>
        <v>Belum, Delay</v>
      </c>
      <c r="V8" s="7" t="str">
        <f ca="1">'Database MK'!GA9</f>
        <v>Belum, Delay</v>
      </c>
      <c r="W8" s="7" t="str">
        <f ca="1">'Database MK'!GD9</f>
        <v>Sudah, Delay</v>
      </c>
      <c r="X8" s="7" t="str">
        <f ca="1">'Database MK'!GG9</f>
        <v>Sudah, Delay</v>
      </c>
      <c r="Y8" s="7" t="str">
        <f ca="1">'Database MK'!GK9</f>
        <v>Sudah, OnSchedule</v>
      </c>
      <c r="Z8" s="7" t="str">
        <f ca="1">'Database MK'!HH9</f>
        <v>Sudah, OnSchedule</v>
      </c>
      <c r="AA8" s="7" t="str">
        <f ca="1">'Database MK'!HR9</f>
        <v>Sudah, OnSchedule</v>
      </c>
      <c r="AB8" s="7" t="str">
        <f ca="1">'Database MK'!HX9</f>
        <v>Sudah, Delay</v>
      </c>
      <c r="AC8" s="7">
        <f>'Database MK'!DA9-'Database MK'!DB9</f>
        <v>28</v>
      </c>
      <c r="AD8" s="7">
        <f>'Database MK'!DA9-'Database MK'!DF9</f>
        <v>-65</v>
      </c>
      <c r="AE8" s="7">
        <f>'Database MK'!DK9-'Database MK'!DL9</f>
        <v>45234</v>
      </c>
      <c r="AF8" s="7">
        <f>'Database MK'!DK9-'Database MK'!DO9</f>
        <v>45234</v>
      </c>
      <c r="AG8" s="7">
        <f>'Database MK'!DU9-'Database MK'!DW9</f>
        <v>45234</v>
      </c>
      <c r="AH8" s="7" t="str">
        <f>IF('Database MK'!EB9="","Belum",'Database MK'!DU9-'Database MK'!EB9)</f>
        <v>Belum</v>
      </c>
      <c r="AI8" s="7" t="str">
        <f>IF('Database MK'!EN9="","Belum",'Database MK'!EL9-'Database MK'!EN9)</f>
        <v>Belum</v>
      </c>
      <c r="AJ8" s="7">
        <f>'Database MK'!FY9-'Database MK'!FZ9</f>
        <v>0</v>
      </c>
      <c r="AK8" s="7">
        <f>IF('Database MK'!GC9="","Belum",'Database MK'!GB9-'Database MK'!GC9)</f>
        <v>-91</v>
      </c>
      <c r="AL8" s="7">
        <f>IF('Database MK'!GF9="","Belum",'Database MK'!GE9-'Database MK'!GF9)</f>
        <v>-91</v>
      </c>
      <c r="AM8" s="279">
        <f>IF('Database MK'!GJ9="","Belum",'Database MK'!GI9-'Database MK'!GJ9)</f>
        <v>731</v>
      </c>
      <c r="AN8" s="7">
        <f>IF('Database MK'!HG9="","Belum",'Database MK'!HF9-'Database MK'!HG9)</f>
        <v>21</v>
      </c>
      <c r="AO8" s="7">
        <f>IF('Database MK'!HQ9="","Belum",'Database MK'!HN9-'Database MK'!HQ9)</f>
        <v>2</v>
      </c>
      <c r="AP8" s="7">
        <f>IF('Database MK'!HW9="","Belum",'Database MK'!HU9-'Database MK'!HW9)</f>
        <v>-370</v>
      </c>
    </row>
    <row r="9" spans="2:42" x14ac:dyDescent="0.25">
      <c r="B9" s="7">
        <f>SUBTOTAL(3,$C$4:C9)</f>
        <v>6</v>
      </c>
      <c r="C9" s="269" t="s">
        <v>244</v>
      </c>
      <c r="D9" s="269" t="s">
        <v>289</v>
      </c>
      <c r="E9" s="269" t="s">
        <v>290</v>
      </c>
      <c r="F9" s="270">
        <v>45748</v>
      </c>
      <c r="G9" s="4" t="s">
        <v>247</v>
      </c>
      <c r="H9" s="4" t="str">
        <f ca="1">'Database MK'!Q10</f>
        <v>DPPP</v>
      </c>
      <c r="I9" s="24">
        <f>'Database MK'!S10</f>
        <v>1</v>
      </c>
      <c r="J9" s="24">
        <f>'Database MK'!T10</f>
        <v>1</v>
      </c>
      <c r="K9" s="571">
        <f>'Database MK'!U10</f>
        <v>0</v>
      </c>
      <c r="L9" s="561">
        <f>'Database MK'!V10</f>
        <v>85</v>
      </c>
      <c r="M9" s="561">
        <f>'Database MK'!W10</f>
        <v>85</v>
      </c>
      <c r="N9" s="561">
        <f>Table3[[#This Row],[Total Panjang Pipa Aktual]]-Table3[[#This Row],[Volume
BA MC-0]]</f>
        <v>0</v>
      </c>
      <c r="O9" s="7" t="str">
        <f ca="1">'Database MK'!DE10</f>
        <v>Sudah, Delay</v>
      </c>
      <c r="P9" s="7" t="str">
        <f ca="1">'Database MK'!DI10</f>
        <v>Sudah, Delay</v>
      </c>
      <c r="Q9" s="7" t="str">
        <f ca="1">'Database MK'!DN10</f>
        <v>Sudah, Delay</v>
      </c>
      <c r="R9" s="7" t="str">
        <f ca="1">'Database MK'!DR10</f>
        <v>Sudah, Delay</v>
      </c>
      <c r="S9" s="7" t="str">
        <f ca="1">'Database MK'!EA10</f>
        <v>Belum, Delay</v>
      </c>
      <c r="T9" s="7" t="str">
        <f ca="1">'Database MK'!EI10</f>
        <v>Belum, Delay</v>
      </c>
      <c r="U9" s="7" t="str">
        <f ca="1">'Database MK'!ET10</f>
        <v>Belum, Delay</v>
      </c>
      <c r="V9" s="7" t="str">
        <f ca="1">'Database MK'!GA10</f>
        <v>Belum, Delay</v>
      </c>
      <c r="W9" s="7" t="str">
        <f ca="1">'Database MK'!GD10</f>
        <v>Sudah, OnSchedule</v>
      </c>
      <c r="X9" s="7" t="str">
        <f ca="1">'Database MK'!GG10</f>
        <v>Sudah, OnSchedule</v>
      </c>
      <c r="Y9" s="7" t="str">
        <f ca="1">'Database MK'!GK10</f>
        <v>Sudah, OnSchedule</v>
      </c>
      <c r="Z9" s="7" t="str">
        <f ca="1">'Database MK'!HH10</f>
        <v>Sudah, Delay</v>
      </c>
      <c r="AA9" s="7" t="str">
        <f ca="1">'Database MK'!HR10</f>
        <v>Sudah, Delay</v>
      </c>
      <c r="AB9" s="7" t="str">
        <f ca="1">'Database MK'!HX10</f>
        <v>Sudah, Delay</v>
      </c>
      <c r="AC9" s="7">
        <f>'Database MK'!DA10-'Database MK'!DB10</f>
        <v>-190</v>
      </c>
      <c r="AD9" s="7">
        <f>'Database MK'!DA10-'Database MK'!DF10</f>
        <v>-222</v>
      </c>
      <c r="AE9" s="7">
        <f>'Database MK'!DK10-'Database MK'!DL10</f>
        <v>-255</v>
      </c>
      <c r="AF9" s="7">
        <f>'Database MK'!DK10-'Database MK'!DO10</f>
        <v>-409</v>
      </c>
      <c r="AG9" s="7">
        <f>'Database MK'!DU10-'Database MK'!DW10</f>
        <v>45270</v>
      </c>
      <c r="AH9" s="7" t="str">
        <f>IF('Database MK'!EB10="","Belum",'Database MK'!DU10-'Database MK'!EB10)</f>
        <v>Belum</v>
      </c>
      <c r="AI9" s="7" t="str">
        <f>IF('Database MK'!EN10="","Belum",'Database MK'!EL10-'Database MK'!EN10)</f>
        <v>Belum</v>
      </c>
      <c r="AJ9" s="7">
        <f>'Database MK'!FY10-'Database MK'!FZ10</f>
        <v>0</v>
      </c>
      <c r="AK9" s="7">
        <f>IF('Database MK'!GC10="","Belum",'Database MK'!GB10-'Database MK'!GC10)</f>
        <v>13</v>
      </c>
      <c r="AL9" s="7">
        <f>IF('Database MK'!GF10="","Belum",'Database MK'!GE10-'Database MK'!GF10)</f>
        <v>20</v>
      </c>
      <c r="AM9" s="279">
        <f>IF('Database MK'!GJ10="","Belum",'Database MK'!GI10-'Database MK'!GJ10)</f>
        <v>13</v>
      </c>
      <c r="AN9" s="7">
        <f>IF('Database MK'!HG10="","Belum",'Database MK'!HF10-'Database MK'!HG10)</f>
        <v>-17</v>
      </c>
      <c r="AO9" s="7">
        <f>IF('Database MK'!HQ10="","Belum",'Database MK'!HN10-'Database MK'!HQ10)</f>
        <v>-14</v>
      </c>
      <c r="AP9" s="7">
        <f>IF('Database MK'!HW10="","Belum",'Database MK'!HU10-'Database MK'!HW10)</f>
        <v>-369</v>
      </c>
    </row>
    <row r="10" spans="2:42" x14ac:dyDescent="0.25">
      <c r="B10" s="7">
        <f>SUBTOTAL(3,$C$4:C10)</f>
        <v>7</v>
      </c>
      <c r="C10" s="269" t="s">
        <v>244</v>
      </c>
      <c r="D10" s="269" t="s">
        <v>299</v>
      </c>
      <c r="E10" s="269" t="s">
        <v>300</v>
      </c>
      <c r="F10" s="270">
        <v>45748</v>
      </c>
      <c r="G10" s="4" t="s">
        <v>247</v>
      </c>
      <c r="H10" s="4" t="str">
        <f ca="1">'Database MK'!Q11</f>
        <v>DPPP</v>
      </c>
      <c r="I10" s="24">
        <f>'Database MK'!S11</f>
        <v>1</v>
      </c>
      <c r="J10" s="24">
        <f>'Database MK'!T11</f>
        <v>1</v>
      </c>
      <c r="K10" s="571">
        <f>'Database MK'!U11</f>
        <v>0</v>
      </c>
      <c r="L10" s="561">
        <f>'Database MK'!V11</f>
        <v>80</v>
      </c>
      <c r="M10" s="561">
        <f>'Database MK'!W11</f>
        <v>80</v>
      </c>
      <c r="N10" s="561">
        <f>Table3[[#This Row],[Total Panjang Pipa Aktual]]-Table3[[#This Row],[Volume
BA MC-0]]</f>
        <v>0</v>
      </c>
      <c r="O10" s="7" t="str">
        <f ca="1">'Database MK'!DE11</f>
        <v>Sudah, OnSchedule</v>
      </c>
      <c r="P10" s="7" t="str">
        <f ca="1">'Database MK'!DI11</f>
        <v>Sudah, OnSchedule</v>
      </c>
      <c r="Q10" s="7" t="str">
        <f ca="1">'Database MK'!DN11</f>
        <v>Belum, Delay</v>
      </c>
      <c r="R10" s="7" t="str">
        <f ca="1">'Database MK'!DR11</f>
        <v>Belum, Delay</v>
      </c>
      <c r="S10" s="7" t="str">
        <f ca="1">'Database MK'!EA11</f>
        <v>Belum, Delay</v>
      </c>
      <c r="T10" s="7" t="str">
        <f ca="1">'Database MK'!EI11</f>
        <v>Belum, Delay</v>
      </c>
      <c r="U10" s="7" t="str">
        <f ca="1">'Database MK'!ET11</f>
        <v>Belum, Delay</v>
      </c>
      <c r="V10" s="7" t="str">
        <f ca="1">'Database MK'!GA11</f>
        <v>Belum, Delay</v>
      </c>
      <c r="W10" s="7" t="str">
        <f ca="1">'Database MK'!GD11</f>
        <v>Sudah, OnSchedule</v>
      </c>
      <c r="X10" s="7" t="str">
        <f ca="1">'Database MK'!GG11</f>
        <v>Sudah, OnSchedule</v>
      </c>
      <c r="Y10" s="7" t="str">
        <f ca="1">'Database MK'!GK11</f>
        <v>Sudah, OnSchedule</v>
      </c>
      <c r="Z10" s="7" t="str">
        <f ca="1">'Database MK'!HH11</f>
        <v>Sudah, Delay</v>
      </c>
      <c r="AA10" s="7" t="str">
        <f ca="1">'Database MK'!HR11</f>
        <v>Sudah, Delay</v>
      </c>
      <c r="AB10" s="7" t="str">
        <f ca="1">'Database MK'!HX11</f>
        <v>Sudah, Delay</v>
      </c>
      <c r="AC10" s="7">
        <f>'Database MK'!DA11-'Database MK'!DB11</f>
        <v>73</v>
      </c>
      <c r="AD10" s="7">
        <f>'Database MK'!DA11-'Database MK'!DF11</f>
        <v>47</v>
      </c>
      <c r="AE10" s="7">
        <f>'Database MK'!DK11-'Database MK'!DL11</f>
        <v>45466</v>
      </c>
      <c r="AF10" s="7">
        <f>'Database MK'!DK11-'Database MK'!DO11</f>
        <v>45466</v>
      </c>
      <c r="AG10" s="7">
        <f>'Database MK'!DU11-'Database MK'!DW11</f>
        <v>45466</v>
      </c>
      <c r="AH10" s="7" t="str">
        <f>IF('Database MK'!EB11="","Belum",'Database MK'!DU11-'Database MK'!EB11)</f>
        <v>Belum</v>
      </c>
      <c r="AI10" s="7" t="str">
        <f>IF('Database MK'!EN11="","Belum",'Database MK'!EL11-'Database MK'!EN11)</f>
        <v>Belum</v>
      </c>
      <c r="AJ10" s="7">
        <f>'Database MK'!FY11-'Database MK'!FZ11</f>
        <v>0</v>
      </c>
      <c r="AK10" s="7">
        <f>IF('Database MK'!GC11="","Belum",'Database MK'!GB11-'Database MK'!GC11)</f>
        <v>78</v>
      </c>
      <c r="AL10" s="7">
        <f>IF('Database MK'!GF11="","Belum",'Database MK'!GE11-'Database MK'!GF11)</f>
        <v>85</v>
      </c>
      <c r="AM10" s="279">
        <f>IF('Database MK'!GJ11="","Belum",'Database MK'!GI11-'Database MK'!GJ11)</f>
        <v>94</v>
      </c>
      <c r="AN10" s="7">
        <f>IF('Database MK'!HG11="","Belum",'Database MK'!HF11-'Database MK'!HG11)</f>
        <v>-10</v>
      </c>
      <c r="AO10" s="7">
        <f>IF('Database MK'!HQ11="","Belum",'Database MK'!HN11-'Database MK'!HQ11)</f>
        <v>-5</v>
      </c>
      <c r="AP10" s="7">
        <f>IF('Database MK'!HW11="","Belum",'Database MK'!HU11-'Database MK'!HW11)</f>
        <v>-159</v>
      </c>
    </row>
    <row r="11" spans="2:42" x14ac:dyDescent="0.25">
      <c r="B11" s="7">
        <f>SUBTOTAL(3,$C$4:C11)</f>
        <v>8</v>
      </c>
      <c r="C11" s="269" t="s">
        <v>244</v>
      </c>
      <c r="D11" s="269" t="s">
        <v>304</v>
      </c>
      <c r="E11" s="269" t="s">
        <v>305</v>
      </c>
      <c r="F11" s="270">
        <v>45748</v>
      </c>
      <c r="G11" s="4" t="s">
        <v>247</v>
      </c>
      <c r="H11" s="4" t="str">
        <f ca="1">'Database MK'!Q12</f>
        <v>DPPP</v>
      </c>
      <c r="I11" s="24">
        <f>'Database MK'!S12</f>
        <v>1</v>
      </c>
      <c r="J11" s="24">
        <f>'Database MK'!T12</f>
        <v>1</v>
      </c>
      <c r="K11" s="571">
        <f>'Database MK'!U12</f>
        <v>0</v>
      </c>
      <c r="L11" s="561">
        <f>'Database MK'!V12</f>
        <v>240</v>
      </c>
      <c r="M11" s="561">
        <f>'Database MK'!W12</f>
        <v>175</v>
      </c>
      <c r="N11" s="561">
        <f>Table3[[#This Row],[Total Panjang Pipa Aktual]]-Table3[[#This Row],[Volume
BA MC-0]]</f>
        <v>-65</v>
      </c>
      <c r="O11" s="7" t="str">
        <f ca="1">'Database MK'!DE12</f>
        <v>Belum, Delay</v>
      </c>
      <c r="P11" s="7" t="str">
        <f ca="1">'Database MK'!DI12</f>
        <v>Belum, Delay</v>
      </c>
      <c r="Q11" s="7" t="str">
        <f ca="1">'Database MK'!DN12</f>
        <v>Belum, Delay</v>
      </c>
      <c r="R11" s="7" t="str">
        <f ca="1">'Database MK'!DR12</f>
        <v>Belum, Delay</v>
      </c>
      <c r="S11" s="7" t="str">
        <f ca="1">'Database MK'!EA12</f>
        <v>Belum, Delay</v>
      </c>
      <c r="T11" s="7" t="str">
        <f ca="1">'Database MK'!EI12</f>
        <v>Belum, Delay</v>
      </c>
      <c r="U11" s="7" t="str">
        <f ca="1">'Database MK'!ET12</f>
        <v>Belum, Delay</v>
      </c>
      <c r="V11" s="7" t="str">
        <f ca="1">'Database MK'!GA12</f>
        <v>Belum, Delay</v>
      </c>
      <c r="W11" s="7" t="str">
        <f ca="1">'Database MK'!GD12</f>
        <v>Sudah, OnSchedule</v>
      </c>
      <c r="X11" s="7" t="str">
        <f ca="1">'Database MK'!GG12</f>
        <v>Sudah, OnSchedule</v>
      </c>
      <c r="Y11" s="7" t="str">
        <f ca="1">'Database MK'!GK12</f>
        <v>Sudah, OnSchedule</v>
      </c>
      <c r="Z11" s="7" t="str">
        <f ca="1">'Database MK'!HH12</f>
        <v>Sudah, Delay</v>
      </c>
      <c r="AA11" s="7" t="str">
        <f ca="1">'Database MK'!HR12</f>
        <v>Sudah, Delay</v>
      </c>
      <c r="AB11" s="7" t="str">
        <f ca="1">'Database MK'!HX12</f>
        <v>Sudah, Delay</v>
      </c>
      <c r="AC11" s="7">
        <f>'Database MK'!DA12-'Database MK'!DB12</f>
        <v>45417</v>
      </c>
      <c r="AD11" s="7">
        <f>'Database MK'!DA12-'Database MK'!DF12</f>
        <v>45417</v>
      </c>
      <c r="AE11" s="7">
        <f>'Database MK'!DK12-'Database MK'!DL12</f>
        <v>45466</v>
      </c>
      <c r="AF11" s="7">
        <f>'Database MK'!DK12-'Database MK'!DO12</f>
        <v>45466</v>
      </c>
      <c r="AG11" s="7">
        <f>'Database MK'!DU12-'Database MK'!DW12</f>
        <v>45466</v>
      </c>
      <c r="AH11" s="7" t="str">
        <f>IF('Database MK'!EB12="","Belum",'Database MK'!DU12-'Database MK'!EB12)</f>
        <v>Belum</v>
      </c>
      <c r="AI11" s="7" t="str">
        <f>IF('Database MK'!EN12="","Belum",'Database MK'!EL12-'Database MK'!EN12)</f>
        <v>Belum</v>
      </c>
      <c r="AJ11" s="7">
        <f>'Database MK'!FY12-'Database MK'!FZ12</f>
        <v>0</v>
      </c>
      <c r="AK11" s="7">
        <f>IF('Database MK'!GC12="","Belum",'Database MK'!GB12-'Database MK'!GC12)</f>
        <v>78</v>
      </c>
      <c r="AL11" s="7">
        <f>IF('Database MK'!GF12="","Belum",'Database MK'!GE12-'Database MK'!GF12)</f>
        <v>85</v>
      </c>
      <c r="AM11" s="279">
        <f>IF('Database MK'!GJ12="","Belum",'Database MK'!GI12-'Database MK'!GJ12)</f>
        <v>94</v>
      </c>
      <c r="AN11" s="7">
        <f>IF('Database MK'!HG12="","Belum",'Database MK'!HF12-'Database MK'!HG12)</f>
        <v>-22</v>
      </c>
      <c r="AO11" s="7">
        <f>IF('Database MK'!HQ12="","Belum",'Database MK'!HN12-'Database MK'!HQ12)</f>
        <v>-17</v>
      </c>
      <c r="AP11" s="7">
        <f>IF('Database MK'!HW12="","Belum",'Database MK'!HU12-'Database MK'!HW12)</f>
        <v>-159</v>
      </c>
    </row>
    <row r="12" spans="2:42" x14ac:dyDescent="0.25">
      <c r="B12" s="7">
        <f>SUBTOTAL(3,$C$4:C12)</f>
        <v>9</v>
      </c>
      <c r="C12" s="269" t="s">
        <v>244</v>
      </c>
      <c r="D12" s="269" t="s">
        <v>307</v>
      </c>
      <c r="E12" s="269" t="s">
        <v>308</v>
      </c>
      <c r="F12" s="270">
        <v>45748</v>
      </c>
      <c r="G12" s="4" t="s">
        <v>247</v>
      </c>
      <c r="H12" s="4" t="str">
        <f ca="1">'Database MK'!Q13</f>
        <v>DPPP</v>
      </c>
      <c r="I12" s="24">
        <f>'Database MK'!S13</f>
        <v>1</v>
      </c>
      <c r="J12" s="24">
        <f>'Database MK'!T13</f>
        <v>1</v>
      </c>
      <c r="K12" s="571">
        <f>'Database MK'!U13</f>
        <v>0</v>
      </c>
      <c r="L12" s="561">
        <f>'Database MK'!V13</f>
        <v>108</v>
      </c>
      <c r="M12" s="561">
        <f>'Database MK'!W13</f>
        <v>104.4</v>
      </c>
      <c r="N12" s="561">
        <f>Table3[[#This Row],[Total Panjang Pipa Aktual]]-Table3[[#This Row],[Volume
BA MC-0]]</f>
        <v>-3.5999999999999943</v>
      </c>
      <c r="O12" s="7" t="str">
        <f ca="1">'Database MK'!DE13</f>
        <v>Belum, Delay</v>
      </c>
      <c r="P12" s="7" t="str">
        <f ca="1">'Database MK'!DI13</f>
        <v>Belum, Delay</v>
      </c>
      <c r="Q12" s="7" t="str">
        <f ca="1">'Database MK'!DN13</f>
        <v>Sudah, OnSchedule</v>
      </c>
      <c r="R12" s="7" t="str">
        <f ca="1">'Database MK'!DR13</f>
        <v>Sudah, OnSchedule</v>
      </c>
      <c r="S12" s="7" t="str">
        <f ca="1">'Database MK'!EA13</f>
        <v>Belum, Delay</v>
      </c>
      <c r="T12" s="7" t="str">
        <f ca="1">'Database MK'!EI13</f>
        <v>Belum, Delay</v>
      </c>
      <c r="U12" s="7" t="str">
        <f ca="1">'Database MK'!ET13</f>
        <v>Belum, Delay</v>
      </c>
      <c r="V12" s="7" t="str">
        <f ca="1">'Database MK'!GA13</f>
        <v>Belum, Delay</v>
      </c>
      <c r="W12" s="7" t="str">
        <f ca="1">'Database MK'!GD13</f>
        <v>Sudah, OnSchedule</v>
      </c>
      <c r="X12" s="7" t="str">
        <f ca="1">'Database MK'!GG13</f>
        <v>Sudah, OnSchedule</v>
      </c>
      <c r="Y12" s="7" t="str">
        <f ca="1">'Database MK'!GK13</f>
        <v>Sudah, OnSchedule</v>
      </c>
      <c r="Z12" s="7" t="str">
        <f ca="1">'Database MK'!HH13</f>
        <v>Sudah, OnSchedule</v>
      </c>
      <c r="AA12" s="7" t="str">
        <f ca="1">'Database MK'!HR13</f>
        <v>Sudah, OnSchedule</v>
      </c>
      <c r="AB12" s="7" t="str">
        <f ca="1">'Database MK'!HX13</f>
        <v>Sudah, Delay</v>
      </c>
      <c r="AC12" s="7">
        <f>'Database MK'!DA13-'Database MK'!DB13</f>
        <v>45417</v>
      </c>
      <c r="AD12" s="7">
        <f>'Database MK'!DA13-'Database MK'!DF13</f>
        <v>45417</v>
      </c>
      <c r="AE12" s="7">
        <f>'Database MK'!DK13-'Database MK'!DL13</f>
        <v>36</v>
      </c>
      <c r="AF12" s="7">
        <f>'Database MK'!DK13-'Database MK'!DO13</f>
        <v>17</v>
      </c>
      <c r="AG12" s="7">
        <f>'Database MK'!DU13-'Database MK'!DW13</f>
        <v>45466</v>
      </c>
      <c r="AH12" s="7" t="str">
        <f>IF('Database MK'!EB13="","Belum",'Database MK'!DU13-'Database MK'!EB13)</f>
        <v>Belum</v>
      </c>
      <c r="AI12" s="7" t="str">
        <f>IF('Database MK'!EN13="","Belum",'Database MK'!EL13-'Database MK'!EN13)</f>
        <v>Belum</v>
      </c>
      <c r="AJ12" s="7">
        <f>'Database MK'!FY13-'Database MK'!FZ13</f>
        <v>0</v>
      </c>
      <c r="AK12" s="7">
        <f>IF('Database MK'!GC13="","Belum",'Database MK'!GB13-'Database MK'!GC13)</f>
        <v>78</v>
      </c>
      <c r="AL12" s="7">
        <f>IF('Database MK'!GF13="","Belum",'Database MK'!GE13-'Database MK'!GF13)</f>
        <v>85</v>
      </c>
      <c r="AM12" s="279">
        <f>IF('Database MK'!GJ13="","Belum",'Database MK'!GI13-'Database MK'!GJ13)</f>
        <v>95</v>
      </c>
      <c r="AN12" s="7">
        <f>IF('Database MK'!HG13="","Belum",'Database MK'!HF13-'Database MK'!HG13)</f>
        <v>18</v>
      </c>
      <c r="AO12" s="7">
        <f>IF('Database MK'!HQ13="","Belum",'Database MK'!HN13-'Database MK'!HQ13)</f>
        <v>23</v>
      </c>
      <c r="AP12" s="7">
        <f>IF('Database MK'!HW13="","Belum",'Database MK'!HU13-'Database MK'!HW13)</f>
        <v>-159</v>
      </c>
    </row>
    <row r="13" spans="2:42" x14ac:dyDescent="0.25">
      <c r="B13" s="7">
        <f>SUBTOTAL(3,$C$4:C13)</f>
        <v>10</v>
      </c>
      <c r="C13" s="269" t="s">
        <v>244</v>
      </c>
      <c r="D13" s="269" t="s">
        <v>313</v>
      </c>
      <c r="E13" s="269" t="s">
        <v>314</v>
      </c>
      <c r="F13" s="270">
        <v>45748</v>
      </c>
      <c r="G13" s="4" t="s">
        <v>247</v>
      </c>
      <c r="H13" s="4" t="str">
        <f ca="1">'Database MK'!Q14</f>
        <v>DPPP</v>
      </c>
      <c r="I13" s="24">
        <f>'Database MK'!S14</f>
        <v>1</v>
      </c>
      <c r="J13" s="24">
        <f>'Database MK'!T14</f>
        <v>1</v>
      </c>
      <c r="K13" s="571">
        <f>'Database MK'!U14</f>
        <v>0</v>
      </c>
      <c r="L13" s="561">
        <f>'Database MK'!V14</f>
        <v>9</v>
      </c>
      <c r="M13" s="561">
        <f>'Database MK'!W14</f>
        <v>298.7</v>
      </c>
      <c r="N13" s="561">
        <f>Table3[[#This Row],[Total Panjang Pipa Aktual]]-Table3[[#This Row],[Volume
BA MC-0]]</f>
        <v>289.7</v>
      </c>
      <c r="O13" s="7" t="str">
        <f ca="1">'Database MK'!DE14</f>
        <v>Belum, Delay</v>
      </c>
      <c r="P13" s="7" t="str">
        <f ca="1">'Database MK'!DI14</f>
        <v>Belum, Delay</v>
      </c>
      <c r="Q13" s="7" t="str">
        <f ca="1">'Database MK'!DN14</f>
        <v>Belum, Delay</v>
      </c>
      <c r="R13" s="7" t="str">
        <f ca="1">'Database MK'!DR14</f>
        <v>Belum, Delay</v>
      </c>
      <c r="S13" s="7" t="str">
        <f ca="1">'Database MK'!EA14</f>
        <v>Belum, Delay</v>
      </c>
      <c r="T13" s="7" t="str">
        <f ca="1">'Database MK'!EI14</f>
        <v>Belum, Delay</v>
      </c>
      <c r="U13" s="7" t="str">
        <f ca="1">'Database MK'!ET14</f>
        <v>Belum, Delay</v>
      </c>
      <c r="V13" s="7" t="str">
        <f ca="1">'Database MK'!GA14</f>
        <v>Belum, Delay</v>
      </c>
      <c r="W13" s="7" t="str">
        <f ca="1">'Database MK'!GD14</f>
        <v>Sudah, OnSchedule</v>
      </c>
      <c r="X13" s="7" t="str">
        <f ca="1">'Database MK'!GG14</f>
        <v>Sudah, OnSchedule</v>
      </c>
      <c r="Y13" s="7" t="str">
        <f ca="1">'Database MK'!GK14</f>
        <v>Sudah, OnSchedule</v>
      </c>
      <c r="Z13" s="7" t="str">
        <f ca="1">'Database MK'!HH14</f>
        <v>Sudah, OnSchedule</v>
      </c>
      <c r="AA13" s="7" t="str">
        <f ca="1">'Database MK'!HR14</f>
        <v>Sudah, OnSchedule</v>
      </c>
      <c r="AB13" s="7" t="str">
        <f ca="1">'Database MK'!HX14</f>
        <v>Sudah, Delay</v>
      </c>
      <c r="AC13" s="7">
        <f>'Database MK'!DA14-'Database MK'!DB14</f>
        <v>45417</v>
      </c>
      <c r="AD13" s="7">
        <f>'Database MK'!DA14-'Database MK'!DF14</f>
        <v>45417</v>
      </c>
      <c r="AE13" s="7">
        <f>'Database MK'!DK14-'Database MK'!DL14</f>
        <v>45466</v>
      </c>
      <c r="AF13" s="7">
        <f>'Database MK'!DK14-'Database MK'!DO14</f>
        <v>45466</v>
      </c>
      <c r="AG13" s="7">
        <f>'Database MK'!DU14-'Database MK'!DW14</f>
        <v>45466</v>
      </c>
      <c r="AH13" s="7" t="str">
        <f>IF('Database MK'!EB14="","Belum",'Database MK'!DU14-'Database MK'!EB14)</f>
        <v>Belum</v>
      </c>
      <c r="AI13" s="7" t="str">
        <f>IF('Database MK'!EN14="","Belum",'Database MK'!EL14-'Database MK'!EN14)</f>
        <v>Belum</v>
      </c>
      <c r="AJ13" s="7">
        <f>'Database MK'!FY14-'Database MK'!FZ14</f>
        <v>0</v>
      </c>
      <c r="AK13" s="7">
        <f>IF('Database MK'!GC14="","Belum",'Database MK'!GB14-'Database MK'!GC14)</f>
        <v>78</v>
      </c>
      <c r="AL13" s="7">
        <f>IF('Database MK'!GF14="","Belum",'Database MK'!GE14-'Database MK'!GF14)</f>
        <v>85</v>
      </c>
      <c r="AM13" s="279">
        <f>IF('Database MK'!GJ14="","Belum",'Database MK'!GI14-'Database MK'!GJ14)</f>
        <v>95</v>
      </c>
      <c r="AN13" s="7">
        <f>IF('Database MK'!HG14="","Belum",'Database MK'!HF14-'Database MK'!HG14)</f>
        <v>18</v>
      </c>
      <c r="AO13" s="7">
        <f>IF('Database MK'!HQ14="","Belum",'Database MK'!HN14-'Database MK'!HQ14)</f>
        <v>23</v>
      </c>
      <c r="AP13" s="7">
        <f>IF('Database MK'!HW14="","Belum",'Database MK'!HU14-'Database MK'!HW14)</f>
        <v>-159</v>
      </c>
    </row>
    <row r="14" spans="2:42" x14ac:dyDescent="0.25">
      <c r="B14" s="7">
        <f>SUBTOTAL(3,$C$4:C14)</f>
        <v>11</v>
      </c>
      <c r="C14" s="269" t="s">
        <v>244</v>
      </c>
      <c r="D14" s="269" t="s">
        <v>316</v>
      </c>
      <c r="E14" s="269" t="s">
        <v>317</v>
      </c>
      <c r="F14" s="270">
        <v>45748</v>
      </c>
      <c r="G14" s="4" t="s">
        <v>247</v>
      </c>
      <c r="H14" s="4" t="str">
        <f ca="1">'Database MK'!Q15</f>
        <v>DPPP</v>
      </c>
      <c r="I14" s="24">
        <f>'Database MK'!S15</f>
        <v>1</v>
      </c>
      <c r="J14" s="24">
        <f>'Database MK'!T15</f>
        <v>1</v>
      </c>
      <c r="K14" s="571">
        <f>'Database MK'!U15</f>
        <v>0</v>
      </c>
      <c r="L14" s="561">
        <f>'Database MK'!V15</f>
        <v>63</v>
      </c>
      <c r="M14" s="561">
        <f>'Database MK'!W15</f>
        <v>63</v>
      </c>
      <c r="N14" s="561">
        <f>Table3[[#This Row],[Total Panjang Pipa Aktual]]-Table3[[#This Row],[Volume
BA MC-0]]</f>
        <v>0</v>
      </c>
      <c r="O14" s="7" t="str">
        <f ca="1">'Database MK'!DE15</f>
        <v>Belum, Delay</v>
      </c>
      <c r="P14" s="7" t="str">
        <f ca="1">'Database MK'!DI15</f>
        <v>Belum, Delay</v>
      </c>
      <c r="Q14" s="7" t="str">
        <f ca="1">'Database MK'!DN15</f>
        <v>Sudah, OnSchedule</v>
      </c>
      <c r="R14" s="7" t="str">
        <f ca="1">'Database MK'!DR15</f>
        <v>Sudah, OnSchedule</v>
      </c>
      <c r="S14" s="7" t="str">
        <f ca="1">'Database MK'!EA15</f>
        <v>Belum, Delay</v>
      </c>
      <c r="T14" s="7" t="str">
        <f ca="1">'Database MK'!EI15</f>
        <v>Belum, Delay</v>
      </c>
      <c r="U14" s="7" t="str">
        <f ca="1">'Database MK'!ET15</f>
        <v>Belum, Delay</v>
      </c>
      <c r="V14" s="7" t="str">
        <f ca="1">'Database MK'!GA15</f>
        <v>Belum, Delay</v>
      </c>
      <c r="W14" s="7" t="str">
        <f ca="1">'Database MK'!GD15</f>
        <v>Sudah, OnSchedule</v>
      </c>
      <c r="X14" s="7" t="str">
        <f ca="1">'Database MK'!GG15</f>
        <v>Sudah, OnSchedule</v>
      </c>
      <c r="Y14" s="7" t="str">
        <f ca="1">'Database MK'!GK15</f>
        <v>Sudah, OnSchedule</v>
      </c>
      <c r="Z14" s="7" t="str">
        <f ca="1">'Database MK'!HH15</f>
        <v>Sudah, OnSchedule</v>
      </c>
      <c r="AA14" s="7" t="str">
        <f ca="1">'Database MK'!HR15</f>
        <v>Sudah, OnSchedule</v>
      </c>
      <c r="AB14" s="7" t="str">
        <f ca="1">'Database MK'!HX15</f>
        <v>Sudah, Delay</v>
      </c>
      <c r="AC14" s="7">
        <f>'Database MK'!DA15-'Database MK'!DB15</f>
        <v>45417</v>
      </c>
      <c r="AD14" s="7">
        <f>'Database MK'!DA15-'Database MK'!DF15</f>
        <v>45417</v>
      </c>
      <c r="AE14" s="7">
        <f>'Database MK'!DK15-'Database MK'!DL15</f>
        <v>58</v>
      </c>
      <c r="AF14" s="7">
        <f>'Database MK'!DK15-'Database MK'!DO15</f>
        <v>18</v>
      </c>
      <c r="AG14" s="7">
        <f>'Database MK'!DU15-'Database MK'!DW15</f>
        <v>45466</v>
      </c>
      <c r="AH14" s="7" t="str">
        <f>IF('Database MK'!EB15="","Belum",'Database MK'!DU15-'Database MK'!EB15)</f>
        <v>Belum</v>
      </c>
      <c r="AI14" s="7" t="str">
        <f>IF('Database MK'!EN15="","Belum",'Database MK'!EL15-'Database MK'!EN15)</f>
        <v>Belum</v>
      </c>
      <c r="AJ14" s="7">
        <f>'Database MK'!FY15-'Database MK'!FZ15</f>
        <v>0</v>
      </c>
      <c r="AK14" s="7">
        <f>IF('Database MK'!GC15="","Belum",'Database MK'!GB15-'Database MK'!GC15)</f>
        <v>78</v>
      </c>
      <c r="AL14" s="7">
        <f>IF('Database MK'!GF15="","Belum",'Database MK'!GE15-'Database MK'!GF15)</f>
        <v>85</v>
      </c>
      <c r="AM14" s="279">
        <f>IF('Database MK'!GJ15="","Belum",'Database MK'!GI15-'Database MK'!GJ15)</f>
        <v>94</v>
      </c>
      <c r="AN14" s="7">
        <f>IF('Database MK'!HG15="","Belum",'Database MK'!HF15-'Database MK'!HG15)</f>
        <v>18</v>
      </c>
      <c r="AO14" s="7">
        <f>IF('Database MK'!HQ15="","Belum",'Database MK'!HN15-'Database MK'!HQ15)</f>
        <v>23</v>
      </c>
      <c r="AP14" s="7">
        <f>IF('Database MK'!HW15="","Belum",'Database MK'!HU15-'Database MK'!HW15)</f>
        <v>-159</v>
      </c>
    </row>
    <row r="15" spans="2:42" x14ac:dyDescent="0.25">
      <c r="B15" s="7">
        <f>SUBTOTAL(3,$C$4:C15)</f>
        <v>12</v>
      </c>
      <c r="C15" s="269" t="s">
        <v>244</v>
      </c>
      <c r="D15" s="269" t="s">
        <v>321</v>
      </c>
      <c r="E15" s="269" t="s">
        <v>322</v>
      </c>
      <c r="F15" s="270">
        <v>45748</v>
      </c>
      <c r="G15" s="4" t="s">
        <v>247</v>
      </c>
      <c r="H15" s="4" t="str">
        <f ca="1">'Database MK'!Q16</f>
        <v>DPPP</v>
      </c>
      <c r="I15" s="24">
        <f>'Database MK'!S16</f>
        <v>1</v>
      </c>
      <c r="J15" s="24">
        <f>'Database MK'!T16</f>
        <v>1</v>
      </c>
      <c r="K15" s="571">
        <f>'Database MK'!U16</f>
        <v>0</v>
      </c>
      <c r="L15" s="561">
        <f>'Database MK'!V16</f>
        <v>1800</v>
      </c>
      <c r="M15" s="561">
        <f>'Database MK'!W16</f>
        <v>1817.1299999999999</v>
      </c>
      <c r="N15" s="561">
        <f>Table3[[#This Row],[Total Panjang Pipa Aktual]]-Table3[[#This Row],[Volume
BA MC-0]]</f>
        <v>17.129999999999882</v>
      </c>
      <c r="O15" s="7" t="str">
        <f ca="1">'Database MK'!DE16</f>
        <v>Belum, Delay</v>
      </c>
      <c r="P15" s="7" t="str">
        <f ca="1">'Database MK'!DI16</f>
        <v>Belum, Delay</v>
      </c>
      <c r="Q15" s="7" t="str">
        <f ca="1">'Database MK'!DN16</f>
        <v>Sudah, OnSchedule</v>
      </c>
      <c r="R15" s="7" t="str">
        <f ca="1">'Database MK'!DR16</f>
        <v>Sudah, Delay</v>
      </c>
      <c r="S15" s="7" t="str">
        <f ca="1">'Database MK'!EA16</f>
        <v>Belum, Delay</v>
      </c>
      <c r="T15" s="7" t="str">
        <f ca="1">'Database MK'!EI16</f>
        <v>Belum, Delay</v>
      </c>
      <c r="U15" s="7" t="str">
        <f ca="1">'Database MK'!ET16</f>
        <v>Belum, Delay</v>
      </c>
      <c r="V15" s="7" t="str">
        <f ca="1">'Database MK'!GA16</f>
        <v>Belum, Delay</v>
      </c>
      <c r="W15" s="7" t="str">
        <f ca="1">'Database MK'!GD16</f>
        <v>Sudah, OnSchedule</v>
      </c>
      <c r="X15" s="7" t="str">
        <f ca="1">'Database MK'!GG16</f>
        <v>Sudah, OnSchedule</v>
      </c>
      <c r="Y15" s="7" t="str">
        <f ca="1">'Database MK'!GK16</f>
        <v>Sudah, Delay</v>
      </c>
      <c r="Z15" s="7" t="str">
        <f ca="1">'Database MK'!HH16</f>
        <v>Sudah, Delay</v>
      </c>
      <c r="AA15" s="7" t="str">
        <f ca="1">'Database MK'!HR16</f>
        <v>Sudah, Delay</v>
      </c>
      <c r="AB15" s="7" t="str">
        <f ca="1">'Database MK'!HX16</f>
        <v>Sudah, Delay</v>
      </c>
      <c r="AC15" s="7">
        <f>'Database MK'!DA16-'Database MK'!DB16</f>
        <v>45382</v>
      </c>
      <c r="AD15" s="7">
        <f>'Database MK'!DA16-'Database MK'!DF16</f>
        <v>45382</v>
      </c>
      <c r="AE15" s="7">
        <f>'Database MK'!DK16-'Database MK'!DL16</f>
        <v>16</v>
      </c>
      <c r="AF15" s="7">
        <f>'Database MK'!DK16-'Database MK'!DO16</f>
        <v>-121</v>
      </c>
      <c r="AG15" s="7">
        <f>'Database MK'!DU16-'Database MK'!DW16</f>
        <v>45431</v>
      </c>
      <c r="AH15" s="7" t="str">
        <f>IF('Database MK'!EB16="","Belum",'Database MK'!DU16-'Database MK'!EB16)</f>
        <v>Belum</v>
      </c>
      <c r="AI15" s="7" t="str">
        <f>IF('Database MK'!EN16="","Belum",'Database MK'!EL16-'Database MK'!EN16)</f>
        <v>Belum</v>
      </c>
      <c r="AJ15" s="7">
        <f>'Database MK'!FY16-'Database MK'!FZ16</f>
        <v>0</v>
      </c>
      <c r="AK15" s="7">
        <f>IF('Database MK'!GC16="","Belum",'Database MK'!GB16-'Database MK'!GC16)</f>
        <v>121</v>
      </c>
      <c r="AL15" s="7">
        <f>IF('Database MK'!GF16="","Belum",'Database MK'!GE16-'Database MK'!GF16)</f>
        <v>128</v>
      </c>
      <c r="AM15" s="279">
        <f>IF('Database MK'!GJ16="","Belum",'Database MK'!GI16-'Database MK'!GJ16)</f>
        <v>-251</v>
      </c>
      <c r="AN15" s="7">
        <f>IF('Database MK'!HG16="","Belum",'Database MK'!HF16-'Database MK'!HG16)</f>
        <v>-64</v>
      </c>
      <c r="AO15" s="7">
        <f>IF('Database MK'!HQ16="","Belum",'Database MK'!HN16-'Database MK'!HQ16)</f>
        <v>-54</v>
      </c>
      <c r="AP15" s="7">
        <f>IF('Database MK'!HW16="","Belum",'Database MK'!HU16-'Database MK'!HW16)</f>
        <v>-7</v>
      </c>
    </row>
    <row r="16" spans="2:42" x14ac:dyDescent="0.25">
      <c r="B16" s="7">
        <f>SUBTOTAL(3,$C$4:C16)</f>
        <v>13</v>
      </c>
      <c r="C16" s="269" t="s">
        <v>244</v>
      </c>
      <c r="D16" s="269" t="s">
        <v>323</v>
      </c>
      <c r="E16" s="269" t="s">
        <v>324</v>
      </c>
      <c r="F16" s="270">
        <v>45748</v>
      </c>
      <c r="G16" s="4" t="s">
        <v>247</v>
      </c>
      <c r="H16" s="4" t="str">
        <f ca="1">'Database MK'!Q17</f>
        <v>DPPP</v>
      </c>
      <c r="I16" s="24">
        <f>'Database MK'!S17</f>
        <v>1</v>
      </c>
      <c r="J16" s="24">
        <f>'Database MK'!T17</f>
        <v>1</v>
      </c>
      <c r="K16" s="571">
        <f>'Database MK'!U17</f>
        <v>0</v>
      </c>
      <c r="L16" s="561">
        <f>'Database MK'!V17</f>
        <v>0</v>
      </c>
      <c r="M16" s="561">
        <f>'Database MK'!W17</f>
        <v>0</v>
      </c>
      <c r="N16" s="561">
        <f>Table3[[#This Row],[Total Panjang Pipa Aktual]]-Table3[[#This Row],[Volume
BA MC-0]]</f>
        <v>0</v>
      </c>
      <c r="O16" s="7" t="str">
        <f ca="1">'Database MK'!DE17</f>
        <v>Belum, Delay</v>
      </c>
      <c r="P16" s="7" t="str">
        <f ca="1">'Database MK'!DI17</f>
        <v>Belum, Delay</v>
      </c>
      <c r="Q16" s="7" t="str">
        <f ca="1">'Database MK'!DN17</f>
        <v>Sudah, OnSchedule</v>
      </c>
      <c r="R16" s="7" t="str">
        <f ca="1">'Database MK'!DR17</f>
        <v>Sudah, OnSchedule</v>
      </c>
      <c r="S16" s="7" t="str">
        <f ca="1">'Database MK'!EA17</f>
        <v>Belum, Delay</v>
      </c>
      <c r="T16" s="7" t="str">
        <f ca="1">'Database MK'!EI17</f>
        <v>Belum, Delay</v>
      </c>
      <c r="U16" s="7" t="str">
        <f ca="1">'Database MK'!ET17</f>
        <v>Belum, Delay</v>
      </c>
      <c r="V16" s="7" t="str">
        <f ca="1">'Database MK'!GA17</f>
        <v>Belum, Delay</v>
      </c>
      <c r="W16" s="7" t="str">
        <f ca="1">'Database MK'!GD17</f>
        <v>Sudah, Delay</v>
      </c>
      <c r="X16" s="7" t="str">
        <f ca="1">'Database MK'!GG17</f>
        <v>Sudah, Delay</v>
      </c>
      <c r="Y16" s="7" t="str">
        <f ca="1">'Database MK'!GK17</f>
        <v>Sudah, OnSchedule</v>
      </c>
      <c r="Z16" s="7" t="str">
        <f ca="1">'Database MK'!HH17</f>
        <v>Sudah, Delay</v>
      </c>
      <c r="AA16" s="7" t="str">
        <f ca="1">'Database MK'!HR17</f>
        <v>Sudah, Delay</v>
      </c>
      <c r="AB16" s="7" t="str">
        <f ca="1">'Database MK'!HX17</f>
        <v>Sudah, Delay</v>
      </c>
      <c r="AC16" s="7">
        <f>'Database MK'!DA17-'Database MK'!DB17</f>
        <v>45382</v>
      </c>
      <c r="AD16" s="7">
        <f>'Database MK'!DA17-'Database MK'!DF17</f>
        <v>45382</v>
      </c>
      <c r="AE16" s="7">
        <f>'Database MK'!DK17-'Database MK'!DL17</f>
        <v>61</v>
      </c>
      <c r="AF16" s="7">
        <f>'Database MK'!DK17-'Database MK'!DO17</f>
        <v>58</v>
      </c>
      <c r="AG16" s="7">
        <f>'Database MK'!DU17-'Database MK'!DW17</f>
        <v>45431</v>
      </c>
      <c r="AH16" s="7" t="str">
        <f>IF('Database MK'!EB17="","Belum",'Database MK'!DU17-'Database MK'!EB17)</f>
        <v>Belum</v>
      </c>
      <c r="AI16" s="7" t="str">
        <f>IF('Database MK'!EN17="","Belum",'Database MK'!EL17-'Database MK'!EN17)</f>
        <v>Belum</v>
      </c>
      <c r="AJ16" s="7">
        <f>'Database MK'!FY17-'Database MK'!FZ17</f>
        <v>0</v>
      </c>
      <c r="AK16" s="7">
        <f>IF('Database MK'!GC17="","Belum",'Database MK'!GB17-'Database MK'!GC17)</f>
        <v>-233</v>
      </c>
      <c r="AL16" s="7">
        <f>IF('Database MK'!GF17="","Belum",'Database MK'!GE17-'Database MK'!GF17)</f>
        <v>-226</v>
      </c>
      <c r="AM16" s="279">
        <f>IF('Database MK'!GJ17="","Belum",'Database MK'!GI17-'Database MK'!GJ17)</f>
        <v>305</v>
      </c>
      <c r="AN16" s="7">
        <f>IF('Database MK'!HG17="","Belum",'Database MK'!HF17-'Database MK'!HG17)</f>
        <v>-53</v>
      </c>
      <c r="AO16" s="7">
        <f>IF('Database MK'!HQ17="","Belum",'Database MK'!HN17-'Database MK'!HQ17)</f>
        <v>-68</v>
      </c>
      <c r="AP16" s="7">
        <f>IF('Database MK'!HW17="","Belum",'Database MK'!HU17-'Database MK'!HW17)</f>
        <v>-237</v>
      </c>
    </row>
    <row r="17" spans="2:42" x14ac:dyDescent="0.25">
      <c r="B17" s="7">
        <f>SUBTOTAL(3,$C$4:C17)</f>
        <v>14</v>
      </c>
      <c r="C17" s="269" t="s">
        <v>244</v>
      </c>
      <c r="D17" s="269" t="s">
        <v>331</v>
      </c>
      <c r="E17" s="269" t="s">
        <v>332</v>
      </c>
      <c r="F17" s="270">
        <v>45748</v>
      </c>
      <c r="G17" s="4" t="s">
        <v>247</v>
      </c>
      <c r="H17" s="4" t="str">
        <f ca="1">'Database MK'!Q18</f>
        <v>DPPP</v>
      </c>
      <c r="I17" s="24">
        <f>'Database MK'!S18</f>
        <v>1</v>
      </c>
      <c r="J17" s="24">
        <f>'Database MK'!T18</f>
        <v>1</v>
      </c>
      <c r="K17" s="571">
        <f>'Database MK'!U18</f>
        <v>0</v>
      </c>
      <c r="L17" s="561">
        <f>'Database MK'!V18</f>
        <v>0</v>
      </c>
      <c r="M17" s="561">
        <f>'Database MK'!W18</f>
        <v>0</v>
      </c>
      <c r="N17" s="561">
        <f>Table3[[#This Row],[Total Panjang Pipa Aktual]]-Table3[[#This Row],[Volume
BA MC-0]]</f>
        <v>0</v>
      </c>
      <c r="O17" s="7" t="str">
        <f ca="1">'Database MK'!DE18</f>
        <v>Belum, Delay</v>
      </c>
      <c r="P17" s="7" t="str">
        <f ca="1">'Database MK'!DI18</f>
        <v>Belum, Delay</v>
      </c>
      <c r="Q17" s="7" t="str">
        <f ca="1">'Database MK'!DN18</f>
        <v>Sudah, OnSchedule</v>
      </c>
      <c r="R17" s="7" t="str">
        <f ca="1">'Database MK'!DR18</f>
        <v>Sudah, OnSchedule</v>
      </c>
      <c r="S17" s="7" t="str">
        <f ca="1">'Database MK'!EA18</f>
        <v>Belum, Delay</v>
      </c>
      <c r="T17" s="7" t="str">
        <f ca="1">'Database MK'!EI18</f>
        <v>Belum, Delay</v>
      </c>
      <c r="U17" s="7" t="str">
        <f ca="1">'Database MK'!ET18</f>
        <v>Belum, Delay</v>
      </c>
      <c r="V17" s="7" t="str">
        <f ca="1">'Database MK'!GA18</f>
        <v>Belum, Delay</v>
      </c>
      <c r="W17" s="7" t="str">
        <f ca="1">'Database MK'!GD18</f>
        <v>Sudah, Delay</v>
      </c>
      <c r="X17" s="7" t="str">
        <f ca="1">'Database MK'!GG18</f>
        <v>Sudah, Delay</v>
      </c>
      <c r="Y17" s="7" t="str">
        <f ca="1">'Database MK'!GK18</f>
        <v>Sudah, OnSchedule</v>
      </c>
      <c r="Z17" s="7" t="str">
        <f ca="1">'Database MK'!HH18</f>
        <v>Sudah, Delay</v>
      </c>
      <c r="AA17" s="7" t="str">
        <f ca="1">'Database MK'!HR18</f>
        <v>Sudah, Delay</v>
      </c>
      <c r="AB17" s="7" t="str">
        <f ca="1">'Database MK'!HX18</f>
        <v>Sudah, Delay</v>
      </c>
      <c r="AC17" s="7">
        <f>'Database MK'!DA18-'Database MK'!DB18</f>
        <v>45382</v>
      </c>
      <c r="AD17" s="7">
        <f>'Database MK'!DA18-'Database MK'!DF18</f>
        <v>45382</v>
      </c>
      <c r="AE17" s="7">
        <f>'Database MK'!DK18-'Database MK'!DL18</f>
        <v>32</v>
      </c>
      <c r="AF17" s="7">
        <f>'Database MK'!DK18-'Database MK'!DO18</f>
        <v>58</v>
      </c>
      <c r="AG17" s="7">
        <f>'Database MK'!DU18-'Database MK'!DW18</f>
        <v>45431</v>
      </c>
      <c r="AH17" s="7" t="str">
        <f>IF('Database MK'!EB18="","Belum",'Database MK'!DU18-'Database MK'!EB18)</f>
        <v>Belum</v>
      </c>
      <c r="AI17" s="7" t="str">
        <f>IF('Database MK'!EN18="","Belum",'Database MK'!EL18-'Database MK'!EN18)</f>
        <v>Belum</v>
      </c>
      <c r="AJ17" s="7">
        <f>'Database MK'!FY18-'Database MK'!FZ18</f>
        <v>0</v>
      </c>
      <c r="AK17" s="7">
        <f>IF('Database MK'!GC18="","Belum",'Database MK'!GB18-'Database MK'!GC18)</f>
        <v>-233</v>
      </c>
      <c r="AL17" s="7">
        <f>IF('Database MK'!GF18="","Belum",'Database MK'!GE18-'Database MK'!GF18)</f>
        <v>-226</v>
      </c>
      <c r="AM17" s="279">
        <f>IF('Database MK'!GJ18="","Belum",'Database MK'!GI18-'Database MK'!GJ18)</f>
        <v>305</v>
      </c>
      <c r="AN17" s="7">
        <f>IF('Database MK'!HG18="","Belum",'Database MK'!HF18-'Database MK'!HG18)</f>
        <v>-53</v>
      </c>
      <c r="AO17" s="7">
        <f>IF('Database MK'!HQ18="","Belum",'Database MK'!HN18-'Database MK'!HQ18)</f>
        <v>-54</v>
      </c>
      <c r="AP17" s="7">
        <f>IF('Database MK'!HW18="","Belum",'Database MK'!HU18-'Database MK'!HW18)</f>
        <v>-237</v>
      </c>
    </row>
    <row r="18" spans="2:42" x14ac:dyDescent="0.25">
      <c r="B18" s="7">
        <f>SUBTOTAL(3,$C$4:C18)</f>
        <v>15</v>
      </c>
      <c r="C18" s="269" t="s">
        <v>244</v>
      </c>
      <c r="D18" s="269" t="s">
        <v>334</v>
      </c>
      <c r="E18" s="269" t="s">
        <v>335</v>
      </c>
      <c r="F18" s="270">
        <v>45748</v>
      </c>
      <c r="G18" s="4" t="s">
        <v>247</v>
      </c>
      <c r="H18" s="4" t="str">
        <f ca="1">'Database MK'!Q19</f>
        <v>DPPP</v>
      </c>
      <c r="I18" s="24">
        <f>'Database MK'!S19</f>
        <v>1</v>
      </c>
      <c r="J18" s="24">
        <f>'Database MK'!T19</f>
        <v>1</v>
      </c>
      <c r="K18" s="571">
        <f>'Database MK'!U19</f>
        <v>0</v>
      </c>
      <c r="L18" s="561">
        <f>'Database MK'!V19</f>
        <v>0</v>
      </c>
      <c r="M18" s="561">
        <f>'Database MK'!W19</f>
        <v>0</v>
      </c>
      <c r="N18" s="561">
        <f>Table3[[#This Row],[Total Panjang Pipa Aktual]]-Table3[[#This Row],[Volume
BA MC-0]]</f>
        <v>0</v>
      </c>
      <c r="O18" s="7" t="str">
        <f ca="1">'Database MK'!DE19</f>
        <v>Belum, Delay</v>
      </c>
      <c r="P18" s="7" t="str">
        <f ca="1">'Database MK'!DI19</f>
        <v>Belum, Delay</v>
      </c>
      <c r="Q18" s="7" t="str">
        <f ca="1">'Database MK'!DN19</f>
        <v>Belum, Delay</v>
      </c>
      <c r="R18" s="7" t="str">
        <f ca="1">'Database MK'!DR19</f>
        <v>Belum, Delay</v>
      </c>
      <c r="S18" s="7" t="str">
        <f ca="1">'Database MK'!EA19</f>
        <v>Belum, Delay</v>
      </c>
      <c r="T18" s="7" t="str">
        <f ca="1">'Database MK'!EI19</f>
        <v>Belum, Delay</v>
      </c>
      <c r="U18" s="7" t="str">
        <f ca="1">'Database MK'!ET19</f>
        <v>Belum, Delay</v>
      </c>
      <c r="V18" s="7" t="str">
        <f ca="1">'Database MK'!GA19</f>
        <v>Belum, Delay</v>
      </c>
      <c r="W18" s="7" t="str">
        <f ca="1">'Database MK'!GD19</f>
        <v>Sudah, OnSchedule</v>
      </c>
      <c r="X18" s="7" t="str">
        <f ca="1">'Database MK'!GG19</f>
        <v>Sudah, OnSchedule</v>
      </c>
      <c r="Y18" s="7" t="str">
        <f ca="1">'Database MK'!GK19</f>
        <v>Sudah, OnSchedule</v>
      </c>
      <c r="Z18" s="7" t="str">
        <f ca="1">'Database MK'!HH19</f>
        <v>Sudah, OnSchedule</v>
      </c>
      <c r="AA18" s="7" t="str">
        <f ca="1">'Database MK'!HR19</f>
        <v>Sudah, Delay</v>
      </c>
      <c r="AB18" s="7" t="str">
        <f ca="1">'Database MK'!HX19</f>
        <v>Sudah, Delay</v>
      </c>
      <c r="AC18" s="7">
        <f>'Database MK'!DA19-'Database MK'!DB19</f>
        <v>45382</v>
      </c>
      <c r="AD18" s="7">
        <f>'Database MK'!DA19-'Database MK'!DF19</f>
        <v>45382</v>
      </c>
      <c r="AE18" s="7">
        <f>'Database MK'!DK19-'Database MK'!DL19</f>
        <v>45536</v>
      </c>
      <c r="AF18" s="7">
        <f>'Database MK'!DK19-'Database MK'!DO19</f>
        <v>45536</v>
      </c>
      <c r="AG18" s="7">
        <f>'Database MK'!DU19-'Database MK'!DW19</f>
        <v>45431</v>
      </c>
      <c r="AH18" s="7" t="str">
        <f>IF('Database MK'!EB19="","Belum",'Database MK'!DU19-'Database MK'!EB19)</f>
        <v>Belum</v>
      </c>
      <c r="AI18" s="7" t="str">
        <f>IF('Database MK'!EN19="","Belum",'Database MK'!EL19-'Database MK'!EN19)</f>
        <v>Belum</v>
      </c>
      <c r="AJ18" s="7">
        <f>'Database MK'!FY19-'Database MK'!FZ19</f>
        <v>0</v>
      </c>
      <c r="AK18" s="7">
        <f>IF('Database MK'!GC19="","Belum",'Database MK'!GB19-'Database MK'!GC19)</f>
        <v>29</v>
      </c>
      <c r="AL18" s="7">
        <f>IF('Database MK'!GF19="","Belum",'Database MK'!GE19-'Database MK'!GF19)</f>
        <v>36</v>
      </c>
      <c r="AM18" s="279">
        <f>IF('Database MK'!GJ19="","Belum",'Database MK'!GI19-'Database MK'!GJ19)</f>
        <v>305</v>
      </c>
      <c r="AN18" s="7">
        <f>IF('Database MK'!HG19="","Belum",'Database MK'!HF19-'Database MK'!HG19)</f>
        <v>209</v>
      </c>
      <c r="AO18" s="7">
        <f>IF('Database MK'!HQ19="","Belum",'Database MK'!HN19-'Database MK'!HQ19)</f>
        <v>-6</v>
      </c>
      <c r="AP18" s="7">
        <f>IF('Database MK'!HW19="","Belum",'Database MK'!HU19-'Database MK'!HW19)</f>
        <v>-7</v>
      </c>
    </row>
    <row r="19" spans="2:42" x14ac:dyDescent="0.25">
      <c r="B19" s="7">
        <f>SUBTOTAL(3,$C$4:C19)</f>
        <v>16</v>
      </c>
      <c r="C19" s="269" t="s">
        <v>244</v>
      </c>
      <c r="D19" s="269" t="s">
        <v>336</v>
      </c>
      <c r="E19" s="269" t="s">
        <v>337</v>
      </c>
      <c r="F19" s="270">
        <v>45748</v>
      </c>
      <c r="G19" s="4" t="s">
        <v>247</v>
      </c>
      <c r="H19" s="4" t="str">
        <f ca="1">'Database MK'!Q20</f>
        <v>DPPP</v>
      </c>
      <c r="I19" s="24">
        <f>'Database MK'!S20</f>
        <v>1</v>
      </c>
      <c r="J19" s="24">
        <f>'Database MK'!T20</f>
        <v>1</v>
      </c>
      <c r="K19" s="571">
        <f>'Database MK'!U20</f>
        <v>0</v>
      </c>
      <c r="L19" s="561">
        <f>'Database MK'!V20</f>
        <v>4661</v>
      </c>
      <c r="M19" s="561">
        <f>'Database MK'!W20</f>
        <v>4433</v>
      </c>
      <c r="N19" s="561">
        <f>Table3[[#This Row],[Total Panjang Pipa Aktual]]-Table3[[#This Row],[Volume
BA MC-0]]</f>
        <v>-228</v>
      </c>
      <c r="O19" s="7" t="str">
        <f ca="1">'Database MK'!DE20</f>
        <v>Belum, Delay</v>
      </c>
      <c r="P19" s="7" t="str">
        <f ca="1">'Database MK'!DI20</f>
        <v>Belum, Delay</v>
      </c>
      <c r="Q19" s="7" t="str">
        <f ca="1">'Database MK'!DN20</f>
        <v>Belum, Delay</v>
      </c>
      <c r="R19" s="7" t="str">
        <f ca="1">'Database MK'!DR20</f>
        <v>Belum, Delay</v>
      </c>
      <c r="S19" s="7" t="str">
        <f ca="1">'Database MK'!EA20</f>
        <v>Belum, Delay</v>
      </c>
      <c r="T19" s="7" t="str">
        <f ca="1">'Database MK'!EI20</f>
        <v>Belum, Delay</v>
      </c>
      <c r="U19" s="7" t="str">
        <f ca="1">'Database MK'!ET20</f>
        <v>Belum, Delay</v>
      </c>
      <c r="V19" s="7" t="str">
        <f ca="1">'Database MK'!GA20</f>
        <v>Belum, Delay</v>
      </c>
      <c r="W19" s="7" t="str">
        <f ca="1">'Database MK'!GD20</f>
        <v>Sudah, OnSchedule</v>
      </c>
      <c r="X19" s="7" t="str">
        <f ca="1">'Database MK'!GG20</f>
        <v>Sudah, OnSchedule</v>
      </c>
      <c r="Y19" s="7" t="str">
        <f ca="1">'Database MK'!GK20</f>
        <v>Sudah, OnSchedule</v>
      </c>
      <c r="Z19" s="7" t="str">
        <f ca="1">'Database MK'!HH20</f>
        <v>Sudah, Delay</v>
      </c>
      <c r="AA19" s="7" t="str">
        <f ca="1">'Database MK'!HR20</f>
        <v>Sudah, Delay</v>
      </c>
      <c r="AB19" s="7" t="str">
        <f ca="1">'Database MK'!HX20</f>
        <v>Sudah, Delay</v>
      </c>
      <c r="AC19" s="7">
        <f>'Database MK'!DA20-'Database MK'!DB20</f>
        <v>45501</v>
      </c>
      <c r="AD19" s="7">
        <f>'Database MK'!DA20-'Database MK'!DF20</f>
        <v>45501</v>
      </c>
      <c r="AE19" s="7">
        <f>'Database MK'!DK20-'Database MK'!DL20</f>
        <v>45564</v>
      </c>
      <c r="AF19" s="7">
        <f>'Database MK'!DK20-'Database MK'!DO20</f>
        <v>45564</v>
      </c>
      <c r="AG19" s="7">
        <f>'Database MK'!DU20-'Database MK'!DW20</f>
        <v>45543</v>
      </c>
      <c r="AH19" s="7" t="str">
        <f>IF('Database MK'!EB20="","Belum",'Database MK'!DU20-'Database MK'!EB20)</f>
        <v>Belum</v>
      </c>
      <c r="AI19" s="7" t="str">
        <f>IF('Database MK'!EN20="","Belum",'Database MK'!EL20-'Database MK'!EN20)</f>
        <v>Belum</v>
      </c>
      <c r="AJ19" s="7">
        <f>'Database MK'!FY20-'Database MK'!FZ20</f>
        <v>0</v>
      </c>
      <c r="AK19" s="7">
        <f>IF('Database MK'!GC20="","Belum",'Database MK'!GB20-'Database MK'!GC20)</f>
        <v>141</v>
      </c>
      <c r="AL19" s="7">
        <f>IF('Database MK'!GF20="","Belum",'Database MK'!GE20-'Database MK'!GF20)</f>
        <v>148</v>
      </c>
      <c r="AM19" s="279">
        <f>IF('Database MK'!GJ20="","Belum",'Database MK'!GI20-'Database MK'!GJ20)</f>
        <v>96</v>
      </c>
      <c r="AN19" s="7">
        <f>IF('Database MK'!HG20="","Belum",'Database MK'!HF20-'Database MK'!HG20)</f>
        <v>-24</v>
      </c>
      <c r="AO19" s="7">
        <f>IF('Database MK'!HQ20="","Belum",'Database MK'!HN20-'Database MK'!HQ20)</f>
        <v>-54</v>
      </c>
      <c r="AP19" s="7">
        <f>IF('Database MK'!HW20="","Belum",'Database MK'!HU20-'Database MK'!HW20)</f>
        <v>-64</v>
      </c>
    </row>
    <row r="20" spans="2:42" x14ac:dyDescent="0.25">
      <c r="B20" s="7">
        <f>SUBTOTAL(3,$C$4:C20)</f>
        <v>17</v>
      </c>
      <c r="C20" s="269" t="s">
        <v>244</v>
      </c>
      <c r="D20" s="269" t="s">
        <v>339</v>
      </c>
      <c r="E20" s="269" t="s">
        <v>340</v>
      </c>
      <c r="F20" s="270">
        <v>45748</v>
      </c>
      <c r="G20" s="4" t="s">
        <v>247</v>
      </c>
      <c r="H20" s="4" t="str">
        <f ca="1">'Database MK'!Q21</f>
        <v>DPPP</v>
      </c>
      <c r="I20" s="24">
        <f>'Database MK'!S21</f>
        <v>1</v>
      </c>
      <c r="J20" s="24">
        <f>'Database MK'!T21</f>
        <v>1</v>
      </c>
      <c r="K20" s="571">
        <f>'Database MK'!U21</f>
        <v>0</v>
      </c>
      <c r="L20" s="561">
        <f>'Database MK'!V21</f>
        <v>60</v>
      </c>
      <c r="M20" s="561">
        <f>'Database MK'!W21</f>
        <v>58</v>
      </c>
      <c r="N20" s="561">
        <f>Table3[[#This Row],[Total Panjang Pipa Aktual]]-Table3[[#This Row],[Volume
BA MC-0]]</f>
        <v>-2</v>
      </c>
      <c r="O20" s="7" t="str">
        <f ca="1">'Database MK'!DE21</f>
        <v>Belum, Delay</v>
      </c>
      <c r="P20" s="7" t="str">
        <f ca="1">'Database MK'!DI21</f>
        <v>Belum, Delay</v>
      </c>
      <c r="Q20" s="7" t="str">
        <f ca="1">'Database MK'!DN21</f>
        <v>Sudah, OnSchedule</v>
      </c>
      <c r="R20" s="7" t="str">
        <f ca="1">'Database MK'!DR21</f>
        <v>Sudah, OnSchedule</v>
      </c>
      <c r="S20" s="7" t="str">
        <f ca="1">'Database MK'!EA21</f>
        <v>Belum, Delay</v>
      </c>
      <c r="T20" s="7" t="str">
        <f ca="1">'Database MK'!EI21</f>
        <v>Belum, Delay</v>
      </c>
      <c r="U20" s="7" t="str">
        <f ca="1">'Database MK'!ET21</f>
        <v>Belum, Delay</v>
      </c>
      <c r="V20" s="7" t="str">
        <f ca="1">'Database MK'!GA21</f>
        <v>Belum, Delay</v>
      </c>
      <c r="W20" s="7" t="str">
        <f ca="1">'Database MK'!GD21</f>
        <v>Sudah, OnSchedule</v>
      </c>
      <c r="X20" s="7" t="str">
        <f ca="1">'Database MK'!GG21</f>
        <v>Sudah, OnSchedule</v>
      </c>
      <c r="Y20" s="7" t="str">
        <f ca="1">'Database MK'!GK21</f>
        <v>Sudah, OnSchedule</v>
      </c>
      <c r="Z20" s="7" t="str">
        <f ca="1">'Database MK'!HH21</f>
        <v>Sudah, Delay</v>
      </c>
      <c r="AA20" s="7" t="str">
        <f ca="1">'Database MK'!HR21</f>
        <v>Sudah, Delay</v>
      </c>
      <c r="AB20" s="7" t="str">
        <f ca="1">'Database MK'!HX21</f>
        <v>Sudah, Delay</v>
      </c>
      <c r="AC20" s="7">
        <f>'Database MK'!DA21-'Database MK'!DB21</f>
        <v>45543</v>
      </c>
      <c r="AD20" s="7">
        <f>'Database MK'!DA21-'Database MK'!DF21</f>
        <v>45543</v>
      </c>
      <c r="AE20" s="7">
        <f>'Database MK'!DK21-'Database MK'!DL21</f>
        <v>50</v>
      </c>
      <c r="AF20" s="7">
        <f>'Database MK'!DK21-'Database MK'!DO21</f>
        <v>6</v>
      </c>
      <c r="AG20" s="7">
        <f>'Database MK'!DU21-'Database MK'!DW21</f>
        <v>45571</v>
      </c>
      <c r="AH20" s="7" t="str">
        <f>IF('Database MK'!EB21="","Belum",'Database MK'!DU21-'Database MK'!EB21)</f>
        <v>Belum</v>
      </c>
      <c r="AI20" s="7" t="str">
        <f>IF('Database MK'!EN21="","Belum",'Database MK'!EL21-'Database MK'!EN21)</f>
        <v>Belum</v>
      </c>
      <c r="AJ20" s="7">
        <f>'Database MK'!FY21-'Database MK'!FZ21</f>
        <v>0</v>
      </c>
      <c r="AK20" s="7">
        <f>IF('Database MK'!GC21="","Belum",'Database MK'!GB21-'Database MK'!GC21)</f>
        <v>25</v>
      </c>
      <c r="AL20" s="7">
        <f>IF('Database MK'!GF21="","Belum",'Database MK'!GE21-'Database MK'!GF21)</f>
        <v>32</v>
      </c>
      <c r="AM20" s="279">
        <f>IF('Database MK'!GJ21="","Belum",'Database MK'!GI21-'Database MK'!GJ21)</f>
        <v>12</v>
      </c>
      <c r="AN20" s="7">
        <f>IF('Database MK'!HG21="","Belum",'Database MK'!HF21-'Database MK'!HG21)</f>
        <v>-57</v>
      </c>
      <c r="AO20" s="7">
        <f>IF('Database MK'!HQ21="","Belum",'Database MK'!HN21-'Database MK'!HQ21)</f>
        <v>-82</v>
      </c>
      <c r="AP20" s="7">
        <f>IF('Database MK'!HW21="","Belum",'Database MK'!HU21-'Database MK'!HW21)</f>
        <v>-92</v>
      </c>
    </row>
    <row r="21" spans="2:42" x14ac:dyDescent="0.25">
      <c r="B21" s="7">
        <f>SUBTOTAL(3,$C$4:C21)</f>
        <v>18</v>
      </c>
      <c r="C21" s="269" t="s">
        <v>244</v>
      </c>
      <c r="D21" s="269" t="s">
        <v>345</v>
      </c>
      <c r="E21" s="269" t="s">
        <v>346</v>
      </c>
      <c r="F21" s="270">
        <v>45748</v>
      </c>
      <c r="G21" s="4" t="s">
        <v>247</v>
      </c>
      <c r="H21" s="4" t="str">
        <f ca="1">'Database MK'!Q22</f>
        <v>DPPP</v>
      </c>
      <c r="I21" s="24">
        <f>'Database MK'!S22</f>
        <v>1</v>
      </c>
      <c r="J21" s="24">
        <f>'Database MK'!T22</f>
        <v>1</v>
      </c>
      <c r="K21" s="571">
        <f>'Database MK'!U22</f>
        <v>0</v>
      </c>
      <c r="L21" s="561">
        <f>'Database MK'!V22</f>
        <v>64</v>
      </c>
      <c r="M21" s="561">
        <f>'Database MK'!W22</f>
        <v>63</v>
      </c>
      <c r="N21" s="561">
        <f>Table3[[#This Row],[Total Panjang Pipa Aktual]]-Table3[[#This Row],[Volume
BA MC-0]]</f>
        <v>-1</v>
      </c>
      <c r="O21" s="7" t="str">
        <f ca="1">'Database MK'!DE22</f>
        <v>Belum, Delay</v>
      </c>
      <c r="P21" s="7" t="str">
        <f ca="1">'Database MK'!DI22</f>
        <v>Belum, Delay</v>
      </c>
      <c r="Q21" s="7" t="str">
        <f ca="1">'Database MK'!DN22</f>
        <v>Sudah, OnSchedule</v>
      </c>
      <c r="R21" s="7" t="str">
        <f ca="1">'Database MK'!DR22</f>
        <v>Sudah, OnSchedule</v>
      </c>
      <c r="S21" s="7" t="str">
        <f ca="1">'Database MK'!EA22</f>
        <v>Belum, Delay</v>
      </c>
      <c r="T21" s="7" t="str">
        <f ca="1">'Database MK'!EI22</f>
        <v>Belum, Delay</v>
      </c>
      <c r="U21" s="7" t="str">
        <f ca="1">'Database MK'!ET22</f>
        <v>Belum, Delay</v>
      </c>
      <c r="V21" s="7" t="str">
        <f ca="1">'Database MK'!GA22</f>
        <v>Belum, Delay</v>
      </c>
      <c r="W21" s="7" t="str">
        <f ca="1">'Database MK'!GD22</f>
        <v>Sudah, OnSchedule</v>
      </c>
      <c r="X21" s="7" t="str">
        <f ca="1">'Database MK'!GG22</f>
        <v>Sudah, OnSchedule</v>
      </c>
      <c r="Y21" s="7" t="str">
        <f ca="1">'Database MK'!GK22</f>
        <v>Sudah, Delay</v>
      </c>
      <c r="Z21" s="7" t="str">
        <f ca="1">'Database MK'!HH22</f>
        <v>Sudah, Delay</v>
      </c>
      <c r="AA21" s="7" t="str">
        <f ca="1">'Database MK'!HR22</f>
        <v>Sudah, Delay</v>
      </c>
      <c r="AB21" s="7" t="str">
        <f ca="1">'Database MK'!HX22</f>
        <v>Sudah, Delay</v>
      </c>
      <c r="AC21" s="7">
        <f>'Database MK'!DA22-'Database MK'!DB22</f>
        <v>45543</v>
      </c>
      <c r="AD21" s="7">
        <f>'Database MK'!DA22-'Database MK'!DF22</f>
        <v>45543</v>
      </c>
      <c r="AE21" s="7">
        <f>'Database MK'!DK22-'Database MK'!DL22</f>
        <v>48</v>
      </c>
      <c r="AF21" s="7">
        <f>'Database MK'!DK22-'Database MK'!DO22</f>
        <v>6</v>
      </c>
      <c r="AG21" s="7">
        <f>'Database MK'!DU22-'Database MK'!DW22</f>
        <v>45571</v>
      </c>
      <c r="AH21" s="7" t="str">
        <f>IF('Database MK'!EB22="","Belum",'Database MK'!DU22-'Database MK'!EB22)</f>
        <v>Belum</v>
      </c>
      <c r="AI21" s="7" t="str">
        <f>IF('Database MK'!EN22="","Belum",'Database MK'!EL22-'Database MK'!EN22)</f>
        <v>Belum</v>
      </c>
      <c r="AJ21" s="7">
        <f>'Database MK'!FY22-'Database MK'!FZ22</f>
        <v>0</v>
      </c>
      <c r="AK21" s="7">
        <f>IF('Database MK'!GC22="","Belum",'Database MK'!GB22-'Database MK'!GC22)</f>
        <v>25</v>
      </c>
      <c r="AL21" s="7">
        <f>IF('Database MK'!GF22="","Belum",'Database MK'!GE22-'Database MK'!GF22)</f>
        <v>32</v>
      </c>
      <c r="AM21" s="279">
        <f>IF('Database MK'!GJ22="","Belum",'Database MK'!GI22-'Database MK'!GJ22)</f>
        <v>-352</v>
      </c>
      <c r="AN21" s="7">
        <f>IF('Database MK'!HG22="","Belum",'Database MK'!HF22-'Database MK'!HG22)</f>
        <v>-57</v>
      </c>
      <c r="AO21" s="7">
        <f>IF('Database MK'!HQ22="","Belum",'Database MK'!HN22-'Database MK'!HQ22)</f>
        <v>-82</v>
      </c>
      <c r="AP21" s="7">
        <f>IF('Database MK'!HW22="","Belum",'Database MK'!HU22-'Database MK'!HW22)</f>
        <v>-92</v>
      </c>
    </row>
    <row r="22" spans="2:42" x14ac:dyDescent="0.25">
      <c r="B22" s="7">
        <f>SUBTOTAL(3,$C$4:C22)</f>
        <v>19</v>
      </c>
      <c r="C22" s="269" t="s">
        <v>244</v>
      </c>
      <c r="D22" s="269" t="s">
        <v>350</v>
      </c>
      <c r="E22" s="269" t="s">
        <v>351</v>
      </c>
      <c r="F22" s="270">
        <v>45748</v>
      </c>
      <c r="G22" s="4" t="s">
        <v>247</v>
      </c>
      <c r="H22" s="4" t="str">
        <f ca="1">'Database MK'!Q23</f>
        <v>DPPP</v>
      </c>
      <c r="I22" s="24">
        <f>'Database MK'!S23</f>
        <v>1</v>
      </c>
      <c r="J22" s="24">
        <f>'Database MK'!T23</f>
        <v>1</v>
      </c>
      <c r="K22" s="571">
        <f>'Database MK'!U23</f>
        <v>0</v>
      </c>
      <c r="L22" s="561">
        <f>'Database MK'!V23</f>
        <v>36</v>
      </c>
      <c r="M22" s="561">
        <f>'Database MK'!W23</f>
        <v>37</v>
      </c>
      <c r="N22" s="561">
        <f>Table3[[#This Row],[Total Panjang Pipa Aktual]]-Table3[[#This Row],[Volume
BA MC-0]]</f>
        <v>1</v>
      </c>
      <c r="O22" s="7" t="str">
        <f ca="1">'Database MK'!DE23</f>
        <v>Belum, Delay</v>
      </c>
      <c r="P22" s="7" t="str">
        <f ca="1">'Database MK'!DI23</f>
        <v>Belum, Delay</v>
      </c>
      <c r="Q22" s="7" t="str">
        <f ca="1">'Database MK'!DN23</f>
        <v>Sudah, OnSchedule</v>
      </c>
      <c r="R22" s="7" t="str">
        <f ca="1">'Database MK'!DR23</f>
        <v>Sudah, OnSchedule</v>
      </c>
      <c r="S22" s="7" t="str">
        <f ca="1">'Database MK'!EA23</f>
        <v>Belum, Delay</v>
      </c>
      <c r="T22" s="7" t="str">
        <f ca="1">'Database MK'!EI23</f>
        <v>Belum, Delay</v>
      </c>
      <c r="U22" s="7" t="str">
        <f ca="1">'Database MK'!ET23</f>
        <v>Belum, Delay</v>
      </c>
      <c r="V22" s="7" t="str">
        <f ca="1">'Database MK'!GA23</f>
        <v>Belum, Delay</v>
      </c>
      <c r="W22" s="7" t="str">
        <f ca="1">'Database MK'!GD23</f>
        <v>Sudah, OnSchedule</v>
      </c>
      <c r="X22" s="7" t="str">
        <f ca="1">'Database MK'!GG23</f>
        <v>Sudah, OnSchedule</v>
      </c>
      <c r="Y22" s="7" t="str">
        <f ca="1">'Database MK'!GK23</f>
        <v>Sudah, OnSchedule</v>
      </c>
      <c r="Z22" s="7" t="str">
        <f ca="1">'Database MK'!HH23</f>
        <v>Sudah, Delay</v>
      </c>
      <c r="AA22" s="7" t="str">
        <f ca="1">'Database MK'!HR23</f>
        <v>Sudah, Delay</v>
      </c>
      <c r="AB22" s="7" t="str">
        <f ca="1">'Database MK'!HX23</f>
        <v>Sudah, Delay</v>
      </c>
      <c r="AC22" s="7">
        <f>'Database MK'!DA23-'Database MK'!DB23</f>
        <v>45543</v>
      </c>
      <c r="AD22" s="7">
        <f>'Database MK'!DA23-'Database MK'!DF23</f>
        <v>45543</v>
      </c>
      <c r="AE22" s="7">
        <f>'Database MK'!DK23-'Database MK'!DL23</f>
        <v>47</v>
      </c>
      <c r="AF22" s="7">
        <f>'Database MK'!DK23-'Database MK'!DO23</f>
        <v>6</v>
      </c>
      <c r="AG22" s="7">
        <f>'Database MK'!DU23-'Database MK'!DW23</f>
        <v>45571</v>
      </c>
      <c r="AH22" s="7" t="str">
        <f>IF('Database MK'!EB23="","Belum",'Database MK'!DU23-'Database MK'!EB23)</f>
        <v>Belum</v>
      </c>
      <c r="AI22" s="7" t="str">
        <f>IF('Database MK'!EN23="","Belum",'Database MK'!EL23-'Database MK'!EN23)</f>
        <v>Belum</v>
      </c>
      <c r="AJ22" s="7">
        <f>'Database MK'!FY23-'Database MK'!FZ23</f>
        <v>0</v>
      </c>
      <c r="AK22" s="7">
        <f>IF('Database MK'!GC23="","Belum",'Database MK'!GB23-'Database MK'!GC23)</f>
        <v>25</v>
      </c>
      <c r="AL22" s="7">
        <f>IF('Database MK'!GF23="","Belum",'Database MK'!GE23-'Database MK'!GF23)</f>
        <v>32</v>
      </c>
      <c r="AM22" s="279">
        <f>IF('Database MK'!GJ23="","Belum",'Database MK'!GI23-'Database MK'!GJ23)</f>
        <v>13</v>
      </c>
      <c r="AN22" s="7">
        <f>IF('Database MK'!HG23="","Belum",'Database MK'!HF23-'Database MK'!HG23)</f>
        <v>-57</v>
      </c>
      <c r="AO22" s="7">
        <f>IF('Database MK'!HQ23="","Belum",'Database MK'!HN23-'Database MK'!HQ23)</f>
        <v>-82</v>
      </c>
      <c r="AP22" s="7">
        <f>IF('Database MK'!HW23="","Belum",'Database MK'!HU23-'Database MK'!HW23)</f>
        <v>-92</v>
      </c>
    </row>
    <row r="23" spans="2:42" x14ac:dyDescent="0.25">
      <c r="B23" s="7">
        <f>SUBTOTAL(3,$C$4:C23)</f>
        <v>20</v>
      </c>
      <c r="C23" s="269" t="s">
        <v>244</v>
      </c>
      <c r="D23" s="269" t="s">
        <v>355</v>
      </c>
      <c r="E23" s="269" t="s">
        <v>356</v>
      </c>
      <c r="F23" s="270">
        <v>45748</v>
      </c>
      <c r="G23" s="4" t="s">
        <v>247</v>
      </c>
      <c r="H23" s="4" t="str">
        <f ca="1">'Database MK'!Q24</f>
        <v>DPPP</v>
      </c>
      <c r="I23" s="24">
        <f>'Database MK'!S24</f>
        <v>1</v>
      </c>
      <c r="J23" s="24">
        <f>'Database MK'!T24</f>
        <v>1</v>
      </c>
      <c r="K23" s="571">
        <f>'Database MK'!U24</f>
        <v>0</v>
      </c>
      <c r="L23" s="561">
        <f>'Database MK'!V24</f>
        <v>83</v>
      </c>
      <c r="M23" s="561">
        <f>'Database MK'!W24</f>
        <v>83</v>
      </c>
      <c r="N23" s="561">
        <f>Table3[[#This Row],[Total Panjang Pipa Aktual]]-Table3[[#This Row],[Volume
BA MC-0]]</f>
        <v>0</v>
      </c>
      <c r="O23" s="7" t="str">
        <f ca="1">'Database MK'!DE24</f>
        <v>Belum, Delay</v>
      </c>
      <c r="P23" s="7" t="str">
        <f ca="1">'Database MK'!DI24</f>
        <v>Belum, Delay</v>
      </c>
      <c r="Q23" s="7" t="str">
        <f ca="1">'Database MK'!DN24</f>
        <v>Sudah, OnSchedule</v>
      </c>
      <c r="R23" s="7" t="str">
        <f ca="1">'Database MK'!DR24</f>
        <v>Sudah, OnSchedule</v>
      </c>
      <c r="S23" s="7" t="str">
        <f ca="1">'Database MK'!EA24</f>
        <v>Belum, Delay</v>
      </c>
      <c r="T23" s="7" t="str">
        <f ca="1">'Database MK'!EI24</f>
        <v>Belum, Delay</v>
      </c>
      <c r="U23" s="7" t="str">
        <f ca="1">'Database MK'!ET24</f>
        <v>Belum, Delay</v>
      </c>
      <c r="V23" s="7" t="str">
        <f ca="1">'Database MK'!GA24</f>
        <v>Belum, Delay</v>
      </c>
      <c r="W23" s="7" t="str">
        <f ca="1">'Database MK'!GD24</f>
        <v>Sudah, OnSchedule</v>
      </c>
      <c r="X23" s="7" t="str">
        <f ca="1">'Database MK'!GG24</f>
        <v>Sudah, OnSchedule</v>
      </c>
      <c r="Y23" s="7" t="str">
        <f ca="1">'Database MK'!GK24</f>
        <v>Sudah, OnSchedule</v>
      </c>
      <c r="Z23" s="7" t="str">
        <f ca="1">'Database MK'!HH24</f>
        <v>Sudah, Delay</v>
      </c>
      <c r="AA23" s="7" t="str">
        <f ca="1">'Database MK'!HR24</f>
        <v>Sudah, Delay</v>
      </c>
      <c r="AB23" s="7" t="str">
        <f ca="1">'Database MK'!HX24</f>
        <v>Sudah, Delay</v>
      </c>
      <c r="AC23" s="7">
        <f>'Database MK'!DA24-'Database MK'!DB24</f>
        <v>45543</v>
      </c>
      <c r="AD23" s="7">
        <f>'Database MK'!DA24-'Database MK'!DF24</f>
        <v>45543</v>
      </c>
      <c r="AE23" s="7">
        <f>'Database MK'!DK24-'Database MK'!DL24</f>
        <v>25</v>
      </c>
      <c r="AF23" s="7">
        <f>'Database MK'!DK24-'Database MK'!DO24</f>
        <v>4</v>
      </c>
      <c r="AG23" s="7">
        <f>'Database MK'!DU24-'Database MK'!DW24</f>
        <v>45571</v>
      </c>
      <c r="AH23" s="7" t="str">
        <f>IF('Database MK'!EB24="","Belum",'Database MK'!DU24-'Database MK'!EB24)</f>
        <v>Belum</v>
      </c>
      <c r="AI23" s="7" t="str">
        <f>IF('Database MK'!EN24="","Belum",'Database MK'!EL24-'Database MK'!EN24)</f>
        <v>Belum</v>
      </c>
      <c r="AJ23" s="7">
        <f>'Database MK'!FY24-'Database MK'!FZ24</f>
        <v>0</v>
      </c>
      <c r="AK23" s="7">
        <f>IF('Database MK'!GC24="","Belum",'Database MK'!GB24-'Database MK'!GC24)</f>
        <v>25</v>
      </c>
      <c r="AL23" s="7">
        <f>IF('Database MK'!GF24="","Belum",'Database MK'!GE24-'Database MK'!GF24)</f>
        <v>32</v>
      </c>
      <c r="AM23" s="279">
        <f>IF('Database MK'!GJ24="","Belum",'Database MK'!GI24-'Database MK'!GJ24)</f>
        <v>13</v>
      </c>
      <c r="AN23" s="7">
        <f>IF('Database MK'!HG24="","Belum",'Database MK'!HF24-'Database MK'!HG24)</f>
        <v>-54</v>
      </c>
      <c r="AO23" s="7">
        <f>IF('Database MK'!HQ24="","Belum",'Database MK'!HN24-'Database MK'!HQ24)</f>
        <v>-82</v>
      </c>
      <c r="AP23" s="7">
        <f>IF('Database MK'!HW24="","Belum",'Database MK'!HU24-'Database MK'!HW24)</f>
        <v>-92</v>
      </c>
    </row>
    <row r="24" spans="2:42" x14ac:dyDescent="0.25">
      <c r="B24" s="7">
        <f>SUBTOTAL(3,$C$4:C24)</f>
        <v>21</v>
      </c>
      <c r="C24" s="269" t="s">
        <v>244</v>
      </c>
      <c r="D24" s="269" t="s">
        <v>360</v>
      </c>
      <c r="E24" s="269" t="s">
        <v>361</v>
      </c>
      <c r="F24" s="270">
        <v>45748</v>
      </c>
      <c r="G24" s="4" t="s">
        <v>247</v>
      </c>
      <c r="H24" s="4" t="str">
        <f ca="1">'Database MK'!Q25</f>
        <v>DPPP</v>
      </c>
      <c r="I24" s="24">
        <f>'Database MK'!S25</f>
        <v>1</v>
      </c>
      <c r="J24" s="24">
        <f>'Database MK'!T25</f>
        <v>1</v>
      </c>
      <c r="K24" s="571">
        <f>'Database MK'!U25</f>
        <v>0</v>
      </c>
      <c r="L24" s="561">
        <f>'Database MK'!V25</f>
        <v>420</v>
      </c>
      <c r="M24" s="561">
        <f>'Database MK'!W25</f>
        <v>425</v>
      </c>
      <c r="N24" s="561">
        <f>Table3[[#This Row],[Total Panjang Pipa Aktual]]-Table3[[#This Row],[Volume
BA MC-0]]</f>
        <v>5</v>
      </c>
      <c r="O24" s="7" t="str">
        <f ca="1">'Database MK'!DE25</f>
        <v>Belum, Delay</v>
      </c>
      <c r="P24" s="7" t="str">
        <f ca="1">'Database MK'!DI25</f>
        <v>Belum, Delay</v>
      </c>
      <c r="Q24" s="7" t="str">
        <f ca="1">'Database MK'!DN25</f>
        <v>Sudah, Delay</v>
      </c>
      <c r="R24" s="7" t="str">
        <f ca="1">'Database MK'!DR25</f>
        <v>Sudah, Delay</v>
      </c>
      <c r="S24" s="7" t="str">
        <f ca="1">'Database MK'!EA25</f>
        <v>Belum, Delay</v>
      </c>
      <c r="T24" s="7" t="str">
        <f ca="1">'Database MK'!EI25</f>
        <v>Belum, Delay</v>
      </c>
      <c r="U24" s="7" t="str">
        <f ca="1">'Database MK'!ET25</f>
        <v>Belum, Delay</v>
      </c>
      <c r="V24" s="7" t="str">
        <f ca="1">'Database MK'!GA25</f>
        <v>Belum, Delay</v>
      </c>
      <c r="W24" s="7" t="str">
        <f ca="1">'Database MK'!GD25</f>
        <v>Sudah, OnSchedule</v>
      </c>
      <c r="X24" s="7" t="str">
        <f ca="1">'Database MK'!GG25</f>
        <v>Sudah, OnSchedule</v>
      </c>
      <c r="Y24" s="7" t="str">
        <f ca="1">'Database MK'!GK25</f>
        <v>Sudah, OnSchedule</v>
      </c>
      <c r="Z24" s="7" t="str">
        <f ca="1">'Database MK'!HH25</f>
        <v>Sudah, Delay</v>
      </c>
      <c r="AA24" s="7" t="str">
        <f ca="1">'Database MK'!HR25</f>
        <v>Sudah, Delay</v>
      </c>
      <c r="AB24" s="7" t="str">
        <f ca="1">'Database MK'!HX25</f>
        <v>Sudah, Delay</v>
      </c>
      <c r="AC24" s="7">
        <f>'Database MK'!DA25-'Database MK'!DB25</f>
        <v>45550</v>
      </c>
      <c r="AD24" s="7">
        <f>'Database MK'!DA25-'Database MK'!DF25</f>
        <v>45550</v>
      </c>
      <c r="AE24" s="7">
        <f>'Database MK'!DK25-'Database MK'!DL25</f>
        <v>-373</v>
      </c>
      <c r="AF24" s="7">
        <f>'Database MK'!DK25-'Database MK'!DO25</f>
        <v>-401</v>
      </c>
      <c r="AG24" s="7">
        <f>'Database MK'!DU25-'Database MK'!DW25</f>
        <v>45585</v>
      </c>
      <c r="AH24" s="7" t="str">
        <f>IF('Database MK'!EB25="","Belum",'Database MK'!DU25-'Database MK'!EB25)</f>
        <v>Belum</v>
      </c>
      <c r="AI24" s="7" t="str">
        <f>IF('Database MK'!EN25="","Belum",'Database MK'!EL25-'Database MK'!EN25)</f>
        <v>Belum</v>
      </c>
      <c r="AJ24" s="7">
        <f>'Database MK'!FY25-'Database MK'!FZ25</f>
        <v>0</v>
      </c>
      <c r="AK24" s="7">
        <f>IF('Database MK'!GC25="","Belum",'Database MK'!GB25-'Database MK'!GC25)</f>
        <v>25</v>
      </c>
      <c r="AL24" s="7">
        <f>IF('Database MK'!GF25="","Belum",'Database MK'!GE25-'Database MK'!GF25)</f>
        <v>32</v>
      </c>
      <c r="AM24" s="279">
        <f>IF('Database MK'!GJ25="","Belum",'Database MK'!GI25-'Database MK'!GJ25)</f>
        <v>12</v>
      </c>
      <c r="AN24" s="7">
        <f>IF('Database MK'!HG25="","Belum",'Database MK'!HF25-'Database MK'!HG25)</f>
        <v>-318</v>
      </c>
      <c r="AO24" s="7">
        <f>IF('Database MK'!HQ25="","Belum",'Database MK'!HN25-'Database MK'!HQ25)</f>
        <v>-301</v>
      </c>
      <c r="AP24" s="7">
        <f>IF('Database MK'!HW25="","Belum",'Database MK'!HU25-'Database MK'!HW25)</f>
        <v>-321</v>
      </c>
    </row>
    <row r="25" spans="2:42" x14ac:dyDescent="0.25">
      <c r="B25" s="7">
        <f>SUBTOTAL(3,$C$4:C25)</f>
        <v>22</v>
      </c>
      <c r="C25" s="269" t="s">
        <v>244</v>
      </c>
      <c r="D25" s="269" t="s">
        <v>366</v>
      </c>
      <c r="E25" s="269" t="s">
        <v>367</v>
      </c>
      <c r="F25" s="270">
        <v>45748</v>
      </c>
      <c r="G25" s="4" t="s">
        <v>247</v>
      </c>
      <c r="H25" s="4" t="str">
        <f ca="1">'Database MK'!Q26</f>
        <v>DPPP</v>
      </c>
      <c r="I25" s="24">
        <f>'Database MK'!S26</f>
        <v>1</v>
      </c>
      <c r="J25" s="24">
        <f>'Database MK'!T26</f>
        <v>1</v>
      </c>
      <c r="K25" s="571">
        <f>'Database MK'!U26</f>
        <v>0</v>
      </c>
      <c r="L25" s="561">
        <f>'Database MK'!V26</f>
        <v>1421</v>
      </c>
      <c r="M25" s="561">
        <f>'Database MK'!W26</f>
        <v>939.5</v>
      </c>
      <c r="N25" s="561">
        <f>Table3[[#This Row],[Total Panjang Pipa Aktual]]-Table3[[#This Row],[Volume
BA MC-0]]</f>
        <v>-481.5</v>
      </c>
      <c r="O25" s="7" t="str">
        <f ca="1">'Database MK'!DE26</f>
        <v>Belum, Delay</v>
      </c>
      <c r="P25" s="7" t="str">
        <f ca="1">'Database MK'!DI26</f>
        <v>Belum, Delay</v>
      </c>
      <c r="Q25" s="7" t="str">
        <f ca="1">'Database MK'!DN26</f>
        <v>Sudah, OnSchedule</v>
      </c>
      <c r="R25" s="7" t="str">
        <f ca="1">'Database MK'!DR26</f>
        <v>Sudah, Delay</v>
      </c>
      <c r="S25" s="7" t="str">
        <f ca="1">'Database MK'!EA26</f>
        <v>Belum, Delay</v>
      </c>
      <c r="T25" s="7" t="str">
        <f ca="1">'Database MK'!EI26</f>
        <v>Belum, Delay</v>
      </c>
      <c r="U25" s="7" t="str">
        <f ca="1">'Database MK'!ET26</f>
        <v>Belum, Delay</v>
      </c>
      <c r="V25" s="7" t="str">
        <f ca="1">'Database MK'!GA26</f>
        <v>Belum, Delay</v>
      </c>
      <c r="W25" s="7" t="str">
        <f ca="1">'Database MK'!GD26</f>
        <v>Sudah, OnSchedule</v>
      </c>
      <c r="X25" s="7" t="str">
        <f ca="1">'Database MK'!GG26</f>
        <v>Sudah, OnSchedule</v>
      </c>
      <c r="Y25" s="7" t="str">
        <f ca="1">'Database MK'!GK26</f>
        <v>Sudah, OnSchedule</v>
      </c>
      <c r="Z25" s="7" t="str">
        <f ca="1">'Database MK'!HH26</f>
        <v>Sudah, Delay</v>
      </c>
      <c r="AA25" s="7" t="str">
        <f ca="1">'Database MK'!HR26</f>
        <v>Sudah, Delay</v>
      </c>
      <c r="AB25" s="7" t="str">
        <f ca="1">'Database MK'!HX26</f>
        <v>Sudah, Delay</v>
      </c>
      <c r="AC25" s="7">
        <f>'Database MK'!DA26-'Database MK'!DB26</f>
        <v>45466</v>
      </c>
      <c r="AD25" s="7">
        <f>'Database MK'!DA26-'Database MK'!DF26</f>
        <v>45466</v>
      </c>
      <c r="AE25" s="7">
        <f>'Database MK'!DK26-'Database MK'!DL26</f>
        <v>28</v>
      </c>
      <c r="AF25" s="7">
        <f>'Database MK'!DK26-'Database MK'!DO26</f>
        <v>-8</v>
      </c>
      <c r="AG25" s="7">
        <f>'Database MK'!DU26-'Database MK'!DW26</f>
        <v>45508</v>
      </c>
      <c r="AH25" s="7" t="str">
        <f>IF('Database MK'!EB26="","Belum",'Database MK'!DU26-'Database MK'!EB26)</f>
        <v>Belum</v>
      </c>
      <c r="AI25" s="7" t="str">
        <f>IF('Database MK'!EN26="","Belum",'Database MK'!EL26-'Database MK'!EN26)</f>
        <v>Belum</v>
      </c>
      <c r="AJ25" s="7">
        <f>'Database MK'!FY26-'Database MK'!FZ26</f>
        <v>0</v>
      </c>
      <c r="AK25" s="7">
        <f>IF('Database MK'!GC26="","Belum",'Database MK'!GB26-'Database MK'!GC26)</f>
        <v>19</v>
      </c>
      <c r="AL25" s="7">
        <f>IF('Database MK'!GF26="","Belum",'Database MK'!GE26-'Database MK'!GF26)</f>
        <v>26</v>
      </c>
      <c r="AM25" s="279">
        <f>IF('Database MK'!GJ26="","Belum",'Database MK'!GI26-'Database MK'!GJ26)</f>
        <v>1</v>
      </c>
      <c r="AN25" s="7">
        <f>IF('Database MK'!HG26="","Belum",'Database MK'!HF26-'Database MK'!HG26)</f>
        <v>-96</v>
      </c>
      <c r="AO25" s="7">
        <f>IF('Database MK'!HQ26="","Belum",'Database MK'!HN26-'Database MK'!HQ26)</f>
        <v>-94</v>
      </c>
      <c r="AP25" s="7">
        <f>IF('Database MK'!HW26="","Belum",'Database MK'!HU26-'Database MK'!HW26)</f>
        <v>-42</v>
      </c>
    </row>
    <row r="26" spans="2:42" x14ac:dyDescent="0.25">
      <c r="B26" s="7">
        <f>SUBTOTAL(3,$C$4:C26)</f>
        <v>23</v>
      </c>
      <c r="C26" s="269" t="s">
        <v>244</v>
      </c>
      <c r="D26" s="269" t="s">
        <v>372</v>
      </c>
      <c r="E26" s="269" t="s">
        <v>373</v>
      </c>
      <c r="F26" s="270">
        <v>45748</v>
      </c>
      <c r="G26" s="4" t="s">
        <v>247</v>
      </c>
      <c r="H26" s="4" t="str">
        <f ca="1">'Database MK'!Q27</f>
        <v>DPPP</v>
      </c>
      <c r="I26" s="24">
        <f>'Database MK'!S27</f>
        <v>1</v>
      </c>
      <c r="J26" s="24">
        <f>'Database MK'!T27</f>
        <v>1</v>
      </c>
      <c r="K26" s="571">
        <f>'Database MK'!U27</f>
        <v>0</v>
      </c>
      <c r="L26" s="561">
        <f>'Database MK'!V27</f>
        <v>933</v>
      </c>
      <c r="M26" s="561">
        <f>'Database MK'!W27</f>
        <v>434.9</v>
      </c>
      <c r="N26" s="561">
        <f>Table3[[#This Row],[Total Panjang Pipa Aktual]]-Table3[[#This Row],[Volume
BA MC-0]]</f>
        <v>-498.1</v>
      </c>
      <c r="O26" s="7" t="str">
        <f ca="1">'Database MK'!DE27</f>
        <v>Belum, Delay</v>
      </c>
      <c r="P26" s="7" t="str">
        <f ca="1">'Database MK'!DI27</f>
        <v>Belum, Delay</v>
      </c>
      <c r="Q26" s="7" t="str">
        <f ca="1">'Database MK'!DN27</f>
        <v>Sudah, OnSchedule</v>
      </c>
      <c r="R26" s="7" t="str">
        <f ca="1">'Database MK'!DR27</f>
        <v>Sudah, Delay</v>
      </c>
      <c r="S26" s="7" t="str">
        <f ca="1">'Database MK'!EA27</f>
        <v>Belum, Delay</v>
      </c>
      <c r="T26" s="7" t="str">
        <f ca="1">'Database MK'!EI27</f>
        <v>Belum, Delay</v>
      </c>
      <c r="U26" s="7" t="str">
        <f ca="1">'Database MK'!ET27</f>
        <v>Belum, Delay</v>
      </c>
      <c r="V26" s="7" t="str">
        <f ca="1">'Database MK'!GA27</f>
        <v>Belum, Delay</v>
      </c>
      <c r="W26" s="7" t="str">
        <f ca="1">'Database MK'!GD27</f>
        <v>Sudah, OnSchedule</v>
      </c>
      <c r="X26" s="7" t="str">
        <f ca="1">'Database MK'!GG27</f>
        <v>Sudah, OnSchedule</v>
      </c>
      <c r="Y26" s="7" t="str">
        <f ca="1">'Database MK'!GK27</f>
        <v>Sudah, Delay</v>
      </c>
      <c r="Z26" s="7" t="str">
        <f ca="1">'Database MK'!HH27</f>
        <v>Sudah, Delay</v>
      </c>
      <c r="AA26" s="7" t="str">
        <f ca="1">'Database MK'!HR27</f>
        <v>Sudah, Delay</v>
      </c>
      <c r="AB26" s="7" t="str">
        <f ca="1">'Database MK'!HX27</f>
        <v>Sudah, Delay</v>
      </c>
      <c r="AC26" s="7">
        <f>'Database MK'!DA27-'Database MK'!DB27</f>
        <v>45466</v>
      </c>
      <c r="AD26" s="7">
        <f>'Database MK'!DA27-'Database MK'!DF27</f>
        <v>45466</v>
      </c>
      <c r="AE26" s="7">
        <f>'Database MK'!DK27-'Database MK'!DL27</f>
        <v>15</v>
      </c>
      <c r="AF26" s="7">
        <f>'Database MK'!DK27-'Database MK'!DO27</f>
        <v>-8</v>
      </c>
      <c r="AG26" s="7">
        <f>'Database MK'!DU27-'Database MK'!DW27</f>
        <v>45508</v>
      </c>
      <c r="AH26" s="7" t="str">
        <f>IF('Database MK'!EB27="","Belum",'Database MK'!DU27-'Database MK'!EB27)</f>
        <v>Belum</v>
      </c>
      <c r="AI26" s="7" t="str">
        <f>IF('Database MK'!EN27="","Belum",'Database MK'!EL27-'Database MK'!EN27)</f>
        <v>Belum</v>
      </c>
      <c r="AJ26" s="7">
        <f>'Database MK'!FY27-'Database MK'!FZ27</f>
        <v>0</v>
      </c>
      <c r="AK26" s="7">
        <f>IF('Database MK'!GC27="","Belum",'Database MK'!GB27-'Database MK'!GC27)</f>
        <v>19</v>
      </c>
      <c r="AL26" s="7">
        <f>IF('Database MK'!GF27="","Belum",'Database MK'!GE27-'Database MK'!GF27)</f>
        <v>26</v>
      </c>
      <c r="AM26" s="279">
        <f>IF('Database MK'!GJ27="","Belum",'Database MK'!GI27-'Database MK'!GJ27)</f>
        <v>-5</v>
      </c>
      <c r="AN26" s="7">
        <f>IF('Database MK'!HG27="","Belum",'Database MK'!HF27-'Database MK'!HG27)</f>
        <v>-57</v>
      </c>
      <c r="AO26" s="7">
        <f>IF('Database MK'!HQ27="","Belum",'Database MK'!HN27-'Database MK'!HQ27)</f>
        <v>-94</v>
      </c>
      <c r="AP26" s="7">
        <f>IF('Database MK'!HW27="","Belum",'Database MK'!HU27-'Database MK'!HW27)</f>
        <v>-42</v>
      </c>
    </row>
    <row r="27" spans="2:42" x14ac:dyDescent="0.25">
      <c r="B27" s="7">
        <f>SUBTOTAL(3,$C$4:C27)</f>
        <v>24</v>
      </c>
      <c r="C27" s="269" t="s">
        <v>244</v>
      </c>
      <c r="D27" s="269" t="s">
        <v>377</v>
      </c>
      <c r="E27" s="269" t="s">
        <v>378</v>
      </c>
      <c r="F27" s="270">
        <v>45748</v>
      </c>
      <c r="G27" s="4" t="s">
        <v>247</v>
      </c>
      <c r="H27" s="4" t="str">
        <f ca="1">'Database MK'!Q28</f>
        <v>DPPP</v>
      </c>
      <c r="I27" s="24">
        <f>'Database MK'!S28</f>
        <v>1</v>
      </c>
      <c r="J27" s="24">
        <f>'Database MK'!T28</f>
        <v>1</v>
      </c>
      <c r="K27" s="571">
        <f>'Database MK'!U28</f>
        <v>0</v>
      </c>
      <c r="L27" s="561">
        <f>'Database MK'!V28</f>
        <v>1998</v>
      </c>
      <c r="M27" s="561">
        <f>'Database MK'!W28</f>
        <v>1343.3999999999999</v>
      </c>
      <c r="N27" s="561">
        <f>Table3[[#This Row],[Total Panjang Pipa Aktual]]-Table3[[#This Row],[Volume
BA MC-0]]</f>
        <v>-654.60000000000014</v>
      </c>
      <c r="O27" s="7" t="str">
        <f ca="1">'Database MK'!DE28</f>
        <v>Belum, Delay</v>
      </c>
      <c r="P27" s="7" t="str">
        <f ca="1">'Database MK'!DI28</f>
        <v>Belum, Delay</v>
      </c>
      <c r="Q27" s="7" t="str">
        <f ca="1">'Database MK'!DN28</f>
        <v>Sudah, OnSchedule</v>
      </c>
      <c r="R27" s="7" t="str">
        <f ca="1">'Database MK'!DR28</f>
        <v>Sudah, Delay</v>
      </c>
      <c r="S27" s="7" t="str">
        <f ca="1">'Database MK'!EA28</f>
        <v>Belum, Delay</v>
      </c>
      <c r="T27" s="7" t="str">
        <f ca="1">'Database MK'!EI28</f>
        <v>Belum, Delay</v>
      </c>
      <c r="U27" s="7" t="str">
        <f ca="1">'Database MK'!ET28</f>
        <v>Belum, Delay</v>
      </c>
      <c r="V27" s="7" t="str">
        <f ca="1">'Database MK'!GA28</f>
        <v>Belum, Delay</v>
      </c>
      <c r="W27" s="7" t="str">
        <f ca="1">'Database MK'!GD28</f>
        <v>Sudah, OnSchedule</v>
      </c>
      <c r="X27" s="7" t="str">
        <f ca="1">'Database MK'!GG28</f>
        <v>Sudah, OnSchedule</v>
      </c>
      <c r="Y27" s="7" t="str">
        <f ca="1">'Database MK'!GK28</f>
        <v>Sudah, Delay</v>
      </c>
      <c r="Z27" s="7" t="str">
        <f ca="1">'Database MK'!HH28</f>
        <v>Sudah, Delay</v>
      </c>
      <c r="AA27" s="7" t="str">
        <f ca="1">'Database MK'!HR28</f>
        <v>Sudah, Delay</v>
      </c>
      <c r="AB27" s="7" t="str">
        <f ca="1">'Database MK'!HX28</f>
        <v>Sudah, Delay</v>
      </c>
      <c r="AC27" s="7">
        <f>'Database MK'!DA28-'Database MK'!DB28</f>
        <v>45466</v>
      </c>
      <c r="AD27" s="7">
        <f>'Database MK'!DA28-'Database MK'!DF28</f>
        <v>45466</v>
      </c>
      <c r="AE27" s="7">
        <f>'Database MK'!DK28-'Database MK'!DL28</f>
        <v>28</v>
      </c>
      <c r="AF27" s="7">
        <f>'Database MK'!DK28-'Database MK'!DO28</f>
        <v>-8</v>
      </c>
      <c r="AG27" s="7">
        <f>'Database MK'!DU28-'Database MK'!DW28</f>
        <v>45508</v>
      </c>
      <c r="AH27" s="7" t="str">
        <f>IF('Database MK'!EB28="","Belum",'Database MK'!DU28-'Database MK'!EB28)</f>
        <v>Belum</v>
      </c>
      <c r="AI27" s="7" t="str">
        <f>IF('Database MK'!EN28="","Belum",'Database MK'!EL28-'Database MK'!EN28)</f>
        <v>Belum</v>
      </c>
      <c r="AJ27" s="7">
        <f>'Database MK'!FY28-'Database MK'!FZ28</f>
        <v>0</v>
      </c>
      <c r="AK27" s="7">
        <f>IF('Database MK'!GC28="","Belum",'Database MK'!GB28-'Database MK'!GC28)</f>
        <v>19</v>
      </c>
      <c r="AL27" s="7">
        <f>IF('Database MK'!GF28="","Belum",'Database MK'!GE28-'Database MK'!GF28)</f>
        <v>26</v>
      </c>
      <c r="AM27" s="279">
        <f>IF('Database MK'!GJ28="","Belum",'Database MK'!GI28-'Database MK'!GJ28)</f>
        <v>-3</v>
      </c>
      <c r="AN27" s="7">
        <f>IF('Database MK'!HG28="","Belum",'Database MK'!HF28-'Database MK'!HG28)</f>
        <v>-108</v>
      </c>
      <c r="AO27" s="7">
        <f>IF('Database MK'!HQ28="","Belum",'Database MK'!HN28-'Database MK'!HQ28)</f>
        <v>-111</v>
      </c>
      <c r="AP27" s="7">
        <f>IF('Database MK'!HW28="","Belum",'Database MK'!HU28-'Database MK'!HW28)</f>
        <v>-42</v>
      </c>
    </row>
    <row r="28" spans="2:42" x14ac:dyDescent="0.25">
      <c r="B28" s="7">
        <f>SUBTOTAL(3,$C$4:C28)</f>
        <v>25</v>
      </c>
      <c r="C28" s="269" t="s">
        <v>244</v>
      </c>
      <c r="D28" s="269" t="s">
        <v>382</v>
      </c>
      <c r="E28" s="269" t="s">
        <v>383</v>
      </c>
      <c r="F28" s="270">
        <v>45748</v>
      </c>
      <c r="G28" s="4" t="s">
        <v>247</v>
      </c>
      <c r="H28" s="4" t="str">
        <f ca="1">'Database MK'!Q29</f>
        <v>DPPP</v>
      </c>
      <c r="I28" s="24">
        <f>'Database MK'!S29</f>
        <v>1</v>
      </c>
      <c r="J28" s="24">
        <f>'Database MK'!T29</f>
        <v>1</v>
      </c>
      <c r="K28" s="571">
        <f>'Database MK'!U29</f>
        <v>0</v>
      </c>
      <c r="L28" s="561">
        <f>'Database MK'!V29</f>
        <v>6906</v>
      </c>
      <c r="M28" s="561">
        <f>'Database MK'!W29</f>
        <v>6730.9000000000005</v>
      </c>
      <c r="N28" s="561">
        <f>Table3[[#This Row],[Total Panjang Pipa Aktual]]-Table3[[#This Row],[Volume
BA MC-0]]</f>
        <v>-175.09999999999945</v>
      </c>
      <c r="O28" s="7" t="str">
        <f ca="1">'Database MK'!DE29</f>
        <v>Belum, Delay</v>
      </c>
      <c r="P28" s="7" t="str">
        <f ca="1">'Database MK'!DI29</f>
        <v>Belum, Delay</v>
      </c>
      <c r="Q28" s="7" t="str">
        <f ca="1">'Database MK'!DN29</f>
        <v>Sudah, OnSchedule</v>
      </c>
      <c r="R28" s="7" t="str">
        <f ca="1">'Database MK'!DR29</f>
        <v>Sudah, Delay</v>
      </c>
      <c r="S28" s="7" t="str">
        <f ca="1">'Database MK'!EA29</f>
        <v>Belum, Delay</v>
      </c>
      <c r="T28" s="7" t="str">
        <f ca="1">'Database MK'!EI29</f>
        <v>Belum, Delay</v>
      </c>
      <c r="U28" s="7" t="str">
        <f ca="1">'Database MK'!ET29</f>
        <v>Belum, Delay</v>
      </c>
      <c r="V28" s="7" t="str">
        <f ca="1">'Database MK'!GA29</f>
        <v>Belum, Delay</v>
      </c>
      <c r="W28" s="7" t="str">
        <f ca="1">'Database MK'!GD29</f>
        <v>Sudah, OnSchedule</v>
      </c>
      <c r="X28" s="7" t="str">
        <f ca="1">'Database MK'!GG29</f>
        <v>Sudah, OnSchedule</v>
      </c>
      <c r="Y28" s="7" t="str">
        <f ca="1">'Database MK'!GK29</f>
        <v>Sudah, Delay</v>
      </c>
      <c r="Z28" s="7" t="str">
        <f ca="1">'Database MK'!HH29</f>
        <v>Sudah, Delay</v>
      </c>
      <c r="AA28" s="7" t="str">
        <f ca="1">'Database MK'!HR29</f>
        <v>Sudah, Delay</v>
      </c>
      <c r="AB28" s="7" t="str">
        <f ca="1">'Database MK'!HX29</f>
        <v>Sudah, Delay</v>
      </c>
      <c r="AC28" s="7">
        <f>'Database MK'!DA29-'Database MK'!DB29</f>
        <v>45466</v>
      </c>
      <c r="AD28" s="7">
        <f>'Database MK'!DA29-'Database MK'!DF29</f>
        <v>45466</v>
      </c>
      <c r="AE28" s="7">
        <f>'Database MK'!DK29-'Database MK'!DL29</f>
        <v>27</v>
      </c>
      <c r="AF28" s="7">
        <f>'Database MK'!DK29-'Database MK'!DO29</f>
        <v>-8</v>
      </c>
      <c r="AG28" s="7">
        <f>'Database MK'!DU29-'Database MK'!DW29</f>
        <v>45508</v>
      </c>
      <c r="AH28" s="7" t="str">
        <f>IF('Database MK'!EB29="","Belum",'Database MK'!DU29-'Database MK'!EB29)</f>
        <v>Belum</v>
      </c>
      <c r="AI28" s="7" t="str">
        <f>IF('Database MK'!EN29="","Belum",'Database MK'!EL29-'Database MK'!EN29)</f>
        <v>Belum</v>
      </c>
      <c r="AJ28" s="7">
        <f>'Database MK'!FY29-'Database MK'!FZ29</f>
        <v>0</v>
      </c>
      <c r="AK28" s="7">
        <f>IF('Database MK'!GC29="","Belum",'Database MK'!GB29-'Database MK'!GC29)</f>
        <v>19</v>
      </c>
      <c r="AL28" s="7">
        <f>IF('Database MK'!GF29="","Belum",'Database MK'!GE29-'Database MK'!GF29)</f>
        <v>26</v>
      </c>
      <c r="AM28" s="279">
        <f>IF('Database MK'!GJ29="","Belum",'Database MK'!GI29-'Database MK'!GJ29)</f>
        <v>-1</v>
      </c>
      <c r="AN28" s="7">
        <f>IF('Database MK'!HG29="","Belum",'Database MK'!HF29-'Database MK'!HG29)</f>
        <v>-96</v>
      </c>
      <c r="AO28" s="7">
        <f>IF('Database MK'!HQ29="","Belum",'Database MK'!HN29-'Database MK'!HQ29)</f>
        <v>-94</v>
      </c>
      <c r="AP28" s="7">
        <f>IF('Database MK'!HW29="","Belum",'Database MK'!HU29-'Database MK'!HW29)</f>
        <v>-42</v>
      </c>
    </row>
    <row r="29" spans="2:42" x14ac:dyDescent="0.25">
      <c r="B29" s="7">
        <f>SUBTOTAL(3,$C$4:C29)</f>
        <v>26</v>
      </c>
      <c r="C29" s="271" t="s">
        <v>244</v>
      </c>
      <c r="D29" s="271" t="s">
        <v>387</v>
      </c>
      <c r="E29" s="271" t="s">
        <v>388</v>
      </c>
      <c r="F29" s="272">
        <v>45748</v>
      </c>
      <c r="G29" s="72" t="s">
        <v>247</v>
      </c>
      <c r="H29" s="72" t="str">
        <f>'Database MK'!Q30</f>
        <v>BATAL / CANCEL</v>
      </c>
      <c r="I29" s="572">
        <f>'Database MK'!S30</f>
        <v>1</v>
      </c>
      <c r="J29" s="572">
        <f>'Database MK'!T30</f>
        <v>0</v>
      </c>
      <c r="K29" s="573">
        <f>'Database MK'!U30</f>
        <v>-1</v>
      </c>
      <c r="L29" s="562">
        <f>'Database MK'!V30</f>
        <v>0</v>
      </c>
      <c r="M29" s="562">
        <f>'Database MK'!W30</f>
        <v>0</v>
      </c>
      <c r="N29" s="562">
        <f>Table3[[#This Row],[Total Panjang Pipa Aktual]]-Table3[[#This Row],[Volume
BA MC-0]]</f>
        <v>0</v>
      </c>
      <c r="O29" s="7" t="str">
        <f ca="1">'Database MK'!DE30</f>
        <v>Belum, Delay</v>
      </c>
      <c r="P29" s="7" t="str">
        <f ca="1">'Database MK'!DI30</f>
        <v>Belum, Delay</v>
      </c>
      <c r="Q29" s="7" t="str">
        <f ca="1">'Database MK'!DN30</f>
        <v>Sudah, OnSchedule</v>
      </c>
      <c r="R29" s="7" t="str">
        <f ca="1">'Database MK'!DR30</f>
        <v>Sudah, Delay</v>
      </c>
      <c r="S29" s="7" t="str">
        <f ca="1">'Database MK'!EA30</f>
        <v>Belum, Delay</v>
      </c>
      <c r="T29" s="7" t="str">
        <f ca="1">'Database MK'!EI30</f>
        <v>Belum, Delay</v>
      </c>
      <c r="U29" s="7" t="str">
        <f ca="1">'Database MK'!ET30</f>
        <v>Belum, Delay</v>
      </c>
      <c r="V29" s="7" t="str">
        <f ca="1">'Database MK'!GA30</f>
        <v>Belum, Delay</v>
      </c>
      <c r="W29" s="7" t="str">
        <f ca="1">'Database MK'!GD30</f>
        <v>Sudah, OnSchedule</v>
      </c>
      <c r="X29" s="7" t="str">
        <f ca="1">'Database MK'!GG30</f>
        <v>Sudah, OnSchedule</v>
      </c>
      <c r="Y29" s="7" t="str">
        <f ca="1">'Database MK'!GK30</f>
        <v>Sudah, OnSchedule</v>
      </c>
      <c r="Z29" s="7" t="str">
        <f ca="1">'Database MK'!HH30</f>
        <v>Belum, Delay</v>
      </c>
      <c r="AA29" s="7" t="str">
        <f ca="1">'Database MK'!HR30</f>
        <v>Belum, Delay</v>
      </c>
      <c r="AB29" s="7" t="str">
        <f ca="1">'Database MK'!HX30</f>
        <v>Belum, Delay</v>
      </c>
      <c r="AC29" s="7">
        <f>'Database MK'!DA30-'Database MK'!DB30</f>
        <v>45466</v>
      </c>
      <c r="AD29" s="7">
        <f>'Database MK'!DA30-'Database MK'!DF30</f>
        <v>45466</v>
      </c>
      <c r="AE29" s="7">
        <f>'Database MK'!DK30-'Database MK'!DL30</f>
        <v>16</v>
      </c>
      <c r="AF29" s="7">
        <f>'Database MK'!DK30-'Database MK'!DO30</f>
        <v>-8</v>
      </c>
      <c r="AG29" s="7">
        <f>'Database MK'!DU30-'Database MK'!DW30</f>
        <v>45508</v>
      </c>
      <c r="AH29" s="7" t="str">
        <f>IF('Database MK'!EB30="","Belum",'Database MK'!DU30-'Database MK'!EB30)</f>
        <v>Belum</v>
      </c>
      <c r="AI29" s="7" t="str">
        <f>IF('Database MK'!EN30="","Belum",'Database MK'!EL30-'Database MK'!EN30)</f>
        <v>Belum</v>
      </c>
      <c r="AJ29" s="7">
        <f>'Database MK'!FY30-'Database MK'!FZ30</f>
        <v>0</v>
      </c>
      <c r="AK29" s="7">
        <f>IF('Database MK'!GC30="","Belum",'Database MK'!GB30-'Database MK'!GC30)</f>
        <v>19</v>
      </c>
      <c r="AL29" s="7">
        <f>IF('Database MK'!GF30="","Belum",'Database MK'!GE30-'Database MK'!GF30)</f>
        <v>26</v>
      </c>
      <c r="AM29" s="279">
        <f>IF('Database MK'!GJ30="","Belum",'Database MK'!GI30-'Database MK'!GJ30)</f>
        <v>1</v>
      </c>
      <c r="AN29" s="7" t="str">
        <f>IF('Database MK'!HG30="","Belum",'Database MK'!HF30-'Database MK'!HG30)</f>
        <v>Belum</v>
      </c>
      <c r="AO29" s="7" t="str">
        <f>IF('Database MK'!HQ30="","Belum",'Database MK'!HN30-'Database MK'!HQ30)</f>
        <v>Belum</v>
      </c>
      <c r="AP29" s="7" t="str">
        <f>IF('Database MK'!HW30="","Belum",'Database MK'!HU30-'Database MK'!HW30)</f>
        <v>Belum</v>
      </c>
    </row>
    <row r="30" spans="2:42" x14ac:dyDescent="0.25">
      <c r="B30" s="7">
        <f>SUBTOTAL(3,$C$4:C30)</f>
        <v>27</v>
      </c>
      <c r="C30" s="269" t="s">
        <v>244</v>
      </c>
      <c r="D30" s="269" t="s">
        <v>393</v>
      </c>
      <c r="E30" s="269" t="s">
        <v>394</v>
      </c>
      <c r="F30" s="270">
        <v>45748</v>
      </c>
      <c r="G30" s="4" t="s">
        <v>247</v>
      </c>
      <c r="H30" s="4" t="str">
        <f ca="1">'Database MK'!Q31</f>
        <v>DPPP</v>
      </c>
      <c r="I30" s="24">
        <f>'Database MK'!S31</f>
        <v>1</v>
      </c>
      <c r="J30" s="24">
        <f>'Database MK'!T31</f>
        <v>1</v>
      </c>
      <c r="K30" s="571">
        <f>'Database MK'!U31</f>
        <v>0</v>
      </c>
      <c r="L30" s="561">
        <f>'Database MK'!V31</f>
        <v>4360</v>
      </c>
      <c r="M30" s="561">
        <f>'Database MK'!W31</f>
        <v>2052.4</v>
      </c>
      <c r="N30" s="561">
        <f>Table3[[#This Row],[Total Panjang Pipa Aktual]]-Table3[[#This Row],[Volume
BA MC-0]]</f>
        <v>-2307.6</v>
      </c>
      <c r="O30" s="7" t="str">
        <f ca="1">'Database MK'!DE31</f>
        <v>Belum, Delay</v>
      </c>
      <c r="P30" s="7" t="str">
        <f ca="1">'Database MK'!DI31</f>
        <v>Belum, Delay</v>
      </c>
      <c r="Q30" s="7" t="str">
        <f ca="1">'Database MK'!DN31</f>
        <v>Sudah, OnSchedule</v>
      </c>
      <c r="R30" s="7" t="str">
        <f ca="1">'Database MK'!DR31</f>
        <v>Sudah, Delay</v>
      </c>
      <c r="S30" s="7" t="str">
        <f ca="1">'Database MK'!EA31</f>
        <v>Belum, Delay</v>
      </c>
      <c r="T30" s="7" t="str">
        <f ca="1">'Database MK'!EI31</f>
        <v>Belum, Delay</v>
      </c>
      <c r="U30" s="7" t="str">
        <f ca="1">'Database MK'!ET31</f>
        <v>Belum, Delay</v>
      </c>
      <c r="V30" s="7" t="str">
        <f ca="1">'Database MK'!GA31</f>
        <v>Belum, Delay</v>
      </c>
      <c r="W30" s="7" t="str">
        <f ca="1">'Database MK'!GD31</f>
        <v>Sudah, OnSchedule</v>
      </c>
      <c r="X30" s="7" t="str">
        <f ca="1">'Database MK'!GG31</f>
        <v>Sudah, OnSchedule</v>
      </c>
      <c r="Y30" s="7" t="str">
        <f ca="1">'Database MK'!GK31</f>
        <v>Sudah, Delay</v>
      </c>
      <c r="Z30" s="7" t="str">
        <f ca="1">'Database MK'!HH31</f>
        <v>Sudah, Delay</v>
      </c>
      <c r="AA30" s="7" t="str">
        <f ca="1">'Database MK'!HR31</f>
        <v>Sudah, Delay</v>
      </c>
      <c r="AB30" s="7" t="str">
        <f ca="1">'Database MK'!HX31</f>
        <v>Sudah, Delay</v>
      </c>
      <c r="AC30" s="7">
        <f>'Database MK'!DA31-'Database MK'!DB31</f>
        <v>45466</v>
      </c>
      <c r="AD30" s="7">
        <f>'Database MK'!DA31-'Database MK'!DF31</f>
        <v>45466</v>
      </c>
      <c r="AE30" s="7">
        <f>'Database MK'!DK31-'Database MK'!DL31</f>
        <v>27</v>
      </c>
      <c r="AF30" s="7">
        <f>'Database MK'!DK31-'Database MK'!DO31</f>
        <v>-36</v>
      </c>
      <c r="AG30" s="7">
        <f>'Database MK'!DU31-'Database MK'!DW31</f>
        <v>45508</v>
      </c>
      <c r="AH30" s="7" t="str">
        <f>IF('Database MK'!EB31="","Belum",'Database MK'!DU31-'Database MK'!EB31)</f>
        <v>Belum</v>
      </c>
      <c r="AI30" s="7" t="str">
        <f>IF('Database MK'!EN31="","Belum",'Database MK'!EL31-'Database MK'!EN31)</f>
        <v>Belum</v>
      </c>
      <c r="AJ30" s="7">
        <f>'Database MK'!FY31-'Database MK'!FZ31</f>
        <v>0</v>
      </c>
      <c r="AK30" s="7">
        <f>IF('Database MK'!GC31="","Belum",'Database MK'!GB31-'Database MK'!GC31)</f>
        <v>19</v>
      </c>
      <c r="AL30" s="7">
        <f>IF('Database MK'!GF31="","Belum",'Database MK'!GE31-'Database MK'!GF31)</f>
        <v>26</v>
      </c>
      <c r="AM30" s="279">
        <f>IF('Database MK'!GJ31="","Belum",'Database MK'!GI31-'Database MK'!GJ31)</f>
        <v>-43</v>
      </c>
      <c r="AN30" s="7">
        <f>IF('Database MK'!HG31="","Belum",'Database MK'!HF31-'Database MK'!HG31)</f>
        <v>-110</v>
      </c>
      <c r="AO30" s="7">
        <f>IF('Database MK'!HQ31="","Belum",'Database MK'!HN31-'Database MK'!HQ31)</f>
        <v>-103</v>
      </c>
      <c r="AP30" s="7">
        <f>IF('Database MK'!HW31="","Belum",'Database MK'!HU31-'Database MK'!HW31)</f>
        <v>-42</v>
      </c>
    </row>
    <row r="31" spans="2:42" x14ac:dyDescent="0.25">
      <c r="B31" s="7">
        <f>SUBTOTAL(3,$C$4:C31)</f>
        <v>28</v>
      </c>
      <c r="C31" s="269" t="s">
        <v>244</v>
      </c>
      <c r="D31" s="269" t="s">
        <v>398</v>
      </c>
      <c r="E31" s="269" t="s">
        <v>399</v>
      </c>
      <c r="F31" s="270">
        <v>45748</v>
      </c>
      <c r="G31" s="4" t="s">
        <v>247</v>
      </c>
      <c r="H31" s="4" t="str">
        <f ca="1">'Database MK'!Q32</f>
        <v>DPPP</v>
      </c>
      <c r="I31" s="24">
        <f>'Database MK'!S32</f>
        <v>1</v>
      </c>
      <c r="J31" s="24">
        <f>'Database MK'!T32</f>
        <v>1</v>
      </c>
      <c r="K31" s="571">
        <f>'Database MK'!U32</f>
        <v>0</v>
      </c>
      <c r="L31" s="561">
        <f>'Database MK'!V32</f>
        <v>3152</v>
      </c>
      <c r="M31" s="561">
        <f>'Database MK'!W32</f>
        <v>1595.8</v>
      </c>
      <c r="N31" s="561">
        <f>Table3[[#This Row],[Total Panjang Pipa Aktual]]-Table3[[#This Row],[Volume
BA MC-0]]</f>
        <v>-1556.2</v>
      </c>
      <c r="O31" s="7" t="str">
        <f ca="1">'Database MK'!DE32</f>
        <v>Belum, Delay</v>
      </c>
      <c r="P31" s="7" t="str">
        <f ca="1">'Database MK'!DI32</f>
        <v>Belum, Delay</v>
      </c>
      <c r="Q31" s="7" t="str">
        <f ca="1">'Database MK'!DN32</f>
        <v>Sudah, OnSchedule</v>
      </c>
      <c r="R31" s="7" t="str">
        <f ca="1">'Database MK'!DR32</f>
        <v>Sudah, Delay</v>
      </c>
      <c r="S31" s="7" t="str">
        <f ca="1">'Database MK'!EA32</f>
        <v>Belum, Delay</v>
      </c>
      <c r="T31" s="7" t="str">
        <f ca="1">'Database MK'!EI32</f>
        <v>Belum, Delay</v>
      </c>
      <c r="U31" s="7" t="str">
        <f ca="1">'Database MK'!ET32</f>
        <v>Belum, Delay</v>
      </c>
      <c r="V31" s="7" t="str">
        <f ca="1">'Database MK'!GA32</f>
        <v>Belum, Delay</v>
      </c>
      <c r="W31" s="7" t="str">
        <f ca="1">'Database MK'!GD32</f>
        <v>Sudah, OnSchedule</v>
      </c>
      <c r="X31" s="7" t="str">
        <f ca="1">'Database MK'!GG32</f>
        <v>Sudah, OnSchedule</v>
      </c>
      <c r="Y31" s="7" t="str">
        <f ca="1">'Database MK'!GK32</f>
        <v>Sudah, Delay</v>
      </c>
      <c r="Z31" s="7" t="str">
        <f ca="1">'Database MK'!HH32</f>
        <v>Sudah, Delay</v>
      </c>
      <c r="AA31" s="7" t="str">
        <f ca="1">'Database MK'!HR32</f>
        <v>Sudah, Delay</v>
      </c>
      <c r="AB31" s="7" t="str">
        <f ca="1">'Database MK'!HX32</f>
        <v>Sudah, Delay</v>
      </c>
      <c r="AC31" s="7">
        <f>'Database MK'!DA32-'Database MK'!DB32</f>
        <v>45466</v>
      </c>
      <c r="AD31" s="7">
        <f>'Database MK'!DA32-'Database MK'!DF32</f>
        <v>45466</v>
      </c>
      <c r="AE31" s="7">
        <f>'Database MK'!DK32-'Database MK'!DL32</f>
        <v>22</v>
      </c>
      <c r="AF31" s="7">
        <f>'Database MK'!DK32-'Database MK'!DO32</f>
        <v>-36</v>
      </c>
      <c r="AG31" s="7">
        <f>'Database MK'!DU32-'Database MK'!DW32</f>
        <v>45508</v>
      </c>
      <c r="AH31" s="7" t="str">
        <f>IF('Database MK'!EB32="","Belum",'Database MK'!DU32-'Database MK'!EB32)</f>
        <v>Belum</v>
      </c>
      <c r="AI31" s="7" t="str">
        <f>IF('Database MK'!EN32="","Belum",'Database MK'!EL32-'Database MK'!EN32)</f>
        <v>Belum</v>
      </c>
      <c r="AJ31" s="7">
        <f>'Database MK'!FY32-'Database MK'!FZ32</f>
        <v>0</v>
      </c>
      <c r="AK31" s="7">
        <f>IF('Database MK'!GC32="","Belum",'Database MK'!GB32-'Database MK'!GC32)</f>
        <v>19</v>
      </c>
      <c r="AL31" s="7">
        <f>IF('Database MK'!GF32="","Belum",'Database MK'!GE32-'Database MK'!GF32)</f>
        <v>26</v>
      </c>
      <c r="AM31" s="279">
        <f>IF('Database MK'!GJ32="","Belum",'Database MK'!GI32-'Database MK'!GJ32)</f>
        <v>-50</v>
      </c>
      <c r="AN31" s="7">
        <f>IF('Database MK'!HG32="","Belum",'Database MK'!HF32-'Database MK'!HG32)</f>
        <v>-57</v>
      </c>
      <c r="AO31" s="7">
        <f>IF('Database MK'!HQ32="","Belum",'Database MK'!HN32-'Database MK'!HQ32)</f>
        <v>-94</v>
      </c>
      <c r="AP31" s="7">
        <f>IF('Database MK'!HW32="","Belum",'Database MK'!HU32-'Database MK'!HW32)</f>
        <v>-42</v>
      </c>
    </row>
    <row r="32" spans="2:42" x14ac:dyDescent="0.25">
      <c r="B32" s="7">
        <f>SUBTOTAL(3,$C$4:C32)</f>
        <v>29</v>
      </c>
      <c r="C32" s="269" t="s">
        <v>244</v>
      </c>
      <c r="D32" s="269" t="s">
        <v>403</v>
      </c>
      <c r="E32" s="269" t="s">
        <v>404</v>
      </c>
      <c r="F32" s="270">
        <v>45748</v>
      </c>
      <c r="G32" s="4" t="s">
        <v>247</v>
      </c>
      <c r="H32" s="4" t="str">
        <f ca="1">'Database MK'!Q33</f>
        <v>DPPP</v>
      </c>
      <c r="I32" s="24">
        <f>'Database MK'!S33</f>
        <v>1</v>
      </c>
      <c r="J32" s="24">
        <f>'Database MK'!T33</f>
        <v>1</v>
      </c>
      <c r="K32" s="571">
        <f>'Database MK'!U33</f>
        <v>0</v>
      </c>
      <c r="L32" s="561">
        <f>'Database MK'!V33</f>
        <v>1322</v>
      </c>
      <c r="M32" s="561">
        <f>'Database MK'!W33</f>
        <v>491.2</v>
      </c>
      <c r="N32" s="561">
        <f>Table3[[#This Row],[Total Panjang Pipa Aktual]]-Table3[[#This Row],[Volume
BA MC-0]]</f>
        <v>-830.8</v>
      </c>
      <c r="O32" s="7" t="str">
        <f ca="1">'Database MK'!DE33</f>
        <v>Belum, Delay</v>
      </c>
      <c r="P32" s="7" t="str">
        <f ca="1">'Database MK'!DI33</f>
        <v>Belum, Delay</v>
      </c>
      <c r="Q32" s="7" t="str">
        <f ca="1">'Database MK'!DN33</f>
        <v>Sudah, OnSchedule</v>
      </c>
      <c r="R32" s="7" t="str">
        <f ca="1">'Database MK'!DR33</f>
        <v>Sudah, Delay</v>
      </c>
      <c r="S32" s="7" t="str">
        <f ca="1">'Database MK'!EA33</f>
        <v>Belum, Delay</v>
      </c>
      <c r="T32" s="7" t="str">
        <f ca="1">'Database MK'!EI33</f>
        <v>Belum, Delay</v>
      </c>
      <c r="U32" s="7" t="str">
        <f ca="1">'Database MK'!ET33</f>
        <v>Belum, Delay</v>
      </c>
      <c r="V32" s="7" t="str">
        <f ca="1">'Database MK'!GA33</f>
        <v>Belum, Delay</v>
      </c>
      <c r="W32" s="7" t="str">
        <f ca="1">'Database MK'!GD33</f>
        <v>Sudah, OnSchedule</v>
      </c>
      <c r="X32" s="7" t="str">
        <f ca="1">'Database MK'!GG33</f>
        <v>Sudah, OnSchedule</v>
      </c>
      <c r="Y32" s="7" t="str">
        <f ca="1">'Database MK'!GK33</f>
        <v>Sudah, Delay</v>
      </c>
      <c r="Z32" s="7" t="str">
        <f ca="1">'Database MK'!HH33</f>
        <v>Sudah, Delay</v>
      </c>
      <c r="AA32" s="7" t="str">
        <f ca="1">'Database MK'!HR33</f>
        <v>Sudah, Delay</v>
      </c>
      <c r="AB32" s="7" t="str">
        <f ca="1">'Database MK'!HX33</f>
        <v>Sudah, Delay</v>
      </c>
      <c r="AC32" s="7">
        <f>'Database MK'!DA33-'Database MK'!DB33</f>
        <v>45466</v>
      </c>
      <c r="AD32" s="7">
        <f>'Database MK'!DA33-'Database MK'!DF33</f>
        <v>45466</v>
      </c>
      <c r="AE32" s="7">
        <f>'Database MK'!DK33-'Database MK'!DL33</f>
        <v>14</v>
      </c>
      <c r="AF32" s="7">
        <f>'Database MK'!DK33-'Database MK'!DO33</f>
        <v>-36</v>
      </c>
      <c r="AG32" s="7">
        <f>'Database MK'!DU33-'Database MK'!DW33</f>
        <v>45508</v>
      </c>
      <c r="AH32" s="7" t="str">
        <f>IF('Database MK'!EB33="","Belum",'Database MK'!DU33-'Database MK'!EB33)</f>
        <v>Belum</v>
      </c>
      <c r="AI32" s="7" t="str">
        <f>IF('Database MK'!EN33="","Belum",'Database MK'!EL33-'Database MK'!EN33)</f>
        <v>Belum</v>
      </c>
      <c r="AJ32" s="7">
        <f>'Database MK'!FY33-'Database MK'!FZ33</f>
        <v>0</v>
      </c>
      <c r="AK32" s="7">
        <f>IF('Database MK'!GC33="","Belum",'Database MK'!GB33-'Database MK'!GC33)</f>
        <v>19</v>
      </c>
      <c r="AL32" s="7">
        <f>IF('Database MK'!GF33="","Belum",'Database MK'!GE33-'Database MK'!GF33)</f>
        <v>26</v>
      </c>
      <c r="AM32" s="279">
        <f>IF('Database MK'!GJ33="","Belum",'Database MK'!GI33-'Database MK'!GJ33)</f>
        <v>-50</v>
      </c>
      <c r="AN32" s="7">
        <f>IF('Database MK'!HG33="","Belum",'Database MK'!HF33-'Database MK'!HG33)</f>
        <v>-87</v>
      </c>
      <c r="AO32" s="7">
        <f>IF('Database MK'!HQ33="","Belum",'Database MK'!HN33-'Database MK'!HQ33)</f>
        <v>-94</v>
      </c>
      <c r="AP32" s="7">
        <f>IF('Database MK'!HW33="","Belum",'Database MK'!HU33-'Database MK'!HW33)</f>
        <v>-42</v>
      </c>
    </row>
    <row r="33" spans="2:42" x14ac:dyDescent="0.25">
      <c r="B33" s="7">
        <f>SUBTOTAL(3,$C$4:C33)</f>
        <v>30</v>
      </c>
      <c r="C33" s="271" t="s">
        <v>244</v>
      </c>
      <c r="D33" s="271" t="s">
        <v>408</v>
      </c>
      <c r="E33" s="271" t="s">
        <v>409</v>
      </c>
      <c r="F33" s="272">
        <v>45748</v>
      </c>
      <c r="G33" s="72" t="s">
        <v>247</v>
      </c>
      <c r="H33" s="72" t="str">
        <f>'Database MK'!Q34</f>
        <v>BATAL / CANCEL</v>
      </c>
      <c r="I33" s="572">
        <f>'Database MK'!S34</f>
        <v>1</v>
      </c>
      <c r="J33" s="572">
        <f>'Database MK'!T34</f>
        <v>0</v>
      </c>
      <c r="K33" s="573">
        <f>'Database MK'!U34</f>
        <v>-1</v>
      </c>
      <c r="L33" s="562">
        <f>'Database MK'!V34</f>
        <v>0</v>
      </c>
      <c r="M33" s="562">
        <f>'Database MK'!W34</f>
        <v>0</v>
      </c>
      <c r="N33" s="562">
        <f>Table3[[#This Row],[Total Panjang Pipa Aktual]]-Table3[[#This Row],[Volume
BA MC-0]]</f>
        <v>0</v>
      </c>
      <c r="O33" s="7" t="str">
        <f ca="1">'Database MK'!DE34</f>
        <v>Belum, Delay</v>
      </c>
      <c r="P33" s="7" t="str">
        <f ca="1">'Database MK'!DI34</f>
        <v>Belum, Delay</v>
      </c>
      <c r="Q33" s="7" t="str">
        <f ca="1">'Database MK'!DN34</f>
        <v>Sudah, OnSchedule</v>
      </c>
      <c r="R33" s="7" t="str">
        <f ca="1">'Database MK'!DR34</f>
        <v>Sudah, Delay</v>
      </c>
      <c r="S33" s="7" t="str">
        <f ca="1">'Database MK'!EA34</f>
        <v>Belum, Delay</v>
      </c>
      <c r="T33" s="7" t="str">
        <f ca="1">'Database MK'!EI34</f>
        <v>Belum, Delay</v>
      </c>
      <c r="U33" s="7" t="str">
        <f ca="1">'Database MK'!ET34</f>
        <v>Belum, Delay</v>
      </c>
      <c r="V33" s="7" t="str">
        <f ca="1">'Database MK'!GA34</f>
        <v>Belum, Delay</v>
      </c>
      <c r="W33" s="7" t="str">
        <f ca="1">'Database MK'!GD34</f>
        <v>Sudah, OnSchedule</v>
      </c>
      <c r="X33" s="7" t="str">
        <f ca="1">'Database MK'!GG34</f>
        <v>Sudah, OnSchedule</v>
      </c>
      <c r="Y33" s="7" t="str">
        <f ca="1">'Database MK'!GK34</f>
        <v>Belum, Delay</v>
      </c>
      <c r="Z33" s="7" t="str">
        <f ca="1">'Database MK'!HH34</f>
        <v>Belum, Delay</v>
      </c>
      <c r="AA33" s="7" t="str">
        <f ca="1">'Database MK'!HR34</f>
        <v>Belum, Delay</v>
      </c>
      <c r="AB33" s="7" t="str">
        <f ca="1">'Database MK'!HX34</f>
        <v>Belum, Delay</v>
      </c>
      <c r="AC33" s="7">
        <f>'Database MK'!DA34-'Database MK'!DB34</f>
        <v>45466</v>
      </c>
      <c r="AD33" s="7">
        <f>'Database MK'!DA34-'Database MK'!DF34</f>
        <v>45466</v>
      </c>
      <c r="AE33" s="7">
        <f>'Database MK'!DK34-'Database MK'!DL34</f>
        <v>22</v>
      </c>
      <c r="AF33" s="7">
        <f>'Database MK'!DK34-'Database MK'!DO34</f>
        <v>-36</v>
      </c>
      <c r="AG33" s="7">
        <f>'Database MK'!DU34-'Database MK'!DW34</f>
        <v>45508</v>
      </c>
      <c r="AH33" s="7" t="str">
        <f>IF('Database MK'!EB34="","Belum",'Database MK'!DU34-'Database MK'!EB34)</f>
        <v>Belum</v>
      </c>
      <c r="AI33" s="7" t="str">
        <f>IF('Database MK'!EN34="","Belum",'Database MK'!EL34-'Database MK'!EN34)</f>
        <v>Belum</v>
      </c>
      <c r="AJ33" s="7">
        <f>'Database MK'!FY34-'Database MK'!FZ34</f>
        <v>0</v>
      </c>
      <c r="AK33" s="7">
        <f>IF('Database MK'!GC34="","Belum",'Database MK'!GB34-'Database MK'!GC34)</f>
        <v>19</v>
      </c>
      <c r="AL33" s="7">
        <f>IF('Database MK'!GF34="","Belum",'Database MK'!GE34-'Database MK'!GF34)</f>
        <v>26</v>
      </c>
      <c r="AM33" s="279" t="str">
        <f>IF('Database MK'!GJ34="","Belum",'Database MK'!GI34-'Database MK'!GJ34)</f>
        <v>Belum</v>
      </c>
      <c r="AN33" s="7" t="str">
        <f>IF('Database MK'!HG34="","Belum",'Database MK'!HF34-'Database MK'!HG34)</f>
        <v>Belum</v>
      </c>
      <c r="AO33" s="7" t="str">
        <f>IF('Database MK'!HQ34="","Belum",'Database MK'!HN34-'Database MK'!HQ34)</f>
        <v>Belum</v>
      </c>
      <c r="AP33" s="7" t="str">
        <f>IF('Database MK'!HW34="","Belum",'Database MK'!HU34-'Database MK'!HW34)</f>
        <v>Belum</v>
      </c>
    </row>
    <row r="34" spans="2:42" x14ac:dyDescent="0.25">
      <c r="B34" s="7">
        <f>SUBTOTAL(3,$C$4:C34)</f>
        <v>31</v>
      </c>
      <c r="C34" s="269" t="s">
        <v>244</v>
      </c>
      <c r="D34" s="269" t="s">
        <v>413</v>
      </c>
      <c r="E34" s="269" t="s">
        <v>414</v>
      </c>
      <c r="F34" s="270">
        <v>45748</v>
      </c>
      <c r="G34" s="4" t="s">
        <v>247</v>
      </c>
      <c r="H34" s="4" t="str">
        <f ca="1">'Database MK'!Q35</f>
        <v>DPPP</v>
      </c>
      <c r="I34" s="24">
        <f>'Database MK'!S35</f>
        <v>1</v>
      </c>
      <c r="J34" s="24">
        <f>'Database MK'!T35</f>
        <v>1</v>
      </c>
      <c r="K34" s="571">
        <f>'Database MK'!U35</f>
        <v>0</v>
      </c>
      <c r="L34" s="561">
        <f>'Database MK'!V35</f>
        <v>2221</v>
      </c>
      <c r="M34" s="561">
        <f>'Database MK'!W35</f>
        <v>1320</v>
      </c>
      <c r="N34" s="561">
        <f>Table3[[#This Row],[Total Panjang Pipa Aktual]]-Table3[[#This Row],[Volume
BA MC-0]]</f>
        <v>-901</v>
      </c>
      <c r="O34" s="7" t="str">
        <f ca="1">'Database MK'!DE35</f>
        <v>Belum, Delay</v>
      </c>
      <c r="P34" s="7" t="str">
        <f ca="1">'Database MK'!DI35</f>
        <v>Belum, Delay</v>
      </c>
      <c r="Q34" s="7" t="str">
        <f ca="1">'Database MK'!DN35</f>
        <v>Sudah, OnSchedule</v>
      </c>
      <c r="R34" s="7" t="str">
        <f ca="1">'Database MK'!DR35</f>
        <v>Sudah, Delay</v>
      </c>
      <c r="S34" s="7" t="str">
        <f ca="1">'Database MK'!EA35</f>
        <v>Belum, Delay</v>
      </c>
      <c r="T34" s="7" t="str">
        <f ca="1">'Database MK'!EI35</f>
        <v>Belum, Delay</v>
      </c>
      <c r="U34" s="7" t="str">
        <f ca="1">'Database MK'!ET35</f>
        <v>Belum, Delay</v>
      </c>
      <c r="V34" s="7" t="str">
        <f ca="1">'Database MK'!GA35</f>
        <v>Belum, Delay</v>
      </c>
      <c r="W34" s="7" t="str">
        <f ca="1">'Database MK'!GD35</f>
        <v>Sudah, OnSchedule</v>
      </c>
      <c r="X34" s="7" t="str">
        <f ca="1">'Database MK'!GG35</f>
        <v>Sudah, OnSchedule</v>
      </c>
      <c r="Y34" s="7" t="str">
        <f ca="1">'Database MK'!GK35</f>
        <v>Sudah, Delay</v>
      </c>
      <c r="Z34" s="7" t="str">
        <f ca="1">'Database MK'!HH35</f>
        <v>Sudah, Delay</v>
      </c>
      <c r="AA34" s="7" t="str">
        <f ca="1">'Database MK'!HR35</f>
        <v>Sudah, Delay</v>
      </c>
      <c r="AB34" s="7" t="str">
        <f ca="1">'Database MK'!HX35</f>
        <v>Sudah, Delay</v>
      </c>
      <c r="AC34" s="7">
        <f>'Database MK'!DA35-'Database MK'!DB35</f>
        <v>45466</v>
      </c>
      <c r="AD34" s="7">
        <f>'Database MK'!DA35-'Database MK'!DF35</f>
        <v>45466</v>
      </c>
      <c r="AE34" s="7">
        <f>'Database MK'!DK35-'Database MK'!DL35</f>
        <v>10</v>
      </c>
      <c r="AF34" s="7">
        <f>'Database MK'!DK35-'Database MK'!DO35</f>
        <v>-26</v>
      </c>
      <c r="AG34" s="7">
        <f>'Database MK'!DU35-'Database MK'!DW35</f>
        <v>45508</v>
      </c>
      <c r="AH34" s="7" t="str">
        <f>IF('Database MK'!EB35="","Belum",'Database MK'!DU35-'Database MK'!EB35)</f>
        <v>Belum</v>
      </c>
      <c r="AI34" s="7" t="str">
        <f>IF('Database MK'!EN35="","Belum",'Database MK'!EL35-'Database MK'!EN35)</f>
        <v>Belum</v>
      </c>
      <c r="AJ34" s="7">
        <f>'Database MK'!FY35-'Database MK'!FZ35</f>
        <v>0</v>
      </c>
      <c r="AK34" s="7">
        <f>IF('Database MK'!GC35="","Belum",'Database MK'!GB35-'Database MK'!GC35)</f>
        <v>19</v>
      </c>
      <c r="AL34" s="7">
        <f>IF('Database MK'!GF35="","Belum",'Database MK'!GE35-'Database MK'!GF35)</f>
        <v>26</v>
      </c>
      <c r="AM34" s="279">
        <f>IF('Database MK'!GJ35="","Belum",'Database MK'!GI35-'Database MK'!GJ35)</f>
        <v>-47</v>
      </c>
      <c r="AN34" s="7">
        <f>IF('Database MK'!HG35="","Belum",'Database MK'!HF35-'Database MK'!HG35)</f>
        <v>-30</v>
      </c>
      <c r="AO34" s="7">
        <f>IF('Database MK'!HQ35="","Belum",'Database MK'!HN35-'Database MK'!HQ35)</f>
        <v>-48</v>
      </c>
      <c r="AP34" s="7">
        <f>IF('Database MK'!HW35="","Belum",'Database MK'!HU35-'Database MK'!HW35)</f>
        <v>-42</v>
      </c>
    </row>
    <row r="35" spans="2:42" x14ac:dyDescent="0.25">
      <c r="B35" s="7">
        <f>SUBTOTAL(3,$C$4:C35)</f>
        <v>32</v>
      </c>
      <c r="C35" s="269" t="s">
        <v>244</v>
      </c>
      <c r="D35" s="269" t="s">
        <v>418</v>
      </c>
      <c r="E35" s="269" t="s">
        <v>419</v>
      </c>
      <c r="F35" s="270">
        <v>45748</v>
      </c>
      <c r="G35" s="4" t="s">
        <v>247</v>
      </c>
      <c r="H35" s="4" t="str">
        <f ca="1">'Database MK'!Q36</f>
        <v>DPPP</v>
      </c>
      <c r="I35" s="24">
        <f>'Database MK'!S36</f>
        <v>1</v>
      </c>
      <c r="J35" s="24">
        <f>'Database MK'!T36</f>
        <v>1</v>
      </c>
      <c r="K35" s="571">
        <f>'Database MK'!U36</f>
        <v>0</v>
      </c>
      <c r="L35" s="561">
        <f>'Database MK'!V36</f>
        <v>4499</v>
      </c>
      <c r="M35" s="561">
        <f>'Database MK'!W36</f>
        <v>1363</v>
      </c>
      <c r="N35" s="561">
        <f>Table3[[#This Row],[Total Panjang Pipa Aktual]]-Table3[[#This Row],[Volume
BA MC-0]]</f>
        <v>-3136</v>
      </c>
      <c r="O35" s="7" t="str">
        <f ca="1">'Database MK'!DE36</f>
        <v>Belum, Delay</v>
      </c>
      <c r="P35" s="7" t="str">
        <f ca="1">'Database MK'!DI36</f>
        <v>Belum, Delay</v>
      </c>
      <c r="Q35" s="7" t="str">
        <f ca="1">'Database MK'!DN36</f>
        <v>Sudah, OnSchedule</v>
      </c>
      <c r="R35" s="7" t="str">
        <f ca="1">'Database MK'!DR36</f>
        <v>Sudah, Delay</v>
      </c>
      <c r="S35" s="7" t="str">
        <f ca="1">'Database MK'!EA36</f>
        <v>Belum, Delay</v>
      </c>
      <c r="T35" s="7" t="str">
        <f ca="1">'Database MK'!EI36</f>
        <v>Belum, Delay</v>
      </c>
      <c r="U35" s="7" t="str">
        <f ca="1">'Database MK'!ET36</f>
        <v>Belum, Delay</v>
      </c>
      <c r="V35" s="7" t="str">
        <f ca="1">'Database MK'!GA36</f>
        <v>Belum, Delay</v>
      </c>
      <c r="W35" s="7" t="str">
        <f ca="1">'Database MK'!GD36</f>
        <v>Sudah, OnSchedule</v>
      </c>
      <c r="X35" s="7" t="str">
        <f ca="1">'Database MK'!GG36</f>
        <v>Sudah, OnSchedule</v>
      </c>
      <c r="Y35" s="7" t="str">
        <f ca="1">'Database MK'!GK36</f>
        <v>Sudah, Delay</v>
      </c>
      <c r="Z35" s="7" t="str">
        <f ca="1">'Database MK'!HH36</f>
        <v>Sudah, Delay</v>
      </c>
      <c r="AA35" s="7" t="str">
        <f ca="1">'Database MK'!HR36</f>
        <v>Sudah, Delay</v>
      </c>
      <c r="AB35" s="7" t="str">
        <f ca="1">'Database MK'!HX36</f>
        <v>Sudah, Delay</v>
      </c>
      <c r="AC35" s="7">
        <f>'Database MK'!DA36-'Database MK'!DB36</f>
        <v>45466</v>
      </c>
      <c r="AD35" s="7">
        <f>'Database MK'!DA36-'Database MK'!DF36</f>
        <v>45466</v>
      </c>
      <c r="AE35" s="7">
        <f>'Database MK'!DK36-'Database MK'!DL36</f>
        <v>14</v>
      </c>
      <c r="AF35" s="7">
        <f>'Database MK'!DK36-'Database MK'!DO36</f>
        <v>-26</v>
      </c>
      <c r="AG35" s="7">
        <f>'Database MK'!DU36-'Database MK'!DW36</f>
        <v>45508</v>
      </c>
      <c r="AH35" s="7" t="str">
        <f>IF('Database MK'!EB36="","Belum",'Database MK'!DU36-'Database MK'!EB36)</f>
        <v>Belum</v>
      </c>
      <c r="AI35" s="7" t="str">
        <f>IF('Database MK'!EN36="","Belum",'Database MK'!EL36-'Database MK'!EN36)</f>
        <v>Belum</v>
      </c>
      <c r="AJ35" s="7">
        <f>'Database MK'!FY36-'Database MK'!FZ36</f>
        <v>0</v>
      </c>
      <c r="AK35" s="7">
        <f>IF('Database MK'!GC36="","Belum",'Database MK'!GB36-'Database MK'!GC36)</f>
        <v>19</v>
      </c>
      <c r="AL35" s="7">
        <f>IF('Database MK'!GF36="","Belum",'Database MK'!GE36-'Database MK'!GF36)</f>
        <v>26</v>
      </c>
      <c r="AM35" s="279">
        <f>IF('Database MK'!GJ36="","Belum",'Database MK'!GI36-'Database MK'!GJ36)</f>
        <v>-64</v>
      </c>
      <c r="AN35" s="7">
        <f>IF('Database MK'!HG36="","Belum",'Database MK'!HF36-'Database MK'!HG36)</f>
        <v>-30</v>
      </c>
      <c r="AO35" s="7">
        <f>IF('Database MK'!HQ36="","Belum",'Database MK'!HN36-'Database MK'!HQ36)</f>
        <v>-48</v>
      </c>
      <c r="AP35" s="7">
        <f>IF('Database MK'!HW36="","Belum",'Database MK'!HU36-'Database MK'!HW36)</f>
        <v>-42</v>
      </c>
    </row>
    <row r="36" spans="2:42" x14ac:dyDescent="0.25">
      <c r="B36" s="7">
        <f>SUBTOTAL(3,$C$4:C36)</f>
        <v>33</v>
      </c>
      <c r="C36" s="269" t="s">
        <v>244</v>
      </c>
      <c r="D36" s="269" t="s">
        <v>423</v>
      </c>
      <c r="E36" s="269" t="s">
        <v>424</v>
      </c>
      <c r="F36" s="270">
        <v>45748</v>
      </c>
      <c r="G36" s="4" t="s">
        <v>247</v>
      </c>
      <c r="H36" s="4" t="str">
        <f ca="1">'Database MK'!Q37</f>
        <v>DPPP</v>
      </c>
      <c r="I36" s="24">
        <f>'Database MK'!S37</f>
        <v>1</v>
      </c>
      <c r="J36" s="24">
        <f>'Database MK'!T37</f>
        <v>1</v>
      </c>
      <c r="K36" s="571">
        <f>'Database MK'!U37</f>
        <v>0</v>
      </c>
      <c r="L36" s="561">
        <f>'Database MK'!V37</f>
        <v>2511</v>
      </c>
      <c r="M36" s="561">
        <f>'Database MK'!W37</f>
        <v>1361.3</v>
      </c>
      <c r="N36" s="561">
        <f>Table3[[#This Row],[Total Panjang Pipa Aktual]]-Table3[[#This Row],[Volume
BA MC-0]]</f>
        <v>-1149.7</v>
      </c>
      <c r="O36" s="7" t="str">
        <f ca="1">'Database MK'!DE37</f>
        <v>Belum, Delay</v>
      </c>
      <c r="P36" s="7" t="str">
        <f ca="1">'Database MK'!DI37</f>
        <v>Belum, Delay</v>
      </c>
      <c r="Q36" s="7" t="str">
        <f ca="1">'Database MK'!DN37</f>
        <v>Sudah, OnSchedule</v>
      </c>
      <c r="R36" s="7" t="str">
        <f ca="1">'Database MK'!DR37</f>
        <v>Sudah, Delay</v>
      </c>
      <c r="S36" s="7" t="str">
        <f ca="1">'Database MK'!EA37</f>
        <v>Belum, Delay</v>
      </c>
      <c r="T36" s="7" t="str">
        <f ca="1">'Database MK'!EI37</f>
        <v>Belum, Delay</v>
      </c>
      <c r="U36" s="7" t="str">
        <f ca="1">'Database MK'!ET37</f>
        <v>Belum, Delay</v>
      </c>
      <c r="V36" s="7" t="str">
        <f ca="1">'Database MK'!GA37</f>
        <v>Belum, Delay</v>
      </c>
      <c r="W36" s="7" t="str">
        <f ca="1">'Database MK'!GD37</f>
        <v>Sudah, OnSchedule</v>
      </c>
      <c r="X36" s="7" t="str">
        <f ca="1">'Database MK'!GG37</f>
        <v>Sudah, OnSchedule</v>
      </c>
      <c r="Y36" s="7" t="str">
        <f ca="1">'Database MK'!GK37</f>
        <v>Sudah, Delay</v>
      </c>
      <c r="Z36" s="7" t="str">
        <f ca="1">'Database MK'!HH37</f>
        <v>Sudah, Delay</v>
      </c>
      <c r="AA36" s="7" t="str">
        <f ca="1">'Database MK'!HR37</f>
        <v>Sudah, Delay</v>
      </c>
      <c r="AB36" s="7" t="str">
        <f ca="1">'Database MK'!HX37</f>
        <v>Sudah, Delay</v>
      </c>
      <c r="AC36" s="7">
        <f>'Database MK'!DA37-'Database MK'!DB37</f>
        <v>45466</v>
      </c>
      <c r="AD36" s="7">
        <f>'Database MK'!DA37-'Database MK'!DF37</f>
        <v>45466</v>
      </c>
      <c r="AE36" s="7">
        <f>'Database MK'!DK37-'Database MK'!DL37</f>
        <v>21</v>
      </c>
      <c r="AF36" s="7">
        <f>'Database MK'!DK37-'Database MK'!DO37</f>
        <v>-26</v>
      </c>
      <c r="AG36" s="7">
        <f>'Database MK'!DU37-'Database MK'!DW37</f>
        <v>45508</v>
      </c>
      <c r="AH36" s="7" t="str">
        <f>IF('Database MK'!EB37="","Belum",'Database MK'!DU37-'Database MK'!EB37)</f>
        <v>Belum</v>
      </c>
      <c r="AI36" s="7" t="str">
        <f>IF('Database MK'!EN37="","Belum",'Database MK'!EL37-'Database MK'!EN37)</f>
        <v>Belum</v>
      </c>
      <c r="AJ36" s="7">
        <f>'Database MK'!FY37-'Database MK'!FZ37</f>
        <v>0</v>
      </c>
      <c r="AK36" s="7">
        <f>IF('Database MK'!GC37="","Belum",'Database MK'!GB37-'Database MK'!GC37)</f>
        <v>19</v>
      </c>
      <c r="AL36" s="7">
        <f>IF('Database MK'!GF37="","Belum",'Database MK'!GE37-'Database MK'!GF37)</f>
        <v>26</v>
      </c>
      <c r="AM36" s="279">
        <f>IF('Database MK'!GJ37="","Belum",'Database MK'!GI37-'Database MK'!GJ37)</f>
        <v>-52</v>
      </c>
      <c r="AN36" s="7">
        <f>IF('Database MK'!HG37="","Belum",'Database MK'!HF37-'Database MK'!HG37)</f>
        <v>-59</v>
      </c>
      <c r="AO36" s="7">
        <f>IF('Database MK'!HQ37="","Belum",'Database MK'!HN37-'Database MK'!HQ37)</f>
        <v>-48</v>
      </c>
      <c r="AP36" s="7">
        <f>IF('Database MK'!HW37="","Belum",'Database MK'!HU37-'Database MK'!HW37)</f>
        <v>-42</v>
      </c>
    </row>
    <row r="37" spans="2:42" x14ac:dyDescent="0.25">
      <c r="B37" s="7">
        <f>SUBTOTAL(3,$C$4:C37)</f>
        <v>34</v>
      </c>
      <c r="C37" s="269" t="s">
        <v>244</v>
      </c>
      <c r="D37" s="269" t="s">
        <v>428</v>
      </c>
      <c r="E37" s="269" t="s">
        <v>429</v>
      </c>
      <c r="F37" s="270">
        <v>45748</v>
      </c>
      <c r="G37" s="4" t="s">
        <v>247</v>
      </c>
      <c r="H37" s="4" t="str">
        <f ca="1">'Database MK'!Q38</f>
        <v>DPPP</v>
      </c>
      <c r="I37" s="24">
        <f>'Database MK'!S38</f>
        <v>1</v>
      </c>
      <c r="J37" s="24">
        <f>'Database MK'!T38</f>
        <v>1</v>
      </c>
      <c r="K37" s="571">
        <f>'Database MK'!U38</f>
        <v>0</v>
      </c>
      <c r="L37" s="561">
        <f>'Database MK'!V38</f>
        <v>1541</v>
      </c>
      <c r="M37" s="561">
        <f>'Database MK'!W38</f>
        <v>607.70000000000005</v>
      </c>
      <c r="N37" s="561">
        <f>Table3[[#This Row],[Total Panjang Pipa Aktual]]-Table3[[#This Row],[Volume
BA MC-0]]</f>
        <v>-933.3</v>
      </c>
      <c r="O37" s="7" t="str">
        <f ca="1">'Database MK'!DE38</f>
        <v>Belum, Delay</v>
      </c>
      <c r="P37" s="7" t="str">
        <f ca="1">'Database MK'!DI38</f>
        <v>Belum, Delay</v>
      </c>
      <c r="Q37" s="7" t="str">
        <f ca="1">'Database MK'!DN38</f>
        <v>Sudah, OnSchedule</v>
      </c>
      <c r="R37" s="7" t="str">
        <f ca="1">'Database MK'!DR38</f>
        <v>Sudah, Delay</v>
      </c>
      <c r="S37" s="7" t="str">
        <f ca="1">'Database MK'!EA38</f>
        <v>Belum, Delay</v>
      </c>
      <c r="T37" s="7" t="str">
        <f ca="1">'Database MK'!EI38</f>
        <v>Belum, Delay</v>
      </c>
      <c r="U37" s="7" t="str">
        <f ca="1">'Database MK'!ET38</f>
        <v>Belum, Delay</v>
      </c>
      <c r="V37" s="7" t="str">
        <f ca="1">'Database MK'!GA38</f>
        <v>Belum, Delay</v>
      </c>
      <c r="W37" s="7" t="str">
        <f ca="1">'Database MK'!GD38</f>
        <v>Sudah, OnSchedule</v>
      </c>
      <c r="X37" s="7" t="str">
        <f ca="1">'Database MK'!GG38</f>
        <v>Sudah, OnSchedule</v>
      </c>
      <c r="Y37" s="7" t="str">
        <f ca="1">'Database MK'!GK38</f>
        <v>Sudah, OnSchedule</v>
      </c>
      <c r="Z37" s="7" t="str">
        <f ca="1">'Database MK'!HH38</f>
        <v>Sudah, Delay</v>
      </c>
      <c r="AA37" s="7" t="str">
        <f ca="1">'Database MK'!HR38</f>
        <v>Sudah, Delay</v>
      </c>
      <c r="AB37" s="7" t="str">
        <f ca="1">'Database MK'!HX38</f>
        <v>Sudah, Delay</v>
      </c>
      <c r="AC37" s="7">
        <f>'Database MK'!DA38-'Database MK'!DB38</f>
        <v>45466</v>
      </c>
      <c r="AD37" s="7">
        <f>'Database MK'!DA38-'Database MK'!DF38</f>
        <v>45466</v>
      </c>
      <c r="AE37" s="7">
        <f>'Database MK'!DK38-'Database MK'!DL38</f>
        <v>21</v>
      </c>
      <c r="AF37" s="7">
        <f>'Database MK'!DK38-'Database MK'!DO38</f>
        <v>-4</v>
      </c>
      <c r="AG37" s="7">
        <f>'Database MK'!DU38-'Database MK'!DW38</f>
        <v>45508</v>
      </c>
      <c r="AH37" s="7" t="str">
        <f>IF('Database MK'!EB38="","Belum",'Database MK'!DU38-'Database MK'!EB38)</f>
        <v>Belum</v>
      </c>
      <c r="AI37" s="7" t="str">
        <f>IF('Database MK'!EN38="","Belum",'Database MK'!EL38-'Database MK'!EN38)</f>
        <v>Belum</v>
      </c>
      <c r="AJ37" s="7">
        <f>'Database MK'!FY38-'Database MK'!FZ38</f>
        <v>0</v>
      </c>
      <c r="AK37" s="7">
        <f>IF('Database MK'!GC38="","Belum",'Database MK'!GB38-'Database MK'!GC38)</f>
        <v>19</v>
      </c>
      <c r="AL37" s="7">
        <f>IF('Database MK'!GF38="","Belum",'Database MK'!GE38-'Database MK'!GF38)</f>
        <v>26</v>
      </c>
      <c r="AM37" s="279">
        <f>IF('Database MK'!GJ38="","Belum",'Database MK'!GI38-'Database MK'!GJ38)</f>
        <v>3</v>
      </c>
      <c r="AN37" s="7">
        <f>IF('Database MK'!HG38="","Belum",'Database MK'!HF38-'Database MK'!HG38)</f>
        <v>-30</v>
      </c>
      <c r="AO37" s="7">
        <f>IF('Database MK'!HQ38="","Belum",'Database MK'!HN38-'Database MK'!HQ38)</f>
        <v>-39</v>
      </c>
      <c r="AP37" s="7">
        <f>IF('Database MK'!HW38="","Belum",'Database MK'!HU38-'Database MK'!HW38)</f>
        <v>-39</v>
      </c>
    </row>
    <row r="38" spans="2:42" x14ac:dyDescent="0.25">
      <c r="B38" s="7">
        <f>SUBTOTAL(3,$C$4:C38)</f>
        <v>35</v>
      </c>
      <c r="C38" s="269" t="s">
        <v>244</v>
      </c>
      <c r="D38" s="269" t="s">
        <v>434</v>
      </c>
      <c r="E38" s="269" t="s">
        <v>435</v>
      </c>
      <c r="F38" s="270">
        <v>45748</v>
      </c>
      <c r="G38" s="4" t="s">
        <v>247</v>
      </c>
      <c r="H38" s="4" t="str">
        <f ca="1">'Database MK'!Q39</f>
        <v>DPPP</v>
      </c>
      <c r="I38" s="24">
        <f>'Database MK'!S39</f>
        <v>1</v>
      </c>
      <c r="J38" s="24">
        <f>'Database MK'!T39</f>
        <v>1</v>
      </c>
      <c r="K38" s="571">
        <f>'Database MK'!U39</f>
        <v>0</v>
      </c>
      <c r="L38" s="561">
        <f>'Database MK'!V39</f>
        <v>4093</v>
      </c>
      <c r="M38" s="561">
        <f>'Database MK'!W39</f>
        <v>3301.9</v>
      </c>
      <c r="N38" s="561">
        <f>Table3[[#This Row],[Total Panjang Pipa Aktual]]-Table3[[#This Row],[Volume
BA MC-0]]</f>
        <v>-791.09999999999991</v>
      </c>
      <c r="O38" s="7" t="str">
        <f ca="1">'Database MK'!DE39</f>
        <v>Belum, Delay</v>
      </c>
      <c r="P38" s="7" t="str">
        <f ca="1">'Database MK'!DI39</f>
        <v>Belum, Delay</v>
      </c>
      <c r="Q38" s="7" t="str">
        <f ca="1">'Database MK'!DN39</f>
        <v>Sudah, OnSchedule</v>
      </c>
      <c r="R38" s="7" t="str">
        <f ca="1">'Database MK'!DR39</f>
        <v>Sudah, Delay</v>
      </c>
      <c r="S38" s="7" t="str">
        <f ca="1">'Database MK'!EA39</f>
        <v>Belum, Delay</v>
      </c>
      <c r="T38" s="7" t="str">
        <f ca="1">'Database MK'!EI39</f>
        <v>Belum, Delay</v>
      </c>
      <c r="U38" s="7" t="str">
        <f ca="1">'Database MK'!ET39</f>
        <v>Belum, Delay</v>
      </c>
      <c r="V38" s="7" t="str">
        <f ca="1">'Database MK'!GA39</f>
        <v>Belum, Delay</v>
      </c>
      <c r="W38" s="7" t="str">
        <f ca="1">'Database MK'!GD39</f>
        <v>Sudah, OnSchedule</v>
      </c>
      <c r="X38" s="7" t="str">
        <f ca="1">'Database MK'!GG39</f>
        <v>Sudah, OnSchedule</v>
      </c>
      <c r="Y38" s="7" t="str">
        <f ca="1">'Database MK'!GK39</f>
        <v>Sudah, Delay</v>
      </c>
      <c r="Z38" s="7" t="str">
        <f ca="1">'Database MK'!HH39</f>
        <v>Sudah, Delay</v>
      </c>
      <c r="AA38" s="7" t="str">
        <f ca="1">'Database MK'!HR39</f>
        <v>Sudah, Delay</v>
      </c>
      <c r="AB38" s="7" t="str">
        <f ca="1">'Database MK'!HX39</f>
        <v>Sudah, Delay</v>
      </c>
      <c r="AC38" s="7">
        <f>'Database MK'!DA39-'Database MK'!DB39</f>
        <v>45466</v>
      </c>
      <c r="AD38" s="7">
        <f>'Database MK'!DA39-'Database MK'!DF39</f>
        <v>45466</v>
      </c>
      <c r="AE38" s="7">
        <f>'Database MK'!DK39-'Database MK'!DL39</f>
        <v>21</v>
      </c>
      <c r="AF38" s="7">
        <f>'Database MK'!DK39-'Database MK'!DO39</f>
        <v>-4</v>
      </c>
      <c r="AG38" s="7">
        <f>'Database MK'!DU39-'Database MK'!DW39</f>
        <v>45508</v>
      </c>
      <c r="AH38" s="7" t="str">
        <f>IF('Database MK'!EB39="","Belum",'Database MK'!DU39-'Database MK'!EB39)</f>
        <v>Belum</v>
      </c>
      <c r="AI38" s="7" t="str">
        <f>IF('Database MK'!EN39="","Belum",'Database MK'!EL39-'Database MK'!EN39)</f>
        <v>Belum</v>
      </c>
      <c r="AJ38" s="7">
        <f>'Database MK'!FY39-'Database MK'!FZ39</f>
        <v>0</v>
      </c>
      <c r="AK38" s="7">
        <f>IF('Database MK'!GC39="","Belum",'Database MK'!GB39-'Database MK'!GC39)</f>
        <v>19</v>
      </c>
      <c r="AL38" s="7">
        <f>IF('Database MK'!GF39="","Belum",'Database MK'!GE39-'Database MK'!GF39)</f>
        <v>26</v>
      </c>
      <c r="AM38" s="279">
        <f>IF('Database MK'!GJ39="","Belum",'Database MK'!GI39-'Database MK'!GJ39)</f>
        <v>-5</v>
      </c>
      <c r="AN38" s="7">
        <f>IF('Database MK'!HG39="","Belum",'Database MK'!HF39-'Database MK'!HG39)</f>
        <v>-31</v>
      </c>
      <c r="AO38" s="7">
        <f>IF('Database MK'!HQ39="","Belum",'Database MK'!HN39-'Database MK'!HQ39)</f>
        <v>-48</v>
      </c>
      <c r="AP38" s="7">
        <f>IF('Database MK'!HW39="","Belum",'Database MK'!HU39-'Database MK'!HW39)</f>
        <v>-42</v>
      </c>
    </row>
    <row r="39" spans="2:42" x14ac:dyDescent="0.25">
      <c r="B39" s="7">
        <f>SUBTOTAL(3,$C$4:C39)</f>
        <v>36</v>
      </c>
      <c r="C39" s="269" t="s">
        <v>244</v>
      </c>
      <c r="D39" s="269" t="s">
        <v>439</v>
      </c>
      <c r="E39" s="269" t="s">
        <v>440</v>
      </c>
      <c r="F39" s="270">
        <v>45748</v>
      </c>
      <c r="G39" s="4" t="s">
        <v>247</v>
      </c>
      <c r="H39" s="4" t="str">
        <f ca="1">'Database MK'!Q40</f>
        <v>DPPP</v>
      </c>
      <c r="I39" s="24">
        <f>'Database MK'!S40</f>
        <v>1</v>
      </c>
      <c r="J39" s="24">
        <f>'Database MK'!T40</f>
        <v>1</v>
      </c>
      <c r="K39" s="571">
        <f>'Database MK'!U40</f>
        <v>0</v>
      </c>
      <c r="L39" s="561">
        <f>'Database MK'!V40</f>
        <v>873</v>
      </c>
      <c r="M39" s="561">
        <f>'Database MK'!W40</f>
        <v>285.39999999999998</v>
      </c>
      <c r="N39" s="561">
        <f>Table3[[#This Row],[Total Panjang Pipa Aktual]]-Table3[[#This Row],[Volume
BA MC-0]]</f>
        <v>-587.6</v>
      </c>
      <c r="O39" s="7" t="str">
        <f ca="1">'Database MK'!DE40</f>
        <v>Belum, Delay</v>
      </c>
      <c r="P39" s="7" t="str">
        <f ca="1">'Database MK'!DI40</f>
        <v>Belum, Delay</v>
      </c>
      <c r="Q39" s="7" t="str">
        <f ca="1">'Database MK'!DN40</f>
        <v>Sudah, OnSchedule</v>
      </c>
      <c r="R39" s="7" t="str">
        <f ca="1">'Database MK'!DR40</f>
        <v>Sudah, Delay</v>
      </c>
      <c r="S39" s="7" t="str">
        <f ca="1">'Database MK'!EA40</f>
        <v>Belum, Delay</v>
      </c>
      <c r="T39" s="7" t="str">
        <f ca="1">'Database MK'!EI40</f>
        <v>Belum, Delay</v>
      </c>
      <c r="U39" s="7" t="str">
        <f ca="1">'Database MK'!ET40</f>
        <v>Belum, Delay</v>
      </c>
      <c r="V39" s="7" t="str">
        <f ca="1">'Database MK'!GA40</f>
        <v>Belum, Delay</v>
      </c>
      <c r="W39" s="7" t="str">
        <f ca="1">'Database MK'!GD40</f>
        <v>Sudah, OnSchedule</v>
      </c>
      <c r="X39" s="7" t="str">
        <f ca="1">'Database MK'!GG40</f>
        <v>Sudah, OnSchedule</v>
      </c>
      <c r="Y39" s="7" t="str">
        <f ca="1">'Database MK'!GK40</f>
        <v>Sudah, Delay</v>
      </c>
      <c r="Z39" s="7" t="str">
        <f ca="1">'Database MK'!HH40</f>
        <v>Sudah, Delay</v>
      </c>
      <c r="AA39" s="7" t="str">
        <f ca="1">'Database MK'!HR40</f>
        <v>Sudah, Delay</v>
      </c>
      <c r="AB39" s="7" t="str">
        <f ca="1">'Database MK'!HX40</f>
        <v>Sudah, Delay</v>
      </c>
      <c r="AC39" s="7">
        <f>'Database MK'!DA40-'Database MK'!DB40</f>
        <v>45466</v>
      </c>
      <c r="AD39" s="7">
        <f>'Database MK'!DA40-'Database MK'!DF40</f>
        <v>45466</v>
      </c>
      <c r="AE39" s="7">
        <f>'Database MK'!DK40-'Database MK'!DL40</f>
        <v>13</v>
      </c>
      <c r="AF39" s="7">
        <f>'Database MK'!DK40-'Database MK'!DO40</f>
        <v>-4</v>
      </c>
      <c r="AG39" s="7">
        <f>'Database MK'!DU40-'Database MK'!DW40</f>
        <v>45508</v>
      </c>
      <c r="AH39" s="7" t="str">
        <f>IF('Database MK'!EB40="","Belum",'Database MK'!DU40-'Database MK'!EB40)</f>
        <v>Belum</v>
      </c>
      <c r="AI39" s="7" t="str">
        <f>IF('Database MK'!EN40="","Belum",'Database MK'!EL40-'Database MK'!EN40)</f>
        <v>Belum</v>
      </c>
      <c r="AJ39" s="7">
        <f>'Database MK'!FY40-'Database MK'!FZ40</f>
        <v>0</v>
      </c>
      <c r="AK39" s="7">
        <f>IF('Database MK'!GC40="","Belum",'Database MK'!GB40-'Database MK'!GC40)</f>
        <v>19</v>
      </c>
      <c r="AL39" s="7">
        <f>IF('Database MK'!GF40="","Belum",'Database MK'!GE40-'Database MK'!GF40)</f>
        <v>26</v>
      </c>
      <c r="AM39" s="279">
        <f>IF('Database MK'!GJ40="","Belum",'Database MK'!GI40-'Database MK'!GJ40)</f>
        <v>-4</v>
      </c>
      <c r="AN39" s="7">
        <f>IF('Database MK'!HG40="","Belum",'Database MK'!HF40-'Database MK'!HG40)</f>
        <v>-31</v>
      </c>
      <c r="AO39" s="7">
        <f>IF('Database MK'!HQ40="","Belum",'Database MK'!HN40-'Database MK'!HQ40)</f>
        <v>-35</v>
      </c>
      <c r="AP39" s="7">
        <f>IF('Database MK'!HW40="","Belum",'Database MK'!HU40-'Database MK'!HW40)</f>
        <v>-39</v>
      </c>
    </row>
    <row r="40" spans="2:42" x14ac:dyDescent="0.25">
      <c r="B40" s="7">
        <f>SUBTOTAL(3,$C$4:C40)</f>
        <v>37</v>
      </c>
      <c r="C40" s="269" t="s">
        <v>244</v>
      </c>
      <c r="D40" s="269" t="s">
        <v>444</v>
      </c>
      <c r="E40" s="269" t="s">
        <v>445</v>
      </c>
      <c r="F40" s="270">
        <v>45748</v>
      </c>
      <c r="G40" s="4" t="s">
        <v>247</v>
      </c>
      <c r="H40" s="4" t="str">
        <f ca="1">'Database MK'!Q41</f>
        <v>DPPP</v>
      </c>
      <c r="I40" s="24">
        <f>'Database MK'!S41</f>
        <v>1</v>
      </c>
      <c r="J40" s="24">
        <f>'Database MK'!T41</f>
        <v>1</v>
      </c>
      <c r="K40" s="571">
        <f>'Database MK'!U41</f>
        <v>0</v>
      </c>
      <c r="L40" s="561">
        <f>'Database MK'!V41</f>
        <v>704</v>
      </c>
      <c r="M40" s="561">
        <f>'Database MK'!W41</f>
        <v>550.9</v>
      </c>
      <c r="N40" s="561">
        <f>Table3[[#This Row],[Total Panjang Pipa Aktual]]-Table3[[#This Row],[Volume
BA MC-0]]</f>
        <v>-153.10000000000002</v>
      </c>
      <c r="O40" s="7" t="str">
        <f ca="1">'Database MK'!DE41</f>
        <v>Belum, Delay</v>
      </c>
      <c r="P40" s="7" t="str">
        <f ca="1">'Database MK'!DI41</f>
        <v>Belum, Delay</v>
      </c>
      <c r="Q40" s="7" t="str">
        <f ca="1">'Database MK'!DN41</f>
        <v>Sudah, OnSchedule</v>
      </c>
      <c r="R40" s="7" t="str">
        <f ca="1">'Database MK'!DR41</f>
        <v>Sudah, Delay</v>
      </c>
      <c r="S40" s="7" t="str">
        <f ca="1">'Database MK'!EA41</f>
        <v>Belum, Delay</v>
      </c>
      <c r="T40" s="7" t="str">
        <f ca="1">'Database MK'!EI41</f>
        <v>Belum, Delay</v>
      </c>
      <c r="U40" s="7" t="str">
        <f ca="1">'Database MK'!ET41</f>
        <v>Belum, Delay</v>
      </c>
      <c r="V40" s="7" t="str">
        <f ca="1">'Database MK'!GA41</f>
        <v>Belum, Delay</v>
      </c>
      <c r="W40" s="7" t="str">
        <f ca="1">'Database MK'!GD41</f>
        <v>Sudah, OnSchedule</v>
      </c>
      <c r="X40" s="7" t="str">
        <f ca="1">'Database MK'!GG41</f>
        <v>Sudah, OnSchedule</v>
      </c>
      <c r="Y40" s="7" t="str">
        <f ca="1">'Database MK'!GK41</f>
        <v>Sudah, Delay</v>
      </c>
      <c r="Z40" s="7" t="str">
        <f ca="1">'Database MK'!HH41</f>
        <v>Sudah, Delay</v>
      </c>
      <c r="AA40" s="7" t="str">
        <f ca="1">'Database MK'!HR41</f>
        <v>Sudah, Delay</v>
      </c>
      <c r="AB40" s="7" t="str">
        <f ca="1">'Database MK'!HX41</f>
        <v>Sudah, Delay</v>
      </c>
      <c r="AC40" s="7">
        <f>'Database MK'!DA41-'Database MK'!DB41</f>
        <v>45466</v>
      </c>
      <c r="AD40" s="7">
        <f>'Database MK'!DA41-'Database MK'!DF41</f>
        <v>45466</v>
      </c>
      <c r="AE40" s="7">
        <f>'Database MK'!DK41-'Database MK'!DL41</f>
        <v>21</v>
      </c>
      <c r="AF40" s="7">
        <f>'Database MK'!DK41-'Database MK'!DO41</f>
        <v>-4</v>
      </c>
      <c r="AG40" s="7">
        <f>'Database MK'!DU41-'Database MK'!DW41</f>
        <v>45508</v>
      </c>
      <c r="AH40" s="7" t="str">
        <f>IF('Database MK'!EB41="","Belum",'Database MK'!DU41-'Database MK'!EB41)</f>
        <v>Belum</v>
      </c>
      <c r="AI40" s="7" t="str">
        <f>IF('Database MK'!EN41="","Belum",'Database MK'!EL41-'Database MK'!EN41)</f>
        <v>Belum</v>
      </c>
      <c r="AJ40" s="7">
        <f>'Database MK'!FY41-'Database MK'!FZ41</f>
        <v>0</v>
      </c>
      <c r="AK40" s="7">
        <f>IF('Database MK'!GC41="","Belum",'Database MK'!GB41-'Database MK'!GC41)</f>
        <v>19</v>
      </c>
      <c r="AL40" s="7">
        <f>IF('Database MK'!GF41="","Belum",'Database MK'!GE41-'Database MK'!GF41)</f>
        <v>26</v>
      </c>
      <c r="AM40" s="279">
        <f>IF('Database MK'!GJ41="","Belum",'Database MK'!GI41-'Database MK'!GJ41)</f>
        <v>-2</v>
      </c>
      <c r="AN40" s="7">
        <f>IF('Database MK'!HG41="","Belum",'Database MK'!HF41-'Database MK'!HG41)</f>
        <v>-31</v>
      </c>
      <c r="AO40" s="7">
        <f>IF('Database MK'!HQ41="","Belum",'Database MK'!HN41-'Database MK'!HQ41)</f>
        <v>-48</v>
      </c>
      <c r="AP40" s="7">
        <f>IF('Database MK'!HW41="","Belum",'Database MK'!HU41-'Database MK'!HW41)</f>
        <v>-42</v>
      </c>
    </row>
    <row r="41" spans="2:42" x14ac:dyDescent="0.25">
      <c r="B41" s="7">
        <f>SUBTOTAL(3,$C$4:C41)</f>
        <v>38</v>
      </c>
      <c r="C41" s="269" t="s">
        <v>244</v>
      </c>
      <c r="D41" s="269" t="s">
        <v>449</v>
      </c>
      <c r="E41" s="269" t="s">
        <v>450</v>
      </c>
      <c r="F41" s="270">
        <v>45748</v>
      </c>
      <c r="G41" s="4" t="s">
        <v>247</v>
      </c>
      <c r="H41" s="4" t="str">
        <f ca="1">'Database MK'!Q42</f>
        <v>DPPP</v>
      </c>
      <c r="I41" s="24">
        <f>'Database MK'!S42</f>
        <v>1</v>
      </c>
      <c r="J41" s="24">
        <f>'Database MK'!T42</f>
        <v>1</v>
      </c>
      <c r="K41" s="571">
        <f>'Database MK'!U42</f>
        <v>0</v>
      </c>
      <c r="L41" s="561">
        <f>'Database MK'!V42</f>
        <v>670</v>
      </c>
      <c r="M41" s="561">
        <f>'Database MK'!W42</f>
        <v>695</v>
      </c>
      <c r="N41" s="561">
        <f>Table3[[#This Row],[Total Panjang Pipa Aktual]]-Table3[[#This Row],[Volume
BA MC-0]]</f>
        <v>25</v>
      </c>
      <c r="O41" s="7" t="str">
        <f ca="1">'Database MK'!DE42</f>
        <v>Belum, Delay</v>
      </c>
      <c r="P41" s="7" t="str">
        <f ca="1">'Database MK'!DI42</f>
        <v>Belum, Delay</v>
      </c>
      <c r="Q41" s="7" t="str">
        <f ca="1">'Database MK'!DN42</f>
        <v>Sudah, OnSchedule</v>
      </c>
      <c r="R41" s="7" t="str">
        <f ca="1">'Database MK'!DR42</f>
        <v>Sudah, OnSchedule</v>
      </c>
      <c r="S41" s="7" t="str">
        <f ca="1">'Database MK'!EA42</f>
        <v>Belum, Delay</v>
      </c>
      <c r="T41" s="7" t="str">
        <f ca="1">'Database MK'!EI42</f>
        <v>Belum, Delay</v>
      </c>
      <c r="U41" s="7" t="str">
        <f ca="1">'Database MK'!ET42</f>
        <v>Belum, Delay</v>
      </c>
      <c r="V41" s="7" t="str">
        <f ca="1">'Database MK'!GA42</f>
        <v>Belum, Delay</v>
      </c>
      <c r="W41" s="7" t="str">
        <f ca="1">'Database MK'!GD42</f>
        <v>Sudah, OnSchedule</v>
      </c>
      <c r="X41" s="7" t="str">
        <f ca="1">'Database MK'!GG42</f>
        <v>Sudah, OnSchedule</v>
      </c>
      <c r="Y41" s="7" t="str">
        <f ca="1">'Database MK'!GK42</f>
        <v>Sudah, OnSchedule</v>
      </c>
      <c r="Z41" s="7" t="str">
        <f ca="1">'Database MK'!HH42</f>
        <v>Sudah, Delay</v>
      </c>
      <c r="AA41" s="7" t="str">
        <f ca="1">'Database MK'!HR42</f>
        <v>Sudah, Delay</v>
      </c>
      <c r="AB41" s="7" t="str">
        <f ca="1">'Database MK'!HX42</f>
        <v>Sudah, Delay</v>
      </c>
      <c r="AC41" s="7">
        <f>'Database MK'!DA42-'Database MK'!DB42</f>
        <v>45466</v>
      </c>
      <c r="AD41" s="7">
        <f>'Database MK'!DA42-'Database MK'!DF42</f>
        <v>45466</v>
      </c>
      <c r="AE41" s="7">
        <f>'Database MK'!DK42-'Database MK'!DL42</f>
        <v>66</v>
      </c>
      <c r="AF41" s="7">
        <f>'Database MK'!DK42-'Database MK'!DO42</f>
        <v>54</v>
      </c>
      <c r="AG41" s="7">
        <f>'Database MK'!DU42-'Database MK'!DW42</f>
        <v>45508</v>
      </c>
      <c r="AH41" s="7" t="str">
        <f>IF('Database MK'!EB42="","Belum",'Database MK'!DU42-'Database MK'!EB42)</f>
        <v>Belum</v>
      </c>
      <c r="AI41" s="7" t="str">
        <f>IF('Database MK'!EN42="","Belum",'Database MK'!EL42-'Database MK'!EN42)</f>
        <v>Belum</v>
      </c>
      <c r="AJ41" s="7">
        <f>'Database MK'!FY42-'Database MK'!FZ42</f>
        <v>0</v>
      </c>
      <c r="AK41" s="7">
        <f>IF('Database MK'!GC42="","Belum",'Database MK'!GB42-'Database MK'!GC42)</f>
        <v>50</v>
      </c>
      <c r="AL41" s="7">
        <f>IF('Database MK'!GF42="","Belum",'Database MK'!GE42-'Database MK'!GF42)</f>
        <v>57</v>
      </c>
      <c r="AM41" s="279">
        <f>IF('Database MK'!GJ42="","Belum",'Database MK'!GI42-'Database MK'!GJ42)</f>
        <v>67</v>
      </c>
      <c r="AN41" s="7">
        <f>IF('Database MK'!HG42="","Belum",'Database MK'!HF42-'Database MK'!HG42)</f>
        <v>-16</v>
      </c>
      <c r="AO41" s="7">
        <f>IF('Database MK'!HQ42="","Belum",'Database MK'!HN42-'Database MK'!HQ42)</f>
        <v>-31</v>
      </c>
      <c r="AP41" s="7">
        <f>IF('Database MK'!HW42="","Belum",'Database MK'!HU42-'Database MK'!HW42)</f>
        <v>-39</v>
      </c>
    </row>
    <row r="42" spans="2:42" x14ac:dyDescent="0.25">
      <c r="B42" s="7">
        <f>SUBTOTAL(3,$C$4:C42)</f>
        <v>39</v>
      </c>
      <c r="C42" s="269" t="s">
        <v>244</v>
      </c>
      <c r="D42" s="269" t="s">
        <v>454</v>
      </c>
      <c r="E42" s="269" t="s">
        <v>455</v>
      </c>
      <c r="F42" s="270">
        <v>45748</v>
      </c>
      <c r="G42" s="4" t="s">
        <v>247</v>
      </c>
      <c r="H42" s="4" t="str">
        <f ca="1">'Database MK'!Q43</f>
        <v>DPPP</v>
      </c>
      <c r="I42" s="24">
        <f>'Database MK'!S43</f>
        <v>1</v>
      </c>
      <c r="J42" s="24">
        <f>'Database MK'!T43</f>
        <v>1</v>
      </c>
      <c r="K42" s="571">
        <f>'Database MK'!U43</f>
        <v>0</v>
      </c>
      <c r="L42" s="561">
        <f>'Database MK'!V43</f>
        <v>3987</v>
      </c>
      <c r="M42" s="561">
        <f>'Database MK'!W43</f>
        <v>4212</v>
      </c>
      <c r="N42" s="561">
        <f>Table3[[#This Row],[Total Panjang Pipa Aktual]]-Table3[[#This Row],[Volume
BA MC-0]]</f>
        <v>225</v>
      </c>
      <c r="O42" s="7" t="str">
        <f ca="1">'Database MK'!DE43</f>
        <v>Belum, Delay</v>
      </c>
      <c r="P42" s="7" t="str">
        <f ca="1">'Database MK'!DI43</f>
        <v>Belum, Delay</v>
      </c>
      <c r="Q42" s="7" t="str">
        <f ca="1">'Database MK'!DN43</f>
        <v>Sudah, OnSchedule</v>
      </c>
      <c r="R42" s="7" t="str">
        <f ca="1">'Database MK'!DR43</f>
        <v>Sudah, OnSchedule</v>
      </c>
      <c r="S42" s="7" t="str">
        <f ca="1">'Database MK'!EA43</f>
        <v>Belum, Delay</v>
      </c>
      <c r="T42" s="7" t="str">
        <f ca="1">'Database MK'!EI43</f>
        <v>Belum, Delay</v>
      </c>
      <c r="U42" s="7" t="str">
        <f ca="1">'Database MK'!ET43</f>
        <v>Belum, Delay</v>
      </c>
      <c r="V42" s="7" t="str">
        <f ca="1">'Database MK'!GA43</f>
        <v>Belum, Delay</v>
      </c>
      <c r="W42" s="7" t="str">
        <f ca="1">'Database MK'!GD43</f>
        <v>Sudah, OnSchedule</v>
      </c>
      <c r="X42" s="7" t="str">
        <f ca="1">'Database MK'!GG43</f>
        <v>Sudah, OnSchedule</v>
      </c>
      <c r="Y42" s="7" t="str">
        <f ca="1">'Database MK'!GK43</f>
        <v>Sudah, OnSchedule</v>
      </c>
      <c r="Z42" s="7" t="str">
        <f ca="1">'Database MK'!HH43</f>
        <v>Sudah, Delay</v>
      </c>
      <c r="AA42" s="7" t="str">
        <f ca="1">'Database MK'!HR43</f>
        <v>Sudah, Delay</v>
      </c>
      <c r="AB42" s="7" t="str">
        <f ca="1">'Database MK'!HX43</f>
        <v>Sudah, Delay</v>
      </c>
      <c r="AC42" s="7">
        <f>'Database MK'!DA43-'Database MK'!DB43</f>
        <v>45466</v>
      </c>
      <c r="AD42" s="7">
        <f>'Database MK'!DA43-'Database MK'!DF43</f>
        <v>45466</v>
      </c>
      <c r="AE42" s="7">
        <f>'Database MK'!DK43-'Database MK'!DL43</f>
        <v>65</v>
      </c>
      <c r="AF42" s="7">
        <f>'Database MK'!DK43-'Database MK'!DO43</f>
        <v>54</v>
      </c>
      <c r="AG42" s="7">
        <f>'Database MK'!DU43-'Database MK'!DW43</f>
        <v>45508</v>
      </c>
      <c r="AH42" s="7" t="str">
        <f>IF('Database MK'!EB43="","Belum",'Database MK'!DU43-'Database MK'!EB43)</f>
        <v>Belum</v>
      </c>
      <c r="AI42" s="7" t="str">
        <f>IF('Database MK'!EN43="","Belum",'Database MK'!EL43-'Database MK'!EN43)</f>
        <v>Belum</v>
      </c>
      <c r="AJ42" s="7">
        <f>'Database MK'!FY43-'Database MK'!FZ43</f>
        <v>0</v>
      </c>
      <c r="AK42" s="7">
        <f>IF('Database MK'!GC43="","Belum",'Database MK'!GB43-'Database MK'!GC43)</f>
        <v>50</v>
      </c>
      <c r="AL42" s="7">
        <f>IF('Database MK'!GF43="","Belum",'Database MK'!GE43-'Database MK'!GF43)</f>
        <v>57</v>
      </c>
      <c r="AM42" s="279">
        <f>IF('Database MK'!GJ43="","Belum",'Database MK'!GI43-'Database MK'!GJ43)</f>
        <v>66</v>
      </c>
      <c r="AN42" s="7">
        <f>IF('Database MK'!HG43="","Belum",'Database MK'!HF43-'Database MK'!HG43)</f>
        <v>-63</v>
      </c>
      <c r="AO42" s="7">
        <f>IF('Database MK'!HQ43="","Belum",'Database MK'!HN43-'Database MK'!HQ43)</f>
        <v>-56</v>
      </c>
      <c r="AP42" s="7">
        <f>IF('Database MK'!HW43="","Belum",'Database MK'!HU43-'Database MK'!HW43)</f>
        <v>-42</v>
      </c>
    </row>
    <row r="43" spans="2:42" x14ac:dyDescent="0.25">
      <c r="B43" s="7">
        <f>SUBTOTAL(3,$C$4:C43)</f>
        <v>40</v>
      </c>
      <c r="C43" s="269" t="s">
        <v>244</v>
      </c>
      <c r="D43" s="269" t="s">
        <v>459</v>
      </c>
      <c r="E43" s="269" t="s">
        <v>460</v>
      </c>
      <c r="F43" s="270">
        <v>45748</v>
      </c>
      <c r="G43" s="4" t="s">
        <v>247</v>
      </c>
      <c r="H43" s="4" t="str">
        <f ca="1">'Database MK'!Q44</f>
        <v>DPPP</v>
      </c>
      <c r="I43" s="24">
        <f>'Database MK'!S44</f>
        <v>1</v>
      </c>
      <c r="J43" s="24">
        <f>'Database MK'!T44</f>
        <v>1</v>
      </c>
      <c r="K43" s="571">
        <f>'Database MK'!U44</f>
        <v>0</v>
      </c>
      <c r="L43" s="561">
        <f>'Database MK'!V44</f>
        <v>2919</v>
      </c>
      <c r="M43" s="561">
        <f>'Database MK'!W44</f>
        <v>2489</v>
      </c>
      <c r="N43" s="561">
        <f>Table3[[#This Row],[Total Panjang Pipa Aktual]]-Table3[[#This Row],[Volume
BA MC-0]]</f>
        <v>-430</v>
      </c>
      <c r="O43" s="7" t="str">
        <f ca="1">'Database MK'!DE44</f>
        <v>Belum, Delay</v>
      </c>
      <c r="P43" s="7" t="str">
        <f ca="1">'Database MK'!DI44</f>
        <v>Belum, Delay</v>
      </c>
      <c r="Q43" s="7" t="str">
        <f ca="1">'Database MK'!DN44</f>
        <v>Sudah, OnSchedule</v>
      </c>
      <c r="R43" s="7" t="str">
        <f ca="1">'Database MK'!DR44</f>
        <v>Sudah, OnSchedule</v>
      </c>
      <c r="S43" s="7" t="str">
        <f ca="1">'Database MK'!EA44</f>
        <v>Belum, Delay</v>
      </c>
      <c r="T43" s="7" t="str">
        <f ca="1">'Database MK'!EI44</f>
        <v>Belum, Delay</v>
      </c>
      <c r="U43" s="7" t="str">
        <f ca="1">'Database MK'!ET44</f>
        <v>Belum, Delay</v>
      </c>
      <c r="V43" s="7" t="str">
        <f ca="1">'Database MK'!GA44</f>
        <v>Belum, Delay</v>
      </c>
      <c r="W43" s="7" t="str">
        <f ca="1">'Database MK'!GD44</f>
        <v>Sudah, OnSchedule</v>
      </c>
      <c r="X43" s="7" t="str">
        <f ca="1">'Database MK'!GG44</f>
        <v>Sudah, OnSchedule</v>
      </c>
      <c r="Y43" s="7" t="str">
        <f ca="1">'Database MK'!GK44</f>
        <v>Sudah, OnSchedule</v>
      </c>
      <c r="Z43" s="7" t="str">
        <f ca="1">'Database MK'!HH44</f>
        <v>Sudah, Delay</v>
      </c>
      <c r="AA43" s="7" t="str">
        <f ca="1">'Database MK'!HR44</f>
        <v>Sudah, Delay</v>
      </c>
      <c r="AB43" s="7" t="str">
        <f ca="1">'Database MK'!HX44</f>
        <v>Sudah, Delay</v>
      </c>
      <c r="AC43" s="7">
        <f>'Database MK'!DA44-'Database MK'!DB44</f>
        <v>45466</v>
      </c>
      <c r="AD43" s="7">
        <f>'Database MK'!DA44-'Database MK'!DF44</f>
        <v>45466</v>
      </c>
      <c r="AE43" s="7">
        <f>'Database MK'!DK44-'Database MK'!DL44</f>
        <v>61</v>
      </c>
      <c r="AF43" s="7">
        <f>'Database MK'!DK44-'Database MK'!DO44</f>
        <v>54</v>
      </c>
      <c r="AG43" s="7">
        <f>'Database MK'!DU44-'Database MK'!DW44</f>
        <v>45508</v>
      </c>
      <c r="AH43" s="7" t="str">
        <f>IF('Database MK'!EB44="","Belum",'Database MK'!DU44-'Database MK'!EB44)</f>
        <v>Belum</v>
      </c>
      <c r="AI43" s="7" t="str">
        <f>IF('Database MK'!EN44="","Belum",'Database MK'!EL44-'Database MK'!EN44)</f>
        <v>Belum</v>
      </c>
      <c r="AJ43" s="7">
        <f>'Database MK'!FY44-'Database MK'!FZ44</f>
        <v>0</v>
      </c>
      <c r="AK43" s="7">
        <f>IF('Database MK'!GC44="","Belum",'Database MK'!GB44-'Database MK'!GC44)</f>
        <v>50</v>
      </c>
      <c r="AL43" s="7">
        <f>IF('Database MK'!GF44="","Belum",'Database MK'!GE44-'Database MK'!GF44)</f>
        <v>57</v>
      </c>
      <c r="AM43" s="279">
        <f>IF('Database MK'!GJ44="","Belum",'Database MK'!GI44-'Database MK'!GJ44)</f>
        <v>66</v>
      </c>
      <c r="AN43" s="7">
        <f>IF('Database MK'!HG44="","Belum",'Database MK'!HF44-'Database MK'!HG44)</f>
        <v>-18</v>
      </c>
      <c r="AO43" s="7">
        <f>IF('Database MK'!HQ44="","Belum",'Database MK'!HN44-'Database MK'!HQ44)</f>
        <v>-35</v>
      </c>
      <c r="AP43" s="7">
        <f>IF('Database MK'!HW44="","Belum",'Database MK'!HU44-'Database MK'!HW44)</f>
        <v>-39</v>
      </c>
    </row>
    <row r="44" spans="2:42" x14ac:dyDescent="0.25">
      <c r="B44" s="7">
        <f>SUBTOTAL(3,$C$4:C44)</f>
        <v>41</v>
      </c>
      <c r="C44" s="269" t="s">
        <v>244</v>
      </c>
      <c r="D44" s="269" t="s">
        <v>464</v>
      </c>
      <c r="E44" s="269" t="s">
        <v>465</v>
      </c>
      <c r="F44" s="270">
        <v>45748</v>
      </c>
      <c r="G44" s="4" t="s">
        <v>247</v>
      </c>
      <c r="H44" s="4" t="str">
        <f ca="1">'Database MK'!Q45</f>
        <v>DPPP</v>
      </c>
      <c r="I44" s="24">
        <f>'Database MK'!S45</f>
        <v>1</v>
      </c>
      <c r="J44" s="24">
        <f>'Database MK'!T45</f>
        <v>1</v>
      </c>
      <c r="K44" s="571">
        <f>'Database MK'!U45</f>
        <v>0</v>
      </c>
      <c r="L44" s="561">
        <f>'Database MK'!V45</f>
        <v>4050</v>
      </c>
      <c r="M44" s="561">
        <f>'Database MK'!W45</f>
        <v>3486.5</v>
      </c>
      <c r="N44" s="561">
        <f>Table3[[#This Row],[Total Panjang Pipa Aktual]]-Table3[[#This Row],[Volume
BA MC-0]]</f>
        <v>-563.5</v>
      </c>
      <c r="O44" s="7" t="str">
        <f ca="1">'Database MK'!DE45</f>
        <v>Belum, Delay</v>
      </c>
      <c r="P44" s="7" t="str">
        <f ca="1">'Database MK'!DI45</f>
        <v>Belum, Delay</v>
      </c>
      <c r="Q44" s="7" t="str">
        <f ca="1">'Database MK'!DN45</f>
        <v>Sudah, OnSchedule</v>
      </c>
      <c r="R44" s="7" t="str">
        <f ca="1">'Database MK'!DR45</f>
        <v>Sudah, OnSchedule</v>
      </c>
      <c r="S44" s="7" t="str">
        <f ca="1">'Database MK'!EA45</f>
        <v>Belum, Delay</v>
      </c>
      <c r="T44" s="7" t="str">
        <f ca="1">'Database MK'!EI45</f>
        <v>Belum, Delay</v>
      </c>
      <c r="U44" s="7" t="str">
        <f ca="1">'Database MK'!ET45</f>
        <v>Belum, Delay</v>
      </c>
      <c r="V44" s="7" t="str">
        <f ca="1">'Database MK'!GA45</f>
        <v>Belum, Delay</v>
      </c>
      <c r="W44" s="7" t="str">
        <f ca="1">'Database MK'!GD45</f>
        <v>Sudah, OnSchedule</v>
      </c>
      <c r="X44" s="7" t="str">
        <f ca="1">'Database MK'!GG45</f>
        <v>Sudah, OnSchedule</v>
      </c>
      <c r="Y44" s="7" t="str">
        <f ca="1">'Database MK'!GK45</f>
        <v>Sudah, OnSchedule</v>
      </c>
      <c r="Z44" s="7" t="str">
        <f ca="1">'Database MK'!HH45</f>
        <v>Sudah, Delay</v>
      </c>
      <c r="AA44" s="7" t="str">
        <f ca="1">'Database MK'!HR45</f>
        <v>Sudah, Delay</v>
      </c>
      <c r="AB44" s="7" t="str">
        <f ca="1">'Database MK'!HX45</f>
        <v>Sudah, Delay</v>
      </c>
      <c r="AC44" s="7">
        <f>'Database MK'!DA45-'Database MK'!DB45</f>
        <v>45466</v>
      </c>
      <c r="AD44" s="7">
        <f>'Database MK'!DA45-'Database MK'!DF45</f>
        <v>45466</v>
      </c>
      <c r="AE44" s="7">
        <f>'Database MK'!DK45-'Database MK'!DL45</f>
        <v>58</v>
      </c>
      <c r="AF44" s="7">
        <f>'Database MK'!DK45-'Database MK'!DO45</f>
        <v>53</v>
      </c>
      <c r="AG44" s="7">
        <f>'Database MK'!DU45-'Database MK'!DW45</f>
        <v>45508</v>
      </c>
      <c r="AH44" s="7" t="str">
        <f>IF('Database MK'!EB45="","Belum",'Database MK'!DU45-'Database MK'!EB45)</f>
        <v>Belum</v>
      </c>
      <c r="AI44" s="7" t="str">
        <f>IF('Database MK'!EN45="","Belum",'Database MK'!EL45-'Database MK'!EN45)</f>
        <v>Belum</v>
      </c>
      <c r="AJ44" s="7">
        <f>'Database MK'!FY45-'Database MK'!FZ45</f>
        <v>0</v>
      </c>
      <c r="AK44" s="7">
        <f>IF('Database MK'!GC45="","Belum",'Database MK'!GB45-'Database MK'!GC45)</f>
        <v>50</v>
      </c>
      <c r="AL44" s="7">
        <f>IF('Database MK'!GF45="","Belum",'Database MK'!GE45-'Database MK'!GF45)</f>
        <v>57</v>
      </c>
      <c r="AM44" s="279">
        <f>IF('Database MK'!GJ45="","Belum",'Database MK'!GI45-'Database MK'!GJ45)</f>
        <v>65</v>
      </c>
      <c r="AN44" s="7">
        <f>IF('Database MK'!HG45="","Belum",'Database MK'!HF45-'Database MK'!HG45)</f>
        <v>-19</v>
      </c>
      <c r="AO44" s="7">
        <f>IF('Database MK'!HQ45="","Belum",'Database MK'!HN45-'Database MK'!HQ45)</f>
        <v>-31</v>
      </c>
      <c r="AP44" s="7">
        <f>IF('Database MK'!HW45="","Belum",'Database MK'!HU45-'Database MK'!HW45)</f>
        <v>-39</v>
      </c>
    </row>
    <row r="45" spans="2:42" x14ac:dyDescent="0.25">
      <c r="B45" s="7">
        <f>SUBTOTAL(3,$C$4:C45)</f>
        <v>42</v>
      </c>
      <c r="C45" s="269" t="s">
        <v>244</v>
      </c>
      <c r="D45" s="269" t="s">
        <v>469</v>
      </c>
      <c r="E45" s="269" t="s">
        <v>470</v>
      </c>
      <c r="F45" s="270">
        <v>45748</v>
      </c>
      <c r="G45" s="4" t="s">
        <v>247</v>
      </c>
      <c r="H45" s="4" t="str">
        <f ca="1">'Database MK'!Q46</f>
        <v>DPPP</v>
      </c>
      <c r="I45" s="24">
        <f>'Database MK'!S46</f>
        <v>1</v>
      </c>
      <c r="J45" s="24">
        <f>'Database MK'!T46</f>
        <v>1</v>
      </c>
      <c r="K45" s="571">
        <f>'Database MK'!U46</f>
        <v>0</v>
      </c>
      <c r="L45" s="561">
        <f>'Database MK'!V46</f>
        <v>3548</v>
      </c>
      <c r="M45" s="561">
        <f>'Database MK'!W46</f>
        <v>1995</v>
      </c>
      <c r="N45" s="561">
        <f>Table3[[#This Row],[Total Panjang Pipa Aktual]]-Table3[[#This Row],[Volume
BA MC-0]]</f>
        <v>-1553</v>
      </c>
      <c r="O45" s="7" t="str">
        <f ca="1">'Database MK'!DE46</f>
        <v>Belum, Delay</v>
      </c>
      <c r="P45" s="7" t="str">
        <f ca="1">'Database MK'!DI46</f>
        <v>Belum, Delay</v>
      </c>
      <c r="Q45" s="7" t="str">
        <f ca="1">'Database MK'!DN46</f>
        <v>Sudah, OnSchedule</v>
      </c>
      <c r="R45" s="7" t="str">
        <f ca="1">'Database MK'!DR46</f>
        <v>Sudah, OnSchedule</v>
      </c>
      <c r="S45" s="7" t="str">
        <f ca="1">'Database MK'!EA46</f>
        <v>Belum, Delay</v>
      </c>
      <c r="T45" s="7" t="str">
        <f ca="1">'Database MK'!EI46</f>
        <v>Belum, Delay</v>
      </c>
      <c r="U45" s="7" t="str">
        <f ca="1">'Database MK'!ET46</f>
        <v>Belum, Delay</v>
      </c>
      <c r="V45" s="7" t="str">
        <f ca="1">'Database MK'!GA46</f>
        <v>Belum, Delay</v>
      </c>
      <c r="W45" s="7" t="str">
        <f ca="1">'Database MK'!GD46</f>
        <v>Sudah, OnSchedule</v>
      </c>
      <c r="X45" s="7" t="str">
        <f ca="1">'Database MK'!GG46</f>
        <v>Sudah, OnSchedule</v>
      </c>
      <c r="Y45" s="7" t="str">
        <f ca="1">'Database MK'!GK46</f>
        <v>Sudah, OnSchedule</v>
      </c>
      <c r="Z45" s="7" t="str">
        <f ca="1">'Database MK'!HH46</f>
        <v>Sudah, Delay</v>
      </c>
      <c r="AA45" s="7" t="str">
        <f ca="1">'Database MK'!HR46</f>
        <v>Sudah, Delay</v>
      </c>
      <c r="AB45" s="7" t="str">
        <f ca="1">'Database MK'!HX46</f>
        <v>Sudah, Delay</v>
      </c>
      <c r="AC45" s="7">
        <f>'Database MK'!DA46-'Database MK'!DB46</f>
        <v>45466</v>
      </c>
      <c r="AD45" s="7">
        <f>'Database MK'!DA46-'Database MK'!DF46</f>
        <v>45466</v>
      </c>
      <c r="AE45" s="7">
        <f>'Database MK'!DK46-'Database MK'!DL46</f>
        <v>58</v>
      </c>
      <c r="AF45" s="7">
        <f>'Database MK'!DK46-'Database MK'!DO46</f>
        <v>33</v>
      </c>
      <c r="AG45" s="7">
        <f>'Database MK'!DU46-'Database MK'!DW46</f>
        <v>45508</v>
      </c>
      <c r="AH45" s="7" t="str">
        <f>IF('Database MK'!EB46="","Belum",'Database MK'!DU46-'Database MK'!EB46)</f>
        <v>Belum</v>
      </c>
      <c r="AI45" s="7" t="str">
        <f>IF('Database MK'!EN46="","Belum",'Database MK'!EL46-'Database MK'!EN46)</f>
        <v>Belum</v>
      </c>
      <c r="AJ45" s="7">
        <f>'Database MK'!FY46-'Database MK'!FZ46</f>
        <v>0</v>
      </c>
      <c r="AK45" s="7">
        <f>IF('Database MK'!GC46="","Belum",'Database MK'!GB46-'Database MK'!GC46)</f>
        <v>50</v>
      </c>
      <c r="AL45" s="7">
        <f>IF('Database MK'!GF46="","Belum",'Database MK'!GE46-'Database MK'!GF46)</f>
        <v>57</v>
      </c>
      <c r="AM45" s="279">
        <f>IF('Database MK'!GJ46="","Belum",'Database MK'!GI46-'Database MK'!GJ46)</f>
        <v>66</v>
      </c>
      <c r="AN45" s="7">
        <f>IF('Database MK'!HG46="","Belum",'Database MK'!HF46-'Database MK'!HG46)</f>
        <v>-20</v>
      </c>
      <c r="AO45" s="7">
        <f>IF('Database MK'!HQ46="","Belum",'Database MK'!HN46-'Database MK'!HQ46)</f>
        <v>-35</v>
      </c>
      <c r="AP45" s="7">
        <f>IF('Database MK'!HW46="","Belum",'Database MK'!HU46-'Database MK'!HW46)</f>
        <v>-39</v>
      </c>
    </row>
    <row r="46" spans="2:42" x14ac:dyDescent="0.25">
      <c r="B46" s="7">
        <f>SUBTOTAL(3,$C$4:C46)</f>
        <v>43</v>
      </c>
      <c r="C46" s="269" t="s">
        <v>244</v>
      </c>
      <c r="D46" s="269" t="s">
        <v>474</v>
      </c>
      <c r="E46" s="269" t="s">
        <v>475</v>
      </c>
      <c r="F46" s="270">
        <v>45748</v>
      </c>
      <c r="G46" s="4" t="s">
        <v>247</v>
      </c>
      <c r="H46" s="4" t="str">
        <f ca="1">'Database MK'!Q47</f>
        <v>DPPP</v>
      </c>
      <c r="I46" s="24">
        <f>'Database MK'!S47</f>
        <v>1</v>
      </c>
      <c r="J46" s="24">
        <f>'Database MK'!T47</f>
        <v>1</v>
      </c>
      <c r="K46" s="571">
        <f>'Database MK'!U47</f>
        <v>0</v>
      </c>
      <c r="L46" s="561">
        <f>'Database MK'!V47</f>
        <v>3290</v>
      </c>
      <c r="M46" s="561">
        <f>'Database MK'!W47</f>
        <v>3005.8</v>
      </c>
      <c r="N46" s="561">
        <f>Table3[[#This Row],[Total Panjang Pipa Aktual]]-Table3[[#This Row],[Volume
BA MC-0]]</f>
        <v>-284.19999999999982</v>
      </c>
      <c r="O46" s="7" t="str">
        <f ca="1">'Database MK'!DE47</f>
        <v>Belum, Delay</v>
      </c>
      <c r="P46" s="7" t="str">
        <f ca="1">'Database MK'!DI47</f>
        <v>Belum, Delay</v>
      </c>
      <c r="Q46" s="7" t="str">
        <f ca="1">'Database MK'!DN47</f>
        <v>Sudah, OnSchedule</v>
      </c>
      <c r="R46" s="7" t="str">
        <f ca="1">'Database MK'!DR47</f>
        <v>Sudah, OnSchedule</v>
      </c>
      <c r="S46" s="7" t="str">
        <f ca="1">'Database MK'!EA47</f>
        <v>Belum, Delay</v>
      </c>
      <c r="T46" s="7" t="str">
        <f ca="1">'Database MK'!EI47</f>
        <v>Belum, Delay</v>
      </c>
      <c r="U46" s="7" t="str">
        <f ca="1">'Database MK'!ET47</f>
        <v>Belum, Delay</v>
      </c>
      <c r="V46" s="7" t="str">
        <f ca="1">'Database MK'!GA47</f>
        <v>Belum, Delay</v>
      </c>
      <c r="W46" s="7" t="str">
        <f ca="1">'Database MK'!GD47</f>
        <v>Sudah, OnSchedule</v>
      </c>
      <c r="X46" s="7" t="str">
        <f ca="1">'Database MK'!GG47</f>
        <v>Sudah, OnSchedule</v>
      </c>
      <c r="Y46" s="7" t="str">
        <f ca="1">'Database MK'!GK47</f>
        <v>Sudah, OnSchedule</v>
      </c>
      <c r="Z46" s="7" t="str">
        <f ca="1">'Database MK'!HH47</f>
        <v>Sudah, Delay</v>
      </c>
      <c r="AA46" s="7" t="str">
        <f ca="1">'Database MK'!HR47</f>
        <v>Sudah, Delay</v>
      </c>
      <c r="AB46" s="7" t="str">
        <f ca="1">'Database MK'!HX47</f>
        <v>Sudah, Delay</v>
      </c>
      <c r="AC46" s="7">
        <f>'Database MK'!DA47-'Database MK'!DB47</f>
        <v>45466</v>
      </c>
      <c r="AD46" s="7">
        <f>'Database MK'!DA47-'Database MK'!DF47</f>
        <v>45466</v>
      </c>
      <c r="AE46" s="7">
        <f>'Database MK'!DK47-'Database MK'!DL47</f>
        <v>60</v>
      </c>
      <c r="AF46" s="7">
        <f>'Database MK'!DK47-'Database MK'!DO47</f>
        <v>54</v>
      </c>
      <c r="AG46" s="7">
        <f>'Database MK'!DU47-'Database MK'!DW47</f>
        <v>45508</v>
      </c>
      <c r="AH46" s="7" t="str">
        <f>IF('Database MK'!EB47="","Belum",'Database MK'!DU47-'Database MK'!EB47)</f>
        <v>Belum</v>
      </c>
      <c r="AI46" s="7" t="str">
        <f>IF('Database MK'!EN47="","Belum",'Database MK'!EL47-'Database MK'!EN47)</f>
        <v>Belum</v>
      </c>
      <c r="AJ46" s="7">
        <f>'Database MK'!FY47-'Database MK'!FZ47</f>
        <v>0</v>
      </c>
      <c r="AK46" s="7">
        <f>IF('Database MK'!GC47="","Belum",'Database MK'!GB47-'Database MK'!GC47)</f>
        <v>50</v>
      </c>
      <c r="AL46" s="7">
        <f>IF('Database MK'!GF47="","Belum",'Database MK'!GE47-'Database MK'!GF47)</f>
        <v>57</v>
      </c>
      <c r="AM46" s="279">
        <f>IF('Database MK'!GJ47="","Belum",'Database MK'!GI47-'Database MK'!GJ47)</f>
        <v>66</v>
      </c>
      <c r="AN46" s="7">
        <f>IF('Database MK'!HG47="","Belum",'Database MK'!HF47-'Database MK'!HG47)</f>
        <v>-21</v>
      </c>
      <c r="AO46" s="7">
        <f>IF('Database MK'!HQ47="","Belum",'Database MK'!HN47-'Database MK'!HQ47)</f>
        <v>-31</v>
      </c>
      <c r="AP46" s="7">
        <f>IF('Database MK'!HW47="","Belum",'Database MK'!HU47-'Database MK'!HW47)</f>
        <v>-39</v>
      </c>
    </row>
    <row r="47" spans="2:42" x14ac:dyDescent="0.25">
      <c r="B47" s="7">
        <f>SUBTOTAL(3,$C$4:C47)</f>
        <v>44</v>
      </c>
      <c r="C47" s="269" t="s">
        <v>244</v>
      </c>
      <c r="D47" s="269" t="s">
        <v>480</v>
      </c>
      <c r="E47" s="269" t="s">
        <v>481</v>
      </c>
      <c r="F47" s="270">
        <v>45748</v>
      </c>
      <c r="G47" s="4" t="s">
        <v>247</v>
      </c>
      <c r="H47" s="4" t="str">
        <f ca="1">'Database MK'!Q48</f>
        <v>DPPP</v>
      </c>
      <c r="I47" s="24">
        <f>'Database MK'!S48</f>
        <v>1</v>
      </c>
      <c r="J47" s="24">
        <f>'Database MK'!T48</f>
        <v>1</v>
      </c>
      <c r="K47" s="571">
        <f>'Database MK'!U48</f>
        <v>0</v>
      </c>
      <c r="L47" s="561">
        <f>'Database MK'!V48</f>
        <v>5129</v>
      </c>
      <c r="M47" s="561">
        <f>'Database MK'!W48</f>
        <v>1976.5</v>
      </c>
      <c r="N47" s="561">
        <f>Table3[[#This Row],[Total Panjang Pipa Aktual]]-Table3[[#This Row],[Volume
BA MC-0]]</f>
        <v>-3152.5</v>
      </c>
      <c r="O47" s="7" t="str">
        <f ca="1">'Database MK'!DE48</f>
        <v>Belum, Delay</v>
      </c>
      <c r="P47" s="7" t="str">
        <f ca="1">'Database MK'!DI48</f>
        <v>Belum, Delay</v>
      </c>
      <c r="Q47" s="7" t="str">
        <f ca="1">'Database MK'!DN48</f>
        <v>Sudah, OnSchedule</v>
      </c>
      <c r="R47" s="7" t="str">
        <f ca="1">'Database MK'!DR48</f>
        <v>Sudah, OnSchedule</v>
      </c>
      <c r="S47" s="7" t="str">
        <f ca="1">'Database MK'!EA48</f>
        <v>Belum, Delay</v>
      </c>
      <c r="T47" s="7" t="str">
        <f ca="1">'Database MK'!EI48</f>
        <v>Belum, Delay</v>
      </c>
      <c r="U47" s="7" t="str">
        <f ca="1">'Database MK'!ET48</f>
        <v>Belum, Delay</v>
      </c>
      <c r="V47" s="7" t="str">
        <f ca="1">'Database MK'!GA48</f>
        <v>Belum, Delay</v>
      </c>
      <c r="W47" s="7" t="str">
        <f ca="1">'Database MK'!GD48</f>
        <v>Sudah, OnSchedule</v>
      </c>
      <c r="X47" s="7" t="str">
        <f ca="1">'Database MK'!GG48</f>
        <v>Sudah, OnSchedule</v>
      </c>
      <c r="Y47" s="7" t="str">
        <f ca="1">'Database MK'!GK48</f>
        <v>Sudah, OnSchedule</v>
      </c>
      <c r="Z47" s="7" t="str">
        <f ca="1">'Database MK'!HH48</f>
        <v>Sudah, Delay</v>
      </c>
      <c r="AA47" s="7" t="str">
        <f ca="1">'Database MK'!HR48</f>
        <v>Sudah, Delay</v>
      </c>
      <c r="AB47" s="7" t="str">
        <f ca="1">'Database MK'!HX48</f>
        <v>Sudah, Delay</v>
      </c>
      <c r="AC47" s="7">
        <f>'Database MK'!DA48-'Database MK'!DB48</f>
        <v>45466</v>
      </c>
      <c r="AD47" s="7">
        <f>'Database MK'!DA48-'Database MK'!DF48</f>
        <v>45466</v>
      </c>
      <c r="AE47" s="7">
        <f>'Database MK'!DK48-'Database MK'!DL48</f>
        <v>38</v>
      </c>
      <c r="AF47" s="7">
        <f>'Database MK'!DK48-'Database MK'!DO48</f>
        <v>9</v>
      </c>
      <c r="AG47" s="7">
        <f>'Database MK'!DU48-'Database MK'!DW48</f>
        <v>45508</v>
      </c>
      <c r="AH47" s="7" t="str">
        <f>IF('Database MK'!EB48="","Belum",'Database MK'!DU48-'Database MK'!EB48)</f>
        <v>Belum</v>
      </c>
      <c r="AI47" s="7" t="str">
        <f>IF('Database MK'!EN48="","Belum",'Database MK'!EL48-'Database MK'!EN48)</f>
        <v>Belum</v>
      </c>
      <c r="AJ47" s="7">
        <f>'Database MK'!FY48-'Database MK'!FZ48</f>
        <v>0</v>
      </c>
      <c r="AK47" s="7">
        <f>IF('Database MK'!GC48="","Belum",'Database MK'!GB48-'Database MK'!GC48)</f>
        <v>19</v>
      </c>
      <c r="AL47" s="7">
        <f>IF('Database MK'!GF48="","Belum",'Database MK'!GE48-'Database MK'!GF48)</f>
        <v>26</v>
      </c>
      <c r="AM47" s="279">
        <f>IF('Database MK'!GJ48="","Belum",'Database MK'!GI48-'Database MK'!GJ48)</f>
        <v>4</v>
      </c>
      <c r="AN47" s="7">
        <f>IF('Database MK'!HG48="","Belum",'Database MK'!HF48-'Database MK'!HG48)</f>
        <v>-37</v>
      </c>
      <c r="AO47" s="7">
        <f>IF('Database MK'!HQ48="","Belum",'Database MK'!HN48-'Database MK'!HQ48)</f>
        <v>-108</v>
      </c>
      <c r="AP47" s="7">
        <f>IF('Database MK'!HW48="","Belum",'Database MK'!HU48-'Database MK'!HW48)</f>
        <v>-42</v>
      </c>
    </row>
    <row r="48" spans="2:42" x14ac:dyDescent="0.25">
      <c r="B48" s="7">
        <f>SUBTOTAL(3,$C$4:C48)</f>
        <v>45</v>
      </c>
      <c r="C48" s="269" t="s">
        <v>244</v>
      </c>
      <c r="D48" s="269" t="s">
        <v>486</v>
      </c>
      <c r="E48" s="269" t="s">
        <v>487</v>
      </c>
      <c r="F48" s="270">
        <v>45748</v>
      </c>
      <c r="G48" s="4" t="s">
        <v>247</v>
      </c>
      <c r="H48" s="4" t="str">
        <f ca="1">'Database MK'!Q49</f>
        <v>DPPP</v>
      </c>
      <c r="I48" s="24">
        <f>'Database MK'!S49</f>
        <v>1</v>
      </c>
      <c r="J48" s="24">
        <f>'Database MK'!T49</f>
        <v>1</v>
      </c>
      <c r="K48" s="571">
        <f>'Database MK'!U49</f>
        <v>0</v>
      </c>
      <c r="L48" s="561">
        <f>'Database MK'!V49</f>
        <v>6208</v>
      </c>
      <c r="M48" s="561">
        <f>'Database MK'!W49</f>
        <v>4127</v>
      </c>
      <c r="N48" s="561">
        <f>Table3[[#This Row],[Total Panjang Pipa Aktual]]-Table3[[#This Row],[Volume
BA MC-0]]</f>
        <v>-2081</v>
      </c>
      <c r="O48" s="7" t="str">
        <f ca="1">'Database MK'!DE49</f>
        <v>Belum, Delay</v>
      </c>
      <c r="P48" s="7" t="str">
        <f ca="1">'Database MK'!DI49</f>
        <v>Belum, Delay</v>
      </c>
      <c r="Q48" s="7" t="str">
        <f ca="1">'Database MK'!DN49</f>
        <v>Sudah, OnSchedule</v>
      </c>
      <c r="R48" s="7" t="str">
        <f ca="1">'Database MK'!DR49</f>
        <v>Sudah, OnSchedule</v>
      </c>
      <c r="S48" s="7" t="str">
        <f ca="1">'Database MK'!EA49</f>
        <v>Belum, Delay</v>
      </c>
      <c r="T48" s="7" t="str">
        <f ca="1">'Database MK'!EI49</f>
        <v>Belum, Delay</v>
      </c>
      <c r="U48" s="7" t="str">
        <f ca="1">'Database MK'!ET49</f>
        <v>Belum, Delay</v>
      </c>
      <c r="V48" s="7" t="str">
        <f ca="1">'Database MK'!GA49</f>
        <v>Belum, Delay</v>
      </c>
      <c r="W48" s="7" t="str">
        <f ca="1">'Database MK'!GD49</f>
        <v>Sudah, OnSchedule</v>
      </c>
      <c r="X48" s="7" t="str">
        <f ca="1">'Database MK'!GG49</f>
        <v>Sudah, OnSchedule</v>
      </c>
      <c r="Y48" s="7" t="str">
        <f ca="1">'Database MK'!GK49</f>
        <v>Sudah, OnSchedule</v>
      </c>
      <c r="Z48" s="7" t="str">
        <f ca="1">'Database MK'!HH49</f>
        <v>Sudah, Delay</v>
      </c>
      <c r="AA48" s="7" t="str">
        <f ca="1">'Database MK'!HR49</f>
        <v>Sudah, Delay</v>
      </c>
      <c r="AB48" s="7" t="str">
        <f ca="1">'Database MK'!HX49</f>
        <v>Sudah, Delay</v>
      </c>
      <c r="AC48" s="7">
        <f>'Database MK'!DA49-'Database MK'!DB49</f>
        <v>45466</v>
      </c>
      <c r="AD48" s="7">
        <f>'Database MK'!DA49-'Database MK'!DF49</f>
        <v>45466</v>
      </c>
      <c r="AE48" s="7">
        <f>'Database MK'!DK49-'Database MK'!DL49</f>
        <v>38</v>
      </c>
      <c r="AF48" s="7">
        <f>'Database MK'!DK49-'Database MK'!DO49</f>
        <v>6</v>
      </c>
      <c r="AG48" s="7">
        <f>'Database MK'!DU49-'Database MK'!DW49</f>
        <v>45508</v>
      </c>
      <c r="AH48" s="7" t="str">
        <f>IF('Database MK'!EB49="","Belum",'Database MK'!DU49-'Database MK'!EB49)</f>
        <v>Belum</v>
      </c>
      <c r="AI48" s="7" t="str">
        <f>IF('Database MK'!EN49="","Belum",'Database MK'!EL49-'Database MK'!EN49)</f>
        <v>Belum</v>
      </c>
      <c r="AJ48" s="7">
        <f>'Database MK'!FY49-'Database MK'!FZ49</f>
        <v>0</v>
      </c>
      <c r="AK48" s="7">
        <f>IF('Database MK'!GC49="","Belum",'Database MK'!GB49-'Database MK'!GC49)</f>
        <v>19</v>
      </c>
      <c r="AL48" s="7">
        <f>IF('Database MK'!GF49="","Belum",'Database MK'!GE49-'Database MK'!GF49)</f>
        <v>26</v>
      </c>
      <c r="AM48" s="279">
        <f>IF('Database MK'!GJ49="","Belum",'Database MK'!GI49-'Database MK'!GJ49)</f>
        <v>34</v>
      </c>
      <c r="AN48" s="7">
        <f>IF('Database MK'!HG49="","Belum",'Database MK'!HF49-'Database MK'!HG49)</f>
        <v>-110</v>
      </c>
      <c r="AO48" s="7">
        <f>IF('Database MK'!HQ49="","Belum",'Database MK'!HN49-'Database MK'!HQ49)</f>
        <v>-103</v>
      </c>
      <c r="AP48" s="7">
        <f>IF('Database MK'!HW49="","Belum",'Database MK'!HU49-'Database MK'!HW49)</f>
        <v>-42</v>
      </c>
    </row>
    <row r="49" spans="2:42" x14ac:dyDescent="0.25">
      <c r="B49" s="7">
        <f>SUBTOTAL(3,$C$4:C49)</f>
        <v>46</v>
      </c>
      <c r="C49" s="269" t="s">
        <v>244</v>
      </c>
      <c r="D49" s="269" t="s">
        <v>491</v>
      </c>
      <c r="E49" s="269" t="s">
        <v>492</v>
      </c>
      <c r="F49" s="270">
        <v>45748</v>
      </c>
      <c r="G49" s="4" t="s">
        <v>247</v>
      </c>
      <c r="H49" s="4" t="str">
        <f ca="1">'Database MK'!Q50</f>
        <v>DPPP</v>
      </c>
      <c r="I49" s="24">
        <f>'Database MK'!S50</f>
        <v>1</v>
      </c>
      <c r="J49" s="24">
        <f>'Database MK'!T50</f>
        <v>1</v>
      </c>
      <c r="K49" s="571">
        <f>'Database MK'!U50</f>
        <v>0</v>
      </c>
      <c r="L49" s="561">
        <f>'Database MK'!V50</f>
        <v>500</v>
      </c>
      <c r="M49" s="561">
        <f>'Database MK'!W50</f>
        <v>466.9</v>
      </c>
      <c r="N49" s="561">
        <f>Table3[[#This Row],[Total Panjang Pipa Aktual]]-Table3[[#This Row],[Volume
BA MC-0]]</f>
        <v>-33.100000000000023</v>
      </c>
      <c r="O49" s="7" t="str">
        <f ca="1">'Database MK'!DE50</f>
        <v>Belum, Delay</v>
      </c>
      <c r="P49" s="7" t="str">
        <f ca="1">'Database MK'!DI50</f>
        <v>Belum, Delay</v>
      </c>
      <c r="Q49" s="7" t="str">
        <f ca="1">'Database MK'!DN50</f>
        <v>Sudah, OnSchedule</v>
      </c>
      <c r="R49" s="7" t="str">
        <f ca="1">'Database MK'!DR50</f>
        <v>Sudah, Delay</v>
      </c>
      <c r="S49" s="7" t="str">
        <f ca="1">'Database MK'!EA50</f>
        <v>Belum, Delay</v>
      </c>
      <c r="T49" s="7" t="str">
        <f ca="1">'Database MK'!EI50</f>
        <v>Belum, Delay</v>
      </c>
      <c r="U49" s="7" t="str">
        <f ca="1">'Database MK'!ET50</f>
        <v>Belum, Delay</v>
      </c>
      <c r="V49" s="7" t="str">
        <f ca="1">'Database MK'!GA50</f>
        <v>Belum, Delay</v>
      </c>
      <c r="W49" s="7" t="str">
        <f ca="1">'Database MK'!GD50</f>
        <v>Sudah, OnSchedule</v>
      </c>
      <c r="X49" s="7" t="str">
        <f ca="1">'Database MK'!GG50</f>
        <v>Sudah, OnSchedule</v>
      </c>
      <c r="Y49" s="7" t="str">
        <f ca="1">'Database MK'!GK50</f>
        <v>Sudah, OnSchedule</v>
      </c>
      <c r="Z49" s="7" t="str">
        <f ca="1">'Database MK'!HH50</f>
        <v>Sudah, Delay</v>
      </c>
      <c r="AA49" s="7" t="str">
        <f ca="1">'Database MK'!HR50</f>
        <v>Sudah, Delay</v>
      </c>
      <c r="AB49" s="7" t="str">
        <f ca="1">'Database MK'!HX50</f>
        <v>Sudah, Delay</v>
      </c>
      <c r="AC49" s="7">
        <f>'Database MK'!DA50-'Database MK'!DB50</f>
        <v>45466</v>
      </c>
      <c r="AD49" s="7">
        <f>'Database MK'!DA50-'Database MK'!DF50</f>
        <v>45466</v>
      </c>
      <c r="AE49" s="7">
        <f>'Database MK'!DK50-'Database MK'!DL50</f>
        <v>10</v>
      </c>
      <c r="AF49" s="7">
        <f>'Database MK'!DK50-'Database MK'!DO50</f>
        <v>-24</v>
      </c>
      <c r="AG49" s="7">
        <f>'Database MK'!DU50-'Database MK'!DW50</f>
        <v>45508</v>
      </c>
      <c r="AH49" s="7" t="str">
        <f>IF('Database MK'!EB50="","Belum",'Database MK'!DU50-'Database MK'!EB50)</f>
        <v>Belum</v>
      </c>
      <c r="AI49" s="7" t="str">
        <f>IF('Database MK'!EN50="","Belum",'Database MK'!EL50-'Database MK'!EN50)</f>
        <v>Belum</v>
      </c>
      <c r="AJ49" s="7">
        <f>'Database MK'!FY50-'Database MK'!FZ50</f>
        <v>0</v>
      </c>
      <c r="AK49" s="7">
        <f>IF('Database MK'!GC50="","Belum",'Database MK'!GB50-'Database MK'!GC50)</f>
        <v>19</v>
      </c>
      <c r="AL49" s="7">
        <f>IF('Database MK'!GF50="","Belum",'Database MK'!GE50-'Database MK'!GF50)</f>
        <v>26</v>
      </c>
      <c r="AM49" s="279">
        <f>IF('Database MK'!GJ50="","Belum",'Database MK'!GI50-'Database MK'!GJ50)</f>
        <v>34</v>
      </c>
      <c r="AN49" s="7">
        <f>IF('Database MK'!HG50="","Belum",'Database MK'!HF50-'Database MK'!HG50)</f>
        <v>-40</v>
      </c>
      <c r="AO49" s="7">
        <f>IF('Database MK'!HQ50="","Belum",'Database MK'!HN50-'Database MK'!HQ50)</f>
        <v>-41</v>
      </c>
      <c r="AP49" s="7">
        <f>IF('Database MK'!HW50="","Belum",'Database MK'!HU50-'Database MK'!HW50)</f>
        <v>-42</v>
      </c>
    </row>
    <row r="50" spans="2:42" x14ac:dyDescent="0.25">
      <c r="B50" s="7">
        <f>SUBTOTAL(3,$C$4:C50)</f>
        <v>47</v>
      </c>
      <c r="C50" s="269" t="s">
        <v>244</v>
      </c>
      <c r="D50" s="269" t="s">
        <v>496</v>
      </c>
      <c r="E50" s="269" t="s">
        <v>497</v>
      </c>
      <c r="F50" s="270">
        <v>45748</v>
      </c>
      <c r="G50" s="4" t="s">
        <v>247</v>
      </c>
      <c r="H50" s="4" t="str">
        <f ca="1">'Database MK'!Q51</f>
        <v>DPPP</v>
      </c>
      <c r="I50" s="24">
        <f>'Database MK'!S51</f>
        <v>1</v>
      </c>
      <c r="J50" s="24">
        <f>'Database MK'!T51</f>
        <v>1</v>
      </c>
      <c r="K50" s="571">
        <f>'Database MK'!U51</f>
        <v>0</v>
      </c>
      <c r="L50" s="561">
        <f>'Database MK'!V51</f>
        <v>1447</v>
      </c>
      <c r="M50" s="561">
        <f>'Database MK'!W51</f>
        <v>1284.3</v>
      </c>
      <c r="N50" s="561">
        <f>Table3[[#This Row],[Total Panjang Pipa Aktual]]-Table3[[#This Row],[Volume
BA MC-0]]</f>
        <v>-162.70000000000005</v>
      </c>
      <c r="O50" s="7" t="str">
        <f ca="1">'Database MK'!DE51</f>
        <v>Belum, Delay</v>
      </c>
      <c r="P50" s="7" t="str">
        <f ca="1">'Database MK'!DI51</f>
        <v>Belum, Delay</v>
      </c>
      <c r="Q50" s="7" t="str">
        <f ca="1">'Database MK'!DN51</f>
        <v>Sudah, OnSchedule</v>
      </c>
      <c r="R50" s="7" t="str">
        <f ca="1">'Database MK'!DR51</f>
        <v>Sudah, OnSchedule</v>
      </c>
      <c r="S50" s="7" t="str">
        <f ca="1">'Database MK'!EA51</f>
        <v>Belum, Delay</v>
      </c>
      <c r="T50" s="7" t="str">
        <f ca="1">'Database MK'!EI51</f>
        <v>Belum, Delay</v>
      </c>
      <c r="U50" s="7" t="str">
        <f ca="1">'Database MK'!ET51</f>
        <v>Belum, Delay</v>
      </c>
      <c r="V50" s="7" t="str">
        <f ca="1">'Database MK'!GA51</f>
        <v>Belum, Delay</v>
      </c>
      <c r="W50" s="7" t="str">
        <f ca="1">'Database MK'!GD51</f>
        <v>Sudah, OnSchedule</v>
      </c>
      <c r="X50" s="7" t="str">
        <f ca="1">'Database MK'!GG51</f>
        <v>Sudah, OnSchedule</v>
      </c>
      <c r="Y50" s="7" t="str">
        <f ca="1">'Database MK'!GK51</f>
        <v>Sudah, OnSchedule</v>
      </c>
      <c r="Z50" s="7" t="str">
        <f ca="1">'Database MK'!HH51</f>
        <v>Sudah, Delay</v>
      </c>
      <c r="AA50" s="7" t="str">
        <f ca="1">'Database MK'!HR51</f>
        <v>Sudah, Delay</v>
      </c>
      <c r="AB50" s="7" t="str">
        <f ca="1">'Database MK'!HX51</f>
        <v>Sudah, Delay</v>
      </c>
      <c r="AC50" s="7">
        <f>'Database MK'!DA51-'Database MK'!DB51</f>
        <v>45466</v>
      </c>
      <c r="AD50" s="7">
        <f>'Database MK'!DA51-'Database MK'!DF51</f>
        <v>45466</v>
      </c>
      <c r="AE50" s="7">
        <f>'Database MK'!DK51-'Database MK'!DL51</f>
        <v>31</v>
      </c>
      <c r="AF50" s="7">
        <f>'Database MK'!DK51-'Database MK'!DO51</f>
        <v>6</v>
      </c>
      <c r="AG50" s="7">
        <f>'Database MK'!DU51-'Database MK'!DW51</f>
        <v>45508</v>
      </c>
      <c r="AH50" s="7" t="str">
        <f>IF('Database MK'!EB51="","Belum",'Database MK'!DU51-'Database MK'!EB51)</f>
        <v>Belum</v>
      </c>
      <c r="AI50" s="7" t="str">
        <f>IF('Database MK'!EN51="","Belum",'Database MK'!EL51-'Database MK'!EN51)</f>
        <v>Belum</v>
      </c>
      <c r="AJ50" s="7">
        <f>'Database MK'!FY51-'Database MK'!FZ51</f>
        <v>0</v>
      </c>
      <c r="AK50" s="7">
        <f>IF('Database MK'!GC51="","Belum",'Database MK'!GB51-'Database MK'!GC51)</f>
        <v>19</v>
      </c>
      <c r="AL50" s="7">
        <f>IF('Database MK'!GF51="","Belum",'Database MK'!GE51-'Database MK'!GF51)</f>
        <v>26</v>
      </c>
      <c r="AM50" s="279">
        <f>IF('Database MK'!GJ51="","Belum",'Database MK'!GI51-'Database MK'!GJ51)</f>
        <v>30</v>
      </c>
      <c r="AN50" s="7">
        <f>IF('Database MK'!HG51="","Belum",'Database MK'!HF51-'Database MK'!HG51)</f>
        <v>-34</v>
      </c>
      <c r="AO50" s="7">
        <f>IF('Database MK'!HQ51="","Belum",'Database MK'!HN51-'Database MK'!HQ51)</f>
        <v>-56</v>
      </c>
      <c r="AP50" s="7">
        <f>IF('Database MK'!HW51="","Belum",'Database MK'!HU51-'Database MK'!HW51)</f>
        <v>-42</v>
      </c>
    </row>
    <row r="51" spans="2:42" x14ac:dyDescent="0.25">
      <c r="B51" s="7">
        <f>SUBTOTAL(3,$C$4:C51)</f>
        <v>48</v>
      </c>
      <c r="C51" s="269" t="s">
        <v>244</v>
      </c>
      <c r="D51" s="269" t="s">
        <v>502</v>
      </c>
      <c r="E51" s="269" t="s">
        <v>503</v>
      </c>
      <c r="F51" s="270">
        <v>45748</v>
      </c>
      <c r="G51" s="4" t="s">
        <v>247</v>
      </c>
      <c r="H51" s="4" t="str">
        <f ca="1">'Database MK'!Q52</f>
        <v>DPPP</v>
      </c>
      <c r="I51" s="24">
        <f>'Database MK'!S52</f>
        <v>1</v>
      </c>
      <c r="J51" s="24">
        <f>'Database MK'!T52</f>
        <v>1</v>
      </c>
      <c r="K51" s="571">
        <f>'Database MK'!U52</f>
        <v>0</v>
      </c>
      <c r="L51" s="561">
        <f>'Database MK'!V52</f>
        <v>1140</v>
      </c>
      <c r="M51" s="561">
        <f>'Database MK'!W52</f>
        <v>536.4</v>
      </c>
      <c r="N51" s="561">
        <f>Table3[[#This Row],[Total Panjang Pipa Aktual]]-Table3[[#This Row],[Volume
BA MC-0]]</f>
        <v>-603.6</v>
      </c>
      <c r="O51" s="7" t="str">
        <f ca="1">'Database MK'!DE52</f>
        <v>Belum, Delay</v>
      </c>
      <c r="P51" s="7" t="str">
        <f ca="1">'Database MK'!DI52</f>
        <v>Belum, Delay</v>
      </c>
      <c r="Q51" s="7" t="str">
        <f ca="1">'Database MK'!DN52</f>
        <v>Sudah, OnSchedule</v>
      </c>
      <c r="R51" s="7" t="str">
        <f ca="1">'Database MK'!DR52</f>
        <v>Sudah, OnSchedule</v>
      </c>
      <c r="S51" s="7" t="str">
        <f ca="1">'Database MK'!EA52</f>
        <v>Belum, Delay</v>
      </c>
      <c r="T51" s="7" t="str">
        <f ca="1">'Database MK'!EI52</f>
        <v>Belum, Delay</v>
      </c>
      <c r="U51" s="7" t="str">
        <f ca="1">'Database MK'!ET52</f>
        <v>Belum, Delay</v>
      </c>
      <c r="V51" s="7" t="str">
        <f ca="1">'Database MK'!GA52</f>
        <v>Belum, Delay</v>
      </c>
      <c r="W51" s="7" t="str">
        <f ca="1">'Database MK'!GD52</f>
        <v>Sudah, OnSchedule</v>
      </c>
      <c r="X51" s="7" t="str">
        <f ca="1">'Database MK'!GG52</f>
        <v>Sudah, OnSchedule</v>
      </c>
      <c r="Y51" s="7" t="str">
        <f ca="1">'Database MK'!GK52</f>
        <v>Sudah, OnSchedule</v>
      </c>
      <c r="Z51" s="7" t="str">
        <f ca="1">'Database MK'!HH52</f>
        <v>Sudah, Delay</v>
      </c>
      <c r="AA51" s="7" t="str">
        <f ca="1">'Database MK'!HR52</f>
        <v>Sudah, Delay</v>
      </c>
      <c r="AB51" s="7" t="str">
        <f ca="1">'Database MK'!HX52</f>
        <v>Sudah, Delay</v>
      </c>
      <c r="AC51" s="7">
        <f>'Database MK'!DA52-'Database MK'!DB52</f>
        <v>45466</v>
      </c>
      <c r="AD51" s="7">
        <f>'Database MK'!DA52-'Database MK'!DF52</f>
        <v>45466</v>
      </c>
      <c r="AE51" s="7">
        <f>'Database MK'!DK52-'Database MK'!DL52</f>
        <v>31</v>
      </c>
      <c r="AF51" s="7">
        <f>'Database MK'!DK52-'Database MK'!DO52</f>
        <v>9</v>
      </c>
      <c r="AG51" s="7">
        <f>'Database MK'!DU52-'Database MK'!DW52</f>
        <v>45508</v>
      </c>
      <c r="AH51" s="7" t="str">
        <f>IF('Database MK'!EB52="","Belum",'Database MK'!DU52-'Database MK'!EB52)</f>
        <v>Belum</v>
      </c>
      <c r="AI51" s="7" t="str">
        <f>IF('Database MK'!EN52="","Belum",'Database MK'!EL52-'Database MK'!EN52)</f>
        <v>Belum</v>
      </c>
      <c r="AJ51" s="7">
        <f>'Database MK'!FY52-'Database MK'!FZ52</f>
        <v>0</v>
      </c>
      <c r="AK51" s="7">
        <f>IF('Database MK'!GC52="","Belum",'Database MK'!GB52-'Database MK'!GC52)</f>
        <v>19</v>
      </c>
      <c r="AL51" s="7">
        <f>IF('Database MK'!GF52="","Belum",'Database MK'!GE52-'Database MK'!GF52)</f>
        <v>26</v>
      </c>
      <c r="AM51" s="279">
        <f>IF('Database MK'!GJ52="","Belum",'Database MK'!GI52-'Database MK'!GJ52)</f>
        <v>29</v>
      </c>
      <c r="AN51" s="7">
        <f>IF('Database MK'!HG52="","Belum",'Database MK'!HF52-'Database MK'!HG52)</f>
        <v>-57</v>
      </c>
      <c r="AO51" s="7">
        <f>IF('Database MK'!HQ52="","Belum",'Database MK'!HN52-'Database MK'!HQ52)</f>
        <v>-56</v>
      </c>
      <c r="AP51" s="7">
        <f>IF('Database MK'!HW52="","Belum",'Database MK'!HU52-'Database MK'!HW52)</f>
        <v>-42</v>
      </c>
    </row>
    <row r="52" spans="2:42" x14ac:dyDescent="0.25">
      <c r="B52" s="7">
        <f>SUBTOTAL(3,$C$4:C52)</f>
        <v>49</v>
      </c>
      <c r="C52" s="269" t="s">
        <v>244</v>
      </c>
      <c r="D52" s="269" t="s">
        <v>507</v>
      </c>
      <c r="E52" s="269" t="s">
        <v>508</v>
      </c>
      <c r="F52" s="270">
        <v>45748</v>
      </c>
      <c r="G52" s="4" t="s">
        <v>247</v>
      </c>
      <c r="H52" s="4" t="str">
        <f ca="1">'Database MK'!Q53</f>
        <v>DPPP</v>
      </c>
      <c r="I52" s="24">
        <f>'Database MK'!S53</f>
        <v>1</v>
      </c>
      <c r="J52" s="24">
        <f>'Database MK'!T53</f>
        <v>1</v>
      </c>
      <c r="K52" s="571">
        <f>'Database MK'!U53</f>
        <v>0</v>
      </c>
      <c r="L52" s="561">
        <f>'Database MK'!V53</f>
        <v>3069</v>
      </c>
      <c r="M52" s="561">
        <f>'Database MK'!W53</f>
        <v>1709.5</v>
      </c>
      <c r="N52" s="561">
        <f>Table3[[#This Row],[Total Panjang Pipa Aktual]]-Table3[[#This Row],[Volume
BA MC-0]]</f>
        <v>-1359.5</v>
      </c>
      <c r="O52" s="7" t="str">
        <f ca="1">'Database MK'!DE53</f>
        <v>Belum, Delay</v>
      </c>
      <c r="P52" s="7" t="str">
        <f ca="1">'Database MK'!DI53</f>
        <v>Belum, Delay</v>
      </c>
      <c r="Q52" s="7" t="str">
        <f ca="1">'Database MK'!DN53</f>
        <v>Sudah, OnSchedule</v>
      </c>
      <c r="R52" s="7" t="str">
        <f ca="1">'Database MK'!DR53</f>
        <v>Sudah, OnSchedule</v>
      </c>
      <c r="S52" s="7" t="str">
        <f ca="1">'Database MK'!EA53</f>
        <v>Belum, Delay</v>
      </c>
      <c r="T52" s="7" t="str">
        <f ca="1">'Database MK'!EI53</f>
        <v>Belum, Delay</v>
      </c>
      <c r="U52" s="7" t="str">
        <f ca="1">'Database MK'!ET53</f>
        <v>Belum, Delay</v>
      </c>
      <c r="V52" s="7" t="str">
        <f ca="1">'Database MK'!GA53</f>
        <v>Belum, Delay</v>
      </c>
      <c r="W52" s="7" t="str">
        <f ca="1">'Database MK'!GD53</f>
        <v>Sudah, OnSchedule</v>
      </c>
      <c r="X52" s="7" t="str">
        <f ca="1">'Database MK'!GG53</f>
        <v>Sudah, OnSchedule</v>
      </c>
      <c r="Y52" s="7" t="str">
        <f ca="1">'Database MK'!GK53</f>
        <v>Sudah, OnSchedule</v>
      </c>
      <c r="Z52" s="7" t="str">
        <f ca="1">'Database MK'!HH53</f>
        <v>Sudah, Delay</v>
      </c>
      <c r="AA52" s="7" t="str">
        <f ca="1">'Database MK'!HR53</f>
        <v>Sudah, Delay</v>
      </c>
      <c r="AB52" s="7" t="str">
        <f ca="1">'Database MK'!HX53</f>
        <v>Sudah, Delay</v>
      </c>
      <c r="AC52" s="7">
        <f>'Database MK'!DA53-'Database MK'!DB53</f>
        <v>45466</v>
      </c>
      <c r="AD52" s="7">
        <f>'Database MK'!DA53-'Database MK'!DF53</f>
        <v>45466</v>
      </c>
      <c r="AE52" s="7">
        <f>'Database MK'!DK53-'Database MK'!DL53</f>
        <v>30</v>
      </c>
      <c r="AF52" s="7">
        <f>'Database MK'!DK53-'Database MK'!DO53</f>
        <v>9</v>
      </c>
      <c r="AG52" s="7">
        <f>'Database MK'!DU53-'Database MK'!DW53</f>
        <v>45508</v>
      </c>
      <c r="AH52" s="7" t="str">
        <f>IF('Database MK'!EB53="","Belum",'Database MK'!DU53-'Database MK'!EB53)</f>
        <v>Belum</v>
      </c>
      <c r="AI52" s="7" t="str">
        <f>IF('Database MK'!EN53="","Belum",'Database MK'!EL53-'Database MK'!EN53)</f>
        <v>Belum</v>
      </c>
      <c r="AJ52" s="7">
        <f>'Database MK'!FY53-'Database MK'!FZ53</f>
        <v>0</v>
      </c>
      <c r="AK52" s="7">
        <f>IF('Database MK'!GC53="","Belum",'Database MK'!GB53-'Database MK'!GC53)</f>
        <v>19</v>
      </c>
      <c r="AL52" s="7">
        <f>IF('Database MK'!GF53="","Belum",'Database MK'!GE53-'Database MK'!GF53)</f>
        <v>26</v>
      </c>
      <c r="AM52" s="279">
        <f>IF('Database MK'!GJ53="","Belum",'Database MK'!GI53-'Database MK'!GJ53)</f>
        <v>27</v>
      </c>
      <c r="AN52" s="7">
        <f>IF('Database MK'!HG53="","Belum",'Database MK'!HF53-'Database MK'!HG53)</f>
        <v>-59</v>
      </c>
      <c r="AO52" s="7">
        <f>IF('Database MK'!HQ53="","Belum",'Database MK'!HN53-'Database MK'!HQ53)</f>
        <v>-56</v>
      </c>
      <c r="AP52" s="7">
        <f>IF('Database MK'!HW53="","Belum",'Database MK'!HU53-'Database MK'!HW53)</f>
        <v>-42</v>
      </c>
    </row>
    <row r="53" spans="2:42" x14ac:dyDescent="0.25">
      <c r="B53" s="7">
        <f>SUBTOTAL(3,$C$4:C53)</f>
        <v>50</v>
      </c>
      <c r="C53" s="269" t="s">
        <v>244</v>
      </c>
      <c r="D53" s="269" t="s">
        <v>512</v>
      </c>
      <c r="E53" s="269" t="s">
        <v>513</v>
      </c>
      <c r="F53" s="270">
        <v>45748</v>
      </c>
      <c r="G53" s="4" t="s">
        <v>247</v>
      </c>
      <c r="H53" s="4" t="str">
        <f ca="1">'Database MK'!Q54</f>
        <v>DPPP</v>
      </c>
      <c r="I53" s="24">
        <f>'Database MK'!S54</f>
        <v>1</v>
      </c>
      <c r="J53" s="24">
        <f>'Database MK'!T54</f>
        <v>1</v>
      </c>
      <c r="K53" s="571">
        <f>'Database MK'!U54</f>
        <v>0</v>
      </c>
      <c r="L53" s="561">
        <f>'Database MK'!V54</f>
        <v>2197</v>
      </c>
      <c r="M53" s="561">
        <f>'Database MK'!W54</f>
        <v>1357.6</v>
      </c>
      <c r="N53" s="561">
        <f>Table3[[#This Row],[Total Panjang Pipa Aktual]]-Table3[[#This Row],[Volume
BA MC-0]]</f>
        <v>-839.40000000000009</v>
      </c>
      <c r="O53" s="7" t="str">
        <f ca="1">'Database MK'!DE54</f>
        <v>Belum, Delay</v>
      </c>
      <c r="P53" s="7" t="str">
        <f ca="1">'Database MK'!DI54</f>
        <v>Belum, Delay</v>
      </c>
      <c r="Q53" s="7" t="str">
        <f ca="1">'Database MK'!DN54</f>
        <v>Sudah, OnSchedule</v>
      </c>
      <c r="R53" s="7" t="str">
        <f ca="1">'Database MK'!DR54</f>
        <v>Sudah, OnSchedule</v>
      </c>
      <c r="S53" s="7" t="str">
        <f ca="1">'Database MK'!EA54</f>
        <v>Belum, Delay</v>
      </c>
      <c r="T53" s="7" t="str">
        <f ca="1">'Database MK'!EI54</f>
        <v>Belum, Delay</v>
      </c>
      <c r="U53" s="7" t="str">
        <f ca="1">'Database MK'!ET54</f>
        <v>Belum, Delay</v>
      </c>
      <c r="V53" s="7" t="str">
        <f ca="1">'Database MK'!GA54</f>
        <v>Belum, Delay</v>
      </c>
      <c r="W53" s="7" t="str">
        <f ca="1">'Database MK'!GD54</f>
        <v>Sudah, OnSchedule</v>
      </c>
      <c r="X53" s="7" t="str">
        <f ca="1">'Database MK'!GG54</f>
        <v>Sudah, OnSchedule</v>
      </c>
      <c r="Y53" s="7" t="str">
        <f ca="1">'Database MK'!GK54</f>
        <v>Sudah, OnSchedule</v>
      </c>
      <c r="Z53" s="7" t="str">
        <f ca="1">'Database MK'!HH54</f>
        <v>Sudah, Delay</v>
      </c>
      <c r="AA53" s="7" t="str">
        <f ca="1">'Database MK'!HR54</f>
        <v>Sudah, Delay</v>
      </c>
      <c r="AB53" s="7" t="str">
        <f ca="1">'Database MK'!HX54</f>
        <v>Sudah, Delay</v>
      </c>
      <c r="AC53" s="7">
        <f>'Database MK'!DA54-'Database MK'!DB54</f>
        <v>45466</v>
      </c>
      <c r="AD53" s="7">
        <f>'Database MK'!DA54-'Database MK'!DF54</f>
        <v>45466</v>
      </c>
      <c r="AE53" s="7">
        <f>'Database MK'!DK54-'Database MK'!DL54</f>
        <v>47</v>
      </c>
      <c r="AF53" s="7">
        <f>'Database MK'!DK54-'Database MK'!DO54</f>
        <v>13</v>
      </c>
      <c r="AG53" s="7">
        <f>'Database MK'!DU54-'Database MK'!DW54</f>
        <v>45508</v>
      </c>
      <c r="AH53" s="7" t="str">
        <f>IF('Database MK'!EB54="","Belum",'Database MK'!DU54-'Database MK'!EB54)</f>
        <v>Belum</v>
      </c>
      <c r="AI53" s="7" t="str">
        <f>IF('Database MK'!EN54="","Belum",'Database MK'!EL54-'Database MK'!EN54)</f>
        <v>Belum</v>
      </c>
      <c r="AJ53" s="7">
        <f>'Database MK'!FY54-'Database MK'!FZ54</f>
        <v>0</v>
      </c>
      <c r="AK53" s="7">
        <f>IF('Database MK'!GC54="","Belum",'Database MK'!GB54-'Database MK'!GC54)</f>
        <v>19</v>
      </c>
      <c r="AL53" s="7">
        <f>IF('Database MK'!GF54="","Belum",'Database MK'!GE54-'Database MK'!GF54)</f>
        <v>26</v>
      </c>
      <c r="AM53" s="279">
        <f>IF('Database MK'!GJ54="","Belum",'Database MK'!GI54-'Database MK'!GJ54)</f>
        <v>25</v>
      </c>
      <c r="AN53" s="7">
        <f>IF('Database MK'!HG54="","Belum",'Database MK'!HF54-'Database MK'!HG54)</f>
        <v>-45</v>
      </c>
      <c r="AO53" s="7">
        <f>IF('Database MK'!HQ54="","Belum",'Database MK'!HN54-'Database MK'!HQ54)</f>
        <v>-37</v>
      </c>
      <c r="AP53" s="7">
        <f>IF('Database MK'!HW54="","Belum",'Database MK'!HU54-'Database MK'!HW54)</f>
        <v>-42</v>
      </c>
    </row>
    <row r="54" spans="2:42" x14ac:dyDescent="0.25">
      <c r="B54" s="7">
        <f>SUBTOTAL(3,$C$4:C54)</f>
        <v>51</v>
      </c>
      <c r="C54" s="269" t="s">
        <v>244</v>
      </c>
      <c r="D54" s="269" t="s">
        <v>517</v>
      </c>
      <c r="E54" s="269" t="s">
        <v>518</v>
      </c>
      <c r="F54" s="270">
        <v>45748</v>
      </c>
      <c r="G54" s="4" t="s">
        <v>247</v>
      </c>
      <c r="H54" s="4" t="str">
        <f ca="1">'Database MK'!Q55</f>
        <v>DPPP</v>
      </c>
      <c r="I54" s="24">
        <f>'Database MK'!S55</f>
        <v>1</v>
      </c>
      <c r="J54" s="24">
        <f>'Database MK'!T55</f>
        <v>1</v>
      </c>
      <c r="K54" s="571">
        <f>'Database MK'!U55</f>
        <v>0</v>
      </c>
      <c r="L54" s="561">
        <f>'Database MK'!V55</f>
        <v>2304</v>
      </c>
      <c r="M54" s="561">
        <f>'Database MK'!W55</f>
        <v>1142</v>
      </c>
      <c r="N54" s="561">
        <f>Table3[[#This Row],[Total Panjang Pipa Aktual]]-Table3[[#This Row],[Volume
BA MC-0]]</f>
        <v>-1162</v>
      </c>
      <c r="O54" s="7" t="str">
        <f ca="1">'Database MK'!DE55</f>
        <v>Belum, Delay</v>
      </c>
      <c r="P54" s="7" t="str">
        <f ca="1">'Database MK'!DI55</f>
        <v>Belum, Delay</v>
      </c>
      <c r="Q54" s="7" t="str">
        <f ca="1">'Database MK'!DN55</f>
        <v>Sudah, OnSchedule</v>
      </c>
      <c r="R54" s="7" t="str">
        <f ca="1">'Database MK'!DR55</f>
        <v>Sudah, OnSchedule</v>
      </c>
      <c r="S54" s="7" t="str">
        <f ca="1">'Database MK'!EA55</f>
        <v>Belum, Delay</v>
      </c>
      <c r="T54" s="7" t="str">
        <f ca="1">'Database MK'!EI55</f>
        <v>Belum, Delay</v>
      </c>
      <c r="U54" s="7" t="str">
        <f ca="1">'Database MK'!ET55</f>
        <v>Belum, Delay</v>
      </c>
      <c r="V54" s="7" t="str">
        <f ca="1">'Database MK'!GA55</f>
        <v>Belum, Delay</v>
      </c>
      <c r="W54" s="7" t="str">
        <f ca="1">'Database MK'!GD55</f>
        <v>Sudah, OnSchedule</v>
      </c>
      <c r="X54" s="7" t="str">
        <f ca="1">'Database MK'!GG55</f>
        <v>Sudah, OnSchedule</v>
      </c>
      <c r="Y54" s="7" t="str">
        <f ca="1">'Database MK'!GK55</f>
        <v>Sudah, OnSchedule</v>
      </c>
      <c r="Z54" s="7" t="str">
        <f ca="1">'Database MK'!HH55</f>
        <v>Sudah, Delay</v>
      </c>
      <c r="AA54" s="7" t="str">
        <f ca="1">'Database MK'!HR55</f>
        <v>Sudah, Delay</v>
      </c>
      <c r="AB54" s="7" t="str">
        <f ca="1">'Database MK'!HX55</f>
        <v>Sudah, Delay</v>
      </c>
      <c r="AC54" s="7">
        <f>'Database MK'!DA55-'Database MK'!DB55</f>
        <v>45466</v>
      </c>
      <c r="AD54" s="7">
        <f>'Database MK'!DA55-'Database MK'!DF55</f>
        <v>45466</v>
      </c>
      <c r="AE54" s="7">
        <f>'Database MK'!DK55-'Database MK'!DL55</f>
        <v>10</v>
      </c>
      <c r="AF54" s="7">
        <f>'Database MK'!DK55-'Database MK'!DO55</f>
        <v>6</v>
      </c>
      <c r="AG54" s="7">
        <f>'Database MK'!DU55-'Database MK'!DW55</f>
        <v>45508</v>
      </c>
      <c r="AH54" s="7" t="str">
        <f>IF('Database MK'!EB55="","Belum",'Database MK'!DU55-'Database MK'!EB55)</f>
        <v>Belum</v>
      </c>
      <c r="AI54" s="7" t="str">
        <f>IF('Database MK'!EN55="","Belum",'Database MK'!EL55-'Database MK'!EN55)</f>
        <v>Belum</v>
      </c>
      <c r="AJ54" s="7">
        <f>'Database MK'!FY55-'Database MK'!FZ55</f>
        <v>0</v>
      </c>
      <c r="AK54" s="7">
        <f>IF('Database MK'!GC55="","Belum",'Database MK'!GB55-'Database MK'!GC55)</f>
        <v>19</v>
      </c>
      <c r="AL54" s="7">
        <f>IF('Database MK'!GF55="","Belum",'Database MK'!GE55-'Database MK'!GF55)</f>
        <v>26</v>
      </c>
      <c r="AM54" s="279">
        <f>IF('Database MK'!GJ55="","Belum",'Database MK'!GI55-'Database MK'!GJ55)</f>
        <v>24</v>
      </c>
      <c r="AN54" s="7">
        <f>IF('Database MK'!HG55="","Belum",'Database MK'!HF55-'Database MK'!HG55)</f>
        <v>-43</v>
      </c>
      <c r="AO54" s="7">
        <f>IF('Database MK'!HQ55="","Belum",'Database MK'!HN55-'Database MK'!HQ55)</f>
        <v>-37</v>
      </c>
      <c r="AP54" s="7">
        <f>IF('Database MK'!HW55="","Belum",'Database MK'!HU55-'Database MK'!HW55)</f>
        <v>-42</v>
      </c>
    </row>
    <row r="55" spans="2:42" x14ac:dyDescent="0.25">
      <c r="B55" s="7">
        <f>SUBTOTAL(3,$C$4:C55)</f>
        <v>52</v>
      </c>
      <c r="C55" s="269" t="s">
        <v>244</v>
      </c>
      <c r="D55" s="269" t="s">
        <v>522</v>
      </c>
      <c r="E55" s="269" t="s">
        <v>523</v>
      </c>
      <c r="F55" s="270">
        <v>45748</v>
      </c>
      <c r="G55" s="4" t="s">
        <v>247</v>
      </c>
      <c r="H55" s="4" t="str">
        <f ca="1">'Database MK'!Q56</f>
        <v>DPPP</v>
      </c>
      <c r="I55" s="24">
        <f>'Database MK'!S56</f>
        <v>1</v>
      </c>
      <c r="J55" s="24">
        <f>'Database MK'!T56</f>
        <v>1</v>
      </c>
      <c r="K55" s="571">
        <f>'Database MK'!U56</f>
        <v>0</v>
      </c>
      <c r="L55" s="561">
        <f>'Database MK'!V56</f>
        <v>4487</v>
      </c>
      <c r="M55" s="561">
        <f>'Database MK'!W56</f>
        <v>3206.6000000000004</v>
      </c>
      <c r="N55" s="561">
        <f>Table3[[#This Row],[Total Panjang Pipa Aktual]]-Table3[[#This Row],[Volume
BA MC-0]]</f>
        <v>-1280.3999999999996</v>
      </c>
      <c r="O55" s="7" t="str">
        <f ca="1">'Database MK'!DE56</f>
        <v>Belum, Delay</v>
      </c>
      <c r="P55" s="7" t="str">
        <f ca="1">'Database MK'!DI56</f>
        <v>Belum, Delay</v>
      </c>
      <c r="Q55" s="7" t="str">
        <f ca="1">'Database MK'!DN56</f>
        <v>Sudah, OnSchedule</v>
      </c>
      <c r="R55" s="7" t="str">
        <f ca="1">'Database MK'!DR56</f>
        <v>Sudah, OnSchedule</v>
      </c>
      <c r="S55" s="7" t="str">
        <f ca="1">'Database MK'!EA56</f>
        <v>Belum, Delay</v>
      </c>
      <c r="T55" s="7" t="str">
        <f ca="1">'Database MK'!EI56</f>
        <v>Belum, Delay</v>
      </c>
      <c r="U55" s="7" t="str">
        <f ca="1">'Database MK'!ET56</f>
        <v>Belum, Delay</v>
      </c>
      <c r="V55" s="7" t="str">
        <f ca="1">'Database MK'!GA56</f>
        <v>Belum, Delay</v>
      </c>
      <c r="W55" s="7" t="str">
        <f ca="1">'Database MK'!GD56</f>
        <v>Sudah, OnSchedule</v>
      </c>
      <c r="X55" s="7" t="str">
        <f ca="1">'Database MK'!GG56</f>
        <v>Sudah, OnSchedule</v>
      </c>
      <c r="Y55" s="7" t="str">
        <f ca="1">'Database MK'!GK56</f>
        <v>Sudah, OnSchedule</v>
      </c>
      <c r="Z55" s="7" t="str">
        <f ca="1">'Database MK'!HH56</f>
        <v>Sudah, Delay</v>
      </c>
      <c r="AA55" s="7" t="str">
        <f ca="1">'Database MK'!HR56</f>
        <v>Sudah, Delay</v>
      </c>
      <c r="AB55" s="7" t="str">
        <f ca="1">'Database MK'!HX56</f>
        <v>Sudah, Delay</v>
      </c>
      <c r="AC55" s="7">
        <f>'Database MK'!DA56-'Database MK'!DB56</f>
        <v>45466</v>
      </c>
      <c r="AD55" s="7">
        <f>'Database MK'!DA56-'Database MK'!DF56</f>
        <v>45466</v>
      </c>
      <c r="AE55" s="7">
        <f>'Database MK'!DK56-'Database MK'!DL56</f>
        <v>47</v>
      </c>
      <c r="AF55" s="7">
        <f>'Database MK'!DK56-'Database MK'!DO56</f>
        <v>13</v>
      </c>
      <c r="AG55" s="7">
        <f>'Database MK'!DU56-'Database MK'!DW56</f>
        <v>45508</v>
      </c>
      <c r="AH55" s="7" t="str">
        <f>IF('Database MK'!EB56="","Belum",'Database MK'!DU56-'Database MK'!EB56)</f>
        <v>Belum</v>
      </c>
      <c r="AI55" s="7" t="str">
        <f>IF('Database MK'!EN56="","Belum",'Database MK'!EL56-'Database MK'!EN56)</f>
        <v>Belum</v>
      </c>
      <c r="AJ55" s="7">
        <f>'Database MK'!FY56-'Database MK'!FZ56</f>
        <v>0</v>
      </c>
      <c r="AK55" s="7">
        <f>IF('Database MK'!GC56="","Belum",'Database MK'!GB56-'Database MK'!GC56)</f>
        <v>19</v>
      </c>
      <c r="AL55" s="7">
        <f>IF('Database MK'!GF56="","Belum",'Database MK'!GE56-'Database MK'!GF56)</f>
        <v>26</v>
      </c>
      <c r="AM55" s="279">
        <f>IF('Database MK'!GJ56="","Belum",'Database MK'!GI56-'Database MK'!GJ56)</f>
        <v>26</v>
      </c>
      <c r="AN55" s="7">
        <f>IF('Database MK'!HG56="","Belum",'Database MK'!HF56-'Database MK'!HG56)</f>
        <v>-45</v>
      </c>
      <c r="AO55" s="7">
        <f>IF('Database MK'!HQ56="","Belum",'Database MK'!HN56-'Database MK'!HQ56)</f>
        <v>-37</v>
      </c>
      <c r="AP55" s="7">
        <f>IF('Database MK'!HW56="","Belum",'Database MK'!HU56-'Database MK'!HW56)</f>
        <v>-42</v>
      </c>
    </row>
    <row r="56" spans="2:42" x14ac:dyDescent="0.25">
      <c r="B56" s="7">
        <f>SUBTOTAL(3,$C$4:C56)</f>
        <v>53</v>
      </c>
      <c r="C56" s="271" t="s">
        <v>244</v>
      </c>
      <c r="D56" s="271" t="s">
        <v>527</v>
      </c>
      <c r="E56" s="271" t="s">
        <v>528</v>
      </c>
      <c r="F56" s="272">
        <v>45748</v>
      </c>
      <c r="G56" s="72" t="s">
        <v>247</v>
      </c>
      <c r="H56" s="72" t="str">
        <f>'Database MK'!Q57</f>
        <v>BATAL / CANCEL</v>
      </c>
      <c r="I56" s="572">
        <f>'Database MK'!S57</f>
        <v>1</v>
      </c>
      <c r="J56" s="572">
        <f>'Database MK'!T57</f>
        <v>0</v>
      </c>
      <c r="K56" s="573">
        <f>'Database MK'!U57</f>
        <v>-1</v>
      </c>
      <c r="L56" s="562">
        <f>'Database MK'!V57</f>
        <v>0</v>
      </c>
      <c r="M56" s="562">
        <f>'Database MK'!W57</f>
        <v>0</v>
      </c>
      <c r="N56" s="562">
        <f>Table3[[#This Row],[Total Panjang Pipa Aktual]]-Table3[[#This Row],[Volume
BA MC-0]]</f>
        <v>0</v>
      </c>
      <c r="O56" s="7" t="str">
        <f ca="1">'Database MK'!DE57</f>
        <v>Belum, Delay</v>
      </c>
      <c r="P56" s="7" t="str">
        <f ca="1">'Database MK'!DI57</f>
        <v>Belum, Delay</v>
      </c>
      <c r="Q56" s="7" t="str">
        <f ca="1">'Database MK'!DN57</f>
        <v>Sudah, OnSchedule</v>
      </c>
      <c r="R56" s="7" t="str">
        <f ca="1">'Database MK'!DR57</f>
        <v>Sudah, OnSchedule</v>
      </c>
      <c r="S56" s="7" t="str">
        <f ca="1">'Database MK'!EA57</f>
        <v>Belum, Delay</v>
      </c>
      <c r="T56" s="7" t="str">
        <f ca="1">'Database MK'!EI57</f>
        <v>Belum, Delay</v>
      </c>
      <c r="U56" s="7" t="str">
        <f ca="1">'Database MK'!ET57</f>
        <v>Belum, Delay</v>
      </c>
      <c r="V56" s="7" t="str">
        <f ca="1">'Database MK'!GA57</f>
        <v>Belum, Delay</v>
      </c>
      <c r="W56" s="7" t="str">
        <f ca="1">'Database MK'!GD57</f>
        <v>Sudah, OnSchedule</v>
      </c>
      <c r="X56" s="7" t="str">
        <f ca="1">'Database MK'!GG57</f>
        <v>Sudah, OnSchedule</v>
      </c>
      <c r="Y56" s="7" t="str">
        <f ca="1">'Database MK'!GK57</f>
        <v>Sudah, OnSchedule</v>
      </c>
      <c r="Z56" s="7" t="str">
        <f ca="1">'Database MK'!HH57</f>
        <v>Belum, Delay</v>
      </c>
      <c r="AA56" s="7" t="str">
        <f ca="1">'Database MK'!HR57</f>
        <v>Belum, Delay</v>
      </c>
      <c r="AB56" s="7" t="str">
        <f ca="1">'Database MK'!HX57</f>
        <v>Belum, Delay</v>
      </c>
      <c r="AC56" s="7">
        <f>'Database MK'!DA57-'Database MK'!DB57</f>
        <v>45466</v>
      </c>
      <c r="AD56" s="7">
        <f>'Database MK'!DA57-'Database MK'!DF57</f>
        <v>45466</v>
      </c>
      <c r="AE56" s="7">
        <f>'Database MK'!DK57-'Database MK'!DL57</f>
        <v>46</v>
      </c>
      <c r="AF56" s="7">
        <f>'Database MK'!DK57-'Database MK'!DO57</f>
        <v>28</v>
      </c>
      <c r="AG56" s="7">
        <f>'Database MK'!DU57-'Database MK'!DW57</f>
        <v>45508</v>
      </c>
      <c r="AH56" s="7" t="str">
        <f>IF('Database MK'!EB57="","Belum",'Database MK'!DU57-'Database MK'!EB57)</f>
        <v>Belum</v>
      </c>
      <c r="AI56" s="7" t="str">
        <f>IF('Database MK'!EN57="","Belum",'Database MK'!EL57-'Database MK'!EN57)</f>
        <v>Belum</v>
      </c>
      <c r="AJ56" s="7">
        <f>'Database MK'!FY57-'Database MK'!FZ57</f>
        <v>0</v>
      </c>
      <c r="AK56" s="7">
        <f>IF('Database MK'!GC57="","Belum",'Database MK'!GB57-'Database MK'!GC57)</f>
        <v>19</v>
      </c>
      <c r="AL56" s="7">
        <f>IF('Database MK'!GF57="","Belum",'Database MK'!GE57-'Database MK'!GF57)</f>
        <v>26</v>
      </c>
      <c r="AM56" s="279">
        <f>IF('Database MK'!GJ57="","Belum",'Database MK'!GI57-'Database MK'!GJ57)</f>
        <v>39</v>
      </c>
      <c r="AN56" s="7" t="str">
        <f>IF('Database MK'!HG57="","Belum",'Database MK'!HF57-'Database MK'!HG57)</f>
        <v>Belum</v>
      </c>
      <c r="AO56" s="7" t="str">
        <f>IF('Database MK'!HQ57="","Belum",'Database MK'!HN57-'Database MK'!HQ57)</f>
        <v>Belum</v>
      </c>
      <c r="AP56" s="7" t="str">
        <f>IF('Database MK'!HW57="","Belum",'Database MK'!HU57-'Database MK'!HW57)</f>
        <v>Belum</v>
      </c>
    </row>
    <row r="57" spans="2:42" x14ac:dyDescent="0.25">
      <c r="B57" s="7">
        <f>SUBTOTAL(3,$C$4:C57)</f>
        <v>54</v>
      </c>
      <c r="C57" s="269" t="s">
        <v>244</v>
      </c>
      <c r="D57" s="269" t="s">
        <v>532</v>
      </c>
      <c r="E57" s="269" t="s">
        <v>533</v>
      </c>
      <c r="F57" s="270">
        <v>45748</v>
      </c>
      <c r="G57" s="4" t="s">
        <v>247</v>
      </c>
      <c r="H57" s="4" t="str">
        <f ca="1">'Database MK'!Q58</f>
        <v>DPPP</v>
      </c>
      <c r="I57" s="24">
        <f>'Database MK'!S58</f>
        <v>1</v>
      </c>
      <c r="J57" s="24">
        <f>'Database MK'!T58</f>
        <v>1</v>
      </c>
      <c r="K57" s="571">
        <f>'Database MK'!U58</f>
        <v>0</v>
      </c>
      <c r="L57" s="561">
        <f>'Database MK'!V58</f>
        <v>3785</v>
      </c>
      <c r="M57" s="561">
        <f>'Database MK'!W58</f>
        <v>2718.8</v>
      </c>
      <c r="N57" s="561">
        <f>Table3[[#This Row],[Total Panjang Pipa Aktual]]-Table3[[#This Row],[Volume
BA MC-0]]</f>
        <v>-1066.1999999999998</v>
      </c>
      <c r="O57" s="7" t="str">
        <f ca="1">'Database MK'!DE58</f>
        <v>Belum, Delay</v>
      </c>
      <c r="P57" s="7" t="str">
        <f ca="1">'Database MK'!DI58</f>
        <v>Belum, Delay</v>
      </c>
      <c r="Q57" s="7" t="str">
        <f ca="1">'Database MK'!DN58</f>
        <v>Sudah, OnSchedule</v>
      </c>
      <c r="R57" s="7" t="str">
        <f ca="1">'Database MK'!DR58</f>
        <v>Sudah, Delay</v>
      </c>
      <c r="S57" s="7" t="str">
        <f ca="1">'Database MK'!EA58</f>
        <v>Belum, Delay</v>
      </c>
      <c r="T57" s="7" t="str">
        <f ca="1">'Database MK'!EI58</f>
        <v>Belum, Delay</v>
      </c>
      <c r="U57" s="7" t="str">
        <f ca="1">'Database MK'!ET58</f>
        <v>Belum, Delay</v>
      </c>
      <c r="V57" s="7" t="str">
        <f ca="1">'Database MK'!GA58</f>
        <v>Belum, Delay</v>
      </c>
      <c r="W57" s="7" t="str">
        <f ca="1">'Database MK'!GD58</f>
        <v>Sudah, OnSchedule</v>
      </c>
      <c r="X57" s="7" t="str">
        <f ca="1">'Database MK'!GG58</f>
        <v>Sudah, OnSchedule</v>
      </c>
      <c r="Y57" s="7" t="str">
        <f ca="1">'Database MK'!GK58</f>
        <v>Sudah, OnSchedule</v>
      </c>
      <c r="Z57" s="7" t="str">
        <f ca="1">'Database MK'!HH58</f>
        <v>Sudah, Delay</v>
      </c>
      <c r="AA57" s="7" t="str">
        <f ca="1">'Database MK'!HR58</f>
        <v>Sudah, Delay</v>
      </c>
      <c r="AB57" s="7" t="str">
        <f ca="1">'Database MK'!HX58</f>
        <v>Sudah, Delay</v>
      </c>
      <c r="AC57" s="7">
        <f>'Database MK'!DA58-'Database MK'!DB58</f>
        <v>45466</v>
      </c>
      <c r="AD57" s="7">
        <f>'Database MK'!DA58-'Database MK'!DF58</f>
        <v>45466</v>
      </c>
      <c r="AE57" s="7">
        <f>'Database MK'!DK58-'Database MK'!DL58</f>
        <v>10</v>
      </c>
      <c r="AF57" s="7">
        <f>'Database MK'!DK58-'Database MK'!DO58</f>
        <v>-4</v>
      </c>
      <c r="AG57" s="7">
        <f>'Database MK'!DU58-'Database MK'!DW58</f>
        <v>45508</v>
      </c>
      <c r="AH57" s="7" t="str">
        <f>IF('Database MK'!EB58="","Belum",'Database MK'!DU58-'Database MK'!EB58)</f>
        <v>Belum</v>
      </c>
      <c r="AI57" s="7" t="str">
        <f>IF('Database MK'!EN58="","Belum",'Database MK'!EL58-'Database MK'!EN58)</f>
        <v>Belum</v>
      </c>
      <c r="AJ57" s="7">
        <f>'Database MK'!FY58-'Database MK'!FZ58</f>
        <v>0</v>
      </c>
      <c r="AK57" s="7">
        <f>IF('Database MK'!GC58="","Belum",'Database MK'!GB58-'Database MK'!GC58)</f>
        <v>19</v>
      </c>
      <c r="AL57" s="7">
        <f>IF('Database MK'!GF58="","Belum",'Database MK'!GE58-'Database MK'!GF58)</f>
        <v>26</v>
      </c>
      <c r="AM57" s="279">
        <f>IF('Database MK'!GJ58="","Belum",'Database MK'!GI58-'Database MK'!GJ58)</f>
        <v>22</v>
      </c>
      <c r="AN57" s="7">
        <f>IF('Database MK'!HG58="","Belum",'Database MK'!HF58-'Database MK'!HG58)</f>
        <v>-37</v>
      </c>
      <c r="AO57" s="7">
        <f>IF('Database MK'!HQ58="","Belum",'Database MK'!HN58-'Database MK'!HQ58)</f>
        <v>-37</v>
      </c>
      <c r="AP57" s="7">
        <f>IF('Database MK'!HW58="","Belum",'Database MK'!HU58-'Database MK'!HW58)</f>
        <v>-42</v>
      </c>
    </row>
    <row r="58" spans="2:42" x14ac:dyDescent="0.25">
      <c r="B58" s="7">
        <f>SUBTOTAL(3,$C$4:C58)</f>
        <v>55</v>
      </c>
      <c r="C58" s="269" t="s">
        <v>244</v>
      </c>
      <c r="D58" s="269" t="s">
        <v>537</v>
      </c>
      <c r="E58" s="269" t="s">
        <v>538</v>
      </c>
      <c r="F58" s="270">
        <v>45748</v>
      </c>
      <c r="G58" s="4" t="s">
        <v>247</v>
      </c>
      <c r="H58" s="4" t="str">
        <f ca="1">'Database MK'!Q59</f>
        <v>DPPP</v>
      </c>
      <c r="I58" s="24">
        <f>'Database MK'!S59</f>
        <v>1</v>
      </c>
      <c r="J58" s="24">
        <f>'Database MK'!T59</f>
        <v>1</v>
      </c>
      <c r="K58" s="571">
        <f>'Database MK'!U59</f>
        <v>0</v>
      </c>
      <c r="L58" s="561">
        <f>'Database MK'!V59</f>
        <v>3794</v>
      </c>
      <c r="M58" s="561">
        <f>'Database MK'!W59</f>
        <v>2346.1</v>
      </c>
      <c r="N58" s="561">
        <f>Table3[[#This Row],[Total Panjang Pipa Aktual]]-Table3[[#This Row],[Volume
BA MC-0]]</f>
        <v>-1447.9</v>
      </c>
      <c r="O58" s="7" t="str">
        <f ca="1">'Database MK'!DE59</f>
        <v>Belum, Delay</v>
      </c>
      <c r="P58" s="7" t="str">
        <f ca="1">'Database MK'!DI59</f>
        <v>Belum, Delay</v>
      </c>
      <c r="Q58" s="7" t="str">
        <f ca="1">'Database MK'!DN59</f>
        <v>Sudah, OnSchedule</v>
      </c>
      <c r="R58" s="7" t="str">
        <f ca="1">'Database MK'!DR59</f>
        <v>Sudah, OnSchedule</v>
      </c>
      <c r="S58" s="7" t="str">
        <f ca="1">'Database MK'!EA59</f>
        <v>Belum, Delay</v>
      </c>
      <c r="T58" s="7" t="str">
        <f ca="1">'Database MK'!EI59</f>
        <v>Belum, Delay</v>
      </c>
      <c r="U58" s="7" t="str">
        <f ca="1">'Database MK'!ET59</f>
        <v>Belum, Delay</v>
      </c>
      <c r="V58" s="7" t="str">
        <f ca="1">'Database MK'!GA59</f>
        <v>Belum, Delay</v>
      </c>
      <c r="W58" s="7" t="str">
        <f ca="1">'Database MK'!GD59</f>
        <v>Sudah, OnSchedule</v>
      </c>
      <c r="X58" s="7" t="str">
        <f ca="1">'Database MK'!GG59</f>
        <v>Sudah, OnSchedule</v>
      </c>
      <c r="Y58" s="7" t="str">
        <f ca="1">'Database MK'!GK59</f>
        <v>Sudah, OnSchedule</v>
      </c>
      <c r="Z58" s="7" t="str">
        <f ca="1">'Database MK'!HH59</f>
        <v>Sudah, Delay</v>
      </c>
      <c r="AA58" s="7" t="str">
        <f ca="1">'Database MK'!HR59</f>
        <v>Sudah, Delay</v>
      </c>
      <c r="AB58" s="7" t="str">
        <f ca="1">'Database MK'!HX59</f>
        <v>Sudah, Delay</v>
      </c>
      <c r="AC58" s="7">
        <f>'Database MK'!DA59-'Database MK'!DB59</f>
        <v>45466</v>
      </c>
      <c r="AD58" s="7">
        <f>'Database MK'!DA59-'Database MK'!DF59</f>
        <v>45466</v>
      </c>
      <c r="AE58" s="7">
        <f>'Database MK'!DK59-'Database MK'!DL59</f>
        <v>45</v>
      </c>
      <c r="AF58" s="7">
        <f>'Database MK'!DK59-'Database MK'!DO59</f>
        <v>28</v>
      </c>
      <c r="AG58" s="7">
        <f>'Database MK'!DU59-'Database MK'!DW59</f>
        <v>45508</v>
      </c>
      <c r="AH58" s="7" t="str">
        <f>IF('Database MK'!EB59="","Belum",'Database MK'!DU59-'Database MK'!EB59)</f>
        <v>Belum</v>
      </c>
      <c r="AI58" s="7" t="str">
        <f>IF('Database MK'!EN59="","Belum",'Database MK'!EL59-'Database MK'!EN59)</f>
        <v>Belum</v>
      </c>
      <c r="AJ58" s="7">
        <f>'Database MK'!FY59-'Database MK'!FZ59</f>
        <v>0</v>
      </c>
      <c r="AK58" s="7">
        <f>IF('Database MK'!GC59="","Belum",'Database MK'!GB59-'Database MK'!GC59)</f>
        <v>19</v>
      </c>
      <c r="AL58" s="7">
        <f>IF('Database MK'!GF59="","Belum",'Database MK'!GE59-'Database MK'!GF59)</f>
        <v>26</v>
      </c>
      <c r="AM58" s="279">
        <f>IF('Database MK'!GJ59="","Belum",'Database MK'!GI59-'Database MK'!GJ59)</f>
        <v>20</v>
      </c>
      <c r="AN58" s="7">
        <f>IF('Database MK'!HG59="","Belum",'Database MK'!HF59-'Database MK'!HG59)</f>
        <v>-36</v>
      </c>
      <c r="AO58" s="7">
        <f>IF('Database MK'!HQ59="","Belum",'Database MK'!HN59-'Database MK'!HQ59)</f>
        <v>-37</v>
      </c>
      <c r="AP58" s="7">
        <f>IF('Database MK'!HW59="","Belum",'Database MK'!HU59-'Database MK'!HW59)</f>
        <v>-42</v>
      </c>
    </row>
    <row r="59" spans="2:42" x14ac:dyDescent="0.25">
      <c r="B59" s="7">
        <f>SUBTOTAL(3,$C$4:C59)</f>
        <v>56</v>
      </c>
      <c r="C59" s="269" t="s">
        <v>244</v>
      </c>
      <c r="D59" s="269" t="s">
        <v>542</v>
      </c>
      <c r="E59" s="269" t="s">
        <v>543</v>
      </c>
      <c r="F59" s="270">
        <v>45748</v>
      </c>
      <c r="G59" s="4" t="s">
        <v>247</v>
      </c>
      <c r="H59" s="4" t="str">
        <f ca="1">'Database MK'!Q60</f>
        <v>DPPP</v>
      </c>
      <c r="I59" s="24">
        <f>'Database MK'!S60</f>
        <v>1</v>
      </c>
      <c r="J59" s="24">
        <f>'Database MK'!T60</f>
        <v>1</v>
      </c>
      <c r="K59" s="571">
        <f>'Database MK'!U60</f>
        <v>0</v>
      </c>
      <c r="L59" s="561">
        <f>'Database MK'!V60</f>
        <v>3699</v>
      </c>
      <c r="M59" s="561">
        <f>'Database MK'!W60</f>
        <v>3853.7</v>
      </c>
      <c r="N59" s="561">
        <f>Table3[[#This Row],[Total Panjang Pipa Aktual]]-Table3[[#This Row],[Volume
BA MC-0]]</f>
        <v>154.69999999999982</v>
      </c>
      <c r="O59" s="7" t="str">
        <f ca="1">'Database MK'!DE60</f>
        <v>Belum, Delay</v>
      </c>
      <c r="P59" s="7" t="str">
        <f ca="1">'Database MK'!DI60</f>
        <v>Belum, Delay</v>
      </c>
      <c r="Q59" s="7" t="str">
        <f ca="1">'Database MK'!DN60</f>
        <v>Sudah, OnSchedule</v>
      </c>
      <c r="R59" s="7" t="str">
        <f ca="1">'Database MK'!DR60</f>
        <v>Sudah, OnSchedule</v>
      </c>
      <c r="S59" s="7" t="str">
        <f ca="1">'Database MK'!EA60</f>
        <v>Belum, Delay</v>
      </c>
      <c r="T59" s="7" t="str">
        <f ca="1">'Database MK'!EI60</f>
        <v>Belum, Delay</v>
      </c>
      <c r="U59" s="7" t="str">
        <f ca="1">'Database MK'!ET60</f>
        <v>Belum, Delay</v>
      </c>
      <c r="V59" s="7" t="str">
        <f ca="1">'Database MK'!GA60</f>
        <v>Belum, Delay</v>
      </c>
      <c r="W59" s="7" t="str">
        <f ca="1">'Database MK'!GD60</f>
        <v>Sudah, OnSchedule</v>
      </c>
      <c r="X59" s="7" t="str">
        <f ca="1">'Database MK'!GG60</f>
        <v>Sudah, OnSchedule</v>
      </c>
      <c r="Y59" s="7" t="str">
        <f ca="1">'Database MK'!GK60</f>
        <v>Sudah, OnSchedule</v>
      </c>
      <c r="Z59" s="7" t="str">
        <f ca="1">'Database MK'!HH60</f>
        <v>Sudah, Delay</v>
      </c>
      <c r="AA59" s="7" t="str">
        <f ca="1">'Database MK'!HR60</f>
        <v>Sudah, Delay</v>
      </c>
      <c r="AB59" s="7" t="str">
        <f ca="1">'Database MK'!HX60</f>
        <v>Sudah, Delay</v>
      </c>
      <c r="AC59" s="7">
        <f>'Database MK'!DA60-'Database MK'!DB60</f>
        <v>45466</v>
      </c>
      <c r="AD59" s="7">
        <f>'Database MK'!DA60-'Database MK'!DF60</f>
        <v>45466</v>
      </c>
      <c r="AE59" s="7">
        <f>'Database MK'!DK60-'Database MK'!DL60</f>
        <v>59</v>
      </c>
      <c r="AF59" s="7">
        <f>'Database MK'!DK60-'Database MK'!DO60</f>
        <v>51</v>
      </c>
      <c r="AG59" s="7">
        <f>'Database MK'!DU60-'Database MK'!DW60</f>
        <v>45508</v>
      </c>
      <c r="AH59" s="7" t="str">
        <f>IF('Database MK'!EB60="","Belum",'Database MK'!DU60-'Database MK'!EB60)</f>
        <v>Belum</v>
      </c>
      <c r="AI59" s="7" t="str">
        <f>IF('Database MK'!EN60="","Belum",'Database MK'!EL60-'Database MK'!EN60)</f>
        <v>Belum</v>
      </c>
      <c r="AJ59" s="7">
        <f>'Database MK'!FY60-'Database MK'!FZ60</f>
        <v>0</v>
      </c>
      <c r="AK59" s="7">
        <f>IF('Database MK'!GC60="","Belum",'Database MK'!GB60-'Database MK'!GC60)</f>
        <v>50</v>
      </c>
      <c r="AL59" s="7">
        <f>IF('Database MK'!GF60="","Belum",'Database MK'!GE60-'Database MK'!GF60)</f>
        <v>57</v>
      </c>
      <c r="AM59" s="279">
        <f>IF('Database MK'!GJ60="","Belum",'Database MK'!GI60-'Database MK'!GJ60)</f>
        <v>62</v>
      </c>
      <c r="AN59" s="7">
        <f>IF('Database MK'!HG60="","Belum",'Database MK'!HF60-'Database MK'!HG60)</f>
        <v>-45</v>
      </c>
      <c r="AO59" s="7">
        <f>IF('Database MK'!HQ60="","Belum",'Database MK'!HN60-'Database MK'!HQ60)</f>
        <v>-41</v>
      </c>
      <c r="AP59" s="7">
        <f>IF('Database MK'!HW60="","Belum",'Database MK'!HU60-'Database MK'!HW60)</f>
        <v>-42</v>
      </c>
    </row>
    <row r="60" spans="2:42" x14ac:dyDescent="0.25">
      <c r="B60" s="7">
        <f>SUBTOTAL(3,$C$4:C60)</f>
        <v>57</v>
      </c>
      <c r="C60" s="269" t="s">
        <v>244</v>
      </c>
      <c r="D60" s="269" t="s">
        <v>547</v>
      </c>
      <c r="E60" s="269" t="s">
        <v>548</v>
      </c>
      <c r="F60" s="270">
        <v>45748</v>
      </c>
      <c r="G60" s="4" t="s">
        <v>247</v>
      </c>
      <c r="H60" s="4" t="str">
        <f ca="1">'Database MK'!Q61</f>
        <v>DPPP</v>
      </c>
      <c r="I60" s="24">
        <f>'Database MK'!S61</f>
        <v>1</v>
      </c>
      <c r="J60" s="24">
        <f>'Database MK'!T61</f>
        <v>1</v>
      </c>
      <c r="K60" s="571">
        <f>'Database MK'!U61</f>
        <v>0</v>
      </c>
      <c r="L60" s="561">
        <f>'Database MK'!V61</f>
        <v>4580</v>
      </c>
      <c r="M60" s="561">
        <f>'Database MK'!W61</f>
        <v>2219</v>
      </c>
      <c r="N60" s="561">
        <f>Table3[[#This Row],[Total Panjang Pipa Aktual]]-Table3[[#This Row],[Volume
BA MC-0]]</f>
        <v>-2361</v>
      </c>
      <c r="O60" s="7" t="str">
        <f ca="1">'Database MK'!DE61</f>
        <v>Belum, Delay</v>
      </c>
      <c r="P60" s="7" t="str">
        <f ca="1">'Database MK'!DI61</f>
        <v>Belum, Delay</v>
      </c>
      <c r="Q60" s="7" t="str">
        <f ca="1">'Database MK'!DN61</f>
        <v>Sudah, OnSchedule</v>
      </c>
      <c r="R60" s="7" t="str">
        <f ca="1">'Database MK'!DR61</f>
        <v>Sudah, OnSchedule</v>
      </c>
      <c r="S60" s="7" t="str">
        <f ca="1">'Database MK'!EA61</f>
        <v>Belum, Delay</v>
      </c>
      <c r="T60" s="7" t="str">
        <f ca="1">'Database MK'!EI61</f>
        <v>Belum, Delay</v>
      </c>
      <c r="U60" s="7" t="str">
        <f ca="1">'Database MK'!ET61</f>
        <v>Belum, Delay</v>
      </c>
      <c r="V60" s="7" t="str">
        <f ca="1">'Database MK'!GA61</f>
        <v>Belum, Delay</v>
      </c>
      <c r="W60" s="7" t="str">
        <f ca="1">'Database MK'!GD61</f>
        <v>Sudah, OnSchedule</v>
      </c>
      <c r="X60" s="7" t="str">
        <f ca="1">'Database MK'!GG61</f>
        <v>Sudah, OnSchedule</v>
      </c>
      <c r="Y60" s="7" t="str">
        <f ca="1">'Database MK'!GK61</f>
        <v>Sudah, OnSchedule</v>
      </c>
      <c r="Z60" s="7" t="str">
        <f ca="1">'Database MK'!HH61</f>
        <v>Sudah, Delay</v>
      </c>
      <c r="AA60" s="7" t="str">
        <f ca="1">'Database MK'!HR61</f>
        <v>Sudah, Delay</v>
      </c>
      <c r="AB60" s="7" t="str">
        <f ca="1">'Database MK'!HX61</f>
        <v>Sudah, Delay</v>
      </c>
      <c r="AC60" s="7">
        <f>'Database MK'!DA61-'Database MK'!DB61</f>
        <v>45466</v>
      </c>
      <c r="AD60" s="7">
        <f>'Database MK'!DA61-'Database MK'!DF61</f>
        <v>45466</v>
      </c>
      <c r="AE60" s="7">
        <f>'Database MK'!DK61-'Database MK'!DL61</f>
        <v>60</v>
      </c>
      <c r="AF60" s="7">
        <f>'Database MK'!DK61-'Database MK'!DO61</f>
        <v>51</v>
      </c>
      <c r="AG60" s="7">
        <f>'Database MK'!DU61-'Database MK'!DW61</f>
        <v>45508</v>
      </c>
      <c r="AH60" s="7" t="str">
        <f>IF('Database MK'!EB61="","Belum",'Database MK'!DU61-'Database MK'!EB61)</f>
        <v>Belum</v>
      </c>
      <c r="AI60" s="7" t="str">
        <f>IF('Database MK'!EN61="","Belum",'Database MK'!EL61-'Database MK'!EN61)</f>
        <v>Belum</v>
      </c>
      <c r="AJ60" s="7">
        <f>'Database MK'!FY61-'Database MK'!FZ61</f>
        <v>0</v>
      </c>
      <c r="AK60" s="7">
        <f>IF('Database MK'!GC61="","Belum",'Database MK'!GB61-'Database MK'!GC61)</f>
        <v>50</v>
      </c>
      <c r="AL60" s="7">
        <f>IF('Database MK'!GF61="","Belum",'Database MK'!GE61-'Database MK'!GF61)</f>
        <v>57</v>
      </c>
      <c r="AM60" s="279">
        <f>IF('Database MK'!GJ61="","Belum",'Database MK'!GI61-'Database MK'!GJ61)</f>
        <v>59</v>
      </c>
      <c r="AN60" s="7">
        <f>IF('Database MK'!HG61="","Belum",'Database MK'!HF61-'Database MK'!HG61)</f>
        <v>-45</v>
      </c>
      <c r="AO60" s="7">
        <f>IF('Database MK'!HQ61="","Belum",'Database MK'!HN61-'Database MK'!HQ61)</f>
        <v>-40</v>
      </c>
      <c r="AP60" s="7">
        <f>IF('Database MK'!HW61="","Belum",'Database MK'!HU61-'Database MK'!HW61)</f>
        <v>-42</v>
      </c>
    </row>
    <row r="61" spans="2:42" x14ac:dyDescent="0.25">
      <c r="B61" s="7">
        <f>SUBTOTAL(3,$C$4:C61)</f>
        <v>58</v>
      </c>
      <c r="C61" s="269" t="s">
        <v>244</v>
      </c>
      <c r="D61" s="269" t="s">
        <v>551</v>
      </c>
      <c r="E61" s="269" t="s">
        <v>552</v>
      </c>
      <c r="F61" s="270">
        <v>45748</v>
      </c>
      <c r="G61" s="4" t="s">
        <v>247</v>
      </c>
      <c r="H61" s="4" t="str">
        <f ca="1">'Database MK'!Q62</f>
        <v>DPPP</v>
      </c>
      <c r="I61" s="24">
        <f>'Database MK'!S62</f>
        <v>1</v>
      </c>
      <c r="J61" s="24">
        <f>'Database MK'!T62</f>
        <v>1</v>
      </c>
      <c r="K61" s="571">
        <f>'Database MK'!U62</f>
        <v>0</v>
      </c>
      <c r="L61" s="561">
        <f>'Database MK'!V62</f>
        <v>2919</v>
      </c>
      <c r="M61" s="561">
        <f>'Database MK'!W62</f>
        <v>1261.9000000000001</v>
      </c>
      <c r="N61" s="561">
        <f>Table3[[#This Row],[Total Panjang Pipa Aktual]]-Table3[[#This Row],[Volume
BA MC-0]]</f>
        <v>-1657.1</v>
      </c>
      <c r="O61" s="7" t="str">
        <f ca="1">'Database MK'!DE62</f>
        <v>Belum, Delay</v>
      </c>
      <c r="P61" s="7" t="str">
        <f ca="1">'Database MK'!DI62</f>
        <v>Belum, Delay</v>
      </c>
      <c r="Q61" s="7" t="str">
        <f ca="1">'Database MK'!DN62</f>
        <v>Sudah, OnSchedule</v>
      </c>
      <c r="R61" s="7" t="str">
        <f ca="1">'Database MK'!DR62</f>
        <v>Sudah, OnSchedule</v>
      </c>
      <c r="S61" s="7" t="str">
        <f ca="1">'Database MK'!EA62</f>
        <v>Belum, Delay</v>
      </c>
      <c r="T61" s="7" t="str">
        <f ca="1">'Database MK'!EI62</f>
        <v>Belum, Delay</v>
      </c>
      <c r="U61" s="7" t="str">
        <f ca="1">'Database MK'!ET62</f>
        <v>Belum, Delay</v>
      </c>
      <c r="V61" s="7" t="str">
        <f ca="1">'Database MK'!GA62</f>
        <v>Belum, Delay</v>
      </c>
      <c r="W61" s="7" t="str">
        <f ca="1">'Database MK'!GD62</f>
        <v>Sudah, OnSchedule</v>
      </c>
      <c r="X61" s="7" t="str">
        <f ca="1">'Database MK'!GG62</f>
        <v>Sudah, OnSchedule</v>
      </c>
      <c r="Y61" s="7" t="str">
        <f ca="1">'Database MK'!GK62</f>
        <v>Sudah, OnSchedule</v>
      </c>
      <c r="Z61" s="7" t="str">
        <f ca="1">'Database MK'!HH62</f>
        <v>Sudah, Delay</v>
      </c>
      <c r="AA61" s="7" t="str">
        <f ca="1">'Database MK'!HR62</f>
        <v>Sudah, Delay</v>
      </c>
      <c r="AB61" s="7" t="str">
        <f ca="1">'Database MK'!HX62</f>
        <v>Sudah, Delay</v>
      </c>
      <c r="AC61" s="7">
        <f>'Database MK'!DA62-'Database MK'!DB62</f>
        <v>45466</v>
      </c>
      <c r="AD61" s="7">
        <f>'Database MK'!DA62-'Database MK'!DF62</f>
        <v>45466</v>
      </c>
      <c r="AE61" s="7">
        <f>'Database MK'!DK62-'Database MK'!DL62</f>
        <v>57</v>
      </c>
      <c r="AF61" s="7">
        <f>'Database MK'!DK62-'Database MK'!DO62</f>
        <v>51</v>
      </c>
      <c r="AG61" s="7">
        <f>'Database MK'!DU62-'Database MK'!DW62</f>
        <v>45508</v>
      </c>
      <c r="AH61" s="7" t="str">
        <f>IF('Database MK'!EB62="","Belum",'Database MK'!DU62-'Database MK'!EB62)</f>
        <v>Belum</v>
      </c>
      <c r="AI61" s="7" t="str">
        <f>IF('Database MK'!EN62="","Belum",'Database MK'!EL62-'Database MK'!EN62)</f>
        <v>Belum</v>
      </c>
      <c r="AJ61" s="7">
        <f>'Database MK'!FY62-'Database MK'!FZ62</f>
        <v>0</v>
      </c>
      <c r="AK61" s="7">
        <f>IF('Database MK'!GC62="","Belum",'Database MK'!GB62-'Database MK'!GC62)</f>
        <v>50</v>
      </c>
      <c r="AL61" s="7">
        <f>IF('Database MK'!GF62="","Belum",'Database MK'!GE62-'Database MK'!GF62)</f>
        <v>57</v>
      </c>
      <c r="AM61" s="279">
        <f>IF('Database MK'!GJ62="","Belum",'Database MK'!GI62-'Database MK'!GJ62)</f>
        <v>55</v>
      </c>
      <c r="AN61" s="7">
        <f>IF('Database MK'!HG62="","Belum",'Database MK'!HF62-'Database MK'!HG62)</f>
        <v>-25</v>
      </c>
      <c r="AO61" s="7">
        <f>IF('Database MK'!HQ62="","Belum",'Database MK'!HN62-'Database MK'!HQ62)</f>
        <v>-40</v>
      </c>
      <c r="AP61" s="7">
        <f>IF('Database MK'!HW62="","Belum",'Database MK'!HU62-'Database MK'!HW62)</f>
        <v>-42</v>
      </c>
    </row>
    <row r="62" spans="2:42" x14ac:dyDescent="0.25">
      <c r="B62" s="7">
        <f>SUBTOTAL(3,$C$4:C62)</f>
        <v>59</v>
      </c>
      <c r="C62" s="269" t="s">
        <v>244</v>
      </c>
      <c r="D62" s="269" t="s">
        <v>555</v>
      </c>
      <c r="E62" s="269" t="s">
        <v>556</v>
      </c>
      <c r="F62" s="270">
        <v>45748</v>
      </c>
      <c r="G62" s="4" t="s">
        <v>247</v>
      </c>
      <c r="H62" s="4" t="str">
        <f ca="1">'Database MK'!Q63</f>
        <v>DPPP</v>
      </c>
      <c r="I62" s="24">
        <f>'Database MK'!S63</f>
        <v>1</v>
      </c>
      <c r="J62" s="24">
        <f>'Database MK'!T63</f>
        <v>1</v>
      </c>
      <c r="K62" s="571">
        <f>'Database MK'!U63</f>
        <v>0</v>
      </c>
      <c r="L62" s="561">
        <f>'Database MK'!V63</f>
        <v>1266</v>
      </c>
      <c r="M62" s="561">
        <f>'Database MK'!W63</f>
        <v>1136.0999999999999</v>
      </c>
      <c r="N62" s="561">
        <f>Table3[[#This Row],[Total Panjang Pipa Aktual]]-Table3[[#This Row],[Volume
BA MC-0]]</f>
        <v>-129.90000000000009</v>
      </c>
      <c r="O62" s="7" t="str">
        <f ca="1">'Database MK'!DE63</f>
        <v>Belum, Delay</v>
      </c>
      <c r="P62" s="7" t="str">
        <f ca="1">'Database MK'!DI63</f>
        <v>Belum, Delay</v>
      </c>
      <c r="Q62" s="7" t="str">
        <f ca="1">'Database MK'!DN63</f>
        <v>Sudah, OnSchedule</v>
      </c>
      <c r="R62" s="7" t="str">
        <f ca="1">'Database MK'!DR63</f>
        <v>Sudah, OnSchedule</v>
      </c>
      <c r="S62" s="7" t="str">
        <f ca="1">'Database MK'!EA63</f>
        <v>Belum, Delay</v>
      </c>
      <c r="T62" s="7" t="str">
        <f ca="1">'Database MK'!EI63</f>
        <v>Belum, Delay</v>
      </c>
      <c r="U62" s="7" t="str">
        <f ca="1">'Database MK'!ET63</f>
        <v>Belum, Delay</v>
      </c>
      <c r="V62" s="7" t="str">
        <f ca="1">'Database MK'!GA63</f>
        <v>Belum, Delay</v>
      </c>
      <c r="W62" s="7" t="str">
        <f ca="1">'Database MK'!GD63</f>
        <v>Sudah, OnSchedule</v>
      </c>
      <c r="X62" s="7" t="str">
        <f ca="1">'Database MK'!GG63</f>
        <v>Sudah, OnSchedule</v>
      </c>
      <c r="Y62" s="7" t="str">
        <f ca="1">'Database MK'!GK63</f>
        <v>Sudah, OnSchedule</v>
      </c>
      <c r="Z62" s="7" t="str">
        <f ca="1">'Database MK'!HH63</f>
        <v>Sudah, Delay</v>
      </c>
      <c r="AA62" s="7" t="str">
        <f ca="1">'Database MK'!HR63</f>
        <v>Sudah, Delay</v>
      </c>
      <c r="AB62" s="7" t="str">
        <f ca="1">'Database MK'!HX63</f>
        <v>Sudah, Delay</v>
      </c>
      <c r="AC62" s="7">
        <f>'Database MK'!DA63-'Database MK'!DB63</f>
        <v>45466</v>
      </c>
      <c r="AD62" s="7">
        <f>'Database MK'!DA63-'Database MK'!DF63</f>
        <v>45466</v>
      </c>
      <c r="AE62" s="7">
        <f>'Database MK'!DK63-'Database MK'!DL63</f>
        <v>54</v>
      </c>
      <c r="AF62" s="7">
        <f>'Database MK'!DK63-'Database MK'!DO63</f>
        <v>47</v>
      </c>
      <c r="AG62" s="7">
        <f>'Database MK'!DU63-'Database MK'!DW63</f>
        <v>45508</v>
      </c>
      <c r="AH62" s="7" t="str">
        <f>IF('Database MK'!EB63="","Belum",'Database MK'!DU63-'Database MK'!EB63)</f>
        <v>Belum</v>
      </c>
      <c r="AI62" s="7" t="str">
        <f>IF('Database MK'!EN63="","Belum",'Database MK'!EL63-'Database MK'!EN63)</f>
        <v>Belum</v>
      </c>
      <c r="AJ62" s="7">
        <f>'Database MK'!FY63-'Database MK'!FZ63</f>
        <v>0</v>
      </c>
      <c r="AK62" s="7">
        <f>IF('Database MK'!GC63="","Belum",'Database MK'!GB63-'Database MK'!GC63)</f>
        <v>50</v>
      </c>
      <c r="AL62" s="7">
        <f>IF('Database MK'!GF63="","Belum",'Database MK'!GE63-'Database MK'!GF63)</f>
        <v>57</v>
      </c>
      <c r="AM62" s="279">
        <f>IF('Database MK'!GJ63="","Belum",'Database MK'!GI63-'Database MK'!GJ63)</f>
        <v>51</v>
      </c>
      <c r="AN62" s="7">
        <f>IF('Database MK'!HG63="","Belum",'Database MK'!HF63-'Database MK'!HG63)</f>
        <v>-25</v>
      </c>
      <c r="AO62" s="7">
        <f>IF('Database MK'!HQ63="","Belum",'Database MK'!HN63-'Database MK'!HQ63)</f>
        <v>-40</v>
      </c>
      <c r="AP62" s="7">
        <f>IF('Database MK'!HW63="","Belum",'Database MK'!HU63-'Database MK'!HW63)</f>
        <v>-42</v>
      </c>
    </row>
    <row r="63" spans="2:42" x14ac:dyDescent="0.25">
      <c r="B63" s="7">
        <f>SUBTOTAL(3,$C$4:C63)</f>
        <v>60</v>
      </c>
      <c r="C63" s="269" t="s">
        <v>244</v>
      </c>
      <c r="D63" s="269" t="s">
        <v>561</v>
      </c>
      <c r="E63" s="269" t="s">
        <v>562</v>
      </c>
      <c r="F63" s="270">
        <v>45748</v>
      </c>
      <c r="G63" s="4" t="s">
        <v>247</v>
      </c>
      <c r="H63" s="4" t="str">
        <f ca="1">'Database MK'!Q64</f>
        <v>DPPP</v>
      </c>
      <c r="I63" s="24">
        <f>'Database MK'!S64</f>
        <v>1</v>
      </c>
      <c r="J63" s="24">
        <f>'Database MK'!T64</f>
        <v>1</v>
      </c>
      <c r="K63" s="571">
        <f>'Database MK'!U64</f>
        <v>0</v>
      </c>
      <c r="L63" s="561">
        <f>'Database MK'!V64</f>
        <v>1975</v>
      </c>
      <c r="M63" s="561">
        <f>'Database MK'!W64</f>
        <v>2010</v>
      </c>
      <c r="N63" s="561">
        <f>Table3[[#This Row],[Total Panjang Pipa Aktual]]-Table3[[#This Row],[Volume
BA MC-0]]</f>
        <v>35</v>
      </c>
      <c r="O63" s="7" t="str">
        <f ca="1">'Database MK'!DE64</f>
        <v>Belum, Delay</v>
      </c>
      <c r="P63" s="7" t="str">
        <f ca="1">'Database MK'!DI64</f>
        <v>Belum, Delay</v>
      </c>
      <c r="Q63" s="7" t="str">
        <f ca="1">'Database MK'!DN64</f>
        <v>Sudah, OnSchedule</v>
      </c>
      <c r="R63" s="7" t="str">
        <f ca="1">'Database MK'!DR64</f>
        <v>Sudah, OnSchedule</v>
      </c>
      <c r="S63" s="7" t="str">
        <f ca="1">'Database MK'!EA64</f>
        <v>Belum, Delay</v>
      </c>
      <c r="T63" s="7" t="str">
        <f ca="1">'Database MK'!EI64</f>
        <v>Belum, Delay</v>
      </c>
      <c r="U63" s="7" t="str">
        <f ca="1">'Database MK'!ET64</f>
        <v>Belum, Delay</v>
      </c>
      <c r="V63" s="7" t="str">
        <f ca="1">'Database MK'!GA64</f>
        <v>Belum, Delay</v>
      </c>
      <c r="W63" s="7" t="str">
        <f ca="1">'Database MK'!GD64</f>
        <v>Sudah, OnSchedule</v>
      </c>
      <c r="X63" s="7" t="str">
        <f ca="1">'Database MK'!GG64</f>
        <v>Sudah, OnSchedule</v>
      </c>
      <c r="Y63" s="7" t="str">
        <f ca="1">'Database MK'!GK64</f>
        <v>Sudah, OnSchedule</v>
      </c>
      <c r="Z63" s="7" t="str">
        <f ca="1">'Database MK'!HH64</f>
        <v>Sudah, Delay</v>
      </c>
      <c r="AA63" s="7" t="str">
        <f ca="1">'Database MK'!HR64</f>
        <v>Sudah, Delay</v>
      </c>
      <c r="AB63" s="7" t="str">
        <f ca="1">'Database MK'!HX64</f>
        <v>Sudah, Delay</v>
      </c>
      <c r="AC63" s="7">
        <f>'Database MK'!DA64-'Database MK'!DB64</f>
        <v>45466</v>
      </c>
      <c r="AD63" s="7">
        <f>'Database MK'!DA64-'Database MK'!DF64</f>
        <v>45466</v>
      </c>
      <c r="AE63" s="7">
        <f>'Database MK'!DK64-'Database MK'!DL64</f>
        <v>56</v>
      </c>
      <c r="AF63" s="7">
        <f>'Database MK'!DK64-'Database MK'!DO64</f>
        <v>51</v>
      </c>
      <c r="AG63" s="7">
        <f>'Database MK'!DU64-'Database MK'!DW64</f>
        <v>45508</v>
      </c>
      <c r="AH63" s="7" t="str">
        <f>IF('Database MK'!EB64="","Belum",'Database MK'!DU64-'Database MK'!EB64)</f>
        <v>Belum</v>
      </c>
      <c r="AI63" s="7" t="str">
        <f>IF('Database MK'!EN64="","Belum",'Database MK'!EL64-'Database MK'!EN64)</f>
        <v>Belum</v>
      </c>
      <c r="AJ63" s="7">
        <f>'Database MK'!FY64-'Database MK'!FZ64</f>
        <v>0</v>
      </c>
      <c r="AK63" s="7">
        <f>IF('Database MK'!GC64="","Belum",'Database MK'!GB64-'Database MK'!GC64)</f>
        <v>50</v>
      </c>
      <c r="AL63" s="7">
        <f>IF('Database MK'!GF64="","Belum",'Database MK'!GE64-'Database MK'!GF64)</f>
        <v>57</v>
      </c>
      <c r="AM63" s="279">
        <f>IF('Database MK'!GJ64="","Belum",'Database MK'!GI64-'Database MK'!GJ64)</f>
        <v>50</v>
      </c>
      <c r="AN63" s="7">
        <f>IF('Database MK'!HG64="","Belum",'Database MK'!HF64-'Database MK'!HG64)</f>
        <v>-45</v>
      </c>
      <c r="AO63" s="7">
        <f>IF('Database MK'!HQ64="","Belum",'Database MK'!HN64-'Database MK'!HQ64)</f>
        <v>-41</v>
      </c>
      <c r="AP63" s="7">
        <f>IF('Database MK'!HW64="","Belum",'Database MK'!HU64-'Database MK'!HW64)</f>
        <v>-42</v>
      </c>
    </row>
    <row r="64" spans="2:42" x14ac:dyDescent="0.25">
      <c r="B64" s="7">
        <f>SUBTOTAL(3,$C$4:C64)</f>
        <v>61</v>
      </c>
      <c r="C64" s="269" t="s">
        <v>244</v>
      </c>
      <c r="D64" s="269" t="s">
        <v>566</v>
      </c>
      <c r="E64" s="269" t="s">
        <v>567</v>
      </c>
      <c r="F64" s="270">
        <v>45748</v>
      </c>
      <c r="G64" s="4" t="s">
        <v>247</v>
      </c>
      <c r="H64" s="4" t="str">
        <f ca="1">'Database MK'!Q65</f>
        <v>DPPP</v>
      </c>
      <c r="I64" s="24">
        <f>'Database MK'!S65</f>
        <v>1</v>
      </c>
      <c r="J64" s="24">
        <f>'Database MK'!T65</f>
        <v>1</v>
      </c>
      <c r="K64" s="571">
        <f>'Database MK'!U65</f>
        <v>0</v>
      </c>
      <c r="L64" s="561">
        <f>'Database MK'!V65</f>
        <v>1511</v>
      </c>
      <c r="M64" s="561">
        <f>'Database MK'!W65</f>
        <v>603.4</v>
      </c>
      <c r="N64" s="561">
        <f>Table3[[#This Row],[Total Panjang Pipa Aktual]]-Table3[[#This Row],[Volume
BA MC-0]]</f>
        <v>-907.6</v>
      </c>
      <c r="O64" s="7" t="str">
        <f ca="1">'Database MK'!DE65</f>
        <v>Belum, Delay</v>
      </c>
      <c r="P64" s="7" t="str">
        <f ca="1">'Database MK'!DI65</f>
        <v>Belum, Delay</v>
      </c>
      <c r="Q64" s="7" t="str">
        <f ca="1">'Database MK'!DN65</f>
        <v>Sudah, OnSchedule</v>
      </c>
      <c r="R64" s="7" t="str">
        <f ca="1">'Database MK'!DR65</f>
        <v>Sudah, OnSchedule</v>
      </c>
      <c r="S64" s="7" t="str">
        <f ca="1">'Database MK'!EA65</f>
        <v>Belum, Delay</v>
      </c>
      <c r="T64" s="7" t="str">
        <f ca="1">'Database MK'!EI65</f>
        <v>Belum, Delay</v>
      </c>
      <c r="U64" s="7" t="str">
        <f ca="1">'Database MK'!ET65</f>
        <v>Belum, Delay</v>
      </c>
      <c r="V64" s="7" t="str">
        <f ca="1">'Database MK'!GA65</f>
        <v>Belum, Delay</v>
      </c>
      <c r="W64" s="7" t="str">
        <f ca="1">'Database MK'!GD65</f>
        <v>Sudah, OnSchedule</v>
      </c>
      <c r="X64" s="7" t="str">
        <f ca="1">'Database MK'!GG65</f>
        <v>Sudah, OnSchedule</v>
      </c>
      <c r="Y64" s="7" t="str">
        <f ca="1">'Database MK'!GK65</f>
        <v>Sudah, OnSchedule</v>
      </c>
      <c r="Z64" s="7" t="str">
        <f ca="1">'Database MK'!HH65</f>
        <v>Sudah, Delay</v>
      </c>
      <c r="AA64" s="7" t="str">
        <f ca="1">'Database MK'!HR65</f>
        <v>Sudah, Delay</v>
      </c>
      <c r="AB64" s="7" t="str">
        <f ca="1">'Database MK'!HX65</f>
        <v>Sudah, Delay</v>
      </c>
      <c r="AC64" s="7">
        <f>'Database MK'!DA65-'Database MK'!DB65</f>
        <v>45466</v>
      </c>
      <c r="AD64" s="7">
        <f>'Database MK'!DA65-'Database MK'!DF65</f>
        <v>45466</v>
      </c>
      <c r="AE64" s="7">
        <f>'Database MK'!DK65-'Database MK'!DL65</f>
        <v>56</v>
      </c>
      <c r="AF64" s="7">
        <f>'Database MK'!DK65-'Database MK'!DO65</f>
        <v>51</v>
      </c>
      <c r="AG64" s="7">
        <f>'Database MK'!DU65-'Database MK'!DW65</f>
        <v>45508</v>
      </c>
      <c r="AH64" s="7" t="str">
        <f>IF('Database MK'!EB65="","Belum",'Database MK'!DU65-'Database MK'!EB65)</f>
        <v>Belum</v>
      </c>
      <c r="AI64" s="7" t="str">
        <f>IF('Database MK'!EN65="","Belum",'Database MK'!EL65-'Database MK'!EN65)</f>
        <v>Belum</v>
      </c>
      <c r="AJ64" s="7">
        <f>'Database MK'!FY65-'Database MK'!FZ65</f>
        <v>0</v>
      </c>
      <c r="AK64" s="7">
        <f>IF('Database MK'!GC65="","Belum",'Database MK'!GB65-'Database MK'!GC65)</f>
        <v>50</v>
      </c>
      <c r="AL64" s="7">
        <f>IF('Database MK'!GF65="","Belum",'Database MK'!GE65-'Database MK'!GF65)</f>
        <v>57</v>
      </c>
      <c r="AM64" s="279">
        <f>IF('Database MK'!GJ65="","Belum",'Database MK'!GI65-'Database MK'!GJ65)</f>
        <v>49</v>
      </c>
      <c r="AN64" s="7">
        <f>IF('Database MK'!HG65="","Belum",'Database MK'!HF65-'Database MK'!HG65)</f>
        <v>-45</v>
      </c>
      <c r="AO64" s="7">
        <f>IF('Database MK'!HQ65="","Belum",'Database MK'!HN65-'Database MK'!HQ65)</f>
        <v>-41</v>
      </c>
      <c r="AP64" s="7">
        <f>IF('Database MK'!HW65="","Belum",'Database MK'!HU65-'Database MK'!HW65)</f>
        <v>-42</v>
      </c>
    </row>
    <row r="65" spans="2:42" x14ac:dyDescent="0.25">
      <c r="B65" s="7">
        <f>SUBTOTAL(3,$C$4:C65)</f>
        <v>62</v>
      </c>
      <c r="C65" s="269" t="s">
        <v>244</v>
      </c>
      <c r="D65" s="269" t="s">
        <v>570</v>
      </c>
      <c r="E65" s="269" t="s">
        <v>571</v>
      </c>
      <c r="F65" s="270">
        <v>45748</v>
      </c>
      <c r="G65" s="4" t="s">
        <v>247</v>
      </c>
      <c r="H65" s="4" t="str">
        <f ca="1">'Database MK'!Q66</f>
        <v>DPPP</v>
      </c>
      <c r="I65" s="24">
        <f>'Database MK'!S66</f>
        <v>1</v>
      </c>
      <c r="J65" s="24">
        <f>'Database MK'!T66</f>
        <v>1</v>
      </c>
      <c r="K65" s="571">
        <f>'Database MK'!U66</f>
        <v>0</v>
      </c>
      <c r="L65" s="561">
        <f>'Database MK'!V66</f>
        <v>73</v>
      </c>
      <c r="M65" s="561">
        <f>'Database MK'!W66</f>
        <v>48</v>
      </c>
      <c r="N65" s="561">
        <f>Table3[[#This Row],[Total Panjang Pipa Aktual]]-Table3[[#This Row],[Volume
BA MC-0]]</f>
        <v>-25</v>
      </c>
      <c r="O65" s="7" t="str">
        <f ca="1">'Database MK'!DE66</f>
        <v>Belum, Delay</v>
      </c>
      <c r="P65" s="7" t="str">
        <f ca="1">'Database MK'!DI66</f>
        <v>Belum, Delay</v>
      </c>
      <c r="Q65" s="7" t="str">
        <f ca="1">'Database MK'!DN66</f>
        <v>Sudah, OnSchedule</v>
      </c>
      <c r="R65" s="7" t="str">
        <f ca="1">'Database MK'!DR66</f>
        <v>Sudah, OnSchedule</v>
      </c>
      <c r="S65" s="7" t="str">
        <f ca="1">'Database MK'!EA66</f>
        <v>Belum, Delay</v>
      </c>
      <c r="T65" s="7" t="str">
        <f ca="1">'Database MK'!EI66</f>
        <v>Belum, Delay</v>
      </c>
      <c r="U65" s="7" t="str">
        <f ca="1">'Database MK'!ET66</f>
        <v>Belum, Delay</v>
      </c>
      <c r="V65" s="7" t="str">
        <f ca="1">'Database MK'!GA66</f>
        <v>Belum, Delay</v>
      </c>
      <c r="W65" s="7" t="str">
        <f ca="1">'Database MK'!GD66</f>
        <v>Sudah, Delay</v>
      </c>
      <c r="X65" s="7" t="str">
        <f ca="1">'Database MK'!GG66</f>
        <v>Sudah, Delay</v>
      </c>
      <c r="Y65" s="7" t="str">
        <f ca="1">'Database MK'!GK66</f>
        <v>Sudah, OnSchedule</v>
      </c>
      <c r="Z65" s="7" t="str">
        <f ca="1">'Database MK'!HH66</f>
        <v>Sudah, Delay</v>
      </c>
      <c r="AA65" s="7" t="str">
        <f ca="1">'Database MK'!HR66</f>
        <v>Sudah, Delay</v>
      </c>
      <c r="AB65" s="7" t="str">
        <f ca="1">'Database MK'!HX66</f>
        <v>Sudah, Delay</v>
      </c>
      <c r="AC65" s="7">
        <f>'Database MK'!DA66-'Database MK'!DB66</f>
        <v>45543</v>
      </c>
      <c r="AD65" s="7">
        <f>'Database MK'!DA66-'Database MK'!DF66</f>
        <v>45543</v>
      </c>
      <c r="AE65" s="7">
        <f>'Database MK'!DK66-'Database MK'!DL66</f>
        <v>31</v>
      </c>
      <c r="AF65" s="7">
        <f>'Database MK'!DK66-'Database MK'!DO66</f>
        <v>6</v>
      </c>
      <c r="AG65" s="7">
        <f>'Database MK'!DU66-'Database MK'!DW66</f>
        <v>45571</v>
      </c>
      <c r="AH65" s="7" t="str">
        <f>IF('Database MK'!EB66="","Belum",'Database MK'!DU66-'Database MK'!EB66)</f>
        <v>Belum</v>
      </c>
      <c r="AI65" s="7" t="str">
        <f>IF('Database MK'!EN66="","Belum",'Database MK'!EL66-'Database MK'!EN66)</f>
        <v>Belum</v>
      </c>
      <c r="AJ65" s="7">
        <f>'Database MK'!FY66-'Database MK'!FZ66</f>
        <v>0</v>
      </c>
      <c r="AK65" s="7">
        <f>IF('Database MK'!GC66="","Belum",'Database MK'!GB66-'Database MK'!GC66)</f>
        <v>-62</v>
      </c>
      <c r="AL65" s="7">
        <f>IF('Database MK'!GF66="","Belum",'Database MK'!GE66-'Database MK'!GF66)</f>
        <v>-55</v>
      </c>
      <c r="AM65" s="279">
        <f>IF('Database MK'!GJ66="","Belum",'Database MK'!GI66-'Database MK'!GJ66)</f>
        <v>13</v>
      </c>
      <c r="AN65" s="7">
        <f>IF('Database MK'!HG66="","Belum",'Database MK'!HF66-'Database MK'!HG66)</f>
        <v>-66</v>
      </c>
      <c r="AO65" s="7">
        <f>IF('Database MK'!HQ66="","Belum",'Database MK'!HN66-'Database MK'!HQ66)</f>
        <v>-104</v>
      </c>
      <c r="AP65" s="7">
        <f>IF('Database MK'!HW66="","Belum",'Database MK'!HU66-'Database MK'!HW66)</f>
        <v>-98</v>
      </c>
    </row>
    <row r="66" spans="2:42" x14ac:dyDescent="0.25">
      <c r="B66" s="7">
        <f>SUBTOTAL(3,$C$4:C66)</f>
        <v>63</v>
      </c>
      <c r="C66" s="269" t="s">
        <v>244</v>
      </c>
      <c r="D66" s="269" t="s">
        <v>575</v>
      </c>
      <c r="E66" s="269" t="s">
        <v>576</v>
      </c>
      <c r="F66" s="270">
        <v>45748</v>
      </c>
      <c r="G66" s="4" t="s">
        <v>247</v>
      </c>
      <c r="H66" s="4" t="str">
        <f ca="1">'Database MK'!Q67</f>
        <v>DPPP</v>
      </c>
      <c r="I66" s="24">
        <f>'Database MK'!S67</f>
        <v>1</v>
      </c>
      <c r="J66" s="24">
        <f>'Database MK'!T67</f>
        <v>1</v>
      </c>
      <c r="K66" s="571">
        <f>'Database MK'!U67</f>
        <v>0</v>
      </c>
      <c r="L66" s="561">
        <f>'Database MK'!V67</f>
        <v>57</v>
      </c>
      <c r="M66" s="561">
        <f>'Database MK'!W67</f>
        <v>61</v>
      </c>
      <c r="N66" s="561">
        <f>Table3[[#This Row],[Total Panjang Pipa Aktual]]-Table3[[#This Row],[Volume
BA MC-0]]</f>
        <v>4</v>
      </c>
      <c r="O66" s="7" t="str">
        <f ca="1">'Database MK'!DE67</f>
        <v>Belum, Delay</v>
      </c>
      <c r="P66" s="7" t="str">
        <f ca="1">'Database MK'!DI67</f>
        <v>Belum, Delay</v>
      </c>
      <c r="Q66" s="7" t="str">
        <f ca="1">'Database MK'!DN67</f>
        <v>Sudah, OnSchedule</v>
      </c>
      <c r="R66" s="7" t="str">
        <f ca="1">'Database MK'!DR67</f>
        <v>Sudah, OnSchedule</v>
      </c>
      <c r="S66" s="7" t="str">
        <f ca="1">'Database MK'!EA67</f>
        <v>Belum, Delay</v>
      </c>
      <c r="T66" s="7" t="str">
        <f ca="1">'Database MK'!EI67</f>
        <v>Belum, Delay</v>
      </c>
      <c r="U66" s="7" t="str">
        <f ca="1">'Database MK'!ET67</f>
        <v>Belum, Delay</v>
      </c>
      <c r="V66" s="7" t="str">
        <f ca="1">'Database MK'!GA67</f>
        <v>Belum, Delay</v>
      </c>
      <c r="W66" s="7" t="str">
        <f ca="1">'Database MK'!GD67</f>
        <v>Sudah, Delay</v>
      </c>
      <c r="X66" s="7" t="str">
        <f ca="1">'Database MK'!GG67</f>
        <v>Sudah, Delay</v>
      </c>
      <c r="Y66" s="7" t="str">
        <f ca="1">'Database MK'!GK67</f>
        <v>Sudah, OnSchedule</v>
      </c>
      <c r="Z66" s="7" t="str">
        <f ca="1">'Database MK'!HH67</f>
        <v>Sudah, Delay</v>
      </c>
      <c r="AA66" s="7" t="str">
        <f ca="1">'Database MK'!HR67</f>
        <v>Sudah, Delay</v>
      </c>
      <c r="AB66" s="7" t="str">
        <f ca="1">'Database MK'!HX67</f>
        <v>Sudah, Delay</v>
      </c>
      <c r="AC66" s="7">
        <f>'Database MK'!DA67-'Database MK'!DB67</f>
        <v>45543</v>
      </c>
      <c r="AD66" s="7">
        <f>'Database MK'!DA67-'Database MK'!DF67</f>
        <v>45543</v>
      </c>
      <c r="AE66" s="7">
        <f>'Database MK'!DK67-'Database MK'!DL67</f>
        <v>31</v>
      </c>
      <c r="AF66" s="7">
        <f>'Database MK'!DK67-'Database MK'!DO67</f>
        <v>6</v>
      </c>
      <c r="AG66" s="7">
        <f>'Database MK'!DU67-'Database MK'!DW67</f>
        <v>45571</v>
      </c>
      <c r="AH66" s="7" t="str">
        <f>IF('Database MK'!EB67="","Belum",'Database MK'!DU67-'Database MK'!EB67)</f>
        <v>Belum</v>
      </c>
      <c r="AI66" s="7" t="str">
        <f>IF('Database MK'!EN67="","Belum",'Database MK'!EL67-'Database MK'!EN67)</f>
        <v>Belum</v>
      </c>
      <c r="AJ66" s="7">
        <f>'Database MK'!FY67-'Database MK'!FZ67</f>
        <v>0</v>
      </c>
      <c r="AK66" s="7">
        <f>IF('Database MK'!GC67="","Belum",'Database MK'!GB67-'Database MK'!GC67)</f>
        <v>-62</v>
      </c>
      <c r="AL66" s="7">
        <f>IF('Database MK'!GF67="","Belum",'Database MK'!GE67-'Database MK'!GF67)</f>
        <v>-55</v>
      </c>
      <c r="AM66" s="279">
        <f>IF('Database MK'!GJ67="","Belum",'Database MK'!GI67-'Database MK'!GJ67)</f>
        <v>13</v>
      </c>
      <c r="AN66" s="7">
        <f>IF('Database MK'!HG67="","Belum",'Database MK'!HF67-'Database MK'!HG67)</f>
        <v>-57</v>
      </c>
      <c r="AO66" s="7">
        <f>IF('Database MK'!HQ67="","Belum",'Database MK'!HN67-'Database MK'!HQ67)</f>
        <v>-82</v>
      </c>
      <c r="AP66" s="7">
        <f>IF('Database MK'!HW67="","Belum",'Database MK'!HU67-'Database MK'!HW67)</f>
        <v>-92</v>
      </c>
    </row>
    <row r="67" spans="2:42" x14ac:dyDescent="0.25">
      <c r="B67" s="7">
        <f>SUBTOTAL(3,$C$4:C67)</f>
        <v>64</v>
      </c>
      <c r="C67" s="273" t="s">
        <v>244</v>
      </c>
      <c r="D67" s="273" t="s">
        <v>580</v>
      </c>
      <c r="E67" s="273" t="s">
        <v>581</v>
      </c>
      <c r="F67" s="274">
        <v>45748</v>
      </c>
      <c r="G67" s="223" t="s">
        <v>247</v>
      </c>
      <c r="H67" s="223" t="str">
        <f ca="1">'Database MK'!Q68</f>
        <v>DPPP</v>
      </c>
      <c r="I67" s="574">
        <f>'Database MK'!S68</f>
        <v>1</v>
      </c>
      <c r="J67" s="574">
        <f>'Database MK'!T68</f>
        <v>1</v>
      </c>
      <c r="K67" s="575">
        <f>'Database MK'!U68</f>
        <v>0</v>
      </c>
      <c r="L67" s="563">
        <f>'Database MK'!V68</f>
        <v>83</v>
      </c>
      <c r="M67" s="563">
        <f>'Database MK'!W68</f>
        <v>316</v>
      </c>
      <c r="N67" s="563">
        <f>Table3[[#This Row],[Total Panjang Pipa Aktual]]-Table3[[#This Row],[Volume
BA MC-0]]</f>
        <v>233</v>
      </c>
      <c r="O67" s="7" t="str">
        <f ca="1">'Database MK'!DE68</f>
        <v>Belum, Delay</v>
      </c>
      <c r="P67" s="7" t="str">
        <f ca="1">'Database MK'!DI68</f>
        <v>Belum, Delay</v>
      </c>
      <c r="Q67" s="7" t="str">
        <f ca="1">'Database MK'!DN68</f>
        <v>Sudah, Delay</v>
      </c>
      <c r="R67" s="7" t="str">
        <f ca="1">'Database MK'!DR68</f>
        <v>Sudah, Delay</v>
      </c>
      <c r="S67" s="7" t="str">
        <f ca="1">'Database MK'!EA68</f>
        <v>Belum, Delay</v>
      </c>
      <c r="T67" s="7" t="str">
        <f ca="1">'Database MK'!EI68</f>
        <v>Belum, Delay</v>
      </c>
      <c r="U67" s="7" t="str">
        <f ca="1">'Database MK'!ET68</f>
        <v>Belum, Delay</v>
      </c>
      <c r="V67" s="7" t="str">
        <f ca="1">'Database MK'!GA68</f>
        <v>Belum, Delay</v>
      </c>
      <c r="W67" s="7" t="str">
        <f ca="1">'Database MK'!GD68</f>
        <v>Sudah, Delay</v>
      </c>
      <c r="X67" s="7" t="str">
        <f ca="1">'Database MK'!GG68</f>
        <v>Sudah, Delay</v>
      </c>
      <c r="Y67" s="7" t="str">
        <f ca="1">'Database MK'!GK68</f>
        <v>Sudah, Delay</v>
      </c>
      <c r="Z67" s="7" t="str">
        <f ca="1">'Database MK'!HH68</f>
        <v>Sudah, Delay</v>
      </c>
      <c r="AA67" s="7" t="str">
        <f ca="1">'Database MK'!HR68</f>
        <v>Sudah, Delay</v>
      </c>
      <c r="AB67" s="7" t="str">
        <f ca="1">'Database MK'!HX68</f>
        <v>Sudah, Delay</v>
      </c>
      <c r="AC67" s="7">
        <f>'Database MK'!DA68-'Database MK'!DB68</f>
        <v>45543</v>
      </c>
      <c r="AD67" s="7">
        <f>'Database MK'!DA68-'Database MK'!DF68</f>
        <v>45543</v>
      </c>
      <c r="AE67" s="7">
        <f>'Database MK'!DK68-'Database MK'!DL68</f>
        <v>-48</v>
      </c>
      <c r="AF67" s="7">
        <f>'Database MK'!DK68-'Database MK'!DO68</f>
        <v>-58</v>
      </c>
      <c r="AG67" s="7">
        <f>'Database MK'!DU68-'Database MK'!DW68</f>
        <v>45571</v>
      </c>
      <c r="AH67" s="7" t="str">
        <f>IF('Database MK'!EB68="","Belum",'Database MK'!DU68-'Database MK'!EB68)</f>
        <v>Belum</v>
      </c>
      <c r="AI67" s="7" t="str">
        <f>IF('Database MK'!EN68="","Belum",'Database MK'!EL68-'Database MK'!EN68)</f>
        <v>Belum</v>
      </c>
      <c r="AJ67" s="7">
        <f>'Database MK'!FY68-'Database MK'!FZ68</f>
        <v>0</v>
      </c>
      <c r="AK67" s="7">
        <f>IF('Database MK'!GC68="","Belum",'Database MK'!GB68-'Database MK'!GC68)</f>
        <v>-62</v>
      </c>
      <c r="AL67" s="7">
        <f>IF('Database MK'!GF68="","Belum",'Database MK'!GE68-'Database MK'!GF68)</f>
        <v>-55</v>
      </c>
      <c r="AM67" s="279">
        <f>IF('Database MK'!GJ68="","Belum",'Database MK'!GI68-'Database MK'!GJ68)</f>
        <v>-37</v>
      </c>
      <c r="AN67" s="7">
        <f>IF('Database MK'!HG68="","Belum",'Database MK'!HF68-'Database MK'!HG68)</f>
        <v>-96</v>
      </c>
      <c r="AO67" s="7">
        <f>IF('Database MK'!HQ68="","Belum",'Database MK'!HN68-'Database MK'!HQ68)</f>
        <v>-104</v>
      </c>
      <c r="AP67" s="7">
        <f>IF('Database MK'!HW68="","Belum",'Database MK'!HU68-'Database MK'!HW68)</f>
        <v>-98</v>
      </c>
    </row>
    <row r="68" spans="2:42" x14ac:dyDescent="0.25">
      <c r="B68" s="7">
        <f>SUBTOTAL(3,$C$4:C68)</f>
        <v>65</v>
      </c>
      <c r="C68" s="269" t="s">
        <v>244</v>
      </c>
      <c r="D68" s="269" t="s">
        <v>585</v>
      </c>
      <c r="E68" s="269" t="s">
        <v>586</v>
      </c>
      <c r="F68" s="270">
        <v>45748</v>
      </c>
      <c r="G68" s="4" t="s">
        <v>247</v>
      </c>
      <c r="H68" s="4" t="str">
        <f ca="1">'Database MK'!Q69</f>
        <v>DPPP</v>
      </c>
      <c r="I68" s="24">
        <f>'Database MK'!S69</f>
        <v>1</v>
      </c>
      <c r="J68" s="24">
        <f>'Database MK'!T69</f>
        <v>1</v>
      </c>
      <c r="K68" s="571">
        <f>'Database MK'!U69</f>
        <v>0</v>
      </c>
      <c r="L68" s="561">
        <f>'Database MK'!V69</f>
        <v>24</v>
      </c>
      <c r="M68" s="561">
        <f>'Database MK'!W69</f>
        <v>26</v>
      </c>
      <c r="N68" s="561">
        <f>Table3[[#This Row],[Total Panjang Pipa Aktual]]-Table3[[#This Row],[Volume
BA MC-0]]</f>
        <v>2</v>
      </c>
      <c r="O68" s="7" t="str">
        <f ca="1">'Database MK'!DE69</f>
        <v>Belum, Delay</v>
      </c>
      <c r="P68" s="7" t="str">
        <f ca="1">'Database MK'!DI69</f>
        <v>Belum, Delay</v>
      </c>
      <c r="Q68" s="7" t="str">
        <f ca="1">'Database MK'!DN69</f>
        <v>Sudah, OnSchedule</v>
      </c>
      <c r="R68" s="7" t="str">
        <f ca="1">'Database MK'!DR69</f>
        <v>Sudah, OnSchedule</v>
      </c>
      <c r="S68" s="7" t="str">
        <f ca="1">'Database MK'!EA69</f>
        <v>Belum, Delay</v>
      </c>
      <c r="T68" s="7" t="str">
        <f ca="1">'Database MK'!EI69</f>
        <v>Belum, Delay</v>
      </c>
      <c r="U68" s="7" t="str">
        <f ca="1">'Database MK'!ET69</f>
        <v>Belum, Delay</v>
      </c>
      <c r="V68" s="7" t="str">
        <f ca="1">'Database MK'!GA69</f>
        <v>Belum, Delay</v>
      </c>
      <c r="W68" s="7" t="str">
        <f ca="1">'Database MK'!GD69</f>
        <v>Sudah, Delay</v>
      </c>
      <c r="X68" s="7" t="str">
        <f ca="1">'Database MK'!GG69</f>
        <v>Sudah, Delay</v>
      </c>
      <c r="Y68" s="7" t="str">
        <f ca="1">'Database MK'!GK69</f>
        <v>Sudah, OnSchedule</v>
      </c>
      <c r="Z68" s="7" t="str">
        <f ca="1">'Database MK'!HH69</f>
        <v>Sudah, Delay</v>
      </c>
      <c r="AA68" s="7" t="str">
        <f ca="1">'Database MK'!HR69</f>
        <v>Sudah, Delay</v>
      </c>
      <c r="AB68" s="7" t="str">
        <f ca="1">'Database MK'!HX69</f>
        <v>Sudah, Delay</v>
      </c>
      <c r="AC68" s="7">
        <f>'Database MK'!DA69-'Database MK'!DB69</f>
        <v>45543</v>
      </c>
      <c r="AD68" s="7">
        <f>'Database MK'!DA69-'Database MK'!DF69</f>
        <v>45543</v>
      </c>
      <c r="AE68" s="7">
        <f>'Database MK'!DK69-'Database MK'!DL69</f>
        <v>32</v>
      </c>
      <c r="AF68" s="7">
        <f>'Database MK'!DK69-'Database MK'!DO69</f>
        <v>6</v>
      </c>
      <c r="AG68" s="7">
        <f>'Database MK'!DU69-'Database MK'!DW69</f>
        <v>45571</v>
      </c>
      <c r="AH68" s="7" t="str">
        <f>IF('Database MK'!EB69="","Belum",'Database MK'!DU69-'Database MK'!EB69)</f>
        <v>Belum</v>
      </c>
      <c r="AI68" s="7" t="str">
        <f>IF('Database MK'!EN69="","Belum",'Database MK'!EL69-'Database MK'!EN69)</f>
        <v>Belum</v>
      </c>
      <c r="AJ68" s="7">
        <f>'Database MK'!FY69-'Database MK'!FZ69</f>
        <v>0</v>
      </c>
      <c r="AK68" s="7">
        <f>IF('Database MK'!GC69="","Belum",'Database MK'!GB69-'Database MK'!GC69)</f>
        <v>-62</v>
      </c>
      <c r="AL68" s="7">
        <f>IF('Database MK'!GF69="","Belum",'Database MK'!GE69-'Database MK'!GF69)</f>
        <v>-55</v>
      </c>
      <c r="AM68" s="279">
        <f>IF('Database MK'!GJ69="","Belum",'Database MK'!GI69-'Database MK'!GJ69)</f>
        <v>11</v>
      </c>
      <c r="AN68" s="7">
        <f>IF('Database MK'!HG69="","Belum",'Database MK'!HF69-'Database MK'!HG69)</f>
        <v>-57</v>
      </c>
      <c r="AO68" s="7">
        <f>IF('Database MK'!HQ69="","Belum",'Database MK'!HN69-'Database MK'!HQ69)</f>
        <v>-82</v>
      </c>
      <c r="AP68" s="7">
        <f>IF('Database MK'!HW69="","Belum",'Database MK'!HU69-'Database MK'!HW69)</f>
        <v>-92</v>
      </c>
    </row>
    <row r="69" spans="2:42" x14ac:dyDescent="0.25">
      <c r="B69" s="7">
        <f>SUBTOTAL(3,$C$4:C69)</f>
        <v>66</v>
      </c>
      <c r="C69" s="269" t="s">
        <v>244</v>
      </c>
      <c r="D69" s="269" t="s">
        <v>590</v>
      </c>
      <c r="E69" s="269" t="s">
        <v>591</v>
      </c>
      <c r="F69" s="270">
        <v>45748</v>
      </c>
      <c r="G69" s="4" t="s">
        <v>247</v>
      </c>
      <c r="H69" s="4" t="str">
        <f ca="1">'Database MK'!Q70</f>
        <v>DPPP</v>
      </c>
      <c r="I69" s="24">
        <f>'Database MK'!S70</f>
        <v>1</v>
      </c>
      <c r="J69" s="24">
        <f>'Database MK'!T70</f>
        <v>1</v>
      </c>
      <c r="K69" s="571">
        <f>'Database MK'!U70</f>
        <v>0</v>
      </c>
      <c r="L69" s="561">
        <f>'Database MK'!V70</f>
        <v>66</v>
      </c>
      <c r="M69" s="561">
        <f>'Database MK'!W70</f>
        <v>68.8</v>
      </c>
      <c r="N69" s="561">
        <f>Table3[[#This Row],[Total Panjang Pipa Aktual]]-Table3[[#This Row],[Volume
BA MC-0]]</f>
        <v>2.7999999999999972</v>
      </c>
      <c r="O69" s="7" t="str">
        <f ca="1">'Database MK'!DE70</f>
        <v>Belum, Delay</v>
      </c>
      <c r="P69" s="7" t="str">
        <f ca="1">'Database MK'!DI70</f>
        <v>Belum, Delay</v>
      </c>
      <c r="Q69" s="7" t="str">
        <f ca="1">'Database MK'!DN70</f>
        <v>Sudah, Delay</v>
      </c>
      <c r="R69" s="7" t="str">
        <f ca="1">'Database MK'!DR70</f>
        <v>Sudah, Delay</v>
      </c>
      <c r="S69" s="7" t="str">
        <f ca="1">'Database MK'!EA70</f>
        <v>Belum, Delay</v>
      </c>
      <c r="T69" s="7" t="str">
        <f ca="1">'Database MK'!EI70</f>
        <v>Belum, Delay</v>
      </c>
      <c r="U69" s="7" t="str">
        <f ca="1">'Database MK'!ET70</f>
        <v>Belum, Delay</v>
      </c>
      <c r="V69" s="7" t="str">
        <f ca="1">'Database MK'!GA70</f>
        <v>Belum, Delay</v>
      </c>
      <c r="W69" s="7" t="str">
        <f ca="1">'Database MK'!GD70</f>
        <v>Sudah, Delay</v>
      </c>
      <c r="X69" s="7" t="str">
        <f ca="1">'Database MK'!GG70</f>
        <v>Sudah, Delay</v>
      </c>
      <c r="Y69" s="7" t="str">
        <f ca="1">'Database MK'!GK70</f>
        <v>Sudah, Delay</v>
      </c>
      <c r="Z69" s="7" t="str">
        <f ca="1">'Database MK'!HH70</f>
        <v>Sudah, Delay</v>
      </c>
      <c r="AA69" s="7" t="str">
        <f ca="1">'Database MK'!HR70</f>
        <v>Sudah, Delay</v>
      </c>
      <c r="AB69" s="7" t="str">
        <f ca="1">'Database MK'!HX70</f>
        <v>Sudah, Delay</v>
      </c>
      <c r="AC69" s="7">
        <f>'Database MK'!DA70-'Database MK'!DB70</f>
        <v>45543</v>
      </c>
      <c r="AD69" s="7">
        <f>'Database MK'!DA70-'Database MK'!DF70</f>
        <v>45543</v>
      </c>
      <c r="AE69" s="7">
        <f>'Database MK'!DK70-'Database MK'!DL70</f>
        <v>-48</v>
      </c>
      <c r="AF69" s="7">
        <f>'Database MK'!DK70-'Database MK'!DO70</f>
        <v>-60</v>
      </c>
      <c r="AG69" s="7">
        <f>'Database MK'!DU70-'Database MK'!DW70</f>
        <v>45571</v>
      </c>
      <c r="AH69" s="7" t="str">
        <f>IF('Database MK'!EB70="","Belum",'Database MK'!DU70-'Database MK'!EB70)</f>
        <v>Belum</v>
      </c>
      <c r="AI69" s="7" t="str">
        <f>IF('Database MK'!EN70="","Belum",'Database MK'!EL70-'Database MK'!EN70)</f>
        <v>Belum</v>
      </c>
      <c r="AJ69" s="7">
        <f>'Database MK'!FY70-'Database MK'!FZ70</f>
        <v>0</v>
      </c>
      <c r="AK69" s="7">
        <f>IF('Database MK'!GC70="","Belum",'Database MK'!GB70-'Database MK'!GC70)</f>
        <v>-62</v>
      </c>
      <c r="AL69" s="7">
        <f>IF('Database MK'!GF70="","Belum",'Database MK'!GE70-'Database MK'!GF70)</f>
        <v>-55</v>
      </c>
      <c r="AM69" s="279">
        <f>IF('Database MK'!GJ70="","Belum",'Database MK'!GI70-'Database MK'!GJ70)</f>
        <v>-45</v>
      </c>
      <c r="AN69" s="7">
        <f>IF('Database MK'!HG70="","Belum",'Database MK'!HF70-'Database MK'!HG70)</f>
        <v>-99</v>
      </c>
      <c r="AO69" s="7">
        <f>IF('Database MK'!HQ70="","Belum",'Database MK'!HN70-'Database MK'!HQ70)</f>
        <v>-104</v>
      </c>
      <c r="AP69" s="7">
        <f>IF('Database MK'!HW70="","Belum",'Database MK'!HU70-'Database MK'!HW70)</f>
        <v>-98</v>
      </c>
    </row>
    <row r="70" spans="2:42" x14ac:dyDescent="0.25">
      <c r="B70" s="7">
        <f>SUBTOTAL(3,$C$4:C70)</f>
        <v>67</v>
      </c>
      <c r="C70" s="269" t="s">
        <v>244</v>
      </c>
      <c r="D70" s="269" t="s">
        <v>595</v>
      </c>
      <c r="E70" s="269" t="s">
        <v>596</v>
      </c>
      <c r="F70" s="270">
        <v>45748</v>
      </c>
      <c r="G70" s="4" t="s">
        <v>247</v>
      </c>
      <c r="H70" s="4" t="str">
        <f ca="1">'Database MK'!Q71</f>
        <v>DPPP</v>
      </c>
      <c r="I70" s="24">
        <f>'Database MK'!S71</f>
        <v>1</v>
      </c>
      <c r="J70" s="24">
        <f>'Database MK'!T71</f>
        <v>1</v>
      </c>
      <c r="K70" s="571">
        <f>'Database MK'!U71</f>
        <v>0</v>
      </c>
      <c r="L70" s="561">
        <f>'Database MK'!V71</f>
        <v>147</v>
      </c>
      <c r="M70" s="561">
        <f>'Database MK'!W71</f>
        <v>145</v>
      </c>
      <c r="N70" s="561">
        <f>Table3[[#This Row],[Total Panjang Pipa Aktual]]-Table3[[#This Row],[Volume
BA MC-0]]</f>
        <v>-2</v>
      </c>
      <c r="O70" s="7" t="str">
        <f ca="1">'Database MK'!DE71</f>
        <v>Belum, Delay</v>
      </c>
      <c r="P70" s="7" t="str">
        <f ca="1">'Database MK'!DI71</f>
        <v>Belum, Delay</v>
      </c>
      <c r="Q70" s="7" t="str">
        <f ca="1">'Database MK'!DN71</f>
        <v>Sudah, OnSchedule</v>
      </c>
      <c r="R70" s="7" t="str">
        <f ca="1">'Database MK'!DR71</f>
        <v>Sudah, OnSchedule</v>
      </c>
      <c r="S70" s="7" t="str">
        <f ca="1">'Database MK'!EA71</f>
        <v>Belum, Delay</v>
      </c>
      <c r="T70" s="7" t="str">
        <f ca="1">'Database MK'!EI71</f>
        <v>Belum, Delay</v>
      </c>
      <c r="U70" s="7" t="str">
        <f ca="1">'Database MK'!ET71</f>
        <v>Belum, Delay</v>
      </c>
      <c r="V70" s="7" t="str">
        <f ca="1">'Database MK'!GA71</f>
        <v>Belum, Delay</v>
      </c>
      <c r="W70" s="7" t="str">
        <f ca="1">'Database MK'!GD71</f>
        <v>Sudah, OnSchedule</v>
      </c>
      <c r="X70" s="7" t="str">
        <f ca="1">'Database MK'!GG71</f>
        <v>Sudah, OnSchedule</v>
      </c>
      <c r="Y70" s="7" t="str">
        <f ca="1">'Database MK'!GK71</f>
        <v>Sudah, OnSchedule</v>
      </c>
      <c r="Z70" s="7" t="str">
        <f ca="1">'Database MK'!HH71</f>
        <v>Sudah, Delay</v>
      </c>
      <c r="AA70" s="7" t="str">
        <f ca="1">'Database MK'!HR71</f>
        <v>Sudah, Delay</v>
      </c>
      <c r="AB70" s="7" t="str">
        <f ca="1">'Database MK'!HX71</f>
        <v>Sudah, Delay</v>
      </c>
      <c r="AC70" s="7">
        <f>'Database MK'!DA71-'Database MK'!DB71</f>
        <v>45543</v>
      </c>
      <c r="AD70" s="7">
        <f>'Database MK'!DA71-'Database MK'!DF71</f>
        <v>45543</v>
      </c>
      <c r="AE70" s="7">
        <f>'Database MK'!DK71-'Database MK'!DL71</f>
        <v>37</v>
      </c>
      <c r="AF70" s="7">
        <f>'Database MK'!DK71-'Database MK'!DO71</f>
        <v>6</v>
      </c>
      <c r="AG70" s="7">
        <f>'Database MK'!DU71-'Database MK'!DW71</f>
        <v>45571</v>
      </c>
      <c r="AH70" s="7" t="str">
        <f>IF('Database MK'!EB71="","Belum",'Database MK'!DU71-'Database MK'!EB71)</f>
        <v>Belum</v>
      </c>
      <c r="AI70" s="7" t="str">
        <f>IF('Database MK'!EN71="","Belum",'Database MK'!EL71-'Database MK'!EN71)</f>
        <v>Belum</v>
      </c>
      <c r="AJ70" s="7">
        <f>'Database MK'!FY71-'Database MK'!FZ71</f>
        <v>0</v>
      </c>
      <c r="AK70" s="7">
        <f>IF('Database MK'!GC71="","Belum",'Database MK'!GB71-'Database MK'!GC71)</f>
        <v>25</v>
      </c>
      <c r="AL70" s="7">
        <f>IF('Database MK'!GF71="","Belum",'Database MK'!GE71-'Database MK'!GF71)</f>
        <v>32</v>
      </c>
      <c r="AM70" s="279">
        <f>IF('Database MK'!GJ71="","Belum",'Database MK'!GI71-'Database MK'!GJ71)</f>
        <v>41</v>
      </c>
      <c r="AN70" s="7">
        <f>IF('Database MK'!HG71="","Belum",'Database MK'!HF71-'Database MK'!HG71)</f>
        <v>-54</v>
      </c>
      <c r="AO70" s="7">
        <f>IF('Database MK'!HQ71="","Belum",'Database MK'!HN71-'Database MK'!HQ71)</f>
        <v>-82</v>
      </c>
      <c r="AP70" s="7">
        <f>IF('Database MK'!HW71="","Belum",'Database MK'!HU71-'Database MK'!HW71)</f>
        <v>-92</v>
      </c>
    </row>
    <row r="71" spans="2:42" x14ac:dyDescent="0.25">
      <c r="B71" s="7">
        <f>SUBTOTAL(3,$C$4:C71)</f>
        <v>68</v>
      </c>
      <c r="C71" s="269" t="s">
        <v>244</v>
      </c>
      <c r="D71" s="269" t="s">
        <v>600</v>
      </c>
      <c r="E71" s="269" t="s">
        <v>601</v>
      </c>
      <c r="F71" s="270">
        <v>45748</v>
      </c>
      <c r="G71" s="4" t="s">
        <v>247</v>
      </c>
      <c r="H71" s="4" t="str">
        <f ca="1">'Database MK'!Q72</f>
        <v>DPPP</v>
      </c>
      <c r="I71" s="24">
        <f>'Database MK'!S72</f>
        <v>1</v>
      </c>
      <c r="J71" s="24">
        <f>'Database MK'!T72</f>
        <v>1</v>
      </c>
      <c r="K71" s="571">
        <f>'Database MK'!U72</f>
        <v>0</v>
      </c>
      <c r="L71" s="561">
        <f>'Database MK'!V72</f>
        <v>1373</v>
      </c>
      <c r="M71" s="561">
        <f>'Database MK'!W72</f>
        <v>1369</v>
      </c>
      <c r="N71" s="561">
        <f>Table3[[#This Row],[Total Panjang Pipa Aktual]]-Table3[[#This Row],[Volume
BA MC-0]]</f>
        <v>-4</v>
      </c>
      <c r="O71" s="7" t="str">
        <f ca="1">'Database MK'!DE72</f>
        <v>Belum, Delay</v>
      </c>
      <c r="P71" s="7" t="str">
        <f ca="1">'Database MK'!DI72</f>
        <v>Belum, Delay</v>
      </c>
      <c r="Q71" s="7" t="str">
        <f ca="1">'Database MK'!DN72</f>
        <v>Belum, Delay</v>
      </c>
      <c r="R71" s="7" t="str">
        <f ca="1">'Database MK'!DR72</f>
        <v>Belum, Delay</v>
      </c>
      <c r="S71" s="7" t="str">
        <f ca="1">'Database MK'!EA72</f>
        <v>Belum, Delay</v>
      </c>
      <c r="T71" s="7" t="str">
        <f ca="1">'Database MK'!EI72</f>
        <v>Belum, Delay</v>
      </c>
      <c r="U71" s="7" t="str">
        <f ca="1">'Database MK'!ET72</f>
        <v>Belum, Delay</v>
      </c>
      <c r="V71" s="7" t="str">
        <f ca="1">'Database MK'!GA72</f>
        <v>Belum, Delay</v>
      </c>
      <c r="W71" s="7" t="str">
        <f ca="1">'Database MK'!GD72</f>
        <v>Sudah, Delay</v>
      </c>
      <c r="X71" s="7" t="str">
        <f ca="1">'Database MK'!GG72</f>
        <v>Sudah, Delay</v>
      </c>
      <c r="Y71" s="7" t="str">
        <f ca="1">'Database MK'!GK72</f>
        <v>Sudah, Delay</v>
      </c>
      <c r="Z71" s="7" t="str">
        <f ca="1">'Database MK'!HH72</f>
        <v>Sudah, Delay</v>
      </c>
      <c r="AA71" s="7" t="str">
        <f ca="1">'Database MK'!HR72</f>
        <v>Sudah, Delay</v>
      </c>
      <c r="AB71" s="7" t="str">
        <f ca="1">'Database MK'!HX72</f>
        <v>Sudah, Delay</v>
      </c>
      <c r="AC71" s="7">
        <f>'Database MK'!DA72-'Database MK'!DB72</f>
        <v>45557</v>
      </c>
      <c r="AD71" s="7">
        <f>'Database MK'!DA72-'Database MK'!DF72</f>
        <v>45557</v>
      </c>
      <c r="AE71" s="7">
        <f>'Database MK'!DK72-'Database MK'!DL72</f>
        <v>45592</v>
      </c>
      <c r="AF71" s="7">
        <f>'Database MK'!DK72-'Database MK'!DO72</f>
        <v>45592</v>
      </c>
      <c r="AG71" s="7">
        <f>'Database MK'!DU72-'Database MK'!DW72</f>
        <v>45599</v>
      </c>
      <c r="AH71" s="7" t="str">
        <f>IF('Database MK'!EB72="","Belum",'Database MK'!DU72-'Database MK'!EB72)</f>
        <v>Belum</v>
      </c>
      <c r="AI71" s="7" t="str">
        <f>IF('Database MK'!EN72="","Belum",'Database MK'!EL72-'Database MK'!EN72)</f>
        <v>Belum</v>
      </c>
      <c r="AJ71" s="7">
        <f>'Database MK'!FY72-'Database MK'!FZ72</f>
        <v>0</v>
      </c>
      <c r="AK71" s="7">
        <f>IF('Database MK'!GC72="","Belum",'Database MK'!GB72-'Database MK'!GC72)</f>
        <v>-62</v>
      </c>
      <c r="AL71" s="7">
        <f>IF('Database MK'!GF72="","Belum",'Database MK'!GE72-'Database MK'!GF72)</f>
        <v>-55</v>
      </c>
      <c r="AM71" s="279">
        <f>IF('Database MK'!GJ72="","Belum",'Database MK'!GI72-'Database MK'!GJ72)</f>
        <v>-52</v>
      </c>
      <c r="AN71" s="7">
        <f>IF('Database MK'!HG72="","Belum",'Database MK'!HF72-'Database MK'!HG72)</f>
        <v>-47</v>
      </c>
      <c r="AO71" s="7">
        <f>IF('Database MK'!HQ72="","Belum",'Database MK'!HN72-'Database MK'!HQ72)</f>
        <v>-41</v>
      </c>
      <c r="AP71" s="7">
        <f>IF('Database MK'!HW72="","Belum",'Database MK'!HU72-'Database MK'!HW72)</f>
        <v>-42</v>
      </c>
    </row>
    <row r="72" spans="2:42" x14ac:dyDescent="0.25">
      <c r="B72" s="7">
        <f>SUBTOTAL(3,$C$4:C72)</f>
        <v>69</v>
      </c>
      <c r="C72" s="269" t="s">
        <v>244</v>
      </c>
      <c r="D72" s="269" t="s">
        <v>603</v>
      </c>
      <c r="E72" s="269" t="s">
        <v>604</v>
      </c>
      <c r="F72" s="270">
        <v>45748</v>
      </c>
      <c r="G72" s="4" t="s">
        <v>247</v>
      </c>
      <c r="H72" s="4" t="str">
        <f ca="1">'Database MK'!Q73</f>
        <v>DPPP</v>
      </c>
      <c r="I72" s="24">
        <f>'Database MK'!S73</f>
        <v>1</v>
      </c>
      <c r="J72" s="24">
        <f>'Database MK'!T73</f>
        <v>1</v>
      </c>
      <c r="K72" s="571">
        <f>'Database MK'!U73</f>
        <v>0</v>
      </c>
      <c r="L72" s="561">
        <f>'Database MK'!V73</f>
        <v>578</v>
      </c>
      <c r="M72" s="561">
        <f>'Database MK'!W73</f>
        <v>621.9</v>
      </c>
      <c r="N72" s="561">
        <f>Table3[[#This Row],[Total Panjang Pipa Aktual]]-Table3[[#This Row],[Volume
BA MC-0]]</f>
        <v>43.899999999999977</v>
      </c>
      <c r="O72" s="7" t="str">
        <f ca="1">'Database MK'!DE73</f>
        <v>Belum, Delay</v>
      </c>
      <c r="P72" s="7" t="str">
        <f ca="1">'Database MK'!DI73</f>
        <v>Belum, Delay</v>
      </c>
      <c r="Q72" s="7" t="str">
        <f ca="1">'Database MK'!DN73</f>
        <v>Belum, Delay</v>
      </c>
      <c r="R72" s="7" t="str">
        <f ca="1">'Database MK'!DR73</f>
        <v>Belum, Delay</v>
      </c>
      <c r="S72" s="7" t="str">
        <f ca="1">'Database MK'!EA73</f>
        <v>Belum, Delay</v>
      </c>
      <c r="T72" s="7" t="str">
        <f ca="1">'Database MK'!EI73</f>
        <v>Belum, Delay</v>
      </c>
      <c r="U72" s="7" t="str">
        <f ca="1">'Database MK'!ET73</f>
        <v>Belum, Delay</v>
      </c>
      <c r="V72" s="7" t="str">
        <f ca="1">'Database MK'!GA73</f>
        <v>Belum, Delay</v>
      </c>
      <c r="W72" s="7" t="str">
        <f ca="1">'Database MK'!GD73</f>
        <v>Sudah, Delay</v>
      </c>
      <c r="X72" s="7" t="str">
        <f ca="1">'Database MK'!GG73</f>
        <v>Sudah, Delay</v>
      </c>
      <c r="Y72" s="7" t="str">
        <f ca="1">'Database MK'!GK73</f>
        <v>Sudah, Delay</v>
      </c>
      <c r="Z72" s="7" t="str">
        <f ca="1">'Database MK'!HH73</f>
        <v>Sudah, Delay</v>
      </c>
      <c r="AA72" s="7" t="str">
        <f ca="1">'Database MK'!HR73</f>
        <v>Sudah, Delay</v>
      </c>
      <c r="AB72" s="7" t="str">
        <f ca="1">'Database MK'!HX73</f>
        <v>Sudah, Delay</v>
      </c>
      <c r="AC72" s="7">
        <f>'Database MK'!DA73-'Database MK'!DB73</f>
        <v>45557</v>
      </c>
      <c r="AD72" s="7">
        <f>'Database MK'!DA73-'Database MK'!DF73</f>
        <v>45557</v>
      </c>
      <c r="AE72" s="7">
        <f>'Database MK'!DK73-'Database MK'!DL73</f>
        <v>45592</v>
      </c>
      <c r="AF72" s="7">
        <f>'Database MK'!DK73-'Database MK'!DO73</f>
        <v>45592</v>
      </c>
      <c r="AG72" s="7">
        <f>'Database MK'!DU73-'Database MK'!DW73</f>
        <v>45599</v>
      </c>
      <c r="AH72" s="7" t="str">
        <f>IF('Database MK'!EB73="","Belum",'Database MK'!DU73-'Database MK'!EB73)</f>
        <v>Belum</v>
      </c>
      <c r="AI72" s="7" t="str">
        <f>IF('Database MK'!EN73="","Belum",'Database MK'!EL73-'Database MK'!EN73)</f>
        <v>Belum</v>
      </c>
      <c r="AJ72" s="7">
        <f>'Database MK'!FY73-'Database MK'!FZ73</f>
        <v>0</v>
      </c>
      <c r="AK72" s="7">
        <f>IF('Database MK'!GC73="","Belum",'Database MK'!GB73-'Database MK'!GC73)</f>
        <v>-62</v>
      </c>
      <c r="AL72" s="7">
        <f>IF('Database MK'!GF73="","Belum",'Database MK'!GE73-'Database MK'!GF73)</f>
        <v>-55</v>
      </c>
      <c r="AM72" s="279">
        <f>IF('Database MK'!GJ73="","Belum",'Database MK'!GI73-'Database MK'!GJ73)</f>
        <v>-52</v>
      </c>
      <c r="AN72" s="7">
        <f>IF('Database MK'!HG73="","Belum",'Database MK'!HF73-'Database MK'!HG73)</f>
        <v>-47</v>
      </c>
      <c r="AO72" s="7">
        <f>IF('Database MK'!HQ73="","Belum",'Database MK'!HN73-'Database MK'!HQ73)</f>
        <v>-41</v>
      </c>
      <c r="AP72" s="7">
        <f>IF('Database MK'!HW73="","Belum",'Database MK'!HU73-'Database MK'!HW73)</f>
        <v>-42</v>
      </c>
    </row>
    <row r="73" spans="2:42" x14ac:dyDescent="0.25">
      <c r="B73" s="7">
        <f>SUBTOTAL(3,$C$4:C73)</f>
        <v>70</v>
      </c>
      <c r="C73" s="271" t="s">
        <v>244</v>
      </c>
      <c r="D73" s="271" t="s">
        <v>606</v>
      </c>
      <c r="E73" s="271" t="s">
        <v>607</v>
      </c>
      <c r="F73" s="272">
        <v>45748</v>
      </c>
      <c r="G73" s="72" t="s">
        <v>247</v>
      </c>
      <c r="H73" s="72" t="str">
        <f>'Database MK'!Q74</f>
        <v>BATAL / CANCEL</v>
      </c>
      <c r="I73" s="572">
        <f>'Database MK'!S74</f>
        <v>1</v>
      </c>
      <c r="J73" s="572">
        <f>'Database MK'!T74</f>
        <v>0</v>
      </c>
      <c r="K73" s="573">
        <f>'Database MK'!U74</f>
        <v>-1</v>
      </c>
      <c r="L73" s="562">
        <f>'Database MK'!V74</f>
        <v>0</v>
      </c>
      <c r="M73" s="562">
        <f>'Database MK'!W74</f>
        <v>0</v>
      </c>
      <c r="N73" s="562">
        <f>Table3[[#This Row],[Total Panjang Pipa Aktual]]-Table3[[#This Row],[Volume
BA MC-0]]</f>
        <v>0</v>
      </c>
      <c r="O73" s="7" t="str">
        <f ca="1">'Database MK'!DE74</f>
        <v>Belum, Delay</v>
      </c>
      <c r="P73" s="7" t="str">
        <f ca="1">'Database MK'!DI74</f>
        <v>Belum, Delay</v>
      </c>
      <c r="Q73" s="7" t="str">
        <f ca="1">'Database MK'!DN74</f>
        <v>Belum, Delay</v>
      </c>
      <c r="R73" s="7" t="str">
        <f ca="1">'Database MK'!DR74</f>
        <v>Belum, Delay</v>
      </c>
      <c r="S73" s="7" t="str">
        <f ca="1">'Database MK'!EA74</f>
        <v>Belum, Delay</v>
      </c>
      <c r="T73" s="7" t="str">
        <f ca="1">'Database MK'!EI74</f>
        <v>Belum, Delay</v>
      </c>
      <c r="U73" s="7" t="str">
        <f ca="1">'Database MK'!ET74</f>
        <v>Belum, Delay</v>
      </c>
      <c r="V73" s="7" t="str">
        <f ca="1">'Database MK'!GA74</f>
        <v>Belum, Delay</v>
      </c>
      <c r="W73" s="7" t="str">
        <f ca="1">'Database MK'!GD74</f>
        <v>Belum, Delay</v>
      </c>
      <c r="X73" s="7" t="str">
        <f ca="1">'Database MK'!GG74</f>
        <v>Belum, Delay</v>
      </c>
      <c r="Y73" s="7" t="str">
        <f ca="1">'Database MK'!GK74</f>
        <v>Belum, Delay</v>
      </c>
      <c r="Z73" s="7" t="str">
        <f ca="1">'Database MK'!HH74</f>
        <v>Belum, Delay</v>
      </c>
      <c r="AA73" s="7" t="str">
        <f ca="1">'Database MK'!HR74</f>
        <v>Belum, Delay</v>
      </c>
      <c r="AB73" s="7" t="str">
        <f ca="1">'Database MK'!HX74</f>
        <v>Belum, Delay</v>
      </c>
      <c r="AC73" s="7">
        <f>'Database MK'!DA74-'Database MK'!DB74</f>
        <v>45543</v>
      </c>
      <c r="AD73" s="7">
        <f>'Database MK'!DA74-'Database MK'!DF74</f>
        <v>45543</v>
      </c>
      <c r="AE73" s="7">
        <f>'Database MK'!DK74-'Database MK'!DL74</f>
        <v>45592</v>
      </c>
      <c r="AF73" s="7">
        <f>'Database MK'!DK74-'Database MK'!DO74</f>
        <v>45592</v>
      </c>
      <c r="AG73" s="7">
        <f>'Database MK'!DU74-'Database MK'!DW74</f>
        <v>45571</v>
      </c>
      <c r="AH73" s="7" t="str">
        <f>IF('Database MK'!EB74="","Belum",'Database MK'!DU74-'Database MK'!EB74)</f>
        <v>Belum</v>
      </c>
      <c r="AI73" s="7" t="str">
        <f>IF('Database MK'!EN74="","Belum",'Database MK'!EL74-'Database MK'!EN74)</f>
        <v>Belum</v>
      </c>
      <c r="AJ73" s="7">
        <f>'Database MK'!FY74-'Database MK'!FZ74</f>
        <v>0</v>
      </c>
      <c r="AK73" s="7" t="str">
        <f>IF('Database MK'!GC74="","Belum",'Database MK'!GB74-'Database MK'!GC74)</f>
        <v>Belum</v>
      </c>
      <c r="AL73" s="7" t="str">
        <f>IF('Database MK'!GF74="","Belum",'Database MK'!GE74-'Database MK'!GF74)</f>
        <v>Belum</v>
      </c>
      <c r="AM73" s="279" t="str">
        <f>IF('Database MK'!GJ74="","Belum",'Database MK'!GI74-'Database MK'!GJ74)</f>
        <v>Belum</v>
      </c>
      <c r="AN73" s="7" t="str">
        <f>IF('Database MK'!HG74="","Belum",'Database MK'!HF74-'Database MK'!HG74)</f>
        <v>Belum</v>
      </c>
      <c r="AO73" s="7" t="str">
        <f>IF('Database MK'!HQ74="","Belum",'Database MK'!HN74-'Database MK'!HQ74)</f>
        <v>Belum</v>
      </c>
      <c r="AP73" s="7" t="str">
        <f>IF('Database MK'!HW74="","Belum",'Database MK'!HU74-'Database MK'!HW74)</f>
        <v>Belum</v>
      </c>
    </row>
    <row r="74" spans="2:42" x14ac:dyDescent="0.25">
      <c r="B74" s="7">
        <f>SUBTOTAL(3,$C$4:C74)</f>
        <v>71</v>
      </c>
      <c r="C74" s="271" t="s">
        <v>244</v>
      </c>
      <c r="D74" s="271" t="s">
        <v>609</v>
      </c>
      <c r="E74" s="271" t="s">
        <v>610</v>
      </c>
      <c r="F74" s="272">
        <v>45748</v>
      </c>
      <c r="G74" s="72" t="s">
        <v>247</v>
      </c>
      <c r="H74" s="72" t="str">
        <f>'Database MK'!Q75</f>
        <v>BATAL / CANCEL</v>
      </c>
      <c r="I74" s="572">
        <f>'Database MK'!S75</f>
        <v>1</v>
      </c>
      <c r="J74" s="572">
        <f>'Database MK'!T75</f>
        <v>0</v>
      </c>
      <c r="K74" s="573">
        <f>'Database MK'!U75</f>
        <v>-1</v>
      </c>
      <c r="L74" s="562">
        <f>'Database MK'!V75</f>
        <v>0</v>
      </c>
      <c r="M74" s="562">
        <f>'Database MK'!W75</f>
        <v>0</v>
      </c>
      <c r="N74" s="562">
        <f>Table3[[#This Row],[Total Panjang Pipa Aktual]]-Table3[[#This Row],[Volume
BA MC-0]]</f>
        <v>0</v>
      </c>
      <c r="O74" s="7" t="str">
        <f ca="1">'Database MK'!DE75</f>
        <v>Belum, Delay</v>
      </c>
      <c r="P74" s="7" t="str">
        <f ca="1">'Database MK'!DI75</f>
        <v>Belum, Delay</v>
      </c>
      <c r="Q74" s="7" t="str">
        <f ca="1">'Database MK'!DN75</f>
        <v>Sudah, Delay</v>
      </c>
      <c r="R74" s="7" t="str">
        <f ca="1">'Database MK'!DR75</f>
        <v>Sudah, Delay</v>
      </c>
      <c r="S74" s="7" t="str">
        <f ca="1">'Database MK'!EA75</f>
        <v>Belum, Delay</v>
      </c>
      <c r="T74" s="7" t="str">
        <f ca="1">'Database MK'!EI75</f>
        <v>Belum, Delay</v>
      </c>
      <c r="U74" s="7" t="str">
        <f ca="1">'Database MK'!ET75</f>
        <v>Belum, Delay</v>
      </c>
      <c r="V74" s="7" t="str">
        <f ca="1">'Database MK'!GA75</f>
        <v>Belum, Delay</v>
      </c>
      <c r="W74" s="7" t="str">
        <f ca="1">'Database MK'!GD75</f>
        <v>Belum, Delay</v>
      </c>
      <c r="X74" s="7" t="str">
        <f ca="1">'Database MK'!GG75</f>
        <v>Belum, Delay</v>
      </c>
      <c r="Y74" s="7" t="str">
        <f ca="1">'Database MK'!GK75</f>
        <v>Belum, Delay</v>
      </c>
      <c r="Z74" s="7" t="str">
        <f ca="1">'Database MK'!HH75</f>
        <v>Belum, Delay</v>
      </c>
      <c r="AA74" s="7" t="str">
        <f ca="1">'Database MK'!HR75</f>
        <v>Belum, Delay</v>
      </c>
      <c r="AB74" s="7" t="str">
        <f ca="1">'Database MK'!HX75</f>
        <v>Belum, Delay</v>
      </c>
      <c r="AC74" s="7">
        <f>'Database MK'!DA75-'Database MK'!DB75</f>
        <v>45543</v>
      </c>
      <c r="AD74" s="7">
        <f>'Database MK'!DA75-'Database MK'!DF75</f>
        <v>45543</v>
      </c>
      <c r="AE74" s="7">
        <f>'Database MK'!DK75-'Database MK'!DL75</f>
        <v>-47</v>
      </c>
      <c r="AF74" s="7">
        <f>'Database MK'!DK75-'Database MK'!DO75</f>
        <v>-58</v>
      </c>
      <c r="AG74" s="7">
        <f>'Database MK'!DU75-'Database MK'!DW75</f>
        <v>45571</v>
      </c>
      <c r="AH74" s="7" t="str">
        <f>IF('Database MK'!EB75="","Belum",'Database MK'!DU75-'Database MK'!EB75)</f>
        <v>Belum</v>
      </c>
      <c r="AI74" s="7" t="str">
        <f>IF('Database MK'!EN75="","Belum",'Database MK'!EL75-'Database MK'!EN75)</f>
        <v>Belum</v>
      </c>
      <c r="AJ74" s="7">
        <f>'Database MK'!FY75-'Database MK'!FZ75</f>
        <v>0</v>
      </c>
      <c r="AK74" s="7" t="str">
        <f>IF('Database MK'!GC75="","Belum",'Database MK'!GB75-'Database MK'!GC75)</f>
        <v>Belum</v>
      </c>
      <c r="AL74" s="7" t="str">
        <f>IF('Database MK'!GF75="","Belum",'Database MK'!GE75-'Database MK'!GF75)</f>
        <v>Belum</v>
      </c>
      <c r="AM74" s="279" t="str">
        <f>IF('Database MK'!GJ75="","Belum",'Database MK'!GI75-'Database MK'!GJ75)</f>
        <v>Belum</v>
      </c>
      <c r="AN74" s="7" t="str">
        <f>IF('Database MK'!HG75="","Belum",'Database MK'!HF75-'Database MK'!HG75)</f>
        <v>Belum</v>
      </c>
      <c r="AO74" s="7" t="str">
        <f>IF('Database MK'!HQ75="","Belum",'Database MK'!HN75-'Database MK'!HQ75)</f>
        <v>Belum</v>
      </c>
      <c r="AP74" s="7" t="str">
        <f>IF('Database MK'!HW75="","Belum",'Database MK'!HU75-'Database MK'!HW75)</f>
        <v>Belum</v>
      </c>
    </row>
    <row r="75" spans="2:42" x14ac:dyDescent="0.25">
      <c r="B75" s="7">
        <f>SUBTOTAL(3,$C$4:C75)</f>
        <v>72</v>
      </c>
      <c r="C75" s="271" t="s">
        <v>244</v>
      </c>
      <c r="D75" s="271" t="s">
        <v>614</v>
      </c>
      <c r="E75" s="271" t="s">
        <v>615</v>
      </c>
      <c r="F75" s="272">
        <v>45748</v>
      </c>
      <c r="G75" s="72" t="s">
        <v>247</v>
      </c>
      <c r="H75" s="72" t="str">
        <f>'Database MK'!Q76</f>
        <v>BATAL / CANCEL</v>
      </c>
      <c r="I75" s="572">
        <f>'Database MK'!S76</f>
        <v>1</v>
      </c>
      <c r="J75" s="572">
        <f>'Database MK'!T76</f>
        <v>0</v>
      </c>
      <c r="K75" s="573">
        <f>'Database MK'!U76</f>
        <v>-1</v>
      </c>
      <c r="L75" s="562">
        <f>'Database MK'!V76</f>
        <v>0</v>
      </c>
      <c r="M75" s="562">
        <f>'Database MK'!W76</f>
        <v>0</v>
      </c>
      <c r="N75" s="562">
        <f>Table3[[#This Row],[Total Panjang Pipa Aktual]]-Table3[[#This Row],[Volume
BA MC-0]]</f>
        <v>0</v>
      </c>
      <c r="O75" s="7" t="str">
        <f ca="1">'Database MK'!DE76</f>
        <v>Belum, Delay</v>
      </c>
      <c r="P75" s="7" t="str">
        <f ca="1">'Database MK'!DI76</f>
        <v>Belum, Delay</v>
      </c>
      <c r="Q75" s="7" t="str">
        <f ca="1">'Database MK'!DN76</f>
        <v>Sudah, Delay</v>
      </c>
      <c r="R75" s="7" t="str">
        <f ca="1">'Database MK'!DR76</f>
        <v>Sudah, Delay</v>
      </c>
      <c r="S75" s="7" t="str">
        <f ca="1">'Database MK'!EA76</f>
        <v>Belum, Delay</v>
      </c>
      <c r="T75" s="7" t="str">
        <f ca="1">'Database MK'!EI76</f>
        <v>Belum, Delay</v>
      </c>
      <c r="U75" s="7" t="str">
        <f ca="1">'Database MK'!ET76</f>
        <v>Belum, Delay</v>
      </c>
      <c r="V75" s="7" t="str">
        <f ca="1">'Database MK'!GA76</f>
        <v>Belum, Delay</v>
      </c>
      <c r="W75" s="7" t="str">
        <f ca="1">'Database MK'!GD76</f>
        <v>Belum, Delay</v>
      </c>
      <c r="X75" s="7" t="str">
        <f ca="1">'Database MK'!GG76</f>
        <v>Belum, Delay</v>
      </c>
      <c r="Y75" s="7" t="str">
        <f ca="1">'Database MK'!GK76</f>
        <v>Belum, Delay</v>
      </c>
      <c r="Z75" s="7" t="str">
        <f ca="1">'Database MK'!HH76</f>
        <v>Belum, Delay</v>
      </c>
      <c r="AA75" s="7" t="str">
        <f ca="1">'Database MK'!HR76</f>
        <v>Belum, Delay</v>
      </c>
      <c r="AB75" s="7" t="str">
        <f ca="1">'Database MK'!HX76</f>
        <v>Belum, Delay</v>
      </c>
      <c r="AC75" s="7">
        <f>'Database MK'!DA76-'Database MK'!DB76</f>
        <v>45543</v>
      </c>
      <c r="AD75" s="7">
        <f>'Database MK'!DA76-'Database MK'!DF76</f>
        <v>45543</v>
      </c>
      <c r="AE75" s="7">
        <f>'Database MK'!DK76-'Database MK'!DL76</f>
        <v>-48</v>
      </c>
      <c r="AF75" s="7">
        <f>'Database MK'!DK76-'Database MK'!DO76</f>
        <v>-60</v>
      </c>
      <c r="AG75" s="7">
        <f>'Database MK'!DU76-'Database MK'!DW76</f>
        <v>45571</v>
      </c>
      <c r="AH75" s="7" t="str">
        <f>IF('Database MK'!EB76="","Belum",'Database MK'!DU76-'Database MK'!EB76)</f>
        <v>Belum</v>
      </c>
      <c r="AI75" s="7" t="str">
        <f>IF('Database MK'!EN76="","Belum",'Database MK'!EL76-'Database MK'!EN76)</f>
        <v>Belum</v>
      </c>
      <c r="AJ75" s="7">
        <f>'Database MK'!FY76-'Database MK'!FZ76</f>
        <v>0</v>
      </c>
      <c r="AK75" s="7" t="str">
        <f>IF('Database MK'!GC76="","Belum",'Database MK'!GB76-'Database MK'!GC76)</f>
        <v>Belum</v>
      </c>
      <c r="AL75" s="7" t="str">
        <f>IF('Database MK'!GF76="","Belum",'Database MK'!GE76-'Database MK'!GF76)</f>
        <v>Belum</v>
      </c>
      <c r="AM75" s="279" t="str">
        <f>IF('Database MK'!GJ76="","Belum",'Database MK'!GI76-'Database MK'!GJ76)</f>
        <v>Belum</v>
      </c>
      <c r="AN75" s="7" t="str">
        <f>IF('Database MK'!HG76="","Belum",'Database MK'!HF76-'Database MK'!HG76)</f>
        <v>Belum</v>
      </c>
      <c r="AO75" s="7" t="str">
        <f>IF('Database MK'!HQ76="","Belum",'Database MK'!HN76-'Database MK'!HQ76)</f>
        <v>Belum</v>
      </c>
      <c r="AP75" s="7" t="str">
        <f>IF('Database MK'!HW76="","Belum",'Database MK'!HU76-'Database MK'!HW76)</f>
        <v>Belum</v>
      </c>
    </row>
    <row r="76" spans="2:42" x14ac:dyDescent="0.25">
      <c r="B76" s="7">
        <f>SUBTOTAL(3,$C$4:C76)</f>
        <v>73</v>
      </c>
      <c r="C76" s="271" t="s">
        <v>244</v>
      </c>
      <c r="D76" s="271" t="s">
        <v>619</v>
      </c>
      <c r="E76" s="271" t="s">
        <v>620</v>
      </c>
      <c r="F76" s="272">
        <v>45748</v>
      </c>
      <c r="G76" s="72" t="s">
        <v>247</v>
      </c>
      <c r="H76" s="72" t="str">
        <f>'Database MK'!Q77</f>
        <v>BATAL / CANCEL</v>
      </c>
      <c r="I76" s="572">
        <f>'Database MK'!S77</f>
        <v>1</v>
      </c>
      <c r="J76" s="572">
        <f>'Database MK'!T77</f>
        <v>0</v>
      </c>
      <c r="K76" s="573">
        <f>'Database MK'!U77</f>
        <v>-1</v>
      </c>
      <c r="L76" s="562">
        <f>'Database MK'!V77</f>
        <v>0</v>
      </c>
      <c r="M76" s="562">
        <f>'Database MK'!W77</f>
        <v>0</v>
      </c>
      <c r="N76" s="562">
        <f>Table3[[#This Row],[Total Panjang Pipa Aktual]]-Table3[[#This Row],[Volume
BA MC-0]]</f>
        <v>0</v>
      </c>
      <c r="O76" s="7" t="str">
        <f ca="1">'Database MK'!DE77</f>
        <v>Belum, Delay</v>
      </c>
      <c r="P76" s="7" t="str">
        <f ca="1">'Database MK'!DI77</f>
        <v>Belum, Delay</v>
      </c>
      <c r="Q76" s="7" t="str">
        <f ca="1">'Database MK'!DN77</f>
        <v>Sudah, Delay</v>
      </c>
      <c r="R76" s="7" t="str">
        <f ca="1">'Database MK'!DR77</f>
        <v>Sudah, Delay</v>
      </c>
      <c r="S76" s="7" t="str">
        <f ca="1">'Database MK'!EA77</f>
        <v>Belum, Delay</v>
      </c>
      <c r="T76" s="7" t="str">
        <f ca="1">'Database MK'!EI77</f>
        <v>Belum, Delay</v>
      </c>
      <c r="U76" s="7" t="str">
        <f ca="1">'Database MK'!ET77</f>
        <v>Belum, Delay</v>
      </c>
      <c r="V76" s="7" t="str">
        <f ca="1">'Database MK'!GA77</f>
        <v>Belum, Delay</v>
      </c>
      <c r="W76" s="7" t="str">
        <f ca="1">'Database MK'!GD77</f>
        <v>Belum, Delay</v>
      </c>
      <c r="X76" s="7" t="str">
        <f ca="1">'Database MK'!GG77</f>
        <v>Belum, Delay</v>
      </c>
      <c r="Y76" s="7" t="str">
        <f ca="1">'Database MK'!GK77</f>
        <v>Belum, Delay</v>
      </c>
      <c r="Z76" s="7" t="str">
        <f ca="1">'Database MK'!HH77</f>
        <v>Belum, Delay</v>
      </c>
      <c r="AA76" s="7" t="str">
        <f ca="1">'Database MK'!HR77</f>
        <v>Belum, Delay</v>
      </c>
      <c r="AB76" s="7" t="str">
        <f ca="1">'Database MK'!HX77</f>
        <v>Belum, Delay</v>
      </c>
      <c r="AC76" s="7">
        <f>'Database MK'!DA77-'Database MK'!DB77</f>
        <v>45543</v>
      </c>
      <c r="AD76" s="7">
        <f>'Database MK'!DA77-'Database MK'!DF77</f>
        <v>45543</v>
      </c>
      <c r="AE76" s="7">
        <f>'Database MK'!DK77-'Database MK'!DL77</f>
        <v>-48</v>
      </c>
      <c r="AF76" s="7">
        <f>'Database MK'!DK77-'Database MK'!DO77</f>
        <v>-58</v>
      </c>
      <c r="AG76" s="7">
        <f>'Database MK'!DU77-'Database MK'!DW77</f>
        <v>45571</v>
      </c>
      <c r="AH76" s="7" t="str">
        <f>IF('Database MK'!EB77="","Belum",'Database MK'!DU77-'Database MK'!EB77)</f>
        <v>Belum</v>
      </c>
      <c r="AI76" s="7" t="str">
        <f>IF('Database MK'!EN77="","Belum",'Database MK'!EL77-'Database MK'!EN77)</f>
        <v>Belum</v>
      </c>
      <c r="AJ76" s="7">
        <f>'Database MK'!FY77-'Database MK'!FZ77</f>
        <v>0</v>
      </c>
      <c r="AK76" s="7" t="str">
        <f>IF('Database MK'!GC77="","Belum",'Database MK'!GB77-'Database MK'!GC77)</f>
        <v>Belum</v>
      </c>
      <c r="AL76" s="7" t="str">
        <f>IF('Database MK'!GF77="","Belum",'Database MK'!GE77-'Database MK'!GF77)</f>
        <v>Belum</v>
      </c>
      <c r="AM76" s="279" t="str">
        <f>IF('Database MK'!GJ77="","Belum",'Database MK'!GI77-'Database MK'!GJ77)</f>
        <v>Belum</v>
      </c>
      <c r="AN76" s="7" t="str">
        <f>IF('Database MK'!HG77="","Belum",'Database MK'!HF77-'Database MK'!HG77)</f>
        <v>Belum</v>
      </c>
      <c r="AO76" s="7" t="str">
        <f>IF('Database MK'!HQ77="","Belum",'Database MK'!HN77-'Database MK'!HQ77)</f>
        <v>Belum</v>
      </c>
      <c r="AP76" s="7" t="str">
        <f>IF('Database MK'!HW77="","Belum",'Database MK'!HU77-'Database MK'!HW77)</f>
        <v>Belum</v>
      </c>
    </row>
    <row r="77" spans="2:42" x14ac:dyDescent="0.25">
      <c r="B77" s="7">
        <f>SUBTOTAL(3,$C$4:C77)</f>
        <v>74</v>
      </c>
      <c r="C77" s="271" t="s">
        <v>244</v>
      </c>
      <c r="D77" s="271" t="s">
        <v>624</v>
      </c>
      <c r="E77" s="271" t="s">
        <v>625</v>
      </c>
      <c r="F77" s="272">
        <v>45748</v>
      </c>
      <c r="G77" s="72" t="s">
        <v>247</v>
      </c>
      <c r="H77" s="72" t="str">
        <f>'Database MK'!Q78</f>
        <v>BATAL / CANCEL</v>
      </c>
      <c r="I77" s="572">
        <f>'Database MK'!S78</f>
        <v>1</v>
      </c>
      <c r="J77" s="572">
        <f>'Database MK'!T78</f>
        <v>0</v>
      </c>
      <c r="K77" s="573">
        <f>'Database MK'!U78</f>
        <v>-1</v>
      </c>
      <c r="L77" s="562">
        <f>'Database MK'!V78</f>
        <v>0</v>
      </c>
      <c r="M77" s="562">
        <f>'Database MK'!W78</f>
        <v>0</v>
      </c>
      <c r="N77" s="562">
        <f>Table3[[#This Row],[Total Panjang Pipa Aktual]]-Table3[[#This Row],[Volume
BA MC-0]]</f>
        <v>0</v>
      </c>
      <c r="O77" s="7" t="str">
        <f ca="1">'Database MK'!DE78</f>
        <v>Belum, Delay</v>
      </c>
      <c r="P77" s="7" t="str">
        <f ca="1">'Database MK'!DI78</f>
        <v>Belum, Delay</v>
      </c>
      <c r="Q77" s="7" t="str">
        <f ca="1">'Database MK'!DN78</f>
        <v>Sudah, Delay</v>
      </c>
      <c r="R77" s="7" t="str">
        <f ca="1">'Database MK'!DR78</f>
        <v>Sudah, Delay</v>
      </c>
      <c r="S77" s="7" t="str">
        <f ca="1">'Database MK'!EA78</f>
        <v>Belum, Delay</v>
      </c>
      <c r="T77" s="7" t="str">
        <f ca="1">'Database MK'!EI78</f>
        <v>Belum, Delay</v>
      </c>
      <c r="U77" s="7" t="str">
        <f ca="1">'Database MK'!ET78</f>
        <v>Belum, Delay</v>
      </c>
      <c r="V77" s="7" t="str">
        <f ca="1">'Database MK'!GA78</f>
        <v>Belum, Delay</v>
      </c>
      <c r="W77" s="7" t="str">
        <f ca="1">'Database MK'!GD78</f>
        <v>Belum, Delay</v>
      </c>
      <c r="X77" s="7" t="str">
        <f ca="1">'Database MK'!GG78</f>
        <v>Belum, Delay</v>
      </c>
      <c r="Y77" s="7" t="str">
        <f ca="1">'Database MK'!GK78</f>
        <v>Belum, Delay</v>
      </c>
      <c r="Z77" s="7" t="str">
        <f ca="1">'Database MK'!HH78</f>
        <v>Belum, Delay</v>
      </c>
      <c r="AA77" s="7" t="str">
        <f ca="1">'Database MK'!HR78</f>
        <v>Belum, Delay</v>
      </c>
      <c r="AB77" s="7" t="str">
        <f ca="1">'Database MK'!HX78</f>
        <v>Belum, Delay</v>
      </c>
      <c r="AC77" s="7">
        <f>'Database MK'!DA78-'Database MK'!DB78</f>
        <v>45557</v>
      </c>
      <c r="AD77" s="7">
        <f>'Database MK'!DA78-'Database MK'!DF78</f>
        <v>45557</v>
      </c>
      <c r="AE77" s="7">
        <f>'Database MK'!DK78-'Database MK'!DL78</f>
        <v>-48</v>
      </c>
      <c r="AF77" s="7">
        <f>'Database MK'!DK78-'Database MK'!DO78</f>
        <v>-58</v>
      </c>
      <c r="AG77" s="7">
        <f>'Database MK'!DU78-'Database MK'!DW78</f>
        <v>45599</v>
      </c>
      <c r="AH77" s="7" t="str">
        <f>IF('Database MK'!EB78="","Belum",'Database MK'!DU78-'Database MK'!EB78)</f>
        <v>Belum</v>
      </c>
      <c r="AI77" s="7" t="str">
        <f>IF('Database MK'!EN78="","Belum",'Database MK'!EL78-'Database MK'!EN78)</f>
        <v>Belum</v>
      </c>
      <c r="AJ77" s="7">
        <f>'Database MK'!FY78-'Database MK'!FZ78</f>
        <v>0</v>
      </c>
      <c r="AK77" s="7" t="str">
        <f>IF('Database MK'!GC78="","Belum",'Database MK'!GB78-'Database MK'!GC78)</f>
        <v>Belum</v>
      </c>
      <c r="AL77" s="7" t="str">
        <f>IF('Database MK'!GF78="","Belum",'Database MK'!GE78-'Database MK'!GF78)</f>
        <v>Belum</v>
      </c>
      <c r="AM77" s="279" t="str">
        <f>IF('Database MK'!GJ78="","Belum",'Database MK'!GI78-'Database MK'!GJ78)</f>
        <v>Belum</v>
      </c>
      <c r="AN77" s="7" t="str">
        <f>IF('Database MK'!HG78="","Belum",'Database MK'!HF78-'Database MK'!HG78)</f>
        <v>Belum</v>
      </c>
      <c r="AO77" s="7" t="str">
        <f>IF('Database MK'!HQ78="","Belum",'Database MK'!HN78-'Database MK'!HQ78)</f>
        <v>Belum</v>
      </c>
      <c r="AP77" s="7" t="str">
        <f>IF('Database MK'!HW78="","Belum",'Database MK'!HU78-'Database MK'!HW78)</f>
        <v>Belum</v>
      </c>
    </row>
    <row r="78" spans="2:42" hidden="1" x14ac:dyDescent="0.25">
      <c r="B78" s="7">
        <f>SUBTOTAL(3,$C$4:C78)</f>
        <v>74</v>
      </c>
      <c r="C78" s="4" t="s">
        <v>629</v>
      </c>
      <c r="D78" s="269" t="s">
        <v>630</v>
      </c>
      <c r="E78" s="269" t="s">
        <v>631</v>
      </c>
      <c r="F78" s="270">
        <v>45748</v>
      </c>
      <c r="G78" s="4" t="s">
        <v>247</v>
      </c>
      <c r="H78" s="4" t="str">
        <f ca="1">'Database MK'!Q79</f>
        <v>DPPP</v>
      </c>
      <c r="I78" s="24">
        <f>'Database MK'!S79</f>
        <v>1</v>
      </c>
      <c r="J78" s="24">
        <f>'Database MK'!T79</f>
        <v>1</v>
      </c>
      <c r="K78" s="571">
        <f>'Database MK'!U79</f>
        <v>0</v>
      </c>
      <c r="L78" s="561">
        <f>'Database MK'!V79</f>
        <v>145</v>
      </c>
      <c r="M78" s="561">
        <f>'Database MK'!W79</f>
        <v>145</v>
      </c>
      <c r="N78" s="561">
        <f>Table3[[#This Row],[Total Panjang Pipa Aktual]]-Table3[[#This Row],[Volume
BA MC-0]]</f>
        <v>0</v>
      </c>
      <c r="O78" s="7" t="str">
        <f ca="1">'Database MK'!DE79</f>
        <v>Belum, Delay</v>
      </c>
      <c r="P78" s="7" t="str">
        <f ca="1">'Database MK'!DI79</f>
        <v>Belum, Delay</v>
      </c>
      <c r="Q78" s="7" t="str">
        <f ca="1">'Database MK'!DN79</f>
        <v>Sudah, OnSchedule</v>
      </c>
      <c r="R78" s="7" t="str">
        <f ca="1">'Database MK'!DR79</f>
        <v>Sudah, OnSchedule</v>
      </c>
      <c r="S78" s="7" t="str">
        <f ca="1">'Database MK'!EA79</f>
        <v>Belum, Delay</v>
      </c>
      <c r="T78" s="7" t="str">
        <f ca="1">'Database MK'!EI79</f>
        <v>Belum, Delay</v>
      </c>
      <c r="U78" s="7" t="str">
        <f ca="1">'Database MK'!ET79</f>
        <v>Belum, Delay</v>
      </c>
      <c r="V78" s="7" t="str">
        <f ca="1">'Database MK'!GA79</f>
        <v>Sudah, Delay</v>
      </c>
      <c r="W78" s="7" t="str">
        <f ca="1">'Database MK'!GD79</f>
        <v>Sudah, OnSchedule</v>
      </c>
      <c r="X78" s="7" t="str">
        <f ca="1">'Database MK'!GG79</f>
        <v>Sudah, OnSchedule</v>
      </c>
      <c r="Y78" s="7" t="str">
        <f ca="1">'Database MK'!GK79</f>
        <v>Sudah, OnSchedule</v>
      </c>
      <c r="Z78" s="7" t="str">
        <f ca="1">'Database MK'!HH79</f>
        <v>Sudah, OnSchedule</v>
      </c>
      <c r="AA78" s="7" t="str">
        <f ca="1">'Database MK'!HR79</f>
        <v>Sudah, OnSchedule</v>
      </c>
      <c r="AB78" s="7" t="str">
        <f ca="1">'Database MK'!HX79</f>
        <v>Sudah, Delay</v>
      </c>
      <c r="AC78" s="7">
        <f>'Database MK'!DA79-'Database MK'!DB79</f>
        <v>45438</v>
      </c>
      <c r="AD78" s="7">
        <f>'Database MK'!DA79-'Database MK'!DF79</f>
        <v>45438</v>
      </c>
      <c r="AE78" s="7">
        <f>'Database MK'!DK79-'Database MK'!DL79</f>
        <v>33</v>
      </c>
      <c r="AF78" s="7">
        <f>'Database MK'!DK79-'Database MK'!DO79</f>
        <v>32</v>
      </c>
      <c r="AG78" s="7">
        <f>'Database MK'!DU79-'Database MK'!DW79</f>
        <v>45480</v>
      </c>
      <c r="AH78" s="7" t="str">
        <f>IF('Database MK'!EB79="","Belum",'Database MK'!DU79-'Database MK'!EB79)</f>
        <v>Belum</v>
      </c>
      <c r="AI78" s="7" t="str">
        <f>IF('Database MK'!EN79="","Belum",'Database MK'!EL79-'Database MK'!EN79)</f>
        <v>Belum</v>
      </c>
      <c r="AJ78" s="7">
        <f>'Database MK'!FY79-'Database MK'!FZ79</f>
        <v>-45582</v>
      </c>
      <c r="AK78" s="7">
        <f>IF('Database MK'!GC79="","Belum",'Database MK'!GB79-'Database MK'!GC79)</f>
        <v>46</v>
      </c>
      <c r="AL78" s="7">
        <f>IF('Database MK'!GF79="","Belum",'Database MK'!GE79-'Database MK'!GF79)</f>
        <v>53</v>
      </c>
      <c r="AM78" s="279">
        <f>IF('Database MK'!GJ79="","Belum",'Database MK'!GI79-'Database MK'!GJ79)</f>
        <v>60</v>
      </c>
      <c r="AN78" s="7">
        <f>IF('Database MK'!HG79="","Belum",'Database MK'!HF79-'Database MK'!HG79)</f>
        <v>19</v>
      </c>
      <c r="AO78" s="7">
        <f>IF('Database MK'!HQ79="","Belum",'Database MK'!HN79-'Database MK'!HQ79)</f>
        <v>31</v>
      </c>
      <c r="AP78" s="7">
        <f>IF('Database MK'!HW79="","Belum",'Database MK'!HU79-'Database MK'!HW79)</f>
        <v>-152</v>
      </c>
    </row>
    <row r="79" spans="2:42" hidden="1" x14ac:dyDescent="0.25">
      <c r="B79" s="7">
        <f>SUBTOTAL(3,$C$4:C79)</f>
        <v>74</v>
      </c>
      <c r="C79" s="4" t="s">
        <v>629</v>
      </c>
      <c r="D79" s="269" t="s">
        <v>636</v>
      </c>
      <c r="E79" s="269" t="s">
        <v>637</v>
      </c>
      <c r="F79" s="270">
        <v>45748</v>
      </c>
      <c r="G79" s="4" t="s">
        <v>247</v>
      </c>
      <c r="H79" s="4" t="str">
        <f ca="1">'Database MK'!Q80</f>
        <v>DPPP</v>
      </c>
      <c r="I79" s="24">
        <f>'Database MK'!S80</f>
        <v>1</v>
      </c>
      <c r="J79" s="24">
        <f>'Database MK'!T80</f>
        <v>1</v>
      </c>
      <c r="K79" s="571">
        <f>'Database MK'!U80</f>
        <v>0</v>
      </c>
      <c r="L79" s="561">
        <f>'Database MK'!V80</f>
        <v>346</v>
      </c>
      <c r="M79" s="561">
        <f>'Database MK'!W80</f>
        <v>338</v>
      </c>
      <c r="N79" s="561">
        <f>Table3[[#This Row],[Total Panjang Pipa Aktual]]-Table3[[#This Row],[Volume
BA MC-0]]</f>
        <v>-8</v>
      </c>
      <c r="O79" s="7" t="str">
        <f ca="1">'Database MK'!DE80</f>
        <v>Belum, Delay</v>
      </c>
      <c r="P79" s="7" t="str">
        <f ca="1">'Database MK'!DI80</f>
        <v>Belum, Delay</v>
      </c>
      <c r="Q79" s="7" t="str">
        <f ca="1">'Database MK'!DN80</f>
        <v>Sudah, OnSchedule</v>
      </c>
      <c r="R79" s="7" t="str">
        <f ca="1">'Database MK'!DR80</f>
        <v>Sudah, OnSchedule</v>
      </c>
      <c r="S79" s="7" t="str">
        <f ca="1">'Database MK'!EA80</f>
        <v>Belum, Delay</v>
      </c>
      <c r="T79" s="7" t="str">
        <f ca="1">'Database MK'!EI80</f>
        <v>Belum, Delay</v>
      </c>
      <c r="U79" s="7" t="str">
        <f ca="1">'Database MK'!ET80</f>
        <v>Belum, Delay</v>
      </c>
      <c r="V79" s="7" t="str">
        <f ca="1">'Database MK'!GA80</f>
        <v>Sudah, Delay</v>
      </c>
      <c r="W79" s="7" t="str">
        <f ca="1">'Database MK'!GD80</f>
        <v>Sudah, OnSchedule</v>
      </c>
      <c r="X79" s="7" t="str">
        <f ca="1">'Database MK'!GG80</f>
        <v>Sudah, OnSchedule</v>
      </c>
      <c r="Y79" s="7" t="str">
        <f ca="1">'Database MK'!GK80</f>
        <v>Sudah, OnSchedule</v>
      </c>
      <c r="Z79" s="7" t="str">
        <f ca="1">'Database MK'!HH80</f>
        <v>Sudah, OnSchedule</v>
      </c>
      <c r="AA79" s="7" t="str">
        <f ca="1">'Database MK'!HR80</f>
        <v>Sudah, OnSchedule</v>
      </c>
      <c r="AB79" s="7" t="str">
        <f ca="1">'Database MK'!HX80</f>
        <v>Sudah, Delay</v>
      </c>
      <c r="AC79" s="7">
        <f>'Database MK'!DA80-'Database MK'!DB80</f>
        <v>45438</v>
      </c>
      <c r="AD79" s="7">
        <f>'Database MK'!DA80-'Database MK'!DF80</f>
        <v>45438</v>
      </c>
      <c r="AE79" s="7">
        <f>'Database MK'!DK80-'Database MK'!DL80</f>
        <v>33</v>
      </c>
      <c r="AF79" s="7">
        <f>'Database MK'!DK80-'Database MK'!DO80</f>
        <v>32</v>
      </c>
      <c r="AG79" s="7">
        <f>'Database MK'!DU80-'Database MK'!DW80</f>
        <v>45480</v>
      </c>
      <c r="AH79" s="7" t="str">
        <f>IF('Database MK'!EB80="","Belum",'Database MK'!DU80-'Database MK'!EB80)</f>
        <v>Belum</v>
      </c>
      <c r="AI79" s="7" t="str">
        <f>IF('Database MK'!EN80="","Belum",'Database MK'!EL80-'Database MK'!EN80)</f>
        <v>Belum</v>
      </c>
      <c r="AJ79" s="7">
        <f>'Database MK'!FY80-'Database MK'!FZ80</f>
        <v>-45582</v>
      </c>
      <c r="AK79" s="7">
        <f>IF('Database MK'!GC80="","Belum",'Database MK'!GB80-'Database MK'!GC80)</f>
        <v>46</v>
      </c>
      <c r="AL79" s="7">
        <f>IF('Database MK'!GF80="","Belum",'Database MK'!GE80-'Database MK'!GF80)</f>
        <v>53</v>
      </c>
      <c r="AM79" s="279">
        <f>IF('Database MK'!GJ80="","Belum",'Database MK'!GI80-'Database MK'!GJ80)</f>
        <v>60</v>
      </c>
      <c r="AN79" s="7">
        <f>IF('Database MK'!HG80="","Belum",'Database MK'!HF80-'Database MK'!HG80)</f>
        <v>19</v>
      </c>
      <c r="AO79" s="7">
        <f>IF('Database MK'!HQ80="","Belum",'Database MK'!HN80-'Database MK'!HQ80)</f>
        <v>31</v>
      </c>
      <c r="AP79" s="7">
        <f>IF('Database MK'!HW80="","Belum",'Database MK'!HU80-'Database MK'!HW80)</f>
        <v>-152</v>
      </c>
    </row>
    <row r="80" spans="2:42" hidden="1" x14ac:dyDescent="0.25">
      <c r="B80" s="7">
        <f>SUBTOTAL(3,$C$4:C80)</f>
        <v>74</v>
      </c>
      <c r="C80" s="4" t="s">
        <v>629</v>
      </c>
      <c r="D80" s="269" t="s">
        <v>641</v>
      </c>
      <c r="E80" s="269" t="s">
        <v>642</v>
      </c>
      <c r="F80" s="270">
        <v>45748</v>
      </c>
      <c r="G80" s="4" t="s">
        <v>247</v>
      </c>
      <c r="H80" s="4" t="str">
        <f ca="1">'Database MK'!Q81</f>
        <v>DPPP</v>
      </c>
      <c r="I80" s="24">
        <f>'Database MK'!S81</f>
        <v>1</v>
      </c>
      <c r="J80" s="24">
        <f>'Database MK'!T81</f>
        <v>1</v>
      </c>
      <c r="K80" s="571">
        <f>'Database MK'!U81</f>
        <v>0</v>
      </c>
      <c r="L80" s="561">
        <f>'Database MK'!V81</f>
        <v>2650</v>
      </c>
      <c r="M80" s="561">
        <f>'Database MK'!W81</f>
        <v>2654</v>
      </c>
      <c r="N80" s="561">
        <f>Table3[[#This Row],[Total Panjang Pipa Aktual]]-Table3[[#This Row],[Volume
BA MC-0]]</f>
        <v>4</v>
      </c>
      <c r="O80" s="7" t="str">
        <f ca="1">'Database MK'!DE81</f>
        <v>Belum, Delay</v>
      </c>
      <c r="P80" s="7" t="str">
        <f ca="1">'Database MK'!DI81</f>
        <v>Belum, Delay</v>
      </c>
      <c r="Q80" s="7" t="str">
        <f ca="1">'Database MK'!DN81</f>
        <v>Sudah, Delay</v>
      </c>
      <c r="R80" s="7" t="str">
        <f ca="1">'Database MK'!DR81</f>
        <v>Sudah, Delay</v>
      </c>
      <c r="S80" s="7" t="str">
        <f ca="1">'Database MK'!EA81</f>
        <v>Belum, Delay</v>
      </c>
      <c r="T80" s="7" t="str">
        <f ca="1">'Database MK'!EI81</f>
        <v>Belum, Delay</v>
      </c>
      <c r="U80" s="7" t="str">
        <f ca="1">'Database MK'!ET81</f>
        <v>Belum, Delay</v>
      </c>
      <c r="V80" s="7" t="str">
        <f ca="1">'Database MK'!GA81</f>
        <v>Sudah, Delay</v>
      </c>
      <c r="W80" s="7" t="str">
        <f ca="1">'Database MK'!GD81</f>
        <v>Sudah, Delay</v>
      </c>
      <c r="X80" s="7" t="str">
        <f ca="1">'Database MK'!GG81</f>
        <v>Sudah, Delay</v>
      </c>
      <c r="Y80" s="7" t="str">
        <f ca="1">'Database MK'!GK81</f>
        <v>Sudah, Delay</v>
      </c>
      <c r="Z80" s="7" t="str">
        <f ca="1">'Database MK'!HH81</f>
        <v>Sudah, Delay</v>
      </c>
      <c r="AA80" s="7" t="str">
        <f ca="1">'Database MK'!HR81</f>
        <v>Sudah, Delay</v>
      </c>
      <c r="AB80" s="7" t="str">
        <f ca="1">'Database MK'!HX81</f>
        <v>Sudah, Delay</v>
      </c>
      <c r="AC80" s="7">
        <f>'Database MK'!DA81-'Database MK'!DB81</f>
        <v>45354</v>
      </c>
      <c r="AD80" s="7">
        <f>'Database MK'!DA81-'Database MK'!DF81</f>
        <v>45354</v>
      </c>
      <c r="AE80" s="7">
        <f>'Database MK'!DK81-'Database MK'!DL81</f>
        <v>-135</v>
      </c>
      <c r="AF80" s="7">
        <f>'Database MK'!DK81-'Database MK'!DO81</f>
        <v>-151</v>
      </c>
      <c r="AG80" s="7">
        <f>'Database MK'!DU81-'Database MK'!DW81</f>
        <v>45403</v>
      </c>
      <c r="AH80" s="7" t="str">
        <f>IF('Database MK'!EB81="","Belum",'Database MK'!DU81-'Database MK'!EB81)</f>
        <v>Belum</v>
      </c>
      <c r="AI80" s="7" t="str">
        <f>IF('Database MK'!EN81="","Belum",'Database MK'!EL81-'Database MK'!EN81)</f>
        <v>Belum</v>
      </c>
      <c r="AJ80" s="7">
        <f>'Database MK'!FY81-'Database MK'!FZ81</f>
        <v>-45582</v>
      </c>
      <c r="AK80" s="7">
        <f>IF('Database MK'!GC81="","Belum",'Database MK'!GB81-'Database MK'!GC81)</f>
        <v>-270</v>
      </c>
      <c r="AL80" s="7">
        <f>IF('Database MK'!GF81="","Belum",'Database MK'!GE81-'Database MK'!GF81)</f>
        <v>-262</v>
      </c>
      <c r="AM80" s="279">
        <f>IF('Database MK'!GJ81="","Belum",'Database MK'!GI81-'Database MK'!GJ81)</f>
        <v>-285</v>
      </c>
      <c r="AN80" s="7">
        <f>IF('Database MK'!HG81="","Belum",'Database MK'!HF81-'Database MK'!HG81)</f>
        <v>-61</v>
      </c>
      <c r="AO80" s="7">
        <f>IF('Database MK'!HQ81="","Belum",'Database MK'!HN81-'Database MK'!HQ81)</f>
        <v>-55</v>
      </c>
      <c r="AP80" s="7">
        <f>IF('Database MK'!HW81="","Belum",'Database MK'!HU81-'Database MK'!HW81)</f>
        <v>-7</v>
      </c>
    </row>
    <row r="81" spans="2:42" hidden="1" x14ac:dyDescent="0.25">
      <c r="B81" s="7">
        <f>SUBTOTAL(3,$C$4:C81)</f>
        <v>74</v>
      </c>
      <c r="C81" s="4" t="s">
        <v>629</v>
      </c>
      <c r="D81" s="269" t="s">
        <v>647</v>
      </c>
      <c r="E81" s="269" t="s">
        <v>648</v>
      </c>
      <c r="F81" s="270">
        <v>45748</v>
      </c>
      <c r="G81" s="4" t="s">
        <v>247</v>
      </c>
      <c r="H81" s="4" t="str">
        <f ca="1">'Database MK'!Q82</f>
        <v>DPPP</v>
      </c>
      <c r="I81" s="24">
        <f>'Database MK'!S82</f>
        <v>1</v>
      </c>
      <c r="J81" s="24">
        <f>'Database MK'!T82</f>
        <v>1</v>
      </c>
      <c r="K81" s="571">
        <f>'Database MK'!U82</f>
        <v>0</v>
      </c>
      <c r="L81" s="561">
        <f>'Database MK'!V82</f>
        <v>413</v>
      </c>
      <c r="M81" s="561">
        <f>'Database MK'!W82</f>
        <v>413.3</v>
      </c>
      <c r="N81" s="561">
        <f>Table3[[#This Row],[Total Panjang Pipa Aktual]]-Table3[[#This Row],[Volume
BA MC-0]]</f>
        <v>0.30000000000001137</v>
      </c>
      <c r="O81" s="7" t="str">
        <f ca="1">'Database MK'!DE82</f>
        <v>Sudah, OnSchedule</v>
      </c>
      <c r="P81" s="7" t="str">
        <f ca="1">'Database MK'!DI82</f>
        <v>Sudah, OnSchedule</v>
      </c>
      <c r="Q81" s="7" t="str">
        <f ca="1">'Database MK'!DN82</f>
        <v>Sudah, Delay</v>
      </c>
      <c r="R81" s="7" t="str">
        <f ca="1">'Database MK'!DR82</f>
        <v>Sudah, Delay</v>
      </c>
      <c r="S81" s="7" t="str">
        <f ca="1">'Database MK'!EA82</f>
        <v>Belum, Delay</v>
      </c>
      <c r="T81" s="7" t="str">
        <f ca="1">'Database MK'!EI82</f>
        <v>Belum, Delay</v>
      </c>
      <c r="U81" s="7" t="str">
        <f ca="1">'Database MK'!ET82</f>
        <v>Belum, Delay</v>
      </c>
      <c r="V81" s="7" t="str">
        <f ca="1">'Database MK'!GA82</f>
        <v>Sudah, Delay</v>
      </c>
      <c r="W81" s="7" t="str">
        <f ca="1">'Database MK'!GD82</f>
        <v>Sudah, OnSchedule</v>
      </c>
      <c r="X81" s="7" t="str">
        <f ca="1">'Database MK'!GG82</f>
        <v>Sudah, OnSchedule</v>
      </c>
      <c r="Y81" s="7" t="str">
        <f ca="1">'Database MK'!GK82</f>
        <v>Sudah, OnSchedule</v>
      </c>
      <c r="Z81" s="7" t="str">
        <f ca="1">'Database MK'!HH82</f>
        <v>Sudah, Delay</v>
      </c>
      <c r="AA81" s="7" t="str">
        <f ca="1">'Database MK'!HR82</f>
        <v>Sudah, Delay</v>
      </c>
      <c r="AB81" s="7" t="str">
        <f ca="1">'Database MK'!HX82</f>
        <v>Sudah, Delay</v>
      </c>
      <c r="AC81" s="7">
        <f>'Database MK'!DA82-'Database MK'!DB82</f>
        <v>129</v>
      </c>
      <c r="AD81" s="7">
        <f>'Database MK'!DA82-'Database MK'!DF82</f>
        <v>107</v>
      </c>
      <c r="AE81" s="7">
        <f>'Database MK'!DK82-'Database MK'!DL82</f>
        <v>-66</v>
      </c>
      <c r="AF81" s="7">
        <f>'Database MK'!DK82-'Database MK'!DO82</f>
        <v>-106</v>
      </c>
      <c r="AG81" s="7">
        <f>'Database MK'!DU82-'Database MK'!DW82</f>
        <v>45431</v>
      </c>
      <c r="AH81" s="7" t="str">
        <f>IF('Database MK'!EB82="","Belum",'Database MK'!DU82-'Database MK'!EB82)</f>
        <v>Belum</v>
      </c>
      <c r="AI81" s="7" t="str">
        <f>IF('Database MK'!EN82="","Belum",'Database MK'!EL82-'Database MK'!EN82)</f>
        <v>Belum</v>
      </c>
      <c r="AJ81" s="7">
        <f>'Database MK'!FY82-'Database MK'!FZ82</f>
        <v>-45582</v>
      </c>
      <c r="AK81" s="7">
        <f>IF('Database MK'!GC82="","Belum",'Database MK'!GB82-'Database MK'!GC82)</f>
        <v>18</v>
      </c>
      <c r="AL81" s="7">
        <f>IF('Database MK'!GF82="","Belum",'Database MK'!GE82-'Database MK'!GF82)</f>
        <v>25</v>
      </c>
      <c r="AM81" s="279">
        <f>IF('Database MK'!GJ82="","Belum",'Database MK'!GI82-'Database MK'!GJ82)</f>
        <v>32</v>
      </c>
      <c r="AN81" s="7">
        <f>IF('Database MK'!HG82="","Belum",'Database MK'!HF82-'Database MK'!HG82)</f>
        <v>-61</v>
      </c>
      <c r="AO81" s="7">
        <f>IF('Database MK'!HQ82="","Belum",'Database MK'!HN82-'Database MK'!HQ82)</f>
        <v>-55</v>
      </c>
      <c r="AP81" s="7">
        <f>IF('Database MK'!HW82="","Belum",'Database MK'!HU82-'Database MK'!HW82)</f>
        <v>-7</v>
      </c>
    </row>
    <row r="82" spans="2:42" hidden="1" x14ac:dyDescent="0.25">
      <c r="B82" s="7">
        <f>SUBTOTAL(3,$C$4:C82)</f>
        <v>74</v>
      </c>
      <c r="C82" s="4" t="s">
        <v>629</v>
      </c>
      <c r="D82" s="269" t="s">
        <v>654</v>
      </c>
      <c r="E82" s="269" t="s">
        <v>655</v>
      </c>
      <c r="F82" s="270">
        <v>45748</v>
      </c>
      <c r="G82" s="4" t="s">
        <v>247</v>
      </c>
      <c r="H82" s="4" t="str">
        <f ca="1">'Database MK'!Q83</f>
        <v>DPPP</v>
      </c>
      <c r="I82" s="24">
        <f>'Database MK'!S83</f>
        <v>1</v>
      </c>
      <c r="J82" s="24">
        <f>'Database MK'!T83</f>
        <v>1</v>
      </c>
      <c r="K82" s="571">
        <f>'Database MK'!U83</f>
        <v>0</v>
      </c>
      <c r="L82" s="561">
        <f>'Database MK'!V83</f>
        <v>644</v>
      </c>
      <c r="M82" s="561">
        <f>'Database MK'!W83</f>
        <v>599</v>
      </c>
      <c r="N82" s="561">
        <f>Table3[[#This Row],[Total Panjang Pipa Aktual]]-Table3[[#This Row],[Volume
BA MC-0]]</f>
        <v>-45</v>
      </c>
      <c r="O82" s="7" t="str">
        <f ca="1">'Database MK'!DE83</f>
        <v>Belum, Delay</v>
      </c>
      <c r="P82" s="7" t="str">
        <f ca="1">'Database MK'!DI83</f>
        <v>Belum, Delay</v>
      </c>
      <c r="Q82" s="7" t="str">
        <f ca="1">'Database MK'!DN83</f>
        <v>Sudah, OnSchedule</v>
      </c>
      <c r="R82" s="7" t="str">
        <f ca="1">'Database MK'!DR83</f>
        <v>Sudah, Delay</v>
      </c>
      <c r="S82" s="7" t="str">
        <f ca="1">'Database MK'!EA83</f>
        <v>Belum, Delay</v>
      </c>
      <c r="T82" s="7" t="str">
        <f ca="1">'Database MK'!EI83</f>
        <v>Belum, Delay</v>
      </c>
      <c r="U82" s="7" t="str">
        <f ca="1">'Database MK'!ET83</f>
        <v>Belum, Delay</v>
      </c>
      <c r="V82" s="7" t="str">
        <f ca="1">'Database MK'!GA83</f>
        <v>Sudah, Delay</v>
      </c>
      <c r="W82" s="7" t="str">
        <f ca="1">'Database MK'!GD83</f>
        <v>Sudah, OnSchedule</v>
      </c>
      <c r="X82" s="7" t="str">
        <f ca="1">'Database MK'!GG83</f>
        <v>Sudah, OnSchedule</v>
      </c>
      <c r="Y82" s="7" t="str">
        <f ca="1">'Database MK'!GK83</f>
        <v>Sudah, OnSchedule</v>
      </c>
      <c r="Z82" s="7" t="str">
        <f ca="1">'Database MK'!HH83</f>
        <v>Sudah, OnSchedule</v>
      </c>
      <c r="AA82" s="7" t="str">
        <f ca="1">'Database MK'!HR83</f>
        <v>Sudah, Delay</v>
      </c>
      <c r="AB82" s="7" t="str">
        <f ca="1">'Database MK'!HX83</f>
        <v>Sudah, Delay</v>
      </c>
      <c r="AC82" s="7">
        <f>'Database MK'!DA83-'Database MK'!DB83</f>
        <v>45557</v>
      </c>
      <c r="AD82" s="7">
        <f>'Database MK'!DA83-'Database MK'!DF83</f>
        <v>45557</v>
      </c>
      <c r="AE82" s="7">
        <f>'Database MK'!DK83-'Database MK'!DL83</f>
        <v>1</v>
      </c>
      <c r="AF82" s="7">
        <f>'Database MK'!DK83-'Database MK'!DO83</f>
        <v>-8</v>
      </c>
      <c r="AG82" s="7">
        <f>'Database MK'!DU83-'Database MK'!DW83</f>
        <v>45599</v>
      </c>
      <c r="AH82" s="7" t="str">
        <f>IF('Database MK'!EB83="","Belum",'Database MK'!DU83-'Database MK'!EB83)</f>
        <v>Belum</v>
      </c>
      <c r="AI82" s="7" t="str">
        <f>IF('Database MK'!EN83="","Belum",'Database MK'!EL83-'Database MK'!EN83)</f>
        <v>Belum</v>
      </c>
      <c r="AJ82" s="7">
        <f>'Database MK'!FY83-'Database MK'!FZ83</f>
        <v>-45582</v>
      </c>
      <c r="AK82" s="7">
        <f>IF('Database MK'!GC83="","Belum",'Database MK'!GB83-'Database MK'!GC83)</f>
        <v>19</v>
      </c>
      <c r="AL82" s="7">
        <f>IF('Database MK'!GF83="","Belum",'Database MK'!GE83-'Database MK'!GF83)</f>
        <v>26</v>
      </c>
      <c r="AM82" s="279">
        <f>IF('Database MK'!GJ83="","Belum",'Database MK'!GI83-'Database MK'!GJ83)</f>
        <v>34</v>
      </c>
      <c r="AN82" s="7">
        <f>IF('Database MK'!HG83="","Belum",'Database MK'!HF83-'Database MK'!HG83)</f>
        <v>322</v>
      </c>
      <c r="AO82" s="7">
        <f>IF('Database MK'!HQ83="","Belum",'Database MK'!HN83-'Database MK'!HQ83)</f>
        <v>-41</v>
      </c>
      <c r="AP82" s="7">
        <f>IF('Database MK'!HW83="","Belum",'Database MK'!HU83-'Database MK'!HW83)</f>
        <v>-39</v>
      </c>
    </row>
    <row r="83" spans="2:42" hidden="1" x14ac:dyDescent="0.25">
      <c r="B83" s="7">
        <f>SUBTOTAL(3,$C$4:C83)</f>
        <v>74</v>
      </c>
      <c r="C83" s="4" t="s">
        <v>629</v>
      </c>
      <c r="D83" s="269" t="s">
        <v>659</v>
      </c>
      <c r="E83" s="269" t="s">
        <v>660</v>
      </c>
      <c r="F83" s="270">
        <v>45748</v>
      </c>
      <c r="G83" s="4" t="s">
        <v>247</v>
      </c>
      <c r="H83" s="4" t="str">
        <f ca="1">'Database MK'!Q84</f>
        <v>DPPP</v>
      </c>
      <c r="I83" s="24">
        <f>'Database MK'!S84</f>
        <v>1</v>
      </c>
      <c r="J83" s="24">
        <f>'Database MK'!T84</f>
        <v>1</v>
      </c>
      <c r="K83" s="571">
        <f>'Database MK'!U84</f>
        <v>0</v>
      </c>
      <c r="L83" s="561">
        <f>'Database MK'!V84</f>
        <v>160</v>
      </c>
      <c r="M83" s="561">
        <f>'Database MK'!W84</f>
        <v>167</v>
      </c>
      <c r="N83" s="561">
        <f>Table3[[#This Row],[Total Panjang Pipa Aktual]]-Table3[[#This Row],[Volume
BA MC-0]]</f>
        <v>7</v>
      </c>
      <c r="O83" s="7" t="str">
        <f ca="1">'Database MK'!DE84</f>
        <v>Belum, Delay</v>
      </c>
      <c r="P83" s="7" t="str">
        <f ca="1">'Database MK'!DI84</f>
        <v>Belum, Delay</v>
      </c>
      <c r="Q83" s="7" t="str">
        <f ca="1">'Database MK'!DN84</f>
        <v>Belum, Delay</v>
      </c>
      <c r="R83" s="7" t="str">
        <f ca="1">'Database MK'!DR84</f>
        <v>Belum, Delay</v>
      </c>
      <c r="S83" s="7" t="str">
        <f ca="1">'Database MK'!EA84</f>
        <v>Belum, Delay</v>
      </c>
      <c r="T83" s="7" t="str">
        <f ca="1">'Database MK'!EI84</f>
        <v>Belum, Delay</v>
      </c>
      <c r="U83" s="7" t="str">
        <f ca="1">'Database MK'!ET84</f>
        <v>Belum, Delay</v>
      </c>
      <c r="V83" s="7" t="str">
        <f ca="1">'Database MK'!GA84</f>
        <v>Sudah, Delay</v>
      </c>
      <c r="W83" s="7" t="str">
        <f ca="1">'Database MK'!GD84</f>
        <v>Sudah, OnSchedule</v>
      </c>
      <c r="X83" s="7" t="str">
        <f ca="1">'Database MK'!GG84</f>
        <v>Sudah, OnSchedule</v>
      </c>
      <c r="Y83" s="7" t="str">
        <f ca="1">'Database MK'!GK84</f>
        <v>Sudah, OnSchedule</v>
      </c>
      <c r="Z83" s="7" t="str">
        <f ca="1">'Database MK'!HH84</f>
        <v>Sudah, OnSchedule</v>
      </c>
      <c r="AA83" s="7" t="str">
        <f ca="1">'Database MK'!HR84</f>
        <v>Sudah, Delay</v>
      </c>
      <c r="AB83" s="7" t="str">
        <f ca="1">'Database MK'!HX84</f>
        <v>Sudah, Delay</v>
      </c>
      <c r="AC83" s="7">
        <f>'Database MK'!DA84-'Database MK'!DB84</f>
        <v>45557</v>
      </c>
      <c r="AD83" s="7">
        <f>'Database MK'!DA84-'Database MK'!DF84</f>
        <v>45557</v>
      </c>
      <c r="AE83" s="7">
        <f>'Database MK'!DK84-'Database MK'!DL84</f>
        <v>45613</v>
      </c>
      <c r="AF83" s="7">
        <f>'Database MK'!DK84-'Database MK'!DO84</f>
        <v>45613</v>
      </c>
      <c r="AG83" s="7">
        <f>'Database MK'!DU84-'Database MK'!DW84</f>
        <v>45599</v>
      </c>
      <c r="AH83" s="7" t="str">
        <f>IF('Database MK'!EB84="","Belum",'Database MK'!DU84-'Database MK'!EB84)</f>
        <v>Belum</v>
      </c>
      <c r="AI83" s="7" t="str">
        <f>IF('Database MK'!EN84="","Belum",'Database MK'!EL84-'Database MK'!EN84)</f>
        <v>Belum</v>
      </c>
      <c r="AJ83" s="7">
        <f>'Database MK'!FY84-'Database MK'!FZ84</f>
        <v>-45582</v>
      </c>
      <c r="AK83" s="7">
        <f>IF('Database MK'!GC84="","Belum",'Database MK'!GB84-'Database MK'!GC84)</f>
        <v>60</v>
      </c>
      <c r="AL83" s="7">
        <f>IF('Database MK'!GF84="","Belum",'Database MK'!GE84-'Database MK'!GF84)</f>
        <v>67</v>
      </c>
      <c r="AM83" s="279">
        <f>IF('Database MK'!GJ84="","Belum",'Database MK'!GI84-'Database MK'!GJ84)</f>
        <v>73</v>
      </c>
      <c r="AN83" s="7">
        <f>IF('Database MK'!HG84="","Belum",'Database MK'!HF84-'Database MK'!HG84)</f>
        <v>299</v>
      </c>
      <c r="AO83" s="7">
        <f>IF('Database MK'!HQ84="","Belum",'Database MK'!HN84-'Database MK'!HQ84)</f>
        <v>-69</v>
      </c>
      <c r="AP83" s="7">
        <f>IF('Database MK'!HW84="","Belum",'Database MK'!HU84-'Database MK'!HW84)</f>
        <v>-67</v>
      </c>
    </row>
    <row r="84" spans="2:42" hidden="1" x14ac:dyDescent="0.25">
      <c r="B84" s="7">
        <f>SUBTOTAL(3,$C$4:C84)</f>
        <v>74</v>
      </c>
      <c r="C84" s="4" t="s">
        <v>629</v>
      </c>
      <c r="D84" s="269" t="s">
        <v>662</v>
      </c>
      <c r="E84" s="269" t="s">
        <v>663</v>
      </c>
      <c r="F84" s="270">
        <v>45748</v>
      </c>
      <c r="G84" s="4" t="s">
        <v>247</v>
      </c>
      <c r="H84" s="4" t="str">
        <f ca="1">'Database MK'!Q85</f>
        <v>DPPP</v>
      </c>
      <c r="I84" s="24">
        <f>'Database MK'!S85</f>
        <v>1</v>
      </c>
      <c r="J84" s="24">
        <f>'Database MK'!T85</f>
        <v>1</v>
      </c>
      <c r="K84" s="571">
        <f>'Database MK'!U85</f>
        <v>0</v>
      </c>
      <c r="L84" s="561">
        <f>'Database MK'!V85</f>
        <v>2199</v>
      </c>
      <c r="M84" s="561">
        <f>'Database MK'!W85</f>
        <v>2190</v>
      </c>
      <c r="N84" s="561">
        <f>Table3[[#This Row],[Total Panjang Pipa Aktual]]-Table3[[#This Row],[Volume
BA MC-0]]</f>
        <v>-9</v>
      </c>
      <c r="O84" s="7" t="str">
        <f ca="1">'Database MK'!DE85</f>
        <v>Belum, Delay</v>
      </c>
      <c r="P84" s="7" t="str">
        <f ca="1">'Database MK'!DI85</f>
        <v>Belum, Delay</v>
      </c>
      <c r="Q84" s="7" t="str">
        <f ca="1">'Database MK'!DN85</f>
        <v>Belum, Delay</v>
      </c>
      <c r="R84" s="7" t="str">
        <f ca="1">'Database MK'!DR85</f>
        <v>Belum, Delay</v>
      </c>
      <c r="S84" s="7" t="str">
        <f ca="1">'Database MK'!EA85</f>
        <v>Belum, Delay</v>
      </c>
      <c r="T84" s="7" t="str">
        <f ca="1">'Database MK'!EI85</f>
        <v>Belum, Delay</v>
      </c>
      <c r="U84" s="7" t="str">
        <f ca="1">'Database MK'!ET85</f>
        <v>Belum, Delay</v>
      </c>
      <c r="V84" s="7" t="str">
        <f ca="1">'Database MK'!GA85</f>
        <v>Sudah, Delay</v>
      </c>
      <c r="W84" s="7" t="str">
        <f ca="1">'Database MK'!GD85</f>
        <v>Sudah, OnSchedule</v>
      </c>
      <c r="X84" s="7" t="str">
        <f ca="1">'Database MK'!GG85</f>
        <v>Sudah, OnSchedule</v>
      </c>
      <c r="Y84" s="7" t="str">
        <f ca="1">'Database MK'!GK85</f>
        <v>Sudah, OnSchedule</v>
      </c>
      <c r="Z84" s="7" t="str">
        <f ca="1">'Database MK'!HH85</f>
        <v>Sudah, Delay</v>
      </c>
      <c r="AA84" s="7" t="str">
        <f ca="1">'Database MK'!HR85</f>
        <v>Sudah, Delay</v>
      </c>
      <c r="AB84" s="7" t="str">
        <f ca="1">'Database MK'!HX85</f>
        <v>Sudah, Delay</v>
      </c>
      <c r="AC84" s="7">
        <f>'Database MK'!DA85-'Database MK'!DB85</f>
        <v>45557</v>
      </c>
      <c r="AD84" s="7">
        <f>'Database MK'!DA85-'Database MK'!DF85</f>
        <v>45557</v>
      </c>
      <c r="AE84" s="7">
        <f>'Database MK'!DK85-'Database MK'!DL85</f>
        <v>45627</v>
      </c>
      <c r="AF84" s="7">
        <f>'Database MK'!DK85-'Database MK'!DO85</f>
        <v>45627</v>
      </c>
      <c r="AG84" s="7">
        <f>'Database MK'!DU85-'Database MK'!DW85</f>
        <v>45599</v>
      </c>
      <c r="AH84" s="7" t="str">
        <f>IF('Database MK'!EB85="","Belum",'Database MK'!DU85-'Database MK'!EB85)</f>
        <v>Belum</v>
      </c>
      <c r="AI84" s="7" t="str">
        <f>IF('Database MK'!EN85="","Belum",'Database MK'!EL85-'Database MK'!EN85)</f>
        <v>Belum</v>
      </c>
      <c r="AJ84" s="7">
        <f>'Database MK'!FY85-'Database MK'!FZ85</f>
        <v>-45582</v>
      </c>
      <c r="AK84" s="7">
        <f>IF('Database MK'!GC85="","Belum",'Database MK'!GB85-'Database MK'!GC85)</f>
        <v>74</v>
      </c>
      <c r="AL84" s="7">
        <f>IF('Database MK'!GF85="","Belum",'Database MK'!GE85-'Database MK'!GF85)</f>
        <v>81</v>
      </c>
      <c r="AM84" s="279">
        <f>IF('Database MK'!GJ85="","Belum",'Database MK'!GI85-'Database MK'!GJ85)</f>
        <v>87</v>
      </c>
      <c r="AN84" s="7">
        <f>IF('Database MK'!HG85="","Belum",'Database MK'!HF85-'Database MK'!HG85)</f>
        <v>-32</v>
      </c>
      <c r="AO84" s="7">
        <f>IF('Database MK'!HQ85="","Belum",'Database MK'!HN85-'Database MK'!HQ85)</f>
        <v>-48</v>
      </c>
      <c r="AP84" s="7">
        <f>IF('Database MK'!HW85="","Belum",'Database MK'!HU85-'Database MK'!HW85)</f>
        <v>-7</v>
      </c>
    </row>
    <row r="85" spans="2:42" hidden="1" x14ac:dyDescent="0.25">
      <c r="B85" s="7">
        <f>SUBTOTAL(3,$C$4:C85)</f>
        <v>74</v>
      </c>
      <c r="C85" s="4" t="s">
        <v>629</v>
      </c>
      <c r="D85" s="269" t="s">
        <v>665</v>
      </c>
      <c r="E85" s="269" t="s">
        <v>666</v>
      </c>
      <c r="F85" s="270">
        <v>45748</v>
      </c>
      <c r="G85" s="4" t="s">
        <v>247</v>
      </c>
      <c r="H85" s="4" t="str">
        <f ca="1">'Database MK'!Q86</f>
        <v>DPPP</v>
      </c>
      <c r="I85" s="24">
        <f>'Database MK'!S86</f>
        <v>1</v>
      </c>
      <c r="J85" s="24">
        <f>'Database MK'!T86</f>
        <v>1</v>
      </c>
      <c r="K85" s="571">
        <f>'Database MK'!U86</f>
        <v>0</v>
      </c>
      <c r="L85" s="561">
        <f>'Database MK'!V86</f>
        <v>75</v>
      </c>
      <c r="M85" s="561">
        <f>'Database MK'!W86</f>
        <v>75</v>
      </c>
      <c r="N85" s="561">
        <f>Table3[[#This Row],[Total Panjang Pipa Aktual]]-Table3[[#This Row],[Volume
BA MC-0]]</f>
        <v>0</v>
      </c>
      <c r="O85" s="7" t="str">
        <f ca="1">'Database MK'!DE86</f>
        <v>Belum, Delay</v>
      </c>
      <c r="P85" s="7" t="str">
        <f ca="1">'Database MK'!DI86</f>
        <v>Belum, Delay</v>
      </c>
      <c r="Q85" s="7" t="str">
        <f ca="1">'Database MK'!DN86</f>
        <v>Belum, Delay</v>
      </c>
      <c r="R85" s="7" t="str">
        <f ca="1">'Database MK'!DR86</f>
        <v>Belum, Delay</v>
      </c>
      <c r="S85" s="7" t="str">
        <f ca="1">'Database MK'!EA86</f>
        <v>Belum, Delay</v>
      </c>
      <c r="T85" s="7" t="str">
        <f ca="1">'Database MK'!EI86</f>
        <v>Belum, Delay</v>
      </c>
      <c r="U85" s="7" t="str">
        <f ca="1">'Database MK'!ET86</f>
        <v>Belum, Delay</v>
      </c>
      <c r="V85" s="7" t="str">
        <f ca="1">'Database MK'!GA86</f>
        <v>Sudah, Delay</v>
      </c>
      <c r="W85" s="7" t="str">
        <f ca="1">'Database MK'!GD86</f>
        <v>Sudah, OnSchedule</v>
      </c>
      <c r="X85" s="7" t="str">
        <f ca="1">'Database MK'!GG86</f>
        <v>Sudah, OnSchedule</v>
      </c>
      <c r="Y85" s="7" t="str">
        <f ca="1">'Database MK'!GK86</f>
        <v>Sudah, OnSchedule</v>
      </c>
      <c r="Z85" s="7" t="str">
        <f ca="1">'Database MK'!HH86</f>
        <v>Sudah, Delay</v>
      </c>
      <c r="AA85" s="7" t="str">
        <f ca="1">'Database MK'!HR86</f>
        <v>Sudah, OnSchedule</v>
      </c>
      <c r="AB85" s="7" t="str">
        <f ca="1">'Database MK'!HX86</f>
        <v>Sudah, Delay</v>
      </c>
      <c r="AC85" s="7">
        <f>'Database MK'!DA86-'Database MK'!DB86</f>
        <v>45557</v>
      </c>
      <c r="AD85" s="7">
        <f>'Database MK'!DA86-'Database MK'!DF86</f>
        <v>45557</v>
      </c>
      <c r="AE85" s="7">
        <f>'Database MK'!DK86-'Database MK'!DL86</f>
        <v>45613</v>
      </c>
      <c r="AF85" s="7">
        <f>'Database MK'!DK86-'Database MK'!DO86</f>
        <v>45613</v>
      </c>
      <c r="AG85" s="7">
        <f>'Database MK'!DU86-'Database MK'!DW86</f>
        <v>45599</v>
      </c>
      <c r="AH85" s="7" t="str">
        <f>IF('Database MK'!EB86="","Belum",'Database MK'!DU86-'Database MK'!EB86)</f>
        <v>Belum</v>
      </c>
      <c r="AI85" s="7" t="str">
        <f>IF('Database MK'!EN86="","Belum",'Database MK'!EL86-'Database MK'!EN86)</f>
        <v>Belum</v>
      </c>
      <c r="AJ85" s="7">
        <f>'Database MK'!FY86-'Database MK'!FZ86</f>
        <v>-45582</v>
      </c>
      <c r="AK85" s="7">
        <f>IF('Database MK'!GC86="","Belum",'Database MK'!GB86-'Database MK'!GC86)</f>
        <v>5</v>
      </c>
      <c r="AL85" s="7">
        <f>IF('Database MK'!GF86="","Belum",'Database MK'!GE86-'Database MK'!GF86)</f>
        <v>12</v>
      </c>
      <c r="AM85" s="279">
        <f>IF('Database MK'!GJ86="","Belum",'Database MK'!GI86-'Database MK'!GJ86)</f>
        <v>20</v>
      </c>
      <c r="AN85" s="7">
        <f>IF('Database MK'!HG86="","Belum",'Database MK'!HF86-'Database MK'!HG86)</f>
        <v>-88</v>
      </c>
      <c r="AO85" s="7">
        <f>IF('Database MK'!HQ86="","Belum",'Database MK'!HN86-'Database MK'!HQ86)</f>
        <v>269</v>
      </c>
      <c r="AP85" s="7">
        <f>IF('Database MK'!HW86="","Belum",'Database MK'!HU86-'Database MK'!HW86)</f>
        <v>-70</v>
      </c>
    </row>
    <row r="86" spans="2:42" hidden="1" x14ac:dyDescent="0.25">
      <c r="B86" s="7">
        <f>SUBTOTAL(3,$C$4:C86)</f>
        <v>74</v>
      </c>
      <c r="C86" s="4" t="s">
        <v>629</v>
      </c>
      <c r="D86" s="269" t="s">
        <v>668</v>
      </c>
      <c r="E86" s="269" t="s">
        <v>669</v>
      </c>
      <c r="F86" s="270">
        <v>45748</v>
      </c>
      <c r="G86" s="4" t="s">
        <v>247</v>
      </c>
      <c r="H86" s="4" t="str">
        <f ca="1">'Database MK'!Q87</f>
        <v>DPPP</v>
      </c>
      <c r="I86" s="24">
        <f>'Database MK'!S87</f>
        <v>1</v>
      </c>
      <c r="J86" s="24">
        <f>'Database MK'!T87</f>
        <v>1</v>
      </c>
      <c r="K86" s="571">
        <f>'Database MK'!U87</f>
        <v>0</v>
      </c>
      <c r="L86" s="561">
        <f>'Database MK'!V87</f>
        <v>256</v>
      </c>
      <c r="M86" s="561">
        <f>'Database MK'!W87</f>
        <v>239.1</v>
      </c>
      <c r="N86" s="561">
        <f>Table3[[#This Row],[Total Panjang Pipa Aktual]]-Table3[[#This Row],[Volume
BA MC-0]]</f>
        <v>-16.900000000000006</v>
      </c>
      <c r="O86" s="7" t="str">
        <f ca="1">'Database MK'!DE87</f>
        <v>Belum, Delay</v>
      </c>
      <c r="P86" s="7" t="str">
        <f ca="1">'Database MK'!DI87</f>
        <v>Belum, Delay</v>
      </c>
      <c r="Q86" s="7" t="str">
        <f ca="1">'Database MK'!DN87</f>
        <v>Sudah, Delay</v>
      </c>
      <c r="R86" s="7" t="str">
        <f ca="1">'Database MK'!DR87</f>
        <v>Sudah, Delay</v>
      </c>
      <c r="S86" s="7" t="str">
        <f ca="1">'Database MK'!EA87</f>
        <v>Belum, Delay</v>
      </c>
      <c r="T86" s="7" t="str">
        <f ca="1">'Database MK'!EI87</f>
        <v>Belum, Delay</v>
      </c>
      <c r="U86" s="7" t="str">
        <f ca="1">'Database MK'!ET87</f>
        <v>Belum, Delay</v>
      </c>
      <c r="V86" s="7" t="str">
        <f ca="1">'Database MK'!GA87</f>
        <v>Sudah, Delay</v>
      </c>
      <c r="W86" s="7" t="str">
        <f ca="1">'Database MK'!GD87</f>
        <v>Sudah, OnSchedule</v>
      </c>
      <c r="X86" s="7" t="str">
        <f ca="1">'Database MK'!GG87</f>
        <v>Sudah, OnSchedule</v>
      </c>
      <c r="Y86" s="7" t="str">
        <f ca="1">'Database MK'!GK87</f>
        <v>Sudah, OnSchedule</v>
      </c>
      <c r="Z86" s="7" t="str">
        <f ca="1">'Database MK'!HH87</f>
        <v>Sudah, Delay</v>
      </c>
      <c r="AA86" s="7" t="str">
        <f ca="1">'Database MK'!HR87</f>
        <v>Sudah, Delay</v>
      </c>
      <c r="AB86" s="7" t="str">
        <f ca="1">'Database MK'!HX87</f>
        <v>Sudah, Delay</v>
      </c>
      <c r="AC86" s="7">
        <f>'Database MK'!DA87-'Database MK'!DB87</f>
        <v>45557</v>
      </c>
      <c r="AD86" s="7">
        <f>'Database MK'!DA87-'Database MK'!DF87</f>
        <v>45557</v>
      </c>
      <c r="AE86" s="7">
        <f>'Database MK'!DK87-'Database MK'!DL87</f>
        <v>-311</v>
      </c>
      <c r="AF86" s="7">
        <f>'Database MK'!DK87-'Database MK'!DO87</f>
        <v>-316</v>
      </c>
      <c r="AG86" s="7">
        <f>'Database MK'!DU87-'Database MK'!DW87</f>
        <v>45599</v>
      </c>
      <c r="AH86" s="7" t="str">
        <f>IF('Database MK'!EB87="","Belum",'Database MK'!DU87-'Database MK'!EB87)</f>
        <v>Belum</v>
      </c>
      <c r="AI86" s="7" t="str">
        <f>IF('Database MK'!EN87="","Belum",'Database MK'!EL87-'Database MK'!EN87)</f>
        <v>Belum</v>
      </c>
      <c r="AJ86" s="7">
        <f>'Database MK'!FY87-'Database MK'!FZ87</f>
        <v>-45582</v>
      </c>
      <c r="AK86" s="7">
        <f>IF('Database MK'!GC87="","Belum",'Database MK'!GB87-'Database MK'!GC87)</f>
        <v>5</v>
      </c>
      <c r="AL86" s="7">
        <f>IF('Database MK'!GF87="","Belum",'Database MK'!GE87-'Database MK'!GF87)</f>
        <v>12</v>
      </c>
      <c r="AM86" s="279">
        <f>IF('Database MK'!GJ87="","Belum",'Database MK'!GI87-'Database MK'!GJ87)</f>
        <v>20</v>
      </c>
      <c r="AN86" s="7">
        <f>IF('Database MK'!HG87="","Belum",'Database MK'!HF87-'Database MK'!HG87)</f>
        <v>-184</v>
      </c>
      <c r="AO86" s="7">
        <f>IF('Database MK'!HQ87="","Belum",'Database MK'!HN87-'Database MK'!HQ87)</f>
        <v>-237</v>
      </c>
      <c r="AP86" s="7">
        <f>IF('Database MK'!HW87="","Belum",'Database MK'!HU87-'Database MK'!HW87)</f>
        <v>-301</v>
      </c>
    </row>
    <row r="87" spans="2:42" hidden="1" x14ac:dyDescent="0.25">
      <c r="B87" s="7">
        <f>SUBTOTAL(3,$C$4:C87)</f>
        <v>74</v>
      </c>
      <c r="C87" s="269" t="s">
        <v>673</v>
      </c>
      <c r="D87" s="269" t="s">
        <v>674</v>
      </c>
      <c r="E87" s="269" t="s">
        <v>675</v>
      </c>
      <c r="F87" s="270">
        <v>45748</v>
      </c>
      <c r="G87" s="4" t="s">
        <v>247</v>
      </c>
      <c r="H87" s="4" t="str">
        <f ca="1">'Database MK'!Q88</f>
        <v>DPPP</v>
      </c>
      <c r="I87" s="24">
        <f>'Database MK'!S88</f>
        <v>1</v>
      </c>
      <c r="J87" s="24">
        <f>'Database MK'!T88</f>
        <v>1</v>
      </c>
      <c r="K87" s="571">
        <f>'Database MK'!U88</f>
        <v>0</v>
      </c>
      <c r="L87" s="561">
        <f>'Database MK'!V88</f>
        <v>1193.4000000000001</v>
      </c>
      <c r="M87" s="561">
        <f>'Database MK'!W88</f>
        <v>4324</v>
      </c>
      <c r="N87" s="561">
        <f>Table3[[#This Row],[Total Panjang Pipa Aktual]]-Table3[[#This Row],[Volume
BA MC-0]]</f>
        <v>3130.6</v>
      </c>
      <c r="O87" s="7" t="str">
        <f ca="1">'Database MK'!DE88</f>
        <v>Belum, Delay</v>
      </c>
      <c r="P87" s="7" t="str">
        <f ca="1">'Database MK'!DI88</f>
        <v>Belum, Delay</v>
      </c>
      <c r="Q87" s="7" t="str">
        <f ca="1">'Database MK'!DN88</f>
        <v>Belum, Delay</v>
      </c>
      <c r="R87" s="7" t="str">
        <f ca="1">'Database MK'!DR88</f>
        <v>Belum, Delay</v>
      </c>
      <c r="S87" s="7" t="str">
        <f ca="1">'Database MK'!EA88</f>
        <v>Belum, Delay</v>
      </c>
      <c r="T87" s="7" t="str">
        <f ca="1">'Database MK'!EI88</f>
        <v>Belum, Delay</v>
      </c>
      <c r="U87" s="7" t="str">
        <f ca="1">'Database MK'!ET88</f>
        <v>Belum, Delay</v>
      </c>
      <c r="V87" s="7" t="str">
        <f ca="1">'Database MK'!GA88</f>
        <v>Belum, Delay</v>
      </c>
      <c r="W87" s="7" t="str">
        <f ca="1">'Database MK'!GD88</f>
        <v>Sudah, Delay</v>
      </c>
      <c r="X87" s="7" t="str">
        <f ca="1">'Database MK'!GG88</f>
        <v>Sudah, Delay</v>
      </c>
      <c r="Y87" s="7" t="str">
        <f ca="1">'Database MK'!GK88</f>
        <v>Sudah, OnSchedule</v>
      </c>
      <c r="Z87" s="7" t="str">
        <f ca="1">'Database MK'!HH88</f>
        <v>Sudah, Delay</v>
      </c>
      <c r="AA87" s="7" t="str">
        <f ca="1">'Database MK'!HR88</f>
        <v>Sudah, Delay</v>
      </c>
      <c r="AB87" s="7" t="str">
        <f ca="1">'Database MK'!HX88</f>
        <v>Sudah, Delay</v>
      </c>
      <c r="AC87" s="7">
        <f>'Database MK'!DA88-'Database MK'!DB88</f>
        <v>45221</v>
      </c>
      <c r="AD87" s="7">
        <f>'Database MK'!DA88-'Database MK'!DF88</f>
        <v>45221</v>
      </c>
      <c r="AE87" s="7">
        <f>'Database MK'!DK88-'Database MK'!DL88</f>
        <v>45291</v>
      </c>
      <c r="AF87" s="7">
        <f>'Database MK'!DK88-'Database MK'!DO88</f>
        <v>45291</v>
      </c>
      <c r="AG87" s="7">
        <f>'Database MK'!DU88-'Database MK'!DW88</f>
        <v>45263</v>
      </c>
      <c r="AH87" s="7" t="str">
        <f>IF('Database MK'!EB88="","Belum",'Database MK'!DU88-'Database MK'!EB88)</f>
        <v>Belum</v>
      </c>
      <c r="AI87" s="7" t="str">
        <f>IF('Database MK'!EN88="","Belum",'Database MK'!EL88-'Database MK'!EN88)</f>
        <v>Belum</v>
      </c>
      <c r="AJ87" s="7">
        <f>'Database MK'!FY88-'Database MK'!FZ88</f>
        <v>0</v>
      </c>
      <c r="AK87" s="7">
        <f>IF('Database MK'!GC88="","Belum",'Database MK'!GB88-'Database MK'!GC88)</f>
        <v>-620</v>
      </c>
      <c r="AL87" s="7">
        <f>IF('Database MK'!GF88="","Belum",'Database MK'!GE88-'Database MK'!GF88)</f>
        <v>-613</v>
      </c>
      <c r="AM87" s="279">
        <f>IF('Database MK'!GJ88="","Belum",'Database MK'!GI88-'Database MK'!GJ88)</f>
        <v>103</v>
      </c>
      <c r="AN87" s="7">
        <f>IF('Database MK'!HG88="","Belum",'Database MK'!HF88-'Database MK'!HG88)</f>
        <v>-2</v>
      </c>
      <c r="AO87" s="7">
        <f>IF('Database MK'!HQ88="","Belum",'Database MK'!HN88-'Database MK'!HQ88)</f>
        <v>-152</v>
      </c>
      <c r="AP87" s="7">
        <f>IF('Database MK'!HW88="","Belum",'Database MK'!HU88-'Database MK'!HW88)</f>
        <v>-155</v>
      </c>
    </row>
    <row r="88" spans="2:42" hidden="1" x14ac:dyDescent="0.25">
      <c r="B88" s="7">
        <f>SUBTOTAL(3,$C$4:C88)</f>
        <v>74</v>
      </c>
      <c r="C88" s="269" t="s">
        <v>673</v>
      </c>
      <c r="D88" s="269" t="s">
        <v>679</v>
      </c>
      <c r="E88" s="269" t="s">
        <v>680</v>
      </c>
      <c r="F88" s="270">
        <v>45748</v>
      </c>
      <c r="G88" s="4" t="s">
        <v>681</v>
      </c>
      <c r="H88" s="4" t="str">
        <f ca="1">'Database MK'!Q89</f>
        <v>DPPP</v>
      </c>
      <c r="I88" s="24">
        <f>'Database MK'!S89</f>
        <v>1</v>
      </c>
      <c r="J88" s="24">
        <f>'Database MK'!T89</f>
        <v>1</v>
      </c>
      <c r="K88" s="571">
        <f>'Database MK'!U89</f>
        <v>0</v>
      </c>
      <c r="L88" s="561">
        <f>'Database MK'!V89</f>
        <v>135</v>
      </c>
      <c r="M88" s="561">
        <f>'Database MK'!W89</f>
        <v>135</v>
      </c>
      <c r="N88" s="561">
        <f>Table3[[#This Row],[Total Panjang Pipa Aktual]]-Table3[[#This Row],[Volume
BA MC-0]]</f>
        <v>0</v>
      </c>
      <c r="O88" s="7" t="str">
        <f ca="1">'Database MK'!DE89</f>
        <v>Belum, Delay</v>
      </c>
      <c r="P88" s="7" t="str">
        <f ca="1">'Database MK'!DI89</f>
        <v>Belum, Delay</v>
      </c>
      <c r="Q88" s="7" t="str">
        <f ca="1">'Database MK'!DN89</f>
        <v>Sudah, OnSchedule</v>
      </c>
      <c r="R88" s="7" t="str">
        <f ca="1">'Database MK'!DR89</f>
        <v>Sudah, OnSchedule</v>
      </c>
      <c r="S88" s="7" t="str">
        <f ca="1">'Database MK'!EA89</f>
        <v>Belum, Delay</v>
      </c>
      <c r="T88" s="7" t="str">
        <f ca="1">'Database MK'!EI89</f>
        <v>Belum, Delay</v>
      </c>
      <c r="U88" s="7" t="str">
        <f ca="1">'Database MK'!ET89</f>
        <v>Belum, Delay</v>
      </c>
      <c r="V88" s="7" t="str">
        <f ca="1">'Database MK'!GA89</f>
        <v>Belum, Delay</v>
      </c>
      <c r="W88" s="7" t="str">
        <f ca="1">'Database MK'!GD89</f>
        <v>Sudah, OnSchedule</v>
      </c>
      <c r="X88" s="7" t="str">
        <f ca="1">'Database MK'!GG89</f>
        <v>Sudah, OnSchedule</v>
      </c>
      <c r="Y88" s="7" t="str">
        <f ca="1">'Database MK'!GK89</f>
        <v>Sudah, OnSchedule</v>
      </c>
      <c r="Z88" s="7" t="str">
        <f ca="1">'Database MK'!HH89</f>
        <v>Sudah, OnSchedule</v>
      </c>
      <c r="AA88" s="7" t="str">
        <f ca="1">'Database MK'!HR89</f>
        <v>Sudah, Delay</v>
      </c>
      <c r="AB88" s="7" t="str">
        <f ca="1">'Database MK'!HX89</f>
        <v>Sudah, Delay</v>
      </c>
      <c r="AC88" s="7">
        <f>'Database MK'!DA89-'Database MK'!DB89</f>
        <v>45550</v>
      </c>
      <c r="AD88" s="7">
        <f>'Database MK'!DA89-'Database MK'!DF89</f>
        <v>45550</v>
      </c>
      <c r="AE88" s="7">
        <f>'Database MK'!DK89-'Database MK'!DL89</f>
        <v>235</v>
      </c>
      <c r="AF88" s="7">
        <f>'Database MK'!DK89-'Database MK'!DO89</f>
        <v>223</v>
      </c>
      <c r="AG88" s="7">
        <f>'Database MK'!DU89-'Database MK'!DW89</f>
        <v>45585</v>
      </c>
      <c r="AH88" s="7" t="str">
        <f>IF('Database MK'!EB89="","Belum",'Database MK'!DU89-'Database MK'!EB89)</f>
        <v>Belum</v>
      </c>
      <c r="AI88" s="7" t="str">
        <f>IF('Database MK'!EN89="","Belum",'Database MK'!EL89-'Database MK'!EN89)</f>
        <v>Belum</v>
      </c>
      <c r="AJ88" s="7">
        <f>'Database MK'!FY89-'Database MK'!FZ89</f>
        <v>0</v>
      </c>
      <c r="AK88" s="7">
        <f>IF('Database MK'!GC89="","Belum",'Database MK'!GB89-'Database MK'!GC89)</f>
        <v>272</v>
      </c>
      <c r="AL88" s="7">
        <f>IF('Database MK'!GF89="","Belum",'Database MK'!GE89-'Database MK'!GF89)</f>
        <v>279</v>
      </c>
      <c r="AM88" s="279">
        <f>IF('Database MK'!GJ89="","Belum",'Database MK'!GI89-'Database MK'!GJ89)</f>
        <v>275</v>
      </c>
      <c r="AN88" s="7">
        <f>IF('Database MK'!HG89="","Belum",'Database MK'!HF89-'Database MK'!HG89)</f>
        <v>96</v>
      </c>
      <c r="AO88" s="7">
        <f>IF('Database MK'!HQ89="","Belum",'Database MK'!HN89-'Database MK'!HQ89)</f>
        <v>-61</v>
      </c>
      <c r="AP88" s="7">
        <f>IF('Database MK'!HW89="","Belum",'Database MK'!HU89-'Database MK'!HW89)</f>
        <v>-64</v>
      </c>
    </row>
    <row r="89" spans="2:42" hidden="1" x14ac:dyDescent="0.25">
      <c r="B89" s="7">
        <f>SUBTOTAL(3,$C$4:C89)</f>
        <v>74</v>
      </c>
      <c r="C89" s="269" t="s">
        <v>673</v>
      </c>
      <c r="D89" s="269" t="s">
        <v>686</v>
      </c>
      <c r="E89" s="269" t="s">
        <v>687</v>
      </c>
      <c r="F89" s="270">
        <v>45748</v>
      </c>
      <c r="G89" s="4" t="s">
        <v>247</v>
      </c>
      <c r="H89" s="4" t="str">
        <f ca="1">'Database MK'!Q90</f>
        <v>DPPP</v>
      </c>
      <c r="I89" s="24">
        <f>'Database MK'!S90</f>
        <v>1</v>
      </c>
      <c r="J89" s="24">
        <f>'Database MK'!T90</f>
        <v>1</v>
      </c>
      <c r="K89" s="571">
        <f>'Database MK'!U90</f>
        <v>0</v>
      </c>
      <c r="L89" s="561">
        <f>'Database MK'!V90</f>
        <v>152</v>
      </c>
      <c r="M89" s="561">
        <f>'Database MK'!W90</f>
        <v>140</v>
      </c>
      <c r="N89" s="561">
        <f>Table3[[#This Row],[Total Panjang Pipa Aktual]]-Table3[[#This Row],[Volume
BA MC-0]]</f>
        <v>-12</v>
      </c>
      <c r="O89" s="7" t="str">
        <f ca="1">'Database MK'!DE90</f>
        <v>Belum, Delay</v>
      </c>
      <c r="P89" s="7" t="str">
        <f ca="1">'Database MK'!DI90</f>
        <v>Belum, Delay</v>
      </c>
      <c r="Q89" s="7" t="str">
        <f ca="1">'Database MK'!DN90</f>
        <v>Sudah, OnSchedule</v>
      </c>
      <c r="R89" s="7" t="str">
        <f ca="1">'Database MK'!DR90</f>
        <v>Sudah, OnSchedule</v>
      </c>
      <c r="S89" s="7" t="str">
        <f ca="1">'Database MK'!EA90</f>
        <v>Belum, Delay</v>
      </c>
      <c r="T89" s="7" t="str">
        <f ca="1">'Database MK'!EI90</f>
        <v>Belum, Delay</v>
      </c>
      <c r="U89" s="7" t="str">
        <f ca="1">'Database MK'!ET90</f>
        <v>Sudah, Delay</v>
      </c>
      <c r="V89" s="7" t="str">
        <f ca="1">'Database MK'!GA90</f>
        <v>Belum, Delay</v>
      </c>
      <c r="W89" s="7" t="str">
        <f ca="1">'Database MK'!GD90</f>
        <v>Sudah, OnSchedule</v>
      </c>
      <c r="X89" s="7" t="str">
        <f ca="1">'Database MK'!GG90</f>
        <v>Sudah, OnSchedule</v>
      </c>
      <c r="Y89" s="7" t="str">
        <f ca="1">'Database MK'!GK90</f>
        <v>Sudah, OnSchedule</v>
      </c>
      <c r="Z89" s="7" t="str">
        <f ca="1">'Database MK'!HH90</f>
        <v>Sudah, OnSchedule</v>
      </c>
      <c r="AA89" s="7" t="str">
        <f ca="1">'Database MK'!HR90</f>
        <v>Sudah, Delay</v>
      </c>
      <c r="AB89" s="7" t="str">
        <f ca="1">'Database MK'!HX90</f>
        <v>Sudah, Delay</v>
      </c>
      <c r="AC89" s="7">
        <f>'Database MK'!DA90-'Database MK'!DB90</f>
        <v>45466</v>
      </c>
      <c r="AD89" s="7">
        <f>'Database MK'!DA90-'Database MK'!DF90</f>
        <v>45466</v>
      </c>
      <c r="AE89" s="7">
        <f>'Database MK'!DK90-'Database MK'!DL90</f>
        <v>103</v>
      </c>
      <c r="AF89" s="7">
        <f>'Database MK'!DK90-'Database MK'!DO90</f>
        <v>90</v>
      </c>
      <c r="AG89" s="7">
        <f>'Database MK'!DU90-'Database MK'!DW90</f>
        <v>45508</v>
      </c>
      <c r="AH89" s="7" t="str">
        <f>IF('Database MK'!EB90="","Belum",'Database MK'!DU90-'Database MK'!EB90)</f>
        <v>Belum</v>
      </c>
      <c r="AI89" s="7">
        <f>IF('Database MK'!EN90="","Belum",'Database MK'!EL90-'Database MK'!EN90)</f>
        <v>-361</v>
      </c>
      <c r="AJ89" s="7">
        <f>'Database MK'!FY90-'Database MK'!FZ90</f>
        <v>0</v>
      </c>
      <c r="AK89" s="7">
        <f>IF('Database MK'!GC90="","Belum",'Database MK'!GB90-'Database MK'!GC90)</f>
        <v>159</v>
      </c>
      <c r="AL89" s="7">
        <f>IF('Database MK'!GF90="","Belum",'Database MK'!GE90-'Database MK'!GF90)</f>
        <v>166</v>
      </c>
      <c r="AM89" s="279">
        <f>IF('Database MK'!GJ90="","Belum",'Database MK'!GI90-'Database MK'!GJ90)</f>
        <v>170</v>
      </c>
      <c r="AN89" s="7">
        <f>IF('Database MK'!HG90="","Belum",'Database MK'!HF90-'Database MK'!HG90)</f>
        <v>63</v>
      </c>
      <c r="AO89" s="7">
        <f>IF('Database MK'!HQ90="","Belum",'Database MK'!HN90-'Database MK'!HQ90)</f>
        <v>-87</v>
      </c>
      <c r="AP89" s="7">
        <f>IF('Database MK'!HW90="","Belum",'Database MK'!HU90-'Database MK'!HW90)</f>
        <v>-92</v>
      </c>
    </row>
    <row r="90" spans="2:42" hidden="1" x14ac:dyDescent="0.25">
      <c r="B90" s="7">
        <f>SUBTOTAL(3,$C$4:C90)</f>
        <v>74</v>
      </c>
      <c r="C90" s="269" t="s">
        <v>673</v>
      </c>
      <c r="D90" s="269" t="s">
        <v>691</v>
      </c>
      <c r="E90" s="269" t="s">
        <v>692</v>
      </c>
      <c r="F90" s="270">
        <v>45748</v>
      </c>
      <c r="G90" s="4" t="s">
        <v>247</v>
      </c>
      <c r="H90" s="4" t="str">
        <f ca="1">'Database MK'!Q91</f>
        <v>DPPP</v>
      </c>
      <c r="I90" s="24">
        <f>'Database MK'!S91</f>
        <v>1</v>
      </c>
      <c r="J90" s="24">
        <f>'Database MK'!T91</f>
        <v>1</v>
      </c>
      <c r="K90" s="571">
        <f>'Database MK'!U91</f>
        <v>0</v>
      </c>
      <c r="L90" s="561">
        <f>'Database MK'!V91</f>
        <v>473</v>
      </c>
      <c r="M90" s="561">
        <f>'Database MK'!W91</f>
        <v>473</v>
      </c>
      <c r="N90" s="561">
        <f>Table3[[#This Row],[Total Panjang Pipa Aktual]]-Table3[[#This Row],[Volume
BA MC-0]]</f>
        <v>0</v>
      </c>
      <c r="O90" s="7" t="str">
        <f ca="1">'Database MK'!DE91</f>
        <v>Belum, Delay</v>
      </c>
      <c r="P90" s="7" t="str">
        <f ca="1">'Database MK'!DI91</f>
        <v>Belum, Delay</v>
      </c>
      <c r="Q90" s="7" t="str">
        <f ca="1">'Database MK'!DN91</f>
        <v>Sudah, OnSchedule</v>
      </c>
      <c r="R90" s="7" t="str">
        <f ca="1">'Database MK'!DR91</f>
        <v>Sudah, OnSchedule</v>
      </c>
      <c r="S90" s="7" t="str">
        <f ca="1">'Database MK'!EA91</f>
        <v>Belum, Delay</v>
      </c>
      <c r="T90" s="7" t="str">
        <f ca="1">'Database MK'!EI91</f>
        <v>Belum, Delay</v>
      </c>
      <c r="U90" s="7" t="str">
        <f ca="1">'Database MK'!ET91</f>
        <v>Sudah, OnSchedule</v>
      </c>
      <c r="V90" s="7" t="str">
        <f ca="1">'Database MK'!GA91</f>
        <v>Belum, Delay</v>
      </c>
      <c r="W90" s="7" t="str">
        <f ca="1">'Database MK'!GD91</f>
        <v>Sudah, OnSchedule</v>
      </c>
      <c r="X90" s="7" t="str">
        <f ca="1">'Database MK'!GG91</f>
        <v>Sudah, OnSchedule</v>
      </c>
      <c r="Y90" s="7" t="str">
        <f ca="1">'Database MK'!GK91</f>
        <v>Sudah, OnSchedule</v>
      </c>
      <c r="Z90" s="7" t="str">
        <f ca="1">'Database MK'!HH91</f>
        <v>Sudah, OnSchedule</v>
      </c>
      <c r="AA90" s="7" t="str">
        <f ca="1">'Database MK'!HR91</f>
        <v>Sudah, Delay</v>
      </c>
      <c r="AB90" s="7" t="str">
        <f ca="1">'Database MK'!HX91</f>
        <v>Sudah, Delay</v>
      </c>
      <c r="AC90" s="7">
        <f>'Database MK'!DA91-'Database MK'!DB91</f>
        <v>45466</v>
      </c>
      <c r="AD90" s="7">
        <f>'Database MK'!DA91-'Database MK'!DF91</f>
        <v>45466</v>
      </c>
      <c r="AE90" s="7">
        <f>'Database MK'!DK91-'Database MK'!DL91</f>
        <v>69</v>
      </c>
      <c r="AF90" s="7">
        <f>'Database MK'!DK91-'Database MK'!DO91</f>
        <v>61</v>
      </c>
      <c r="AG90" s="7">
        <f>'Database MK'!DU91-'Database MK'!DW91</f>
        <v>45508</v>
      </c>
      <c r="AH90" s="7" t="str">
        <f>IF('Database MK'!EB91="","Belum",'Database MK'!DU91-'Database MK'!EB91)</f>
        <v>Belum</v>
      </c>
      <c r="AI90" s="7">
        <f>IF('Database MK'!EN91="","Belum",'Database MK'!EL91-'Database MK'!EN91)</f>
        <v>4</v>
      </c>
      <c r="AJ90" s="7">
        <f>'Database MK'!FY91-'Database MK'!FZ91</f>
        <v>0</v>
      </c>
      <c r="AK90" s="7">
        <f>IF('Database MK'!GC91="","Belum",'Database MK'!GB91-'Database MK'!GC91)</f>
        <v>95</v>
      </c>
      <c r="AL90" s="7">
        <f>IF('Database MK'!GF91="","Belum",'Database MK'!GE91-'Database MK'!GF91)</f>
        <v>102</v>
      </c>
      <c r="AM90" s="279">
        <f>IF('Database MK'!GJ91="","Belum",'Database MK'!GI91-'Database MK'!GJ91)</f>
        <v>109</v>
      </c>
      <c r="AN90" s="7">
        <f>IF('Database MK'!HG91="","Belum",'Database MK'!HF91-'Database MK'!HG91)</f>
        <v>63</v>
      </c>
      <c r="AO90" s="7">
        <f>IF('Database MK'!HQ91="","Belum",'Database MK'!HN91-'Database MK'!HQ91)</f>
        <v>-88</v>
      </c>
      <c r="AP90" s="7">
        <f>IF('Database MK'!HW91="","Belum",'Database MK'!HU91-'Database MK'!HW91)</f>
        <v>-92</v>
      </c>
    </row>
    <row r="91" spans="2:42" hidden="1" x14ac:dyDescent="0.25">
      <c r="B91" s="7">
        <f>SUBTOTAL(3,$C$4:C91)</f>
        <v>74</v>
      </c>
      <c r="C91" s="269" t="s">
        <v>673</v>
      </c>
      <c r="D91" s="269" t="s">
        <v>697</v>
      </c>
      <c r="E91" s="269" t="s">
        <v>698</v>
      </c>
      <c r="F91" s="270">
        <v>45748</v>
      </c>
      <c r="G91" s="4" t="s">
        <v>247</v>
      </c>
      <c r="H91" s="4" t="str">
        <f ca="1">'Database MK'!Q92</f>
        <v>DPPP</v>
      </c>
      <c r="I91" s="24">
        <f>'Database MK'!S92</f>
        <v>1</v>
      </c>
      <c r="J91" s="24">
        <f>'Database MK'!T92</f>
        <v>1</v>
      </c>
      <c r="K91" s="571">
        <f>'Database MK'!U92</f>
        <v>0</v>
      </c>
      <c r="L91" s="561">
        <f>'Database MK'!V92</f>
        <v>122</v>
      </c>
      <c r="M91" s="561">
        <f>'Database MK'!W92</f>
        <v>122</v>
      </c>
      <c r="N91" s="561">
        <f>Table3[[#This Row],[Total Panjang Pipa Aktual]]-Table3[[#This Row],[Volume
BA MC-0]]</f>
        <v>0</v>
      </c>
      <c r="O91" s="7" t="str">
        <f ca="1">'Database MK'!DE92</f>
        <v>Belum, Delay</v>
      </c>
      <c r="P91" s="7" t="str">
        <f ca="1">'Database MK'!DI92</f>
        <v>Belum, Delay</v>
      </c>
      <c r="Q91" s="7" t="str">
        <f ca="1">'Database MK'!DN92</f>
        <v>Sudah, OnSchedule</v>
      </c>
      <c r="R91" s="7" t="str">
        <f ca="1">'Database MK'!DR92</f>
        <v>Sudah, OnSchedule</v>
      </c>
      <c r="S91" s="7" t="str">
        <f ca="1">'Database MK'!EA92</f>
        <v>Belum, Delay</v>
      </c>
      <c r="T91" s="7" t="str">
        <f ca="1">'Database MK'!EI92</f>
        <v>Belum, Delay</v>
      </c>
      <c r="U91" s="7" t="str">
        <f ca="1">'Database MK'!ET92</f>
        <v>Sudah, OnSchedule</v>
      </c>
      <c r="V91" s="7" t="str">
        <f ca="1">'Database MK'!GA92</f>
        <v>Belum, Delay</v>
      </c>
      <c r="W91" s="7" t="str">
        <f ca="1">'Database MK'!GD92</f>
        <v>Sudah, OnSchedule</v>
      </c>
      <c r="X91" s="7" t="str">
        <f ca="1">'Database MK'!GG92</f>
        <v>Sudah, OnSchedule</v>
      </c>
      <c r="Y91" s="7" t="str">
        <f ca="1">'Database MK'!GK92</f>
        <v>Sudah, OnSchedule</v>
      </c>
      <c r="Z91" s="7" t="str">
        <f ca="1">'Database MK'!HH92</f>
        <v>Sudah, OnSchedule</v>
      </c>
      <c r="AA91" s="7" t="str">
        <f ca="1">'Database MK'!HR92</f>
        <v>Sudah, Delay</v>
      </c>
      <c r="AB91" s="7" t="str">
        <f ca="1">'Database MK'!HX92</f>
        <v>Sudah, Delay</v>
      </c>
      <c r="AC91" s="7">
        <f>'Database MK'!DA92-'Database MK'!DB92</f>
        <v>45466</v>
      </c>
      <c r="AD91" s="7">
        <f>'Database MK'!DA92-'Database MK'!DF92</f>
        <v>45466</v>
      </c>
      <c r="AE91" s="7">
        <f>'Database MK'!DK92-'Database MK'!DL92</f>
        <v>69</v>
      </c>
      <c r="AF91" s="7">
        <f>'Database MK'!DK92-'Database MK'!DO92</f>
        <v>61</v>
      </c>
      <c r="AG91" s="7">
        <f>'Database MK'!DU92-'Database MK'!DW92</f>
        <v>45508</v>
      </c>
      <c r="AH91" s="7" t="str">
        <f>IF('Database MK'!EB92="","Belum",'Database MK'!DU92-'Database MK'!EB92)</f>
        <v>Belum</v>
      </c>
      <c r="AI91" s="7">
        <f>IF('Database MK'!EN92="","Belum",'Database MK'!EL92-'Database MK'!EN92)</f>
        <v>4</v>
      </c>
      <c r="AJ91" s="7">
        <f>'Database MK'!FY92-'Database MK'!FZ92</f>
        <v>0</v>
      </c>
      <c r="AK91" s="7">
        <f>IF('Database MK'!GC92="","Belum",'Database MK'!GB92-'Database MK'!GC92)</f>
        <v>95</v>
      </c>
      <c r="AL91" s="7">
        <f>IF('Database MK'!GF92="","Belum",'Database MK'!GE92-'Database MK'!GF92)</f>
        <v>102</v>
      </c>
      <c r="AM91" s="279">
        <f>IF('Database MK'!GJ92="","Belum",'Database MK'!GI92-'Database MK'!GJ92)</f>
        <v>109</v>
      </c>
      <c r="AN91" s="7">
        <f>IF('Database MK'!HG92="","Belum",'Database MK'!HF92-'Database MK'!HG92)</f>
        <v>63</v>
      </c>
      <c r="AO91" s="7">
        <f>IF('Database MK'!HQ92="","Belum",'Database MK'!HN92-'Database MK'!HQ92)</f>
        <v>-88</v>
      </c>
      <c r="AP91" s="7">
        <f>IF('Database MK'!HW92="","Belum",'Database MK'!HU92-'Database MK'!HW92)</f>
        <v>-92</v>
      </c>
    </row>
    <row r="92" spans="2:42" hidden="1" x14ac:dyDescent="0.25">
      <c r="B92" s="7">
        <f>SUBTOTAL(3,$C$4:C92)</f>
        <v>74</v>
      </c>
      <c r="C92" s="269" t="s">
        <v>673</v>
      </c>
      <c r="D92" s="269" t="s">
        <v>701</v>
      </c>
      <c r="E92" s="269" t="s">
        <v>702</v>
      </c>
      <c r="F92" s="270">
        <v>45748</v>
      </c>
      <c r="G92" s="4" t="s">
        <v>247</v>
      </c>
      <c r="H92" s="4" t="str">
        <f ca="1">'Database MK'!Q93</f>
        <v>DPPP</v>
      </c>
      <c r="I92" s="24">
        <f>'Database MK'!S93</f>
        <v>1</v>
      </c>
      <c r="J92" s="24">
        <f>'Database MK'!T93</f>
        <v>1</v>
      </c>
      <c r="K92" s="571">
        <f>'Database MK'!U93</f>
        <v>0</v>
      </c>
      <c r="L92" s="561">
        <f>'Database MK'!V93</f>
        <v>103</v>
      </c>
      <c r="M92" s="561">
        <f>'Database MK'!W93</f>
        <v>103</v>
      </c>
      <c r="N92" s="561">
        <f>Table3[[#This Row],[Total Panjang Pipa Aktual]]-Table3[[#This Row],[Volume
BA MC-0]]</f>
        <v>0</v>
      </c>
      <c r="O92" s="7" t="str">
        <f ca="1">'Database MK'!DE93</f>
        <v>Belum, Delay</v>
      </c>
      <c r="P92" s="7" t="str">
        <f ca="1">'Database MK'!DI93</f>
        <v>Belum, Delay</v>
      </c>
      <c r="Q92" s="7" t="str">
        <f ca="1">'Database MK'!DN93</f>
        <v>Sudah, OnSchedule</v>
      </c>
      <c r="R92" s="7" t="str">
        <f ca="1">'Database MK'!DR93</f>
        <v>Sudah, OnSchedule</v>
      </c>
      <c r="S92" s="7" t="str">
        <f ca="1">'Database MK'!EA93</f>
        <v>Belum, Delay</v>
      </c>
      <c r="T92" s="7" t="str">
        <f ca="1">'Database MK'!EI93</f>
        <v>Belum, Delay</v>
      </c>
      <c r="U92" s="7" t="str">
        <f ca="1">'Database MK'!ET93</f>
        <v>Sudah, Delay</v>
      </c>
      <c r="V92" s="7" t="str">
        <f ca="1">'Database MK'!GA93</f>
        <v>Belum, Delay</v>
      </c>
      <c r="W92" s="7" t="str">
        <f ca="1">'Database MK'!GD93</f>
        <v>Sudah, OnSchedule</v>
      </c>
      <c r="X92" s="7" t="str">
        <f ca="1">'Database MK'!GG93</f>
        <v>Sudah, OnSchedule</v>
      </c>
      <c r="Y92" s="7" t="str">
        <f ca="1">'Database MK'!GK93</f>
        <v>Sudah, OnSchedule</v>
      </c>
      <c r="Z92" s="7" t="str">
        <f ca="1">'Database MK'!HH93</f>
        <v>Sudah, OnSchedule</v>
      </c>
      <c r="AA92" s="7" t="str">
        <f ca="1">'Database MK'!HR93</f>
        <v>Sudah, Delay</v>
      </c>
      <c r="AB92" s="7" t="str">
        <f ca="1">'Database MK'!HX93</f>
        <v>Sudah, Delay</v>
      </c>
      <c r="AC92" s="7">
        <f>'Database MK'!DA93-'Database MK'!DB93</f>
        <v>45466</v>
      </c>
      <c r="AD92" s="7">
        <f>'Database MK'!DA93-'Database MK'!DF93</f>
        <v>45466</v>
      </c>
      <c r="AE92" s="7">
        <f>'Database MK'!DK93-'Database MK'!DL93</f>
        <v>69</v>
      </c>
      <c r="AF92" s="7">
        <f>'Database MK'!DK93-'Database MK'!DO93</f>
        <v>61</v>
      </c>
      <c r="AG92" s="7">
        <f>'Database MK'!DU93-'Database MK'!DW93</f>
        <v>45508</v>
      </c>
      <c r="AH92" s="7" t="str">
        <f>IF('Database MK'!EB93="","Belum",'Database MK'!DU93-'Database MK'!EB93)</f>
        <v>Belum</v>
      </c>
      <c r="AI92" s="7">
        <f>IF('Database MK'!EN93="","Belum",'Database MK'!EL93-'Database MK'!EN93)</f>
        <v>-540</v>
      </c>
      <c r="AJ92" s="7">
        <f>'Database MK'!FY93-'Database MK'!FZ93</f>
        <v>0</v>
      </c>
      <c r="AK92" s="7">
        <f>IF('Database MK'!GC93="","Belum",'Database MK'!GB93-'Database MK'!GC93)</f>
        <v>95</v>
      </c>
      <c r="AL92" s="7">
        <f>IF('Database MK'!GF93="","Belum",'Database MK'!GE93-'Database MK'!GF93)</f>
        <v>102</v>
      </c>
      <c r="AM92" s="279">
        <f>IF('Database MK'!GJ93="","Belum",'Database MK'!GI93-'Database MK'!GJ93)</f>
        <v>109</v>
      </c>
      <c r="AN92" s="7">
        <f>IF('Database MK'!HG93="","Belum",'Database MK'!HF93-'Database MK'!HG93)</f>
        <v>63</v>
      </c>
      <c r="AO92" s="7">
        <f>IF('Database MK'!HQ93="","Belum",'Database MK'!HN93-'Database MK'!HQ93)</f>
        <v>-88</v>
      </c>
      <c r="AP92" s="7">
        <f>IF('Database MK'!HW93="","Belum",'Database MK'!HU93-'Database MK'!HW93)</f>
        <v>-92</v>
      </c>
    </row>
    <row r="93" spans="2:42" hidden="1" x14ac:dyDescent="0.25">
      <c r="B93" s="7">
        <f>SUBTOTAL(3,$C$4:C93)</f>
        <v>74</v>
      </c>
      <c r="C93" s="269" t="s">
        <v>673</v>
      </c>
      <c r="D93" s="269" t="s">
        <v>705</v>
      </c>
      <c r="E93" s="269" t="s">
        <v>706</v>
      </c>
      <c r="F93" s="270">
        <v>45748</v>
      </c>
      <c r="G93" s="4" t="s">
        <v>247</v>
      </c>
      <c r="H93" s="4" t="str">
        <f ca="1">'Database MK'!Q94</f>
        <v>DPPP</v>
      </c>
      <c r="I93" s="24">
        <f>'Database MK'!S94</f>
        <v>1</v>
      </c>
      <c r="J93" s="24">
        <f>'Database MK'!T94</f>
        <v>1</v>
      </c>
      <c r="K93" s="571">
        <f>'Database MK'!U94</f>
        <v>0</v>
      </c>
      <c r="L93" s="561">
        <f>'Database MK'!V94</f>
        <v>262</v>
      </c>
      <c r="M93" s="561">
        <f>'Database MK'!W94</f>
        <v>262</v>
      </c>
      <c r="N93" s="561">
        <f>Table3[[#This Row],[Total Panjang Pipa Aktual]]-Table3[[#This Row],[Volume
BA MC-0]]</f>
        <v>0</v>
      </c>
      <c r="O93" s="7" t="str">
        <f ca="1">'Database MK'!DE94</f>
        <v>Belum, Delay</v>
      </c>
      <c r="P93" s="7" t="str">
        <f ca="1">'Database MK'!DI94</f>
        <v>Belum, Delay</v>
      </c>
      <c r="Q93" s="7" t="str">
        <f ca="1">'Database MK'!DN94</f>
        <v>Sudah, OnSchedule</v>
      </c>
      <c r="R93" s="7" t="str">
        <f ca="1">'Database MK'!DR94</f>
        <v>Sudah, OnSchedule</v>
      </c>
      <c r="S93" s="7" t="str">
        <f ca="1">'Database MK'!EA94</f>
        <v>Belum, Delay</v>
      </c>
      <c r="T93" s="7" t="str">
        <f ca="1">'Database MK'!EI94</f>
        <v>Belum, Delay</v>
      </c>
      <c r="U93" s="7" t="str">
        <f ca="1">'Database MK'!ET94</f>
        <v>Sudah, Delay</v>
      </c>
      <c r="V93" s="7" t="str">
        <f ca="1">'Database MK'!GA94</f>
        <v>Belum, Delay</v>
      </c>
      <c r="W93" s="7" t="str">
        <f ca="1">'Database MK'!GD94</f>
        <v>Sudah, OnSchedule</v>
      </c>
      <c r="X93" s="7" t="str">
        <f ca="1">'Database MK'!GG94</f>
        <v>Sudah, OnSchedule</v>
      </c>
      <c r="Y93" s="7" t="str">
        <f ca="1">'Database MK'!GK94</f>
        <v>Sudah, OnSchedule</v>
      </c>
      <c r="Z93" s="7" t="str">
        <f ca="1">'Database MK'!HH94</f>
        <v>Sudah, OnSchedule</v>
      </c>
      <c r="AA93" s="7" t="str">
        <f ca="1">'Database MK'!HR94</f>
        <v>Sudah, Delay</v>
      </c>
      <c r="AB93" s="7" t="str">
        <f ca="1">'Database MK'!HX94</f>
        <v>Sudah, Delay</v>
      </c>
      <c r="AC93" s="7">
        <f>'Database MK'!DA94-'Database MK'!DB94</f>
        <v>45466</v>
      </c>
      <c r="AD93" s="7">
        <f>'Database MK'!DA94-'Database MK'!DF94</f>
        <v>45466</v>
      </c>
      <c r="AE93" s="7">
        <f>'Database MK'!DK94-'Database MK'!DL94</f>
        <v>69</v>
      </c>
      <c r="AF93" s="7">
        <f>'Database MK'!DK94-'Database MK'!DO94</f>
        <v>61</v>
      </c>
      <c r="AG93" s="7">
        <f>'Database MK'!DU94-'Database MK'!DW94</f>
        <v>45508</v>
      </c>
      <c r="AH93" s="7" t="str">
        <f>IF('Database MK'!EB94="","Belum",'Database MK'!DU94-'Database MK'!EB94)</f>
        <v>Belum</v>
      </c>
      <c r="AI93" s="7">
        <f>IF('Database MK'!EN94="","Belum",'Database MK'!EL94-'Database MK'!EN94)</f>
        <v>-540</v>
      </c>
      <c r="AJ93" s="7">
        <f>'Database MK'!FY94-'Database MK'!FZ94</f>
        <v>0</v>
      </c>
      <c r="AK93" s="7">
        <f>IF('Database MK'!GC94="","Belum",'Database MK'!GB94-'Database MK'!GC94)</f>
        <v>95</v>
      </c>
      <c r="AL93" s="7">
        <f>IF('Database MK'!GF94="","Belum",'Database MK'!GE94-'Database MK'!GF94)</f>
        <v>102</v>
      </c>
      <c r="AM93" s="279">
        <f>IF('Database MK'!GJ94="","Belum",'Database MK'!GI94-'Database MK'!GJ94)</f>
        <v>109</v>
      </c>
      <c r="AN93" s="7">
        <f>IF('Database MK'!HG94="","Belum",'Database MK'!HF94-'Database MK'!HG94)</f>
        <v>63</v>
      </c>
      <c r="AO93" s="7">
        <f>IF('Database MK'!HQ94="","Belum",'Database MK'!HN94-'Database MK'!HQ94)</f>
        <v>-88</v>
      </c>
      <c r="AP93" s="7">
        <f>IF('Database MK'!HW94="","Belum",'Database MK'!HU94-'Database MK'!HW94)</f>
        <v>-92</v>
      </c>
    </row>
    <row r="94" spans="2:42" hidden="1" x14ac:dyDescent="0.25">
      <c r="B94" s="7">
        <f>SUBTOTAL(3,$C$4:C94)</f>
        <v>74</v>
      </c>
      <c r="C94" s="269" t="s">
        <v>673</v>
      </c>
      <c r="D94" s="269" t="s">
        <v>709</v>
      </c>
      <c r="E94" s="269" t="s">
        <v>710</v>
      </c>
      <c r="F94" s="270">
        <v>45748</v>
      </c>
      <c r="G94" s="4" t="s">
        <v>247</v>
      </c>
      <c r="H94" s="4" t="str">
        <f ca="1">'Database MK'!Q95</f>
        <v>DPPP</v>
      </c>
      <c r="I94" s="24">
        <f>'Database MK'!S95</f>
        <v>1</v>
      </c>
      <c r="J94" s="24">
        <f>'Database MK'!T95</f>
        <v>1</v>
      </c>
      <c r="K94" s="571">
        <f>'Database MK'!U95</f>
        <v>0</v>
      </c>
      <c r="L94" s="561">
        <f>'Database MK'!V95</f>
        <v>57</v>
      </c>
      <c r="M94" s="561">
        <f>'Database MK'!W95</f>
        <v>283</v>
      </c>
      <c r="N94" s="561">
        <f>Table3[[#This Row],[Total Panjang Pipa Aktual]]-Table3[[#This Row],[Volume
BA MC-0]]</f>
        <v>226</v>
      </c>
      <c r="O94" s="7" t="str">
        <f ca="1">'Database MK'!DE95</f>
        <v>Belum, Delay</v>
      </c>
      <c r="P94" s="7" t="str">
        <f ca="1">'Database MK'!DI95</f>
        <v>Belum, Delay</v>
      </c>
      <c r="Q94" s="7" t="str">
        <f ca="1">'Database MK'!DN95</f>
        <v>Sudah, Delay</v>
      </c>
      <c r="R94" s="7" t="str">
        <f ca="1">'Database MK'!DR95</f>
        <v>Sudah, Delay</v>
      </c>
      <c r="S94" s="7" t="str">
        <f ca="1">'Database MK'!EA95</f>
        <v>Belum, Delay</v>
      </c>
      <c r="T94" s="7" t="str">
        <f ca="1">'Database MK'!EI95</f>
        <v>Belum, Delay</v>
      </c>
      <c r="U94" s="7" t="str">
        <f ca="1">'Database MK'!ET95</f>
        <v>Sudah, Delay</v>
      </c>
      <c r="V94" s="7" t="str">
        <f ca="1">'Database MK'!GA95</f>
        <v>Belum, Delay</v>
      </c>
      <c r="W94" s="7" t="str">
        <f ca="1">'Database MK'!GD95</f>
        <v>Sudah, OnSchedule</v>
      </c>
      <c r="X94" s="7" t="str">
        <f ca="1">'Database MK'!GG95</f>
        <v>Sudah, OnSchedule</v>
      </c>
      <c r="Y94" s="7" t="str">
        <f ca="1">'Database MK'!GK95</f>
        <v>Sudah, OnSchedule</v>
      </c>
      <c r="Z94" s="7" t="str">
        <f ca="1">'Database MK'!HH95</f>
        <v>Sudah, Delay</v>
      </c>
      <c r="AA94" s="7" t="str">
        <f ca="1">'Database MK'!HR95</f>
        <v>Sudah, Delay</v>
      </c>
      <c r="AB94" s="7" t="str">
        <f ca="1">'Database MK'!HX95</f>
        <v>Sudah, Delay</v>
      </c>
      <c r="AC94" s="7">
        <f>'Database MK'!DA95-'Database MK'!DB95</f>
        <v>45438</v>
      </c>
      <c r="AD94" s="7">
        <f>'Database MK'!DA95-'Database MK'!DF95</f>
        <v>45438</v>
      </c>
      <c r="AE94" s="7">
        <f>'Database MK'!DK95-'Database MK'!DL95</f>
        <v>-164</v>
      </c>
      <c r="AF94" s="7">
        <f>'Database MK'!DK95-'Database MK'!DO95</f>
        <v>-312</v>
      </c>
      <c r="AG94" s="7">
        <f>'Database MK'!DU95-'Database MK'!DW95</f>
        <v>45480</v>
      </c>
      <c r="AH94" s="7" t="str">
        <f>IF('Database MK'!EB95="","Belum",'Database MK'!DU95-'Database MK'!EB95)</f>
        <v>Belum</v>
      </c>
      <c r="AI94" s="7">
        <f>IF('Database MK'!EN95="","Belum",'Database MK'!EL95-'Database MK'!EN95)</f>
        <v>-352</v>
      </c>
      <c r="AJ94" s="7">
        <f>'Database MK'!FY95-'Database MK'!FZ95</f>
        <v>0</v>
      </c>
      <c r="AK94" s="7">
        <f>IF('Database MK'!GC95="","Belum",'Database MK'!GB95-'Database MK'!GC95)</f>
        <v>124</v>
      </c>
      <c r="AL94" s="7">
        <f>IF('Database MK'!GF95="","Belum",'Database MK'!GE95-'Database MK'!GF95)</f>
        <v>131</v>
      </c>
      <c r="AM94" s="279">
        <f>IF('Database MK'!GJ95="","Belum",'Database MK'!GI95-'Database MK'!GJ95)</f>
        <v>135</v>
      </c>
      <c r="AN94" s="7">
        <f>IF('Database MK'!HG95="","Belum",'Database MK'!HF95-'Database MK'!HG95)</f>
        <v>-176</v>
      </c>
      <c r="AO94" s="7">
        <f>IF('Database MK'!HQ95="","Belum",'Database MK'!HN95-'Database MK'!HQ95)</f>
        <v>-178</v>
      </c>
      <c r="AP94" s="7">
        <f>IF('Database MK'!HW95="","Belum",'Database MK'!HU95-'Database MK'!HW95)</f>
        <v>-183</v>
      </c>
    </row>
    <row r="95" spans="2:42" hidden="1" x14ac:dyDescent="0.25">
      <c r="B95" s="7">
        <f>SUBTOTAL(3,$C$4:C95)</f>
        <v>74</v>
      </c>
      <c r="C95" s="269" t="s">
        <v>673</v>
      </c>
      <c r="D95" s="269" t="s">
        <v>714</v>
      </c>
      <c r="E95" s="269" t="s">
        <v>715</v>
      </c>
      <c r="F95" s="270">
        <v>45748</v>
      </c>
      <c r="G95" s="4" t="s">
        <v>247</v>
      </c>
      <c r="H95" s="4" t="str">
        <f ca="1">'Database MK'!Q96</f>
        <v>DPPP</v>
      </c>
      <c r="I95" s="24">
        <f>'Database MK'!S96</f>
        <v>1</v>
      </c>
      <c r="J95" s="24">
        <f>'Database MK'!T96</f>
        <v>1</v>
      </c>
      <c r="K95" s="571">
        <f>'Database MK'!U96</f>
        <v>0</v>
      </c>
      <c r="L95" s="561">
        <f>'Database MK'!V96</f>
        <v>42</v>
      </c>
      <c r="M95" s="561">
        <f>'Database MK'!W96</f>
        <v>44</v>
      </c>
      <c r="N95" s="561">
        <f>Table3[[#This Row],[Total Panjang Pipa Aktual]]-Table3[[#This Row],[Volume
BA MC-0]]</f>
        <v>2</v>
      </c>
      <c r="O95" s="7" t="str">
        <f ca="1">'Database MK'!DE96</f>
        <v>Belum, Delay</v>
      </c>
      <c r="P95" s="7" t="str">
        <f ca="1">'Database MK'!DI96</f>
        <v>Belum, Delay</v>
      </c>
      <c r="Q95" s="7" t="str">
        <f ca="1">'Database MK'!DN96</f>
        <v>Sudah, OnSchedule</v>
      </c>
      <c r="R95" s="7" t="str">
        <f ca="1">'Database MK'!DR96</f>
        <v>Sudah, OnSchedule</v>
      </c>
      <c r="S95" s="7" t="str">
        <f ca="1">'Database MK'!EA96</f>
        <v>Belum, Delay</v>
      </c>
      <c r="T95" s="7" t="str">
        <f ca="1">'Database MK'!EI96</f>
        <v>Belum, Delay</v>
      </c>
      <c r="U95" s="7" t="str">
        <f ca="1">'Database MK'!ET96</f>
        <v>Sudah, Delay</v>
      </c>
      <c r="V95" s="7" t="str">
        <f ca="1">'Database MK'!GA96</f>
        <v>Belum, Delay</v>
      </c>
      <c r="W95" s="7" t="str">
        <f ca="1">'Database MK'!GD96</f>
        <v>Sudah, OnSchedule</v>
      </c>
      <c r="X95" s="7" t="str">
        <f ca="1">'Database MK'!GG96</f>
        <v>Sudah, OnSchedule</v>
      </c>
      <c r="Y95" s="7" t="str">
        <f ca="1">'Database MK'!GK96</f>
        <v>Sudah, OnSchedule</v>
      </c>
      <c r="Z95" s="7" t="str">
        <f ca="1">'Database MK'!HH96</f>
        <v>Sudah, Delay</v>
      </c>
      <c r="AA95" s="7" t="str">
        <f ca="1">'Database MK'!HR96</f>
        <v>Sudah, Delay</v>
      </c>
      <c r="AB95" s="7" t="str">
        <f ca="1">'Database MK'!HX96</f>
        <v>Sudah, Delay</v>
      </c>
      <c r="AC95" s="7">
        <f>'Database MK'!DA96-'Database MK'!DB96</f>
        <v>45438</v>
      </c>
      <c r="AD95" s="7">
        <f>'Database MK'!DA96-'Database MK'!DF96</f>
        <v>45438</v>
      </c>
      <c r="AE95" s="7">
        <f>'Database MK'!DK96-'Database MK'!DL96</f>
        <v>75</v>
      </c>
      <c r="AF95" s="7">
        <f>'Database MK'!DK96-'Database MK'!DO96</f>
        <v>62</v>
      </c>
      <c r="AG95" s="7">
        <f>'Database MK'!DU96-'Database MK'!DW96</f>
        <v>45480</v>
      </c>
      <c r="AH95" s="7" t="str">
        <f>IF('Database MK'!EB96="","Belum",'Database MK'!DU96-'Database MK'!EB96)</f>
        <v>Belum</v>
      </c>
      <c r="AI95" s="7">
        <f>IF('Database MK'!EN96="","Belum",'Database MK'!EL96-'Database MK'!EN96)</f>
        <v>-431</v>
      </c>
      <c r="AJ95" s="7">
        <f>'Database MK'!FY96-'Database MK'!FZ96</f>
        <v>0</v>
      </c>
      <c r="AK95" s="7">
        <f>IF('Database MK'!GC96="","Belum",'Database MK'!GB96-'Database MK'!GC96)</f>
        <v>124</v>
      </c>
      <c r="AL95" s="7">
        <f>IF('Database MK'!GF96="","Belum",'Database MK'!GE96-'Database MK'!GF96)</f>
        <v>131</v>
      </c>
      <c r="AM95" s="279">
        <f>IF('Database MK'!GJ96="","Belum",'Database MK'!GI96-'Database MK'!GJ96)</f>
        <v>135</v>
      </c>
      <c r="AN95" s="7">
        <f>IF('Database MK'!HG96="","Belum",'Database MK'!HF96-'Database MK'!HG96)</f>
        <v>-17</v>
      </c>
      <c r="AO95" s="7">
        <f>IF('Database MK'!HQ96="","Belum",'Database MK'!HN96-'Database MK'!HQ96)</f>
        <v>-178</v>
      </c>
      <c r="AP95" s="7">
        <f>IF('Database MK'!HW96="","Belum",'Database MK'!HU96-'Database MK'!HW96)</f>
        <v>-183</v>
      </c>
    </row>
    <row r="96" spans="2:42" hidden="1" x14ac:dyDescent="0.25">
      <c r="B96" s="7">
        <f>SUBTOTAL(3,$C$4:C96)</f>
        <v>74</v>
      </c>
      <c r="C96" s="269" t="s">
        <v>673</v>
      </c>
      <c r="D96" s="269" t="s">
        <v>718</v>
      </c>
      <c r="E96" s="269" t="s">
        <v>719</v>
      </c>
      <c r="F96" s="270">
        <v>45748</v>
      </c>
      <c r="G96" s="4" t="s">
        <v>247</v>
      </c>
      <c r="H96" s="4" t="str">
        <f ca="1">'Database MK'!Q97</f>
        <v>DPPP</v>
      </c>
      <c r="I96" s="24">
        <f>'Database MK'!S97</f>
        <v>1</v>
      </c>
      <c r="J96" s="24">
        <f>'Database MK'!T97</f>
        <v>1</v>
      </c>
      <c r="K96" s="571">
        <f>'Database MK'!U97</f>
        <v>0</v>
      </c>
      <c r="L96" s="561">
        <f>'Database MK'!V97</f>
        <v>447</v>
      </c>
      <c r="M96" s="561">
        <f>'Database MK'!W97</f>
        <v>533</v>
      </c>
      <c r="N96" s="561">
        <f>Table3[[#This Row],[Total Panjang Pipa Aktual]]-Table3[[#This Row],[Volume
BA MC-0]]</f>
        <v>86</v>
      </c>
      <c r="O96" s="7" t="str">
        <f ca="1">'Database MK'!DE97</f>
        <v>Belum, Delay</v>
      </c>
      <c r="P96" s="7" t="str">
        <f ca="1">'Database MK'!DI97</f>
        <v>Belum, Delay</v>
      </c>
      <c r="Q96" s="7" t="str">
        <f ca="1">'Database MK'!DN97</f>
        <v>Sudah, OnSchedule</v>
      </c>
      <c r="R96" s="7" t="str">
        <f ca="1">'Database MK'!DR97</f>
        <v>Sudah, OnSchedule</v>
      </c>
      <c r="S96" s="7" t="str">
        <f ca="1">'Database MK'!EA97</f>
        <v>Belum, Delay</v>
      </c>
      <c r="T96" s="7" t="str">
        <f ca="1">'Database MK'!EI97</f>
        <v>Belum, Delay</v>
      </c>
      <c r="U96" s="7" t="str">
        <f ca="1">'Database MK'!ET97</f>
        <v>Sudah, OnSchedule</v>
      </c>
      <c r="V96" s="7" t="str">
        <f ca="1">'Database MK'!GA97</f>
        <v>Belum, Delay</v>
      </c>
      <c r="W96" s="7" t="str">
        <f ca="1">'Database MK'!GD97</f>
        <v>Sudah, OnSchedule</v>
      </c>
      <c r="X96" s="7" t="str">
        <f ca="1">'Database MK'!GG97</f>
        <v>Sudah, OnSchedule</v>
      </c>
      <c r="Y96" s="7" t="str">
        <f ca="1">'Database MK'!GK97</f>
        <v>Sudah, OnSchedule</v>
      </c>
      <c r="Z96" s="7" t="str">
        <f ca="1">'Database MK'!HH97</f>
        <v>Sudah, Delay</v>
      </c>
      <c r="AA96" s="7" t="str">
        <f ca="1">'Database MK'!HR97</f>
        <v>Sudah, Delay</v>
      </c>
      <c r="AB96" s="7" t="str">
        <f ca="1">'Database MK'!HX97</f>
        <v>Sudah, Delay</v>
      </c>
      <c r="AC96" s="7">
        <f>'Database MK'!DA97-'Database MK'!DB97</f>
        <v>45438</v>
      </c>
      <c r="AD96" s="7">
        <f>'Database MK'!DA97-'Database MK'!DF97</f>
        <v>45438</v>
      </c>
      <c r="AE96" s="7">
        <f>'Database MK'!DK97-'Database MK'!DL97</f>
        <v>75</v>
      </c>
      <c r="AF96" s="7">
        <f>'Database MK'!DK97-'Database MK'!DO97</f>
        <v>62</v>
      </c>
      <c r="AG96" s="7">
        <f>'Database MK'!DU97-'Database MK'!DW97</f>
        <v>45480</v>
      </c>
      <c r="AH96" s="7" t="str">
        <f>IF('Database MK'!EB97="","Belum",'Database MK'!DU97-'Database MK'!EB97)</f>
        <v>Belum</v>
      </c>
      <c r="AI96" s="7">
        <f>IF('Database MK'!EN97="","Belum",'Database MK'!EL97-'Database MK'!EN97)</f>
        <v>6</v>
      </c>
      <c r="AJ96" s="7">
        <f>'Database MK'!FY97-'Database MK'!FZ97</f>
        <v>0</v>
      </c>
      <c r="AK96" s="7">
        <f>IF('Database MK'!GC97="","Belum",'Database MK'!GB97-'Database MK'!GC97)</f>
        <v>124</v>
      </c>
      <c r="AL96" s="7">
        <f>IF('Database MK'!GF97="","Belum",'Database MK'!GE97-'Database MK'!GF97)</f>
        <v>131</v>
      </c>
      <c r="AM96" s="279">
        <f>IF('Database MK'!GJ97="","Belum",'Database MK'!GI97-'Database MK'!GJ97)</f>
        <v>136</v>
      </c>
      <c r="AN96" s="7">
        <f>IF('Database MK'!HG97="","Belum",'Database MK'!HF97-'Database MK'!HG97)</f>
        <v>-16</v>
      </c>
      <c r="AO96" s="7">
        <f>IF('Database MK'!HQ97="","Belum",'Database MK'!HN97-'Database MK'!HQ97)</f>
        <v>-179</v>
      </c>
      <c r="AP96" s="7">
        <f>IF('Database MK'!HW97="","Belum",'Database MK'!HU97-'Database MK'!HW97)</f>
        <v>-183</v>
      </c>
    </row>
    <row r="97" spans="2:42" hidden="1" x14ac:dyDescent="0.25">
      <c r="B97" s="7">
        <f>SUBTOTAL(3,$C$4:C97)</f>
        <v>74</v>
      </c>
      <c r="C97" s="269" t="s">
        <v>673</v>
      </c>
      <c r="D97" s="269" t="s">
        <v>723</v>
      </c>
      <c r="E97" s="269" t="s">
        <v>724</v>
      </c>
      <c r="F97" s="270">
        <v>45748</v>
      </c>
      <c r="G97" s="4" t="s">
        <v>247</v>
      </c>
      <c r="H97" s="4" t="str">
        <f ca="1">'Database MK'!Q98</f>
        <v>DPPP</v>
      </c>
      <c r="I97" s="24">
        <f>'Database MK'!S98</f>
        <v>1</v>
      </c>
      <c r="J97" s="24">
        <f>'Database MK'!T98</f>
        <v>1</v>
      </c>
      <c r="K97" s="571">
        <f>'Database MK'!U98</f>
        <v>0</v>
      </c>
      <c r="L97" s="561">
        <f>'Database MK'!V98</f>
        <v>125</v>
      </c>
      <c r="M97" s="561">
        <f>'Database MK'!W98</f>
        <v>125</v>
      </c>
      <c r="N97" s="561">
        <f>Table3[[#This Row],[Total Panjang Pipa Aktual]]-Table3[[#This Row],[Volume
BA MC-0]]</f>
        <v>0</v>
      </c>
      <c r="O97" s="7" t="str">
        <f ca="1">'Database MK'!DE98</f>
        <v>Belum, Delay</v>
      </c>
      <c r="P97" s="7" t="str">
        <f ca="1">'Database MK'!DI98</f>
        <v>Belum, Delay</v>
      </c>
      <c r="Q97" s="7" t="str">
        <f ca="1">'Database MK'!DN98</f>
        <v>Belum, Delay</v>
      </c>
      <c r="R97" s="7" t="str">
        <f ca="1">'Database MK'!DR98</f>
        <v>Belum, Delay</v>
      </c>
      <c r="S97" s="7" t="str">
        <f ca="1">'Database MK'!EA98</f>
        <v>Belum, Delay</v>
      </c>
      <c r="T97" s="7" t="str">
        <f ca="1">'Database MK'!EI98</f>
        <v>Belum, Delay</v>
      </c>
      <c r="U97" s="7" t="str">
        <f ca="1">'Database MK'!ET98</f>
        <v>Belum, Delay</v>
      </c>
      <c r="V97" s="7" t="str">
        <f ca="1">'Database MK'!GA98</f>
        <v>Belum, Delay</v>
      </c>
      <c r="W97" s="7" t="str">
        <f ca="1">'Database MK'!GD98</f>
        <v>Sudah, OnSchedule</v>
      </c>
      <c r="X97" s="7" t="str">
        <f ca="1">'Database MK'!GG98</f>
        <v>Sudah, OnSchedule</v>
      </c>
      <c r="Y97" s="7" t="str">
        <f ca="1">'Database MK'!GK98</f>
        <v>Sudah, OnSchedule</v>
      </c>
      <c r="Z97" s="7" t="str">
        <f ca="1">'Database MK'!HH98</f>
        <v>Sudah, Delay</v>
      </c>
      <c r="AA97" s="7" t="str">
        <f ca="1">'Database MK'!HR98</f>
        <v>Sudah, Delay</v>
      </c>
      <c r="AB97" s="7" t="str">
        <f ca="1">'Database MK'!HX98</f>
        <v>Sudah, Delay</v>
      </c>
      <c r="AC97" s="7">
        <f>'Database MK'!DA98-'Database MK'!DB98</f>
        <v>45438</v>
      </c>
      <c r="AD97" s="7">
        <f>'Database MK'!DA98-'Database MK'!DF98</f>
        <v>45438</v>
      </c>
      <c r="AE97" s="7">
        <f>'Database MK'!DK98-'Database MK'!DL98</f>
        <v>45480</v>
      </c>
      <c r="AF97" s="7">
        <f>'Database MK'!DK98-'Database MK'!DO98</f>
        <v>45480</v>
      </c>
      <c r="AG97" s="7">
        <f>'Database MK'!DU98-'Database MK'!DW98</f>
        <v>45480</v>
      </c>
      <c r="AH97" s="7" t="str">
        <f>IF('Database MK'!EB98="","Belum",'Database MK'!DU98-'Database MK'!EB98)</f>
        <v>Belum</v>
      </c>
      <c r="AI97" s="7" t="str">
        <f>IF('Database MK'!EN98="","Belum",'Database MK'!EL98-'Database MK'!EN98)</f>
        <v>Belum</v>
      </c>
      <c r="AJ97" s="7">
        <f>'Database MK'!FY98-'Database MK'!FZ98</f>
        <v>0</v>
      </c>
      <c r="AK97" s="7">
        <f>IF('Database MK'!GC98="","Belum",'Database MK'!GB98-'Database MK'!GC98)</f>
        <v>60</v>
      </c>
      <c r="AL97" s="7">
        <f>IF('Database MK'!GF98="","Belum",'Database MK'!GE98-'Database MK'!GF98)</f>
        <v>67</v>
      </c>
      <c r="AM97" s="279">
        <f>IF('Database MK'!GJ98="","Belum",'Database MK'!GI98-'Database MK'!GJ98)</f>
        <v>74</v>
      </c>
      <c r="AN97" s="7">
        <f>IF('Database MK'!HG98="","Belum",'Database MK'!HF98-'Database MK'!HG98)</f>
        <v>-23</v>
      </c>
      <c r="AO97" s="7">
        <f>IF('Database MK'!HQ98="","Belum",'Database MK'!HN98-'Database MK'!HQ98)</f>
        <v>-180</v>
      </c>
      <c r="AP97" s="7">
        <f>IF('Database MK'!HW98="","Belum",'Database MK'!HU98-'Database MK'!HW98)</f>
        <v>-183</v>
      </c>
    </row>
    <row r="98" spans="2:42" hidden="1" x14ac:dyDescent="0.25">
      <c r="B98" s="7">
        <f>SUBTOTAL(3,$C$4:C98)</f>
        <v>74</v>
      </c>
      <c r="C98" s="269" t="s">
        <v>673</v>
      </c>
      <c r="D98" s="269" t="s">
        <v>726</v>
      </c>
      <c r="E98" s="269" t="s">
        <v>727</v>
      </c>
      <c r="F98" s="270">
        <v>45748</v>
      </c>
      <c r="G98" s="4" t="s">
        <v>247</v>
      </c>
      <c r="H98" s="4" t="str">
        <f ca="1">'Database MK'!Q99</f>
        <v>DPPP</v>
      </c>
      <c r="I98" s="24">
        <f>'Database MK'!S99</f>
        <v>1</v>
      </c>
      <c r="J98" s="24">
        <f>'Database MK'!T99</f>
        <v>1</v>
      </c>
      <c r="K98" s="571">
        <f>'Database MK'!U99</f>
        <v>0</v>
      </c>
      <c r="L98" s="561">
        <f>'Database MK'!V99</f>
        <v>397</v>
      </c>
      <c r="M98" s="561">
        <f>'Database MK'!W99</f>
        <v>397</v>
      </c>
      <c r="N98" s="561">
        <f>Table3[[#This Row],[Total Panjang Pipa Aktual]]-Table3[[#This Row],[Volume
BA MC-0]]</f>
        <v>0</v>
      </c>
      <c r="O98" s="7" t="str">
        <f ca="1">'Database MK'!DE99</f>
        <v>Belum, Delay</v>
      </c>
      <c r="P98" s="7" t="str">
        <f ca="1">'Database MK'!DI99</f>
        <v>Belum, Delay</v>
      </c>
      <c r="Q98" s="7" t="str">
        <f ca="1">'Database MK'!DN99</f>
        <v>Sudah, OnSchedule</v>
      </c>
      <c r="R98" s="7" t="str">
        <f ca="1">'Database MK'!DR99</f>
        <v>Sudah, OnSchedule</v>
      </c>
      <c r="S98" s="7" t="str">
        <f ca="1">'Database MK'!EA99</f>
        <v>Belum, Delay</v>
      </c>
      <c r="T98" s="7" t="str">
        <f ca="1">'Database MK'!EI99</f>
        <v>Belum, Delay</v>
      </c>
      <c r="U98" s="7" t="str">
        <f ca="1">'Database MK'!ET99</f>
        <v>Sudah, OnSchedule</v>
      </c>
      <c r="V98" s="7" t="str">
        <f ca="1">'Database MK'!GA99</f>
        <v>Belum, Delay</v>
      </c>
      <c r="W98" s="7" t="str">
        <f ca="1">'Database MK'!GD99</f>
        <v>Sudah, OnSchedule</v>
      </c>
      <c r="X98" s="7" t="str">
        <f ca="1">'Database MK'!GG99</f>
        <v>Sudah, OnSchedule</v>
      </c>
      <c r="Y98" s="7" t="str">
        <f ca="1">'Database MK'!GK99</f>
        <v>Sudah, OnSchedule</v>
      </c>
      <c r="Z98" s="7" t="str">
        <f ca="1">'Database MK'!HH99</f>
        <v>Sudah, OnSchedule</v>
      </c>
      <c r="AA98" s="7" t="str">
        <f ca="1">'Database MK'!HR99</f>
        <v>Sudah, Delay</v>
      </c>
      <c r="AB98" s="7" t="str">
        <f ca="1">'Database MK'!HX99</f>
        <v>Sudah, Delay</v>
      </c>
      <c r="AC98" s="7">
        <f>'Database MK'!DA99-'Database MK'!DB99</f>
        <v>45466</v>
      </c>
      <c r="AD98" s="7">
        <f>'Database MK'!DA99-'Database MK'!DF99</f>
        <v>45466</v>
      </c>
      <c r="AE98" s="7">
        <f>'Database MK'!DK99-'Database MK'!DL99</f>
        <v>69</v>
      </c>
      <c r="AF98" s="7">
        <f>'Database MK'!DK99-'Database MK'!DO99</f>
        <v>61</v>
      </c>
      <c r="AG98" s="7">
        <f>'Database MK'!DU99-'Database MK'!DW99</f>
        <v>45508</v>
      </c>
      <c r="AH98" s="7" t="str">
        <f>IF('Database MK'!EB99="","Belum",'Database MK'!DU99-'Database MK'!EB99)</f>
        <v>Belum</v>
      </c>
      <c r="AI98" s="7">
        <f>IF('Database MK'!EN99="","Belum",'Database MK'!EL99-'Database MK'!EN99)</f>
        <v>4</v>
      </c>
      <c r="AJ98" s="7">
        <f>'Database MK'!FY99-'Database MK'!FZ99</f>
        <v>0</v>
      </c>
      <c r="AK98" s="7">
        <f>IF('Database MK'!GC99="","Belum",'Database MK'!GB99-'Database MK'!GC99)</f>
        <v>95</v>
      </c>
      <c r="AL98" s="7">
        <f>IF('Database MK'!GF99="","Belum",'Database MK'!GE99-'Database MK'!GF99)</f>
        <v>102</v>
      </c>
      <c r="AM98" s="279">
        <f>IF('Database MK'!GJ99="","Belum",'Database MK'!GI99-'Database MK'!GJ99)</f>
        <v>109</v>
      </c>
      <c r="AN98" s="7">
        <f>IF('Database MK'!HG99="","Belum",'Database MK'!HF99-'Database MK'!HG99)</f>
        <v>57</v>
      </c>
      <c r="AO98" s="7">
        <f>IF('Database MK'!HQ99="","Belum",'Database MK'!HN99-'Database MK'!HQ99)</f>
        <v>-87</v>
      </c>
      <c r="AP98" s="7">
        <f>IF('Database MK'!HW99="","Belum",'Database MK'!HU99-'Database MK'!HW99)</f>
        <v>-92</v>
      </c>
    </row>
    <row r="99" spans="2:42" hidden="1" x14ac:dyDescent="0.25">
      <c r="B99" s="7">
        <f>SUBTOTAL(3,$C$4:C99)</f>
        <v>74</v>
      </c>
      <c r="C99" s="269" t="s">
        <v>673</v>
      </c>
      <c r="D99" s="269" t="s">
        <v>730</v>
      </c>
      <c r="E99" s="269" t="s">
        <v>731</v>
      </c>
      <c r="F99" s="270">
        <v>45748</v>
      </c>
      <c r="G99" s="4" t="s">
        <v>247</v>
      </c>
      <c r="H99" s="4" t="str">
        <f ca="1">'Database MK'!Q100</f>
        <v>DPPP</v>
      </c>
      <c r="I99" s="24">
        <f>'Database MK'!S100</f>
        <v>1</v>
      </c>
      <c r="J99" s="24">
        <f>'Database MK'!T100</f>
        <v>1</v>
      </c>
      <c r="K99" s="571">
        <f>'Database MK'!U100</f>
        <v>0</v>
      </c>
      <c r="L99" s="561">
        <f>'Database MK'!V100</f>
        <v>124</v>
      </c>
      <c r="M99" s="561">
        <f>'Database MK'!W100</f>
        <v>126</v>
      </c>
      <c r="N99" s="561">
        <f>Table3[[#This Row],[Total Panjang Pipa Aktual]]-Table3[[#This Row],[Volume
BA MC-0]]</f>
        <v>2</v>
      </c>
      <c r="O99" s="7" t="str">
        <f ca="1">'Database MK'!DE100</f>
        <v>Belum, Delay</v>
      </c>
      <c r="P99" s="7" t="str">
        <f ca="1">'Database MK'!DI100</f>
        <v>Belum, Delay</v>
      </c>
      <c r="Q99" s="7" t="str">
        <f ca="1">'Database MK'!DN100</f>
        <v>Sudah, OnSchedule</v>
      </c>
      <c r="R99" s="7" t="str">
        <f ca="1">'Database MK'!DR100</f>
        <v>Sudah, OnSchedule</v>
      </c>
      <c r="S99" s="7" t="str">
        <f ca="1">'Database MK'!EA100</f>
        <v>Belum, Delay</v>
      </c>
      <c r="T99" s="7" t="str">
        <f ca="1">'Database MK'!EI100</f>
        <v>Belum, Delay</v>
      </c>
      <c r="U99" s="7" t="str">
        <f ca="1">'Database MK'!ET100</f>
        <v>Sudah, OnSchedule</v>
      </c>
      <c r="V99" s="7" t="str">
        <f ca="1">'Database MK'!GA100</f>
        <v>Belum, Delay</v>
      </c>
      <c r="W99" s="7" t="str">
        <f ca="1">'Database MK'!GD100</f>
        <v>Sudah, OnSchedule</v>
      </c>
      <c r="X99" s="7" t="str">
        <f ca="1">'Database MK'!GG100</f>
        <v>Sudah, OnSchedule</v>
      </c>
      <c r="Y99" s="7" t="str">
        <f ca="1">'Database MK'!GK100</f>
        <v>Sudah, OnSchedule</v>
      </c>
      <c r="Z99" s="7" t="str">
        <f ca="1">'Database MK'!HH100</f>
        <v>Sudah, Delay</v>
      </c>
      <c r="AA99" s="7" t="str">
        <f ca="1">'Database MK'!HR100</f>
        <v>Sudah, Delay</v>
      </c>
      <c r="AB99" s="7" t="str">
        <f ca="1">'Database MK'!HX100</f>
        <v>Sudah, Delay</v>
      </c>
      <c r="AC99" s="7">
        <f>'Database MK'!DA100-'Database MK'!DB100</f>
        <v>45438</v>
      </c>
      <c r="AD99" s="7">
        <f>'Database MK'!DA100-'Database MK'!DF100</f>
        <v>45438</v>
      </c>
      <c r="AE99" s="7">
        <f>'Database MK'!DK100-'Database MK'!DL100</f>
        <v>41</v>
      </c>
      <c r="AF99" s="7">
        <f>'Database MK'!DK100-'Database MK'!DO100</f>
        <v>33</v>
      </c>
      <c r="AG99" s="7">
        <f>'Database MK'!DU100-'Database MK'!DW100</f>
        <v>45480</v>
      </c>
      <c r="AH99" s="7" t="str">
        <f>IF('Database MK'!EB100="","Belum",'Database MK'!DU100-'Database MK'!EB100)</f>
        <v>Belum</v>
      </c>
      <c r="AI99" s="7">
        <f>IF('Database MK'!EN100="","Belum",'Database MK'!EL100-'Database MK'!EN100)</f>
        <v>2</v>
      </c>
      <c r="AJ99" s="7">
        <f>'Database MK'!FY100-'Database MK'!FZ100</f>
        <v>0</v>
      </c>
      <c r="AK99" s="7">
        <f>IF('Database MK'!GC100="","Belum",'Database MK'!GB100-'Database MK'!GC100)</f>
        <v>60</v>
      </c>
      <c r="AL99" s="7">
        <f>IF('Database MK'!GF100="","Belum",'Database MK'!GE100-'Database MK'!GF100)</f>
        <v>67</v>
      </c>
      <c r="AM99" s="279">
        <f>IF('Database MK'!GJ100="","Belum",'Database MK'!GI100-'Database MK'!GJ100)</f>
        <v>74</v>
      </c>
      <c r="AN99" s="7">
        <f>IF('Database MK'!HG100="","Belum",'Database MK'!HF100-'Database MK'!HG100)</f>
        <v>-23</v>
      </c>
      <c r="AO99" s="7">
        <f>IF('Database MK'!HQ100="","Belum",'Database MK'!HN100-'Database MK'!HQ100)</f>
        <v>-179</v>
      </c>
      <c r="AP99" s="7">
        <f>IF('Database MK'!HW100="","Belum",'Database MK'!HU100-'Database MK'!HW100)</f>
        <v>-183</v>
      </c>
    </row>
    <row r="100" spans="2:42" hidden="1" x14ac:dyDescent="0.25">
      <c r="B100" s="7">
        <f>SUBTOTAL(3,$C$4:C100)</f>
        <v>74</v>
      </c>
      <c r="C100" s="269" t="s">
        <v>673</v>
      </c>
      <c r="D100" s="269" t="s">
        <v>734</v>
      </c>
      <c r="E100" s="269" t="s">
        <v>735</v>
      </c>
      <c r="F100" s="270">
        <v>45748</v>
      </c>
      <c r="G100" s="4" t="s">
        <v>247</v>
      </c>
      <c r="H100" s="4" t="str">
        <f ca="1">'Database MK'!Q101</f>
        <v>DPPP</v>
      </c>
      <c r="I100" s="24">
        <f>'Database MK'!S101</f>
        <v>1</v>
      </c>
      <c r="J100" s="24">
        <f>'Database MK'!T101</f>
        <v>1</v>
      </c>
      <c r="K100" s="571">
        <f>'Database MK'!U101</f>
        <v>0</v>
      </c>
      <c r="L100" s="561">
        <f>'Database MK'!V101</f>
        <v>279</v>
      </c>
      <c r="M100" s="561">
        <f>'Database MK'!W101</f>
        <v>316</v>
      </c>
      <c r="N100" s="561">
        <f>Table3[[#This Row],[Total Panjang Pipa Aktual]]-Table3[[#This Row],[Volume
BA MC-0]]</f>
        <v>37</v>
      </c>
      <c r="O100" s="7" t="str">
        <f ca="1">'Database MK'!DE101</f>
        <v>Belum, Delay</v>
      </c>
      <c r="P100" s="7" t="str">
        <f ca="1">'Database MK'!DI101</f>
        <v>Belum, Delay</v>
      </c>
      <c r="Q100" s="7" t="str">
        <f ca="1">'Database MK'!DN101</f>
        <v>Sudah, OnSchedule</v>
      </c>
      <c r="R100" s="7" t="str">
        <f ca="1">'Database MK'!DR101</f>
        <v>Sudah, Delay</v>
      </c>
      <c r="S100" s="7" t="str">
        <f ca="1">'Database MK'!EA101</f>
        <v>Belum, Delay</v>
      </c>
      <c r="T100" s="7" t="str">
        <f ca="1">'Database MK'!EI101</f>
        <v>Belum, Delay</v>
      </c>
      <c r="U100" s="7" t="str">
        <f ca="1">'Database MK'!ET101</f>
        <v>Belum, Delay</v>
      </c>
      <c r="V100" s="7" t="str">
        <f ca="1">'Database MK'!GA101</f>
        <v>Belum, Delay</v>
      </c>
      <c r="W100" s="7" t="str">
        <f ca="1">'Database MK'!GD101</f>
        <v>Sudah, OnSchedule</v>
      </c>
      <c r="X100" s="7" t="str">
        <f ca="1">'Database MK'!GG101</f>
        <v>Sudah, OnSchedule</v>
      </c>
      <c r="Y100" s="7" t="str">
        <f ca="1">'Database MK'!GK101</f>
        <v>Sudah, OnSchedule</v>
      </c>
      <c r="Z100" s="7" t="str">
        <f ca="1">'Database MK'!HH101</f>
        <v>Sudah, Delay</v>
      </c>
      <c r="AA100" s="7" t="str">
        <f ca="1">'Database MK'!HR101</f>
        <v>Sudah, Delay</v>
      </c>
      <c r="AB100" s="7" t="str">
        <f ca="1">'Database MK'!HX101</f>
        <v>Sudah, Delay</v>
      </c>
      <c r="AC100" s="7">
        <f>'Database MK'!DA101-'Database MK'!DB101</f>
        <v>45438</v>
      </c>
      <c r="AD100" s="7">
        <f>'Database MK'!DA101-'Database MK'!DF101</f>
        <v>45438</v>
      </c>
      <c r="AE100" s="7">
        <f>'Database MK'!DK101-'Database MK'!DL101</f>
        <v>32</v>
      </c>
      <c r="AF100" s="7">
        <f>'Database MK'!DK101-'Database MK'!DO101</f>
        <v>-193</v>
      </c>
      <c r="AG100" s="7">
        <f>'Database MK'!DU101-'Database MK'!DW101</f>
        <v>45480</v>
      </c>
      <c r="AH100" s="7" t="str">
        <f>IF('Database MK'!EB101="","Belum",'Database MK'!DU101-'Database MK'!EB101)</f>
        <v>Belum</v>
      </c>
      <c r="AI100" s="7" t="str">
        <f>IF('Database MK'!EN101="","Belum",'Database MK'!EL101-'Database MK'!EN101)</f>
        <v>Belum</v>
      </c>
      <c r="AJ100" s="7">
        <f>'Database MK'!FY101-'Database MK'!FZ101</f>
        <v>0</v>
      </c>
      <c r="AK100" s="7">
        <f>IF('Database MK'!GC101="","Belum",'Database MK'!GB101-'Database MK'!GC101)</f>
        <v>93</v>
      </c>
      <c r="AL100" s="7">
        <f>IF('Database MK'!GF101="","Belum",'Database MK'!GE101-'Database MK'!GF101)</f>
        <v>100</v>
      </c>
      <c r="AM100" s="279">
        <f>IF('Database MK'!GJ101="","Belum",'Database MK'!GI101-'Database MK'!GJ101)</f>
        <v>136</v>
      </c>
      <c r="AN100" s="7">
        <f>IF('Database MK'!HG101="","Belum",'Database MK'!HF101-'Database MK'!HG101)</f>
        <v>-23</v>
      </c>
      <c r="AO100" s="7">
        <f>IF('Database MK'!HQ101="","Belum",'Database MK'!HN101-'Database MK'!HQ101)</f>
        <v>-178</v>
      </c>
      <c r="AP100" s="7">
        <f>IF('Database MK'!HW101="","Belum",'Database MK'!HU101-'Database MK'!HW101)</f>
        <v>-183</v>
      </c>
    </row>
    <row r="101" spans="2:42" hidden="1" x14ac:dyDescent="0.25">
      <c r="B101" s="7">
        <f>SUBTOTAL(3,$C$4:C101)</f>
        <v>74</v>
      </c>
      <c r="C101" s="269" t="s">
        <v>673</v>
      </c>
      <c r="D101" s="269" t="s">
        <v>739</v>
      </c>
      <c r="E101" s="269" t="s">
        <v>740</v>
      </c>
      <c r="F101" s="270">
        <v>45748</v>
      </c>
      <c r="G101" s="4" t="s">
        <v>247</v>
      </c>
      <c r="H101" s="4" t="str">
        <f ca="1">'Database MK'!Q102</f>
        <v>DPPP</v>
      </c>
      <c r="I101" s="24">
        <f>'Database MK'!S102</f>
        <v>1</v>
      </c>
      <c r="J101" s="24">
        <f>'Database MK'!T102</f>
        <v>1</v>
      </c>
      <c r="K101" s="571">
        <f>'Database MK'!U102</f>
        <v>0</v>
      </c>
      <c r="L101" s="561">
        <f>'Database MK'!V102</f>
        <v>134</v>
      </c>
      <c r="M101" s="561">
        <f>'Database MK'!W102</f>
        <v>122</v>
      </c>
      <c r="N101" s="561">
        <f>Table3[[#This Row],[Total Panjang Pipa Aktual]]-Table3[[#This Row],[Volume
BA MC-0]]</f>
        <v>-12</v>
      </c>
      <c r="O101" s="7" t="str">
        <f ca="1">'Database MK'!DE102</f>
        <v>Belum, Delay</v>
      </c>
      <c r="P101" s="7" t="str">
        <f ca="1">'Database MK'!DI102</f>
        <v>Belum, Delay</v>
      </c>
      <c r="Q101" s="7" t="str">
        <f ca="1">'Database MK'!DN102</f>
        <v>Sudah, Delay</v>
      </c>
      <c r="R101" s="7" t="str">
        <f ca="1">'Database MK'!DR102</f>
        <v>Belum, Delay</v>
      </c>
      <c r="S101" s="7" t="str">
        <f ca="1">'Database MK'!EA102</f>
        <v>Belum, Delay</v>
      </c>
      <c r="T101" s="7" t="str">
        <f ca="1">'Database MK'!EI102</f>
        <v>Belum, Delay</v>
      </c>
      <c r="U101" s="7" t="str">
        <f ca="1">'Database MK'!ET102</f>
        <v>Sudah, Delay</v>
      </c>
      <c r="V101" s="7" t="str">
        <f ca="1">'Database MK'!GA102</f>
        <v>Belum, Delay</v>
      </c>
      <c r="W101" s="7" t="str">
        <f ca="1">'Database MK'!GD102</f>
        <v>Sudah, OnSchedule</v>
      </c>
      <c r="X101" s="7" t="str">
        <f ca="1">'Database MK'!GG102</f>
        <v>Sudah, OnSchedule</v>
      </c>
      <c r="Y101" s="7" t="str">
        <f ca="1">'Database MK'!GK102</f>
        <v>Sudah, OnSchedule</v>
      </c>
      <c r="Z101" s="7" t="str">
        <f ca="1">'Database MK'!HH102</f>
        <v>Sudah, Delay</v>
      </c>
      <c r="AA101" s="7" t="str">
        <f ca="1">'Database MK'!HR102</f>
        <v>Sudah, Delay</v>
      </c>
      <c r="AB101" s="7" t="str">
        <f ca="1">'Database MK'!HX102</f>
        <v>Sudah, Delay</v>
      </c>
      <c r="AC101" s="7">
        <f>'Database MK'!DA102-'Database MK'!DB102</f>
        <v>45438</v>
      </c>
      <c r="AD101" s="7">
        <f>'Database MK'!DA102-'Database MK'!DF102</f>
        <v>45438</v>
      </c>
      <c r="AE101" s="7">
        <f>'Database MK'!DK102-'Database MK'!DL102</f>
        <v>-73</v>
      </c>
      <c r="AF101" s="7">
        <f>'Database MK'!DK102-'Database MK'!DO102</f>
        <v>45480</v>
      </c>
      <c r="AG101" s="7">
        <f>'Database MK'!DU102-'Database MK'!DW102</f>
        <v>45480</v>
      </c>
      <c r="AH101" s="7" t="str">
        <f>IF('Database MK'!EB102="","Belum",'Database MK'!DU102-'Database MK'!EB102)</f>
        <v>Belum</v>
      </c>
      <c r="AI101" s="7">
        <f>IF('Database MK'!EN102="","Belum",'Database MK'!EL102-'Database MK'!EN102)</f>
        <v>-178</v>
      </c>
      <c r="AJ101" s="7">
        <f>'Database MK'!FY102-'Database MK'!FZ102</f>
        <v>0</v>
      </c>
      <c r="AK101" s="7">
        <f>IF('Database MK'!GC102="","Belum",'Database MK'!GB102-'Database MK'!GC102)</f>
        <v>124</v>
      </c>
      <c r="AL101" s="7">
        <f>IF('Database MK'!GF102="","Belum",'Database MK'!GE102-'Database MK'!GF102)</f>
        <v>131</v>
      </c>
      <c r="AM101" s="279">
        <f>IF('Database MK'!GJ102="","Belum",'Database MK'!GI102-'Database MK'!GJ102)</f>
        <v>136</v>
      </c>
      <c r="AN101" s="7">
        <f>IF('Database MK'!HG102="","Belum",'Database MK'!HF102-'Database MK'!HG102)</f>
        <v>-18</v>
      </c>
      <c r="AO101" s="7">
        <f>IF('Database MK'!HQ102="","Belum",'Database MK'!HN102-'Database MK'!HQ102)</f>
        <v>-179</v>
      </c>
      <c r="AP101" s="7">
        <f>IF('Database MK'!HW102="","Belum",'Database MK'!HU102-'Database MK'!HW102)</f>
        <v>-183</v>
      </c>
    </row>
    <row r="102" spans="2:42" hidden="1" x14ac:dyDescent="0.25">
      <c r="B102" s="7">
        <f>SUBTOTAL(3,$C$4:C102)</f>
        <v>74</v>
      </c>
      <c r="C102" s="269" t="s">
        <v>673</v>
      </c>
      <c r="D102" s="269" t="s">
        <v>744</v>
      </c>
      <c r="E102" s="269" t="s">
        <v>745</v>
      </c>
      <c r="F102" s="270">
        <v>45748</v>
      </c>
      <c r="G102" s="4" t="s">
        <v>247</v>
      </c>
      <c r="H102" s="4" t="str">
        <f ca="1">'Database MK'!Q103</f>
        <v>DPPP</v>
      </c>
      <c r="I102" s="24">
        <f>'Database MK'!S103</f>
        <v>1</v>
      </c>
      <c r="J102" s="24">
        <f>'Database MK'!T103</f>
        <v>1</v>
      </c>
      <c r="K102" s="571">
        <f>'Database MK'!U103</f>
        <v>0</v>
      </c>
      <c r="L102" s="561">
        <f>'Database MK'!V103</f>
        <v>15368</v>
      </c>
      <c r="M102" s="561">
        <f>'Database MK'!W103</f>
        <v>15669</v>
      </c>
      <c r="N102" s="561">
        <f>Table3[[#This Row],[Total Panjang Pipa Aktual]]-Table3[[#This Row],[Volume
BA MC-0]]</f>
        <v>301</v>
      </c>
      <c r="O102" s="7" t="str">
        <f ca="1">'Database MK'!DE103</f>
        <v>Belum, Delay</v>
      </c>
      <c r="P102" s="7" t="str">
        <f ca="1">'Database MK'!DI103</f>
        <v>Belum, Delay</v>
      </c>
      <c r="Q102" s="7" t="str">
        <f ca="1">'Database MK'!DN103</f>
        <v>Sudah, OnSchedule</v>
      </c>
      <c r="R102" s="7" t="str">
        <f ca="1">'Database MK'!DR103</f>
        <v>Sudah, OnSchedule</v>
      </c>
      <c r="S102" s="7" t="str">
        <f ca="1">'Database MK'!EA103</f>
        <v>Belum, Delay</v>
      </c>
      <c r="T102" s="7" t="str">
        <f ca="1">'Database MK'!EI103</f>
        <v>Belum, Delay</v>
      </c>
      <c r="U102" s="7" t="str">
        <f ca="1">'Database MK'!ET103</f>
        <v>Sudah, Delay</v>
      </c>
      <c r="V102" s="7" t="str">
        <f ca="1">'Database MK'!GA103</f>
        <v>Belum, Delay</v>
      </c>
      <c r="W102" s="7" t="str">
        <f ca="1">'Database MK'!GD103</f>
        <v>Sudah, OnSchedule</v>
      </c>
      <c r="X102" s="7" t="str">
        <f ca="1">'Database MK'!GG103</f>
        <v>Sudah, OnSchedule</v>
      </c>
      <c r="Y102" s="7" t="str">
        <f ca="1">'Database MK'!GK103</f>
        <v>Sudah, OnSchedule</v>
      </c>
      <c r="Z102" s="7" t="str">
        <f ca="1">'Database MK'!HH103</f>
        <v>Sudah, Delay</v>
      </c>
      <c r="AA102" s="7" t="str">
        <f ca="1">'Database MK'!HR103</f>
        <v>Sudah, Delay</v>
      </c>
      <c r="AB102" s="7" t="str">
        <f ca="1">'Database MK'!HX103</f>
        <v>Sudah, Delay</v>
      </c>
      <c r="AC102" s="7">
        <f>'Database MK'!DA103-'Database MK'!DB103</f>
        <v>45326</v>
      </c>
      <c r="AD102" s="7">
        <f>'Database MK'!DA103-'Database MK'!DF103</f>
        <v>45326</v>
      </c>
      <c r="AE102" s="7">
        <f>'Database MK'!DK103-'Database MK'!DL103</f>
        <v>235</v>
      </c>
      <c r="AF102" s="7">
        <f>'Database MK'!DK103-'Database MK'!DO103</f>
        <v>205</v>
      </c>
      <c r="AG102" s="7">
        <f>'Database MK'!DU103-'Database MK'!DW103</f>
        <v>45375</v>
      </c>
      <c r="AH102" s="7" t="str">
        <f>IF('Database MK'!EB103="","Belum",'Database MK'!DU103-'Database MK'!EB103)</f>
        <v>Belum</v>
      </c>
      <c r="AI102" s="7">
        <f>IF('Database MK'!EN103="","Belum",'Database MK'!EL103-'Database MK'!EN103)</f>
        <v>-596</v>
      </c>
      <c r="AJ102" s="7">
        <f>'Database MK'!FY103-'Database MK'!FZ103</f>
        <v>0</v>
      </c>
      <c r="AK102" s="7">
        <f>IF('Database MK'!GC103="","Belum",'Database MK'!GB103-'Database MK'!GC103)</f>
        <v>202</v>
      </c>
      <c r="AL102" s="7">
        <f>IF('Database MK'!GF103="","Belum",'Database MK'!GE103-'Database MK'!GF103)</f>
        <v>209</v>
      </c>
      <c r="AM102" s="279">
        <f>IF('Database MK'!GJ103="","Belum",'Database MK'!GI103-'Database MK'!GJ103)</f>
        <v>117</v>
      </c>
      <c r="AN102" s="7">
        <f>IF('Database MK'!HG103="","Belum",'Database MK'!HF103-'Database MK'!HG103)</f>
        <v>-52</v>
      </c>
      <c r="AO102" s="7">
        <f>IF('Database MK'!HQ103="","Belum",'Database MK'!HN103-'Database MK'!HQ103)</f>
        <v>-89</v>
      </c>
      <c r="AP102" s="7">
        <f>IF('Database MK'!HW103="","Belum",'Database MK'!HU103-'Database MK'!HW103)</f>
        <v>-92</v>
      </c>
    </row>
    <row r="103" spans="2:42" hidden="1" x14ac:dyDescent="0.25">
      <c r="B103" s="7">
        <f>SUBTOTAL(3,$C$4:C103)</f>
        <v>74</v>
      </c>
      <c r="C103" s="269" t="s">
        <v>673</v>
      </c>
      <c r="D103" s="269" t="s">
        <v>751</v>
      </c>
      <c r="E103" s="269" t="s">
        <v>752</v>
      </c>
      <c r="F103" s="270">
        <v>45748</v>
      </c>
      <c r="G103" s="4" t="s">
        <v>247</v>
      </c>
      <c r="H103" s="4" t="str">
        <f ca="1">'Database MK'!Q104</f>
        <v>DPPP</v>
      </c>
      <c r="I103" s="24">
        <f>'Database MK'!S104</f>
        <v>1</v>
      </c>
      <c r="J103" s="24">
        <f>'Database MK'!T104</f>
        <v>1</v>
      </c>
      <c r="K103" s="571">
        <f>'Database MK'!U104</f>
        <v>0</v>
      </c>
      <c r="L103" s="561">
        <f>'Database MK'!V104</f>
        <v>5152</v>
      </c>
      <c r="M103" s="561">
        <f>'Database MK'!W104</f>
        <v>4865</v>
      </c>
      <c r="N103" s="561">
        <f>Table3[[#This Row],[Total Panjang Pipa Aktual]]-Table3[[#This Row],[Volume
BA MC-0]]</f>
        <v>-287</v>
      </c>
      <c r="O103" s="7" t="str">
        <f ca="1">'Database MK'!DE104</f>
        <v>Belum, Delay</v>
      </c>
      <c r="P103" s="7" t="str">
        <f ca="1">'Database MK'!DI104</f>
        <v>Belum, Delay</v>
      </c>
      <c r="Q103" s="7" t="str">
        <f ca="1">'Database MK'!DN104</f>
        <v>Sudah, OnSchedule</v>
      </c>
      <c r="R103" s="7" t="str">
        <f ca="1">'Database MK'!DR104</f>
        <v>Sudah, OnSchedule</v>
      </c>
      <c r="S103" s="7" t="str">
        <f ca="1">'Database MK'!EA104</f>
        <v>Belum, Delay</v>
      </c>
      <c r="T103" s="7" t="str">
        <f ca="1">'Database MK'!EI104</f>
        <v>Belum, Delay</v>
      </c>
      <c r="U103" s="7" t="str">
        <f ca="1">'Database MK'!ET104</f>
        <v>Sudah, Delay</v>
      </c>
      <c r="V103" s="7" t="str">
        <f ca="1">'Database MK'!GA104</f>
        <v>Belum, Delay</v>
      </c>
      <c r="W103" s="7" t="str">
        <f ca="1">'Database MK'!GD104</f>
        <v>Sudah, OnSchedule</v>
      </c>
      <c r="X103" s="7" t="str">
        <f ca="1">'Database MK'!GG104</f>
        <v>Sudah, OnSchedule</v>
      </c>
      <c r="Y103" s="7" t="str">
        <f ca="1">'Database MK'!GK104</f>
        <v>Sudah, OnSchedule</v>
      </c>
      <c r="Z103" s="7" t="str">
        <f ca="1">'Database MK'!HH104</f>
        <v>Sudah, Delay</v>
      </c>
      <c r="AA103" s="7" t="str">
        <f ca="1">'Database MK'!HR104</f>
        <v>Sudah, Delay</v>
      </c>
      <c r="AB103" s="7" t="str">
        <f ca="1">'Database MK'!HX104</f>
        <v>Sudah, Delay</v>
      </c>
      <c r="AC103" s="7">
        <f>'Database MK'!DA104-'Database MK'!DB104</f>
        <v>45326</v>
      </c>
      <c r="AD103" s="7">
        <f>'Database MK'!DA104-'Database MK'!DF104</f>
        <v>45326</v>
      </c>
      <c r="AE103" s="7">
        <f>'Database MK'!DK104-'Database MK'!DL104</f>
        <v>197</v>
      </c>
      <c r="AF103" s="7">
        <f>'Database MK'!DK104-'Database MK'!DO104</f>
        <v>81</v>
      </c>
      <c r="AG103" s="7">
        <f>'Database MK'!DU104-'Database MK'!DW104</f>
        <v>45375</v>
      </c>
      <c r="AH103" s="7" t="str">
        <f>IF('Database MK'!EB104="","Belum",'Database MK'!DU104-'Database MK'!EB104)</f>
        <v>Belum</v>
      </c>
      <c r="AI103" s="7">
        <f>IF('Database MK'!EN104="","Belum",'Database MK'!EL104-'Database MK'!EN104)</f>
        <v>-303</v>
      </c>
      <c r="AJ103" s="7">
        <f>'Database MK'!FY104-'Database MK'!FZ104</f>
        <v>0</v>
      </c>
      <c r="AK103" s="7">
        <f>IF('Database MK'!GC104="","Belum",'Database MK'!GB104-'Database MK'!GC104)</f>
        <v>202</v>
      </c>
      <c r="AL103" s="7">
        <f>IF('Database MK'!GF104="","Belum",'Database MK'!GE104-'Database MK'!GF104)</f>
        <v>209</v>
      </c>
      <c r="AM103" s="279">
        <f>IF('Database MK'!GJ104="","Belum",'Database MK'!GI104-'Database MK'!GJ104)</f>
        <v>209</v>
      </c>
      <c r="AN103" s="7">
        <f>IF('Database MK'!HG104="","Belum",'Database MK'!HF104-'Database MK'!HG104)</f>
        <v>-99</v>
      </c>
      <c r="AO103" s="7">
        <f>IF('Database MK'!HQ104="","Belum",'Database MK'!HN104-'Database MK'!HQ104)</f>
        <v>-89</v>
      </c>
      <c r="AP103" s="7">
        <f>IF('Database MK'!HW104="","Belum",'Database MK'!HU104-'Database MK'!HW104)</f>
        <v>-92</v>
      </c>
    </row>
    <row r="104" spans="2:42" hidden="1" x14ac:dyDescent="0.25">
      <c r="B104" s="7">
        <f>SUBTOTAL(3,$C$4:C104)</f>
        <v>74</v>
      </c>
      <c r="C104" s="269" t="s">
        <v>673</v>
      </c>
      <c r="D104" s="269" t="s">
        <v>757</v>
      </c>
      <c r="E104" s="269" t="s">
        <v>758</v>
      </c>
      <c r="F104" s="270">
        <v>45748</v>
      </c>
      <c r="G104" s="4" t="s">
        <v>247</v>
      </c>
      <c r="H104" s="4" t="str">
        <f ca="1">'Database MK'!Q105</f>
        <v>DPPP</v>
      </c>
      <c r="I104" s="24">
        <f>'Database MK'!S105</f>
        <v>1</v>
      </c>
      <c r="J104" s="24">
        <f>'Database MK'!T105</f>
        <v>1</v>
      </c>
      <c r="K104" s="571">
        <f>'Database MK'!U105</f>
        <v>0</v>
      </c>
      <c r="L104" s="561">
        <f>'Database MK'!V105</f>
        <v>70</v>
      </c>
      <c r="M104" s="561">
        <f>'Database MK'!W105</f>
        <v>70</v>
      </c>
      <c r="N104" s="561">
        <f>Table3[[#This Row],[Total Panjang Pipa Aktual]]-Table3[[#This Row],[Volume
BA MC-0]]</f>
        <v>0</v>
      </c>
      <c r="O104" s="7" t="str">
        <f ca="1">'Database MK'!DE105</f>
        <v>Belum, Delay</v>
      </c>
      <c r="P104" s="7" t="str">
        <f ca="1">'Database MK'!DI105</f>
        <v>Belum, Delay</v>
      </c>
      <c r="Q104" s="7" t="str">
        <f ca="1">'Database MK'!DN105</f>
        <v>Sudah, OnSchedule</v>
      </c>
      <c r="R104" s="7" t="str">
        <f ca="1">'Database MK'!DR105</f>
        <v>Sudah, Delay</v>
      </c>
      <c r="S104" s="7" t="str">
        <f ca="1">'Database MK'!EA105</f>
        <v>Belum, Delay</v>
      </c>
      <c r="T104" s="7" t="str">
        <f ca="1">'Database MK'!EI105</f>
        <v>Belum, Delay</v>
      </c>
      <c r="U104" s="7" t="str">
        <f ca="1">'Database MK'!ET105</f>
        <v>Sudah, Delay</v>
      </c>
      <c r="V104" s="7" t="str">
        <f ca="1">'Database MK'!GA105</f>
        <v>Belum, Delay</v>
      </c>
      <c r="W104" s="7" t="str">
        <f ca="1">'Database MK'!GD105</f>
        <v>Sudah, Delay</v>
      </c>
      <c r="X104" s="7" t="str">
        <f ca="1">'Database MK'!GG105</f>
        <v>Sudah, Delay</v>
      </c>
      <c r="Y104" s="7" t="str">
        <f ca="1">'Database MK'!GK105</f>
        <v>Sudah, OnSchedule</v>
      </c>
      <c r="Z104" s="7" t="str">
        <f ca="1">'Database MK'!HH105</f>
        <v>Sudah, Delay</v>
      </c>
      <c r="AA104" s="7" t="str">
        <f ca="1">'Database MK'!HR105</f>
        <v>Sudah, Delay</v>
      </c>
      <c r="AB104" s="7" t="str">
        <f ca="1">'Database MK'!HX105</f>
        <v>Sudah, Delay</v>
      </c>
      <c r="AC104" s="7">
        <f>'Database MK'!DA105-'Database MK'!DB105</f>
        <v>45543</v>
      </c>
      <c r="AD104" s="7">
        <f>'Database MK'!DA105-'Database MK'!DF105</f>
        <v>45543</v>
      </c>
      <c r="AE104" s="7">
        <f>'Database MK'!DK105-'Database MK'!DL105</f>
        <v>50</v>
      </c>
      <c r="AF104" s="7">
        <f>'Database MK'!DK105-'Database MK'!DO105</f>
        <v>-1</v>
      </c>
      <c r="AG104" s="7">
        <f>'Database MK'!DU105-'Database MK'!DW105</f>
        <v>45571</v>
      </c>
      <c r="AH104" s="7" t="str">
        <f>IF('Database MK'!EB105="","Belum",'Database MK'!DU105-'Database MK'!EB105)</f>
        <v>Belum</v>
      </c>
      <c r="AI104" s="7">
        <f>IF('Database MK'!EN105="","Belum",'Database MK'!EL105-'Database MK'!EN105)</f>
        <v>-25</v>
      </c>
      <c r="AJ104" s="7">
        <f>'Database MK'!FY105-'Database MK'!FZ105</f>
        <v>0</v>
      </c>
      <c r="AK104" s="7">
        <f>IF('Database MK'!GC105="","Belum",'Database MK'!GB105-'Database MK'!GC105)</f>
        <v>-16</v>
      </c>
      <c r="AL104" s="7">
        <f>IF('Database MK'!GF105="","Belum",'Database MK'!GE105-'Database MK'!GF105)</f>
        <v>-9</v>
      </c>
      <c r="AM104" s="279">
        <f>IF('Database MK'!GJ105="","Belum",'Database MK'!GI105-'Database MK'!GJ105)</f>
        <v>61</v>
      </c>
      <c r="AN104" s="7">
        <f>IF('Database MK'!HG105="","Belum",'Database MK'!HF105-'Database MK'!HG105)</f>
        <v>-36</v>
      </c>
      <c r="AO104" s="7">
        <f>IF('Database MK'!HQ105="","Belum",'Database MK'!HN105-'Database MK'!HQ105)</f>
        <v>-88</v>
      </c>
      <c r="AP104" s="7">
        <f>IF('Database MK'!HW105="","Belum",'Database MK'!HU105-'Database MK'!HW105)</f>
        <v>-92</v>
      </c>
    </row>
    <row r="105" spans="2:42" hidden="1" x14ac:dyDescent="0.25">
      <c r="B105" s="7">
        <f>SUBTOTAL(3,$C$4:C105)</f>
        <v>74</v>
      </c>
      <c r="C105" s="269" t="s">
        <v>673</v>
      </c>
      <c r="D105" s="269" t="s">
        <v>763</v>
      </c>
      <c r="E105" s="269" t="s">
        <v>764</v>
      </c>
      <c r="F105" s="270">
        <v>45748</v>
      </c>
      <c r="G105" s="4" t="s">
        <v>247</v>
      </c>
      <c r="H105" s="4" t="str">
        <f ca="1">'Database MK'!Q106</f>
        <v>DPPP</v>
      </c>
      <c r="I105" s="24">
        <f>'Database MK'!S106</f>
        <v>1</v>
      </c>
      <c r="J105" s="24">
        <f>'Database MK'!T106</f>
        <v>1</v>
      </c>
      <c r="K105" s="571">
        <f>'Database MK'!U106</f>
        <v>0</v>
      </c>
      <c r="L105" s="561">
        <f>'Database MK'!V106</f>
        <v>1222</v>
      </c>
      <c r="M105" s="561">
        <f>'Database MK'!W106</f>
        <v>1157</v>
      </c>
      <c r="N105" s="561">
        <f>Table3[[#This Row],[Total Panjang Pipa Aktual]]-Table3[[#This Row],[Volume
BA MC-0]]</f>
        <v>-65</v>
      </c>
      <c r="O105" s="7" t="str">
        <f ca="1">'Database MK'!DE106</f>
        <v>Belum, Delay</v>
      </c>
      <c r="P105" s="7" t="str">
        <f ca="1">'Database MK'!DI106</f>
        <v>Belum, Delay</v>
      </c>
      <c r="Q105" s="7" t="str">
        <f ca="1">'Database MK'!DN106</f>
        <v>Sudah, OnSchedule</v>
      </c>
      <c r="R105" s="7" t="str">
        <f ca="1">'Database MK'!DR106</f>
        <v>Sudah, OnSchedule</v>
      </c>
      <c r="S105" s="7" t="str">
        <f ca="1">'Database MK'!EA106</f>
        <v>Belum, Delay</v>
      </c>
      <c r="T105" s="7" t="str">
        <f ca="1">'Database MK'!EI106</f>
        <v>Belum, Delay</v>
      </c>
      <c r="U105" s="7" t="str">
        <f ca="1">'Database MK'!ET106</f>
        <v>Sudah, OnSchedule</v>
      </c>
      <c r="V105" s="7" t="str">
        <f ca="1">'Database MK'!GA106</f>
        <v>Belum, Delay</v>
      </c>
      <c r="W105" s="7" t="str">
        <f ca="1">'Database MK'!GD106</f>
        <v>Sudah, OnSchedule</v>
      </c>
      <c r="X105" s="7" t="str">
        <f ca="1">'Database MK'!GG106</f>
        <v>Sudah, OnSchedule</v>
      </c>
      <c r="Y105" s="7" t="str">
        <f ca="1">'Database MK'!GK106</f>
        <v>Sudah, OnSchedule</v>
      </c>
      <c r="Z105" s="7" t="str">
        <f ca="1">'Database MK'!HH106</f>
        <v>Sudah, Delay</v>
      </c>
      <c r="AA105" s="7" t="str">
        <f ca="1">'Database MK'!HR106</f>
        <v>Sudah, Delay</v>
      </c>
      <c r="AB105" s="7" t="str">
        <f ca="1">'Database MK'!HX106</f>
        <v>Sudah, Delay</v>
      </c>
      <c r="AC105" s="7">
        <f>'Database MK'!DA106-'Database MK'!DB106</f>
        <v>45466</v>
      </c>
      <c r="AD105" s="7">
        <f>'Database MK'!DA106-'Database MK'!DF106</f>
        <v>45466</v>
      </c>
      <c r="AE105" s="7">
        <f>'Database MK'!DK106-'Database MK'!DL106</f>
        <v>69</v>
      </c>
      <c r="AF105" s="7">
        <f>'Database MK'!DK106-'Database MK'!DO106</f>
        <v>61</v>
      </c>
      <c r="AG105" s="7">
        <f>'Database MK'!DU106-'Database MK'!DW106</f>
        <v>45508</v>
      </c>
      <c r="AH105" s="7" t="str">
        <f>IF('Database MK'!EB106="","Belum",'Database MK'!DU106-'Database MK'!EB106)</f>
        <v>Belum</v>
      </c>
      <c r="AI105" s="7">
        <f>IF('Database MK'!EN106="","Belum",'Database MK'!EL106-'Database MK'!EN106)</f>
        <v>4</v>
      </c>
      <c r="AJ105" s="7">
        <f>'Database MK'!FY106-'Database MK'!FZ106</f>
        <v>0</v>
      </c>
      <c r="AK105" s="7">
        <f>IF('Database MK'!GC106="","Belum",'Database MK'!GB106-'Database MK'!GC106)</f>
        <v>95</v>
      </c>
      <c r="AL105" s="7">
        <f>IF('Database MK'!GF106="","Belum",'Database MK'!GE106-'Database MK'!GF106)</f>
        <v>102</v>
      </c>
      <c r="AM105" s="279">
        <f>IF('Database MK'!GJ106="","Belum",'Database MK'!GI106-'Database MK'!GJ106)</f>
        <v>107</v>
      </c>
      <c r="AN105" s="7">
        <f>IF('Database MK'!HG106="","Belum",'Database MK'!HF106-'Database MK'!HG106)</f>
        <v>-201</v>
      </c>
      <c r="AO105" s="7">
        <f>IF('Database MK'!HQ106="","Belum",'Database MK'!HN106-'Database MK'!HQ106)</f>
        <v>-89</v>
      </c>
      <c r="AP105" s="7">
        <f>IF('Database MK'!HW106="","Belum",'Database MK'!HU106-'Database MK'!HW106)</f>
        <v>-92</v>
      </c>
    </row>
    <row r="106" spans="2:42" hidden="1" x14ac:dyDescent="0.25">
      <c r="B106" s="7">
        <f>SUBTOTAL(3,$C$4:C106)</f>
        <v>74</v>
      </c>
      <c r="C106" s="269" t="s">
        <v>673</v>
      </c>
      <c r="D106" s="269" t="s">
        <v>768</v>
      </c>
      <c r="E106" s="269" t="s">
        <v>769</v>
      </c>
      <c r="F106" s="270">
        <v>45748</v>
      </c>
      <c r="G106" s="4" t="s">
        <v>247</v>
      </c>
      <c r="H106" s="4" t="str">
        <f ca="1">'Database MK'!Q107</f>
        <v>DPPP</v>
      </c>
      <c r="I106" s="24">
        <f>'Database MK'!S107</f>
        <v>1</v>
      </c>
      <c r="J106" s="24">
        <f>'Database MK'!T107</f>
        <v>1</v>
      </c>
      <c r="K106" s="571">
        <f>'Database MK'!U107</f>
        <v>0</v>
      </c>
      <c r="L106" s="561">
        <f>'Database MK'!V107</f>
        <v>101</v>
      </c>
      <c r="M106" s="561">
        <f>'Database MK'!W107</f>
        <v>84</v>
      </c>
      <c r="N106" s="561">
        <f>Table3[[#This Row],[Total Panjang Pipa Aktual]]-Table3[[#This Row],[Volume
BA MC-0]]</f>
        <v>-17</v>
      </c>
      <c r="O106" s="7" t="str">
        <f ca="1">'Database MK'!DE107</f>
        <v>Belum, Delay</v>
      </c>
      <c r="P106" s="7" t="str">
        <f ca="1">'Database MK'!DI107</f>
        <v>Belum, Delay</v>
      </c>
      <c r="Q106" s="7" t="str">
        <f ca="1">'Database MK'!DN107</f>
        <v>Sudah, OnSchedule</v>
      </c>
      <c r="R106" s="7" t="str">
        <f ca="1">'Database MK'!DR107</f>
        <v>Sudah, OnSchedule</v>
      </c>
      <c r="S106" s="7" t="str">
        <f ca="1">'Database MK'!EA107</f>
        <v>Belum, Delay</v>
      </c>
      <c r="T106" s="7" t="str">
        <f ca="1">'Database MK'!EI107</f>
        <v>Belum, Delay</v>
      </c>
      <c r="U106" s="7" t="str">
        <f ca="1">'Database MK'!ET107</f>
        <v>Sudah, Delay</v>
      </c>
      <c r="V106" s="7" t="str">
        <f ca="1">'Database MK'!GA107</f>
        <v>Belum, Delay</v>
      </c>
      <c r="W106" s="7" t="str">
        <f ca="1">'Database MK'!GD107</f>
        <v>Sudah, Delay</v>
      </c>
      <c r="X106" s="7" t="str">
        <f ca="1">'Database MK'!GG107</f>
        <v>Sudah, Delay</v>
      </c>
      <c r="Y106" s="7" t="str">
        <f ca="1">'Database MK'!GK107</f>
        <v>Sudah, OnSchedule</v>
      </c>
      <c r="Z106" s="7" t="str">
        <f ca="1">'Database MK'!HH107</f>
        <v>Sudah, Delay</v>
      </c>
      <c r="AA106" s="7" t="str">
        <f ca="1">'Database MK'!HR107</f>
        <v>Sudah, Delay</v>
      </c>
      <c r="AB106" s="7" t="str">
        <f ca="1">'Database MK'!HX107</f>
        <v>Sudah, Delay</v>
      </c>
      <c r="AC106" s="7">
        <f>'Database MK'!DA107-'Database MK'!DB107</f>
        <v>45543</v>
      </c>
      <c r="AD106" s="7">
        <f>'Database MK'!DA107-'Database MK'!DF107</f>
        <v>45543</v>
      </c>
      <c r="AE106" s="7">
        <f>'Database MK'!DK107-'Database MK'!DL107</f>
        <v>50</v>
      </c>
      <c r="AF106" s="7">
        <f>'Database MK'!DK107-'Database MK'!DO107</f>
        <v>6</v>
      </c>
      <c r="AG106" s="7">
        <f>'Database MK'!DU107-'Database MK'!DW107</f>
        <v>45571</v>
      </c>
      <c r="AH106" s="7" t="str">
        <f>IF('Database MK'!EB107="","Belum",'Database MK'!DU107-'Database MK'!EB107)</f>
        <v>Belum</v>
      </c>
      <c r="AI106" s="7">
        <f>IF('Database MK'!EN107="","Belum",'Database MK'!EL107-'Database MK'!EN107)</f>
        <v>-261</v>
      </c>
      <c r="AJ106" s="7">
        <f>'Database MK'!FY107-'Database MK'!FZ107</f>
        <v>0</v>
      </c>
      <c r="AK106" s="7">
        <f>IF('Database MK'!GC107="","Belum",'Database MK'!GB107-'Database MK'!GC107)</f>
        <v>-16</v>
      </c>
      <c r="AL106" s="7">
        <f>IF('Database MK'!GF107="","Belum",'Database MK'!GE107-'Database MK'!GF107)</f>
        <v>-9</v>
      </c>
      <c r="AM106" s="279">
        <f>IF('Database MK'!GJ107="","Belum",'Database MK'!GI107-'Database MK'!GJ107)</f>
        <v>60</v>
      </c>
      <c r="AN106" s="7">
        <f>IF('Database MK'!HG107="","Belum",'Database MK'!HF107-'Database MK'!HG107)</f>
        <v>-191</v>
      </c>
      <c r="AO106" s="7">
        <f>IF('Database MK'!HQ107="","Belum",'Database MK'!HN107-'Database MK'!HQ107)</f>
        <v>-88</v>
      </c>
      <c r="AP106" s="7">
        <f>IF('Database MK'!HW107="","Belum",'Database MK'!HU107-'Database MK'!HW107)</f>
        <v>-92</v>
      </c>
    </row>
    <row r="107" spans="2:42" hidden="1" x14ac:dyDescent="0.25">
      <c r="B107" s="7">
        <f>SUBTOTAL(3,$C$4:C107)</f>
        <v>74</v>
      </c>
      <c r="C107" s="269" t="s">
        <v>673</v>
      </c>
      <c r="D107" s="269" t="s">
        <v>773</v>
      </c>
      <c r="E107" s="269" t="s">
        <v>774</v>
      </c>
      <c r="F107" s="270">
        <v>45748</v>
      </c>
      <c r="G107" s="4" t="s">
        <v>247</v>
      </c>
      <c r="H107" s="4" t="str">
        <f ca="1">'Database MK'!Q108</f>
        <v>DPPP</v>
      </c>
      <c r="I107" s="24">
        <f>'Database MK'!S108</f>
        <v>1</v>
      </c>
      <c r="J107" s="24">
        <f>'Database MK'!T108</f>
        <v>1</v>
      </c>
      <c r="K107" s="571">
        <f>'Database MK'!U108</f>
        <v>0</v>
      </c>
      <c r="L107" s="561">
        <f>'Database MK'!V108</f>
        <v>2825</v>
      </c>
      <c r="M107" s="561">
        <f>'Database MK'!W108</f>
        <v>2825</v>
      </c>
      <c r="N107" s="561">
        <f>Table3[[#This Row],[Total Panjang Pipa Aktual]]-Table3[[#This Row],[Volume
BA MC-0]]</f>
        <v>0</v>
      </c>
      <c r="O107" s="7" t="str">
        <f ca="1">'Database MK'!DE108</f>
        <v>Belum, Delay</v>
      </c>
      <c r="P107" s="7" t="str">
        <f ca="1">'Database MK'!DI108</f>
        <v>Belum, Delay</v>
      </c>
      <c r="Q107" s="7" t="str">
        <f ca="1">'Database MK'!DN108</f>
        <v>Sudah, OnSchedule</v>
      </c>
      <c r="R107" s="7" t="str">
        <f ca="1">'Database MK'!DR108</f>
        <v>Sudah, Delay</v>
      </c>
      <c r="S107" s="7" t="str">
        <f ca="1">'Database MK'!EA108</f>
        <v>Belum, Delay</v>
      </c>
      <c r="T107" s="7" t="str">
        <f ca="1">'Database MK'!EI108</f>
        <v>Belum, Delay</v>
      </c>
      <c r="U107" s="7" t="str">
        <f ca="1">'Database MK'!ET108</f>
        <v>Sudah, Delay</v>
      </c>
      <c r="V107" s="7" t="str">
        <f ca="1">'Database MK'!GA108</f>
        <v>Belum, Delay</v>
      </c>
      <c r="W107" s="7" t="str">
        <f ca="1">'Database MK'!GD108</f>
        <v>Sudah, OnSchedule</v>
      </c>
      <c r="X107" s="7" t="str">
        <f ca="1">'Database MK'!GG108</f>
        <v>Sudah, OnSchedule</v>
      </c>
      <c r="Y107" s="7" t="str">
        <f ca="1">'Database MK'!GK108</f>
        <v>Sudah, OnSchedule</v>
      </c>
      <c r="Z107" s="7" t="str">
        <f ca="1">'Database MK'!HH108</f>
        <v>Sudah, Delay</v>
      </c>
      <c r="AA107" s="7" t="str">
        <f ca="1">'Database MK'!HR108</f>
        <v>Sudah, Delay</v>
      </c>
      <c r="AB107" s="7" t="str">
        <f ca="1">'Database MK'!HX108</f>
        <v>Sudah, Delay</v>
      </c>
      <c r="AC107" s="7">
        <f>'Database MK'!DA108-'Database MK'!DB108</f>
        <v>45466</v>
      </c>
      <c r="AD107" s="7">
        <f>'Database MK'!DA108-'Database MK'!DF108</f>
        <v>45466</v>
      </c>
      <c r="AE107" s="7">
        <f>'Database MK'!DK108-'Database MK'!DL108</f>
        <v>69</v>
      </c>
      <c r="AF107" s="7">
        <f>'Database MK'!DK108-'Database MK'!DO108</f>
        <v>-165</v>
      </c>
      <c r="AG107" s="7">
        <f>'Database MK'!DU108-'Database MK'!DW108</f>
        <v>45508</v>
      </c>
      <c r="AH107" s="7" t="str">
        <f>IF('Database MK'!EB108="","Belum",'Database MK'!DU108-'Database MK'!EB108)</f>
        <v>Belum</v>
      </c>
      <c r="AI107" s="7">
        <f>IF('Database MK'!EN108="","Belum",'Database MK'!EL108-'Database MK'!EN108)</f>
        <v>-361</v>
      </c>
      <c r="AJ107" s="7">
        <f>'Database MK'!FY108-'Database MK'!FZ108</f>
        <v>0</v>
      </c>
      <c r="AK107" s="7">
        <f>IF('Database MK'!GC108="","Belum",'Database MK'!GB108-'Database MK'!GC108)</f>
        <v>95</v>
      </c>
      <c r="AL107" s="7">
        <f>IF('Database MK'!GF108="","Belum",'Database MK'!GE108-'Database MK'!GF108)</f>
        <v>102</v>
      </c>
      <c r="AM107" s="279">
        <f>IF('Database MK'!GJ108="","Belum",'Database MK'!GI108-'Database MK'!GJ108)</f>
        <v>79</v>
      </c>
      <c r="AN107" s="7">
        <f>IF('Database MK'!HG108="","Belum",'Database MK'!HF108-'Database MK'!HG108)</f>
        <v>-202</v>
      </c>
      <c r="AO107" s="7">
        <f>IF('Database MK'!HQ108="","Belum",'Database MK'!HN108-'Database MK'!HQ108)</f>
        <v>-87</v>
      </c>
      <c r="AP107" s="7">
        <f>IF('Database MK'!HW108="","Belum",'Database MK'!HU108-'Database MK'!HW108)</f>
        <v>-92</v>
      </c>
    </row>
    <row r="108" spans="2:42" hidden="1" x14ac:dyDescent="0.25">
      <c r="B108" s="7">
        <f>SUBTOTAL(3,$C$4:C108)</f>
        <v>74</v>
      </c>
      <c r="C108" s="269" t="s">
        <v>673</v>
      </c>
      <c r="D108" s="269" t="s">
        <v>778</v>
      </c>
      <c r="E108" s="269" t="s">
        <v>779</v>
      </c>
      <c r="F108" s="270">
        <v>45748</v>
      </c>
      <c r="G108" s="4" t="s">
        <v>247</v>
      </c>
      <c r="H108" s="4" t="str">
        <f ca="1">'Database MK'!Q109</f>
        <v>DPPP</v>
      </c>
      <c r="I108" s="24">
        <f>'Database MK'!S109</f>
        <v>1</v>
      </c>
      <c r="J108" s="24">
        <f>'Database MK'!T109</f>
        <v>1</v>
      </c>
      <c r="K108" s="571">
        <f>'Database MK'!U109</f>
        <v>0</v>
      </c>
      <c r="L108" s="561">
        <f>'Database MK'!V109</f>
        <v>634</v>
      </c>
      <c r="M108" s="561">
        <f>'Database MK'!W109</f>
        <v>1014</v>
      </c>
      <c r="N108" s="561">
        <f>Table3[[#This Row],[Total Panjang Pipa Aktual]]-Table3[[#This Row],[Volume
BA MC-0]]</f>
        <v>380</v>
      </c>
      <c r="O108" s="7" t="str">
        <f ca="1">'Database MK'!DE109</f>
        <v>Belum, Delay</v>
      </c>
      <c r="P108" s="7" t="str">
        <f ca="1">'Database MK'!DI109</f>
        <v>Belum, Delay</v>
      </c>
      <c r="Q108" s="7" t="str">
        <f ca="1">'Database MK'!DN109</f>
        <v>Sudah, OnSchedule</v>
      </c>
      <c r="R108" s="7" t="str">
        <f ca="1">'Database MK'!DR109</f>
        <v>Sudah, Delay</v>
      </c>
      <c r="S108" s="7" t="str">
        <f ca="1">'Database MK'!EA109</f>
        <v>Belum, Delay</v>
      </c>
      <c r="T108" s="7" t="str">
        <f ca="1">'Database MK'!EI109</f>
        <v>Belum, Delay</v>
      </c>
      <c r="U108" s="7" t="str">
        <f ca="1">'Database MK'!ET109</f>
        <v>Sudah, Delay</v>
      </c>
      <c r="V108" s="7" t="str">
        <f ca="1">'Database MK'!GA109</f>
        <v>Belum, Delay</v>
      </c>
      <c r="W108" s="7" t="str">
        <f ca="1">'Database MK'!GD109</f>
        <v>Sudah, Delay</v>
      </c>
      <c r="X108" s="7" t="str">
        <f ca="1">'Database MK'!GG109</f>
        <v>Sudah, Delay</v>
      </c>
      <c r="Y108" s="7" t="str">
        <f ca="1">'Database MK'!GK109</f>
        <v>Sudah, OnSchedule</v>
      </c>
      <c r="Z108" s="7" t="str">
        <f ca="1">'Database MK'!HH109</f>
        <v>Sudah, Delay</v>
      </c>
      <c r="AA108" s="7" t="str">
        <f ca="1">'Database MK'!HR109</f>
        <v>Sudah, Delay</v>
      </c>
      <c r="AB108" s="7" t="str">
        <f ca="1">'Database MK'!HX109</f>
        <v>Sudah, Delay</v>
      </c>
      <c r="AC108" s="7">
        <f>'Database MK'!DA109-'Database MK'!DB109</f>
        <v>45550</v>
      </c>
      <c r="AD108" s="7">
        <f>'Database MK'!DA109-'Database MK'!DF109</f>
        <v>45550</v>
      </c>
      <c r="AE108" s="7">
        <f>'Database MK'!DK109-'Database MK'!DL109</f>
        <v>52</v>
      </c>
      <c r="AF108" s="7">
        <f>'Database MK'!DK109-'Database MK'!DO109</f>
        <v>-1</v>
      </c>
      <c r="AG108" s="7">
        <f>'Database MK'!DU109-'Database MK'!DW109</f>
        <v>45585</v>
      </c>
      <c r="AH108" s="7" t="str">
        <f>IF('Database MK'!EB109="","Belum",'Database MK'!DU109-'Database MK'!EB109)</f>
        <v>Belum</v>
      </c>
      <c r="AI108" s="7">
        <f>IF('Database MK'!EN109="","Belum",'Database MK'!EL109-'Database MK'!EN109)</f>
        <v>-52</v>
      </c>
      <c r="AJ108" s="7">
        <f>'Database MK'!FY109-'Database MK'!FZ109</f>
        <v>0</v>
      </c>
      <c r="AK108" s="7">
        <f>IF('Database MK'!GC109="","Belum",'Database MK'!GB109-'Database MK'!GC109)</f>
        <v>-16</v>
      </c>
      <c r="AL108" s="7">
        <f>IF('Database MK'!GF109="","Belum",'Database MK'!GE109-'Database MK'!GF109)</f>
        <v>-9</v>
      </c>
      <c r="AM108" s="279">
        <f>IF('Database MK'!GJ109="","Belum",'Database MK'!GI109-'Database MK'!GJ109)</f>
        <v>60</v>
      </c>
      <c r="AN108" s="7">
        <f>IF('Database MK'!HG109="","Belum",'Database MK'!HF109-'Database MK'!HG109)</f>
        <v>-163</v>
      </c>
      <c r="AO108" s="7">
        <f>IF('Database MK'!HQ109="","Belum",'Database MK'!HN109-'Database MK'!HQ109)</f>
        <v>-54</v>
      </c>
      <c r="AP108" s="7">
        <f>IF('Database MK'!HW109="","Belum",'Database MK'!HU109-'Database MK'!HW109)</f>
        <v>-57</v>
      </c>
    </row>
    <row r="109" spans="2:42" hidden="1" x14ac:dyDescent="0.25">
      <c r="B109" s="7">
        <f>SUBTOTAL(3,$C$4:C109)</f>
        <v>74</v>
      </c>
      <c r="C109" s="269" t="s">
        <v>673</v>
      </c>
      <c r="D109" s="269" t="s">
        <v>785</v>
      </c>
      <c r="E109" s="269" t="s">
        <v>786</v>
      </c>
      <c r="F109" s="270">
        <v>45748</v>
      </c>
      <c r="G109" s="4" t="s">
        <v>247</v>
      </c>
      <c r="H109" s="4" t="str">
        <f ca="1">'Database MK'!Q110</f>
        <v>DPPP</v>
      </c>
      <c r="I109" s="24">
        <f>'Database MK'!S110</f>
        <v>1</v>
      </c>
      <c r="J109" s="24">
        <f>'Database MK'!T110</f>
        <v>1</v>
      </c>
      <c r="K109" s="571">
        <f>'Database MK'!U110</f>
        <v>0</v>
      </c>
      <c r="L109" s="561">
        <f>'Database MK'!V110</f>
        <v>200</v>
      </c>
      <c r="M109" s="561">
        <f>'Database MK'!W110</f>
        <v>285</v>
      </c>
      <c r="N109" s="561">
        <f>Table3[[#This Row],[Total Panjang Pipa Aktual]]-Table3[[#This Row],[Volume
BA MC-0]]</f>
        <v>85</v>
      </c>
      <c r="O109" s="7" t="str">
        <f ca="1">'Database MK'!DE110</f>
        <v>Belum, Delay</v>
      </c>
      <c r="P109" s="7" t="str">
        <f ca="1">'Database MK'!DI110</f>
        <v>Belum, Delay</v>
      </c>
      <c r="Q109" s="7" t="str">
        <f ca="1">'Database MK'!DN110</f>
        <v>Sudah, OnSchedule</v>
      </c>
      <c r="R109" s="7" t="str">
        <f ca="1">'Database MK'!DR110</f>
        <v>Sudah, Delay</v>
      </c>
      <c r="S109" s="7" t="str">
        <f ca="1">'Database MK'!EA110</f>
        <v>Belum, Delay</v>
      </c>
      <c r="T109" s="7" t="str">
        <f ca="1">'Database MK'!EI110</f>
        <v>Belum, Delay</v>
      </c>
      <c r="U109" s="7" t="str">
        <f ca="1">'Database MK'!ET110</f>
        <v>Sudah, Delay</v>
      </c>
      <c r="V109" s="7" t="str">
        <f ca="1">'Database MK'!GA110</f>
        <v>Belum, Delay</v>
      </c>
      <c r="W109" s="7" t="str">
        <f ca="1">'Database MK'!GD110</f>
        <v>Sudah, Delay</v>
      </c>
      <c r="X109" s="7" t="str">
        <f ca="1">'Database MK'!GG110</f>
        <v>Sudah, Delay</v>
      </c>
      <c r="Y109" s="7" t="str">
        <f ca="1">'Database MK'!GK110</f>
        <v>Sudah, OnSchedule</v>
      </c>
      <c r="Z109" s="7" t="str">
        <f ca="1">'Database MK'!HH110</f>
        <v>Sudah, Delay</v>
      </c>
      <c r="AA109" s="7" t="str">
        <f ca="1">'Database MK'!HR110</f>
        <v>Sudah, Delay</v>
      </c>
      <c r="AB109" s="7" t="str">
        <f ca="1">'Database MK'!HX110</f>
        <v>Sudah, Delay</v>
      </c>
      <c r="AC109" s="7">
        <f>'Database MK'!DA110-'Database MK'!DB110</f>
        <v>45543</v>
      </c>
      <c r="AD109" s="7">
        <f>'Database MK'!DA110-'Database MK'!DF110</f>
        <v>45543</v>
      </c>
      <c r="AE109" s="7">
        <f>'Database MK'!DK110-'Database MK'!DL110</f>
        <v>52</v>
      </c>
      <c r="AF109" s="7">
        <f>'Database MK'!DK110-'Database MK'!DO110</f>
        <v>-1</v>
      </c>
      <c r="AG109" s="7">
        <f>'Database MK'!DU110-'Database MK'!DW110</f>
        <v>45571</v>
      </c>
      <c r="AH109" s="7" t="str">
        <f>IF('Database MK'!EB110="","Belum",'Database MK'!DU110-'Database MK'!EB110)</f>
        <v>Belum</v>
      </c>
      <c r="AI109" s="7">
        <f>IF('Database MK'!EN110="","Belum",'Database MK'!EL110-'Database MK'!EN110)</f>
        <v>-60</v>
      </c>
      <c r="AJ109" s="7">
        <f>'Database MK'!FY110-'Database MK'!FZ110</f>
        <v>0</v>
      </c>
      <c r="AK109" s="7">
        <f>IF('Database MK'!GC110="","Belum",'Database MK'!GB110-'Database MK'!GC110)</f>
        <v>-16</v>
      </c>
      <c r="AL109" s="7">
        <f>IF('Database MK'!GF110="","Belum",'Database MK'!GE110-'Database MK'!GF110)</f>
        <v>-9</v>
      </c>
      <c r="AM109" s="279">
        <f>IF('Database MK'!GJ110="","Belum",'Database MK'!GI110-'Database MK'!GJ110)</f>
        <v>60</v>
      </c>
      <c r="AN109" s="7">
        <f>IF('Database MK'!HG110="","Belum",'Database MK'!HF110-'Database MK'!HG110)</f>
        <v>-290</v>
      </c>
      <c r="AO109" s="7">
        <f>IF('Database MK'!HQ110="","Belum",'Database MK'!HN110-'Database MK'!HQ110)</f>
        <v>-283</v>
      </c>
      <c r="AP109" s="7">
        <f>IF('Database MK'!HW110="","Belum",'Database MK'!HU110-'Database MK'!HW110)</f>
        <v>-328</v>
      </c>
    </row>
    <row r="110" spans="2:42" hidden="1" x14ac:dyDescent="0.25">
      <c r="B110" s="7">
        <f>SUBTOTAL(3,$C$4:C110)</f>
        <v>74</v>
      </c>
      <c r="C110" s="269" t="s">
        <v>673</v>
      </c>
      <c r="D110" s="269" t="s">
        <v>790</v>
      </c>
      <c r="E110" s="269" t="s">
        <v>791</v>
      </c>
      <c r="F110" s="270">
        <v>45748</v>
      </c>
      <c r="G110" s="4" t="s">
        <v>247</v>
      </c>
      <c r="H110" s="4" t="str">
        <f ca="1">'Database MK'!Q111</f>
        <v>DPPP</v>
      </c>
      <c r="I110" s="24">
        <f>'Database MK'!S111</f>
        <v>1</v>
      </c>
      <c r="J110" s="24">
        <f>'Database MK'!T111</f>
        <v>1</v>
      </c>
      <c r="K110" s="571">
        <f>'Database MK'!U111</f>
        <v>0</v>
      </c>
      <c r="L110" s="561">
        <f>'Database MK'!V111</f>
        <v>72</v>
      </c>
      <c r="M110" s="561">
        <f>'Database MK'!W111</f>
        <v>75</v>
      </c>
      <c r="N110" s="561">
        <f>Table3[[#This Row],[Total Panjang Pipa Aktual]]-Table3[[#This Row],[Volume
BA MC-0]]</f>
        <v>3</v>
      </c>
      <c r="O110" s="7" t="str">
        <f ca="1">'Database MK'!DE111</f>
        <v>Belum, Delay</v>
      </c>
      <c r="P110" s="7" t="str">
        <f ca="1">'Database MK'!DI111</f>
        <v>Belum, Delay</v>
      </c>
      <c r="Q110" s="7" t="str">
        <f ca="1">'Database MK'!DN111</f>
        <v>Sudah, OnSchedule</v>
      </c>
      <c r="R110" s="7" t="str">
        <f ca="1">'Database MK'!DR111</f>
        <v>Sudah, OnSchedule</v>
      </c>
      <c r="S110" s="7" t="str">
        <f ca="1">'Database MK'!EA111</f>
        <v>Belum, Delay</v>
      </c>
      <c r="T110" s="7" t="str">
        <f ca="1">'Database MK'!EI111</f>
        <v>Belum, Delay</v>
      </c>
      <c r="U110" s="7" t="str">
        <f ca="1">'Database MK'!ET111</f>
        <v>Sudah, Delay</v>
      </c>
      <c r="V110" s="7" t="str">
        <f ca="1">'Database MK'!GA111</f>
        <v>Belum, Delay</v>
      </c>
      <c r="W110" s="7" t="str">
        <f ca="1">'Database MK'!GD111</f>
        <v>Sudah, Delay</v>
      </c>
      <c r="X110" s="7" t="str">
        <f ca="1">'Database MK'!GG111</f>
        <v>Sudah, Delay</v>
      </c>
      <c r="Y110" s="7" t="str">
        <f ca="1">'Database MK'!GK111</f>
        <v>Sudah, OnSchedule</v>
      </c>
      <c r="Z110" s="7" t="str">
        <f ca="1">'Database MK'!HH111</f>
        <v>Sudah, Delay</v>
      </c>
      <c r="AA110" s="7" t="str">
        <f ca="1">'Database MK'!HR111</f>
        <v>Sudah, Delay</v>
      </c>
      <c r="AB110" s="7" t="str">
        <f ca="1">'Database MK'!HX111</f>
        <v>Sudah, Delay</v>
      </c>
      <c r="AC110" s="7">
        <f>'Database MK'!DA111-'Database MK'!DB111</f>
        <v>45543</v>
      </c>
      <c r="AD110" s="7">
        <f>'Database MK'!DA111-'Database MK'!DF111</f>
        <v>45543</v>
      </c>
      <c r="AE110" s="7">
        <f>'Database MK'!DK111-'Database MK'!DL111</f>
        <v>52</v>
      </c>
      <c r="AF110" s="7">
        <f>'Database MK'!DK111-'Database MK'!DO111</f>
        <v>6</v>
      </c>
      <c r="AG110" s="7">
        <f>'Database MK'!DU111-'Database MK'!DW111</f>
        <v>45571</v>
      </c>
      <c r="AH110" s="7" t="str">
        <f>IF('Database MK'!EB111="","Belum",'Database MK'!DU111-'Database MK'!EB111)</f>
        <v>Belum</v>
      </c>
      <c r="AI110" s="7">
        <f>IF('Database MK'!EN111="","Belum",'Database MK'!EL111-'Database MK'!EN111)</f>
        <v>-59</v>
      </c>
      <c r="AJ110" s="7">
        <f>'Database MK'!FY111-'Database MK'!FZ111</f>
        <v>0</v>
      </c>
      <c r="AK110" s="7">
        <f>IF('Database MK'!GC111="","Belum",'Database MK'!GB111-'Database MK'!GC111)</f>
        <v>-16</v>
      </c>
      <c r="AL110" s="7">
        <f>IF('Database MK'!GF111="","Belum",'Database MK'!GE111-'Database MK'!GF111)</f>
        <v>-9</v>
      </c>
      <c r="AM110" s="279">
        <f>IF('Database MK'!GJ111="","Belum",'Database MK'!GI111-'Database MK'!GJ111)</f>
        <v>59</v>
      </c>
      <c r="AN110" s="7">
        <f>IF('Database MK'!HG111="","Belum",'Database MK'!HF111-'Database MK'!HG111)</f>
        <v>-85</v>
      </c>
      <c r="AO110" s="7">
        <f>IF('Database MK'!HQ111="","Belum",'Database MK'!HN111-'Database MK'!HQ111)</f>
        <v>-88</v>
      </c>
      <c r="AP110" s="7">
        <f>IF('Database MK'!HW111="","Belum",'Database MK'!HU111-'Database MK'!HW111)</f>
        <v>-92</v>
      </c>
    </row>
    <row r="111" spans="2:42" hidden="1" x14ac:dyDescent="0.25">
      <c r="B111" s="7">
        <f>SUBTOTAL(3,$C$4:C111)</f>
        <v>74</v>
      </c>
      <c r="C111" s="269" t="s">
        <v>673</v>
      </c>
      <c r="D111" s="269" t="s">
        <v>795</v>
      </c>
      <c r="E111" s="269" t="s">
        <v>796</v>
      </c>
      <c r="F111" s="270">
        <v>45748</v>
      </c>
      <c r="G111" s="4" t="s">
        <v>247</v>
      </c>
      <c r="H111" s="4" t="str">
        <f ca="1">'Database MK'!Q112</f>
        <v>DPPP</v>
      </c>
      <c r="I111" s="24">
        <f>'Database MK'!S112</f>
        <v>1</v>
      </c>
      <c r="J111" s="24">
        <f>'Database MK'!T112</f>
        <v>1</v>
      </c>
      <c r="K111" s="571">
        <f>'Database MK'!U112</f>
        <v>0</v>
      </c>
      <c r="L111" s="561">
        <f>'Database MK'!V112</f>
        <v>47</v>
      </c>
      <c r="M111" s="561">
        <f>'Database MK'!W112</f>
        <v>47</v>
      </c>
      <c r="N111" s="561">
        <f>Table3[[#This Row],[Total Panjang Pipa Aktual]]-Table3[[#This Row],[Volume
BA MC-0]]</f>
        <v>0</v>
      </c>
      <c r="O111" s="7" t="str">
        <f ca="1">'Database MK'!DE112</f>
        <v>Belum, Delay</v>
      </c>
      <c r="P111" s="7" t="str">
        <f ca="1">'Database MK'!DI112</f>
        <v>Belum, Delay</v>
      </c>
      <c r="Q111" s="7" t="str">
        <f ca="1">'Database MK'!DN112</f>
        <v>Sudah, Delay</v>
      </c>
      <c r="R111" s="7" t="str">
        <f ca="1">'Database MK'!DR112</f>
        <v>Sudah, Delay</v>
      </c>
      <c r="S111" s="7" t="str">
        <f ca="1">'Database MK'!EA112</f>
        <v>Belum, Delay</v>
      </c>
      <c r="T111" s="7" t="str">
        <f ca="1">'Database MK'!EI112</f>
        <v>Belum, Delay</v>
      </c>
      <c r="U111" s="7" t="str">
        <f ca="1">'Database MK'!ET112</f>
        <v>Sudah, Delay</v>
      </c>
      <c r="V111" s="7" t="str">
        <f ca="1">'Database MK'!GA112</f>
        <v>Belum, Delay</v>
      </c>
      <c r="W111" s="7" t="str">
        <f ca="1">'Database MK'!GD112</f>
        <v>Sudah, Delay</v>
      </c>
      <c r="X111" s="7" t="str">
        <f ca="1">'Database MK'!GG112</f>
        <v>Sudah, Delay</v>
      </c>
      <c r="Y111" s="7" t="str">
        <f ca="1">'Database MK'!GK112</f>
        <v>Sudah, OnSchedule</v>
      </c>
      <c r="Z111" s="7" t="str">
        <f ca="1">'Database MK'!HH112</f>
        <v>Sudah, Delay</v>
      </c>
      <c r="AA111" s="7" t="str">
        <f ca="1">'Database MK'!HR112</f>
        <v>Sudah, Delay</v>
      </c>
      <c r="AB111" s="7" t="str">
        <f ca="1">'Database MK'!HX112</f>
        <v>Sudah, Delay</v>
      </c>
      <c r="AC111" s="7">
        <f>'Database MK'!DA112-'Database MK'!DB112</f>
        <v>45466</v>
      </c>
      <c r="AD111" s="7">
        <f>'Database MK'!DA112-'Database MK'!DF112</f>
        <v>45466</v>
      </c>
      <c r="AE111" s="7">
        <f>'Database MK'!DK112-'Database MK'!DL112</f>
        <v>-34</v>
      </c>
      <c r="AF111" s="7">
        <f>'Database MK'!DK112-'Database MK'!DO112</f>
        <v>-78</v>
      </c>
      <c r="AG111" s="7">
        <f>'Database MK'!DU112-'Database MK'!DW112</f>
        <v>45508</v>
      </c>
      <c r="AH111" s="7" t="str">
        <f>IF('Database MK'!EB112="","Belum",'Database MK'!DU112-'Database MK'!EB112)</f>
        <v>Belum</v>
      </c>
      <c r="AI111" s="7">
        <f>IF('Database MK'!EN112="","Belum",'Database MK'!EL112-'Database MK'!EN112)</f>
        <v>-165</v>
      </c>
      <c r="AJ111" s="7">
        <f>'Database MK'!FY112-'Database MK'!FZ112</f>
        <v>0</v>
      </c>
      <c r="AK111" s="7">
        <f>IF('Database MK'!GC112="","Belum",'Database MK'!GB112-'Database MK'!GC112)</f>
        <v>-72</v>
      </c>
      <c r="AL111" s="7">
        <f>IF('Database MK'!GF112="","Belum",'Database MK'!GE112-'Database MK'!GF112)</f>
        <v>-65</v>
      </c>
      <c r="AM111" s="279">
        <f>IF('Database MK'!GJ112="","Belum",'Database MK'!GI112-'Database MK'!GJ112)</f>
        <v>3</v>
      </c>
      <c r="AN111" s="7">
        <f>IF('Database MK'!HG112="","Belum",'Database MK'!HF112-'Database MK'!HG112)</f>
        <v>-48</v>
      </c>
      <c r="AO111" s="7">
        <f>IF('Database MK'!HQ112="","Belum",'Database MK'!HN112-'Database MK'!HQ112)</f>
        <v>-87</v>
      </c>
      <c r="AP111" s="7">
        <f>IF('Database MK'!HW112="","Belum",'Database MK'!HU112-'Database MK'!HW112)</f>
        <v>-92</v>
      </c>
    </row>
    <row r="112" spans="2:42" hidden="1" x14ac:dyDescent="0.25">
      <c r="B112" s="7">
        <f>SUBTOTAL(3,$C$4:C112)</f>
        <v>74</v>
      </c>
      <c r="C112" s="269" t="s">
        <v>673</v>
      </c>
      <c r="D112" s="269" t="s">
        <v>800</v>
      </c>
      <c r="E112" s="269" t="s">
        <v>801</v>
      </c>
      <c r="F112" s="270">
        <v>45748</v>
      </c>
      <c r="G112" s="4" t="s">
        <v>247</v>
      </c>
      <c r="H112" s="4" t="str">
        <f ca="1">'Database MK'!Q113</f>
        <v>DPPP</v>
      </c>
      <c r="I112" s="24">
        <f>'Database MK'!S113</f>
        <v>1</v>
      </c>
      <c r="J112" s="24">
        <f>'Database MK'!T113</f>
        <v>1</v>
      </c>
      <c r="K112" s="571">
        <f>'Database MK'!U113</f>
        <v>0</v>
      </c>
      <c r="L112" s="561">
        <f>'Database MK'!V113</f>
        <v>327</v>
      </c>
      <c r="M112" s="561">
        <f>'Database MK'!W113</f>
        <v>302</v>
      </c>
      <c r="N112" s="561">
        <f>Table3[[#This Row],[Total Panjang Pipa Aktual]]-Table3[[#This Row],[Volume
BA MC-0]]</f>
        <v>-25</v>
      </c>
      <c r="O112" s="7" t="str">
        <f ca="1">'Database MK'!DE113</f>
        <v>Belum, Delay</v>
      </c>
      <c r="P112" s="7" t="str">
        <f ca="1">'Database MK'!DI113</f>
        <v>Belum, Delay</v>
      </c>
      <c r="Q112" s="7" t="str">
        <f ca="1">'Database MK'!DN113</f>
        <v>Sudah, OnSchedule</v>
      </c>
      <c r="R112" s="7" t="str">
        <f ca="1">'Database MK'!DR113</f>
        <v>Sudah, OnSchedule</v>
      </c>
      <c r="S112" s="7" t="str">
        <f ca="1">'Database MK'!EA113</f>
        <v>Belum, Delay</v>
      </c>
      <c r="T112" s="7" t="str">
        <f ca="1">'Database MK'!EI113</f>
        <v>Belum, Delay</v>
      </c>
      <c r="U112" s="7" t="str">
        <f ca="1">'Database MK'!ET113</f>
        <v>Sudah, Delay</v>
      </c>
      <c r="V112" s="7" t="str">
        <f ca="1">'Database MK'!GA113</f>
        <v>Belum, Delay</v>
      </c>
      <c r="W112" s="7" t="str">
        <f ca="1">'Database MK'!GD113</f>
        <v>Sudah, Delay</v>
      </c>
      <c r="X112" s="7" t="str">
        <f ca="1">'Database MK'!GG113</f>
        <v>Sudah, Delay</v>
      </c>
      <c r="Y112" s="7" t="str">
        <f ca="1">'Database MK'!GK113</f>
        <v>Sudah, OnSchedule</v>
      </c>
      <c r="Z112" s="7" t="str">
        <f ca="1">'Database MK'!HH113</f>
        <v>Sudah, Delay</v>
      </c>
      <c r="AA112" s="7" t="str">
        <f ca="1">'Database MK'!HR113</f>
        <v>Sudah, Delay</v>
      </c>
      <c r="AB112" s="7" t="str">
        <f ca="1">'Database MK'!HX113</f>
        <v>Sudah, Delay</v>
      </c>
      <c r="AC112" s="7">
        <f>'Database MK'!DA113-'Database MK'!DB113</f>
        <v>45543</v>
      </c>
      <c r="AD112" s="7">
        <f>'Database MK'!DA113-'Database MK'!DF113</f>
        <v>45543</v>
      </c>
      <c r="AE112" s="7">
        <f>'Database MK'!DK113-'Database MK'!DL113</f>
        <v>43</v>
      </c>
      <c r="AF112" s="7">
        <f>'Database MK'!DK113-'Database MK'!DO113</f>
        <v>6</v>
      </c>
      <c r="AG112" s="7">
        <f>'Database MK'!DU113-'Database MK'!DW113</f>
        <v>45571</v>
      </c>
      <c r="AH112" s="7" t="str">
        <f>IF('Database MK'!EB113="","Belum",'Database MK'!DU113-'Database MK'!EB113)</f>
        <v>Belum</v>
      </c>
      <c r="AI112" s="7">
        <f>IF('Database MK'!EN113="","Belum",'Database MK'!EL113-'Database MK'!EN113)</f>
        <v>-60</v>
      </c>
      <c r="AJ112" s="7">
        <f>'Database MK'!FY113-'Database MK'!FZ113</f>
        <v>0</v>
      </c>
      <c r="AK112" s="7">
        <f>IF('Database MK'!GC113="","Belum",'Database MK'!GB113-'Database MK'!GC113)</f>
        <v>-16</v>
      </c>
      <c r="AL112" s="7">
        <f>IF('Database MK'!GF113="","Belum",'Database MK'!GE113-'Database MK'!GF113)</f>
        <v>-9</v>
      </c>
      <c r="AM112" s="279">
        <f>IF('Database MK'!GJ113="","Belum",'Database MK'!GI113-'Database MK'!GJ113)</f>
        <v>61</v>
      </c>
      <c r="AN112" s="7">
        <f>IF('Database MK'!HG113="","Belum",'Database MK'!HF113-'Database MK'!HG113)</f>
        <v>-37</v>
      </c>
      <c r="AO112" s="7">
        <f>IF('Database MK'!HQ113="","Belum",'Database MK'!HN113-'Database MK'!HQ113)</f>
        <v>-88</v>
      </c>
      <c r="AP112" s="7">
        <f>IF('Database MK'!HW113="","Belum",'Database MK'!HU113-'Database MK'!HW113)</f>
        <v>-92</v>
      </c>
    </row>
    <row r="113" spans="2:42" hidden="1" x14ac:dyDescent="0.25">
      <c r="B113" s="7">
        <f>SUBTOTAL(3,$C$4:C113)</f>
        <v>74</v>
      </c>
      <c r="C113" s="269" t="s">
        <v>673</v>
      </c>
      <c r="D113" s="269" t="s">
        <v>805</v>
      </c>
      <c r="E113" s="269" t="s">
        <v>806</v>
      </c>
      <c r="F113" s="270">
        <v>45748</v>
      </c>
      <c r="G113" s="4" t="s">
        <v>247</v>
      </c>
      <c r="H113" s="4" t="str">
        <f ca="1">'Database MK'!Q114</f>
        <v>DPPP</v>
      </c>
      <c r="I113" s="24">
        <f>'Database MK'!S114</f>
        <v>1</v>
      </c>
      <c r="J113" s="24">
        <f>'Database MK'!T114</f>
        <v>1</v>
      </c>
      <c r="K113" s="571">
        <f>'Database MK'!U114</f>
        <v>0</v>
      </c>
      <c r="L113" s="561">
        <f>'Database MK'!V114</f>
        <v>123</v>
      </c>
      <c r="M113" s="561">
        <f>'Database MK'!W114</f>
        <v>123</v>
      </c>
      <c r="N113" s="561">
        <f>Table3[[#This Row],[Total Panjang Pipa Aktual]]-Table3[[#This Row],[Volume
BA MC-0]]</f>
        <v>0</v>
      </c>
      <c r="O113" s="7" t="str">
        <f ca="1">'Database MK'!DE114</f>
        <v>Belum, Delay</v>
      </c>
      <c r="P113" s="7" t="str">
        <f ca="1">'Database MK'!DI114</f>
        <v>Belum, Delay</v>
      </c>
      <c r="Q113" s="7" t="str">
        <f ca="1">'Database MK'!DN114</f>
        <v>Sudah, OnSchedule</v>
      </c>
      <c r="R113" s="7" t="str">
        <f ca="1">'Database MK'!DR114</f>
        <v>Sudah, OnSchedule</v>
      </c>
      <c r="S113" s="7" t="str">
        <f ca="1">'Database MK'!EA114</f>
        <v>Belum, Delay</v>
      </c>
      <c r="T113" s="7" t="str">
        <f ca="1">'Database MK'!EI114</f>
        <v>Belum, Delay</v>
      </c>
      <c r="U113" s="7" t="str">
        <f ca="1">'Database MK'!ET114</f>
        <v>Sudah, Delay</v>
      </c>
      <c r="V113" s="7" t="str">
        <f ca="1">'Database MK'!GA114</f>
        <v>Belum, Delay</v>
      </c>
      <c r="W113" s="7" t="str">
        <f ca="1">'Database MK'!GD114</f>
        <v>Sudah, Delay</v>
      </c>
      <c r="X113" s="7" t="str">
        <f ca="1">'Database MK'!GG114</f>
        <v>Sudah, Delay</v>
      </c>
      <c r="Y113" s="7" t="str">
        <f ca="1">'Database MK'!GK114</f>
        <v>Sudah, OnSchedule</v>
      </c>
      <c r="Z113" s="7" t="str">
        <f ca="1">'Database MK'!HH114</f>
        <v>Sudah, Delay</v>
      </c>
      <c r="AA113" s="7" t="str">
        <f ca="1">'Database MK'!HR114</f>
        <v>Sudah, Delay</v>
      </c>
      <c r="AB113" s="7" t="str">
        <f ca="1">'Database MK'!HX114</f>
        <v>Sudah, Delay</v>
      </c>
      <c r="AC113" s="7">
        <f>'Database MK'!DA114-'Database MK'!DB114</f>
        <v>45543</v>
      </c>
      <c r="AD113" s="7">
        <f>'Database MK'!DA114-'Database MK'!DF114</f>
        <v>45543</v>
      </c>
      <c r="AE113" s="7">
        <f>'Database MK'!DK114-'Database MK'!DL114</f>
        <v>52</v>
      </c>
      <c r="AF113" s="7">
        <f>'Database MK'!DK114-'Database MK'!DO114</f>
        <v>6</v>
      </c>
      <c r="AG113" s="7">
        <f>'Database MK'!DU114-'Database MK'!DW114</f>
        <v>45571</v>
      </c>
      <c r="AH113" s="7" t="str">
        <f>IF('Database MK'!EB114="","Belum",'Database MK'!DU114-'Database MK'!EB114)</f>
        <v>Belum</v>
      </c>
      <c r="AI113" s="7">
        <f>IF('Database MK'!EN114="","Belum",'Database MK'!EL114-'Database MK'!EN114)</f>
        <v>-166</v>
      </c>
      <c r="AJ113" s="7">
        <f>'Database MK'!FY114-'Database MK'!FZ114</f>
        <v>0</v>
      </c>
      <c r="AK113" s="7">
        <f>IF('Database MK'!GC114="","Belum",'Database MK'!GB114-'Database MK'!GC114)</f>
        <v>-16</v>
      </c>
      <c r="AL113" s="7">
        <f>IF('Database MK'!GF114="","Belum",'Database MK'!GE114-'Database MK'!GF114)</f>
        <v>-9</v>
      </c>
      <c r="AM113" s="279">
        <f>IF('Database MK'!GJ114="","Belum",'Database MK'!GI114-'Database MK'!GJ114)</f>
        <v>59</v>
      </c>
      <c r="AN113" s="7">
        <f>IF('Database MK'!HG114="","Belum",'Database MK'!HF114-'Database MK'!HG114)</f>
        <v>-37</v>
      </c>
      <c r="AO113" s="7">
        <f>IF('Database MK'!HQ114="","Belum",'Database MK'!HN114-'Database MK'!HQ114)</f>
        <v>-87</v>
      </c>
      <c r="AP113" s="7">
        <f>IF('Database MK'!HW114="","Belum",'Database MK'!HU114-'Database MK'!HW114)</f>
        <v>-92</v>
      </c>
    </row>
    <row r="114" spans="2:42" hidden="1" x14ac:dyDescent="0.25">
      <c r="B114" s="7">
        <f>SUBTOTAL(3,$C$4:C114)</f>
        <v>74</v>
      </c>
      <c r="C114" s="269" t="s">
        <v>673</v>
      </c>
      <c r="D114" s="269" t="s">
        <v>810</v>
      </c>
      <c r="E114" s="269" t="s">
        <v>811</v>
      </c>
      <c r="F114" s="270">
        <v>45748</v>
      </c>
      <c r="G114" s="4" t="s">
        <v>247</v>
      </c>
      <c r="H114" s="4" t="str">
        <f ca="1">'Database MK'!Q115</f>
        <v>DPPP</v>
      </c>
      <c r="I114" s="24">
        <f>'Database MK'!S115</f>
        <v>1</v>
      </c>
      <c r="J114" s="24">
        <f>'Database MK'!T115</f>
        <v>1</v>
      </c>
      <c r="K114" s="571">
        <f>'Database MK'!U115</f>
        <v>0</v>
      </c>
      <c r="L114" s="561">
        <f>'Database MK'!V115</f>
        <v>79</v>
      </c>
      <c r="M114" s="561">
        <f>'Database MK'!W115</f>
        <v>64</v>
      </c>
      <c r="N114" s="561">
        <f>Table3[[#This Row],[Total Panjang Pipa Aktual]]-Table3[[#This Row],[Volume
BA MC-0]]</f>
        <v>-15</v>
      </c>
      <c r="O114" s="7" t="str">
        <f ca="1">'Database MK'!DE115</f>
        <v>Belum, Delay</v>
      </c>
      <c r="P114" s="7" t="str">
        <f ca="1">'Database MK'!DI115</f>
        <v>Belum, Delay</v>
      </c>
      <c r="Q114" s="7" t="str">
        <f ca="1">'Database MK'!DN115</f>
        <v>Sudah, OnSchedule</v>
      </c>
      <c r="R114" s="7" t="str">
        <f ca="1">'Database MK'!DR115</f>
        <v>Sudah, Delay</v>
      </c>
      <c r="S114" s="7" t="str">
        <f ca="1">'Database MK'!EA115</f>
        <v>Belum, Delay</v>
      </c>
      <c r="T114" s="7" t="str">
        <f ca="1">'Database MK'!EI115</f>
        <v>Belum, Delay</v>
      </c>
      <c r="U114" s="7" t="str">
        <f ca="1">'Database MK'!ET115</f>
        <v>Sudah, Delay</v>
      </c>
      <c r="V114" s="7" t="str">
        <f ca="1">'Database MK'!GA115</f>
        <v>Belum, Delay</v>
      </c>
      <c r="W114" s="7" t="str">
        <f ca="1">'Database MK'!GD115</f>
        <v>Sudah, Delay</v>
      </c>
      <c r="X114" s="7" t="str">
        <f ca="1">'Database MK'!GG115</f>
        <v>Sudah, Delay</v>
      </c>
      <c r="Y114" s="7" t="str">
        <f ca="1">'Database MK'!GK115</f>
        <v>Sudah, OnSchedule</v>
      </c>
      <c r="Z114" s="7" t="str">
        <f ca="1">'Database MK'!HH115</f>
        <v>Sudah, Delay</v>
      </c>
      <c r="AA114" s="7" t="str">
        <f ca="1">'Database MK'!HR115</f>
        <v>Sudah, Delay</v>
      </c>
      <c r="AB114" s="7" t="str">
        <f ca="1">'Database MK'!HX115</f>
        <v>Sudah, Delay</v>
      </c>
      <c r="AC114" s="7">
        <f>'Database MK'!DA115-'Database MK'!DB115</f>
        <v>45543</v>
      </c>
      <c r="AD114" s="7">
        <f>'Database MK'!DA115-'Database MK'!DF115</f>
        <v>45543</v>
      </c>
      <c r="AE114" s="7">
        <f>'Database MK'!DK115-'Database MK'!DL115</f>
        <v>50</v>
      </c>
      <c r="AF114" s="7">
        <f>'Database MK'!DK115-'Database MK'!DO115</f>
        <v>-1</v>
      </c>
      <c r="AG114" s="7">
        <f>'Database MK'!DU115-'Database MK'!DW115</f>
        <v>45571</v>
      </c>
      <c r="AH114" s="7" t="str">
        <f>IF('Database MK'!EB115="","Belum",'Database MK'!DU115-'Database MK'!EB115)</f>
        <v>Belum</v>
      </c>
      <c r="AI114" s="7">
        <f>IF('Database MK'!EN115="","Belum",'Database MK'!EL115-'Database MK'!EN115)</f>
        <v>-194</v>
      </c>
      <c r="AJ114" s="7">
        <f>'Database MK'!FY115-'Database MK'!FZ115</f>
        <v>0</v>
      </c>
      <c r="AK114" s="7">
        <f>IF('Database MK'!GC115="","Belum",'Database MK'!GB115-'Database MK'!GC115)</f>
        <v>-16</v>
      </c>
      <c r="AL114" s="7">
        <f>IF('Database MK'!GF115="","Belum",'Database MK'!GE115-'Database MK'!GF115)</f>
        <v>-9</v>
      </c>
      <c r="AM114" s="279">
        <f>IF('Database MK'!GJ115="","Belum",'Database MK'!GI115-'Database MK'!GJ115)</f>
        <v>61</v>
      </c>
      <c r="AN114" s="7">
        <f>IF('Database MK'!HG115="","Belum",'Database MK'!HF115-'Database MK'!HG115)</f>
        <v>-36</v>
      </c>
      <c r="AO114" s="7">
        <f>IF('Database MK'!HQ115="","Belum",'Database MK'!HN115-'Database MK'!HQ115)</f>
        <v>-88</v>
      </c>
      <c r="AP114" s="7">
        <f>IF('Database MK'!HW115="","Belum",'Database MK'!HU115-'Database MK'!HW115)</f>
        <v>-92</v>
      </c>
    </row>
    <row r="115" spans="2:42" hidden="1" x14ac:dyDescent="0.25">
      <c r="B115" s="7">
        <f>SUBTOTAL(3,$C$4:C115)</f>
        <v>74</v>
      </c>
      <c r="C115" s="269" t="s">
        <v>673</v>
      </c>
      <c r="D115" s="269" t="s">
        <v>815</v>
      </c>
      <c r="E115" s="269" t="s">
        <v>816</v>
      </c>
      <c r="F115" s="270">
        <v>45748</v>
      </c>
      <c r="G115" s="4" t="s">
        <v>247</v>
      </c>
      <c r="H115" s="4" t="str">
        <f ca="1">'Database MK'!Q116</f>
        <v>DPPP</v>
      </c>
      <c r="I115" s="24">
        <f>'Database MK'!S116</f>
        <v>1</v>
      </c>
      <c r="J115" s="24">
        <f>'Database MK'!T116</f>
        <v>1</v>
      </c>
      <c r="K115" s="571">
        <f>'Database MK'!U116</f>
        <v>0</v>
      </c>
      <c r="L115" s="561">
        <f>'Database MK'!V116</f>
        <v>192</v>
      </c>
      <c r="M115" s="561">
        <f>'Database MK'!W116</f>
        <v>192</v>
      </c>
      <c r="N115" s="561">
        <f>Table3[[#This Row],[Total Panjang Pipa Aktual]]-Table3[[#This Row],[Volume
BA MC-0]]</f>
        <v>0</v>
      </c>
      <c r="O115" s="7" t="str">
        <f ca="1">'Database MK'!DE116</f>
        <v>Belum, Delay</v>
      </c>
      <c r="P115" s="7" t="str">
        <f ca="1">'Database MK'!DI116</f>
        <v>Belum, Delay</v>
      </c>
      <c r="Q115" s="7" t="str">
        <f ca="1">'Database MK'!DN116</f>
        <v>Sudah, OnSchedule</v>
      </c>
      <c r="R115" s="7" t="str">
        <f ca="1">'Database MK'!DR116</f>
        <v>Sudah, OnSchedule</v>
      </c>
      <c r="S115" s="7" t="str">
        <f ca="1">'Database MK'!EA116</f>
        <v>Belum, Delay</v>
      </c>
      <c r="T115" s="7" t="str">
        <f ca="1">'Database MK'!EI116</f>
        <v>Belum, Delay</v>
      </c>
      <c r="U115" s="7" t="str">
        <f ca="1">'Database MK'!ET116</f>
        <v>Sudah, Delay</v>
      </c>
      <c r="V115" s="7" t="str">
        <f ca="1">'Database MK'!GA116</f>
        <v>Belum, Delay</v>
      </c>
      <c r="W115" s="7" t="str">
        <f ca="1">'Database MK'!GD116</f>
        <v>Sudah, Delay</v>
      </c>
      <c r="X115" s="7" t="str">
        <f ca="1">'Database MK'!GG116</f>
        <v>Sudah, Delay</v>
      </c>
      <c r="Y115" s="7" t="str">
        <f ca="1">'Database MK'!GK116</f>
        <v>Sudah, OnSchedule</v>
      </c>
      <c r="Z115" s="7" t="str">
        <f ca="1">'Database MK'!HH116</f>
        <v>Sudah, Delay</v>
      </c>
      <c r="AA115" s="7" t="str">
        <f ca="1">'Database MK'!HR116</f>
        <v>Sudah, Delay</v>
      </c>
      <c r="AB115" s="7" t="str">
        <f ca="1">'Database MK'!HX116</f>
        <v>Sudah, Delay</v>
      </c>
      <c r="AC115" s="7">
        <f>'Database MK'!DA116-'Database MK'!DB116</f>
        <v>45543</v>
      </c>
      <c r="AD115" s="7">
        <f>'Database MK'!DA116-'Database MK'!DF116</f>
        <v>45543</v>
      </c>
      <c r="AE115" s="7">
        <f>'Database MK'!DK116-'Database MK'!DL116</f>
        <v>50</v>
      </c>
      <c r="AF115" s="7">
        <f>'Database MK'!DK116-'Database MK'!DO116</f>
        <v>6</v>
      </c>
      <c r="AG115" s="7">
        <f>'Database MK'!DU116-'Database MK'!DW116</f>
        <v>45571</v>
      </c>
      <c r="AH115" s="7" t="str">
        <f>IF('Database MK'!EB116="","Belum",'Database MK'!DU116-'Database MK'!EB116)</f>
        <v>Belum</v>
      </c>
      <c r="AI115" s="7">
        <f>IF('Database MK'!EN116="","Belum",'Database MK'!EL116-'Database MK'!EN116)</f>
        <v>-60</v>
      </c>
      <c r="AJ115" s="7">
        <f>'Database MK'!FY116-'Database MK'!FZ116</f>
        <v>0</v>
      </c>
      <c r="AK115" s="7">
        <f>IF('Database MK'!GC116="","Belum",'Database MK'!GB116-'Database MK'!GC116)</f>
        <v>-16</v>
      </c>
      <c r="AL115" s="7">
        <f>IF('Database MK'!GF116="","Belum",'Database MK'!GE116-'Database MK'!GF116)</f>
        <v>-9</v>
      </c>
      <c r="AM115" s="279">
        <f>IF('Database MK'!GJ116="","Belum",'Database MK'!GI116-'Database MK'!GJ116)</f>
        <v>60</v>
      </c>
      <c r="AN115" s="7">
        <f>IF('Database MK'!HG116="","Belum",'Database MK'!HF116-'Database MK'!HG116)</f>
        <v>-190</v>
      </c>
      <c r="AO115" s="7">
        <f>IF('Database MK'!HQ116="","Belum",'Database MK'!HN116-'Database MK'!HQ116)</f>
        <v>-87</v>
      </c>
      <c r="AP115" s="7">
        <f>IF('Database MK'!HW116="","Belum",'Database MK'!HU116-'Database MK'!HW116)</f>
        <v>-92</v>
      </c>
    </row>
    <row r="116" spans="2:42" hidden="1" x14ac:dyDescent="0.25">
      <c r="B116" s="7">
        <f>SUBTOTAL(3,$C$4:C116)</f>
        <v>74</v>
      </c>
      <c r="C116" s="269" t="s">
        <v>673</v>
      </c>
      <c r="D116" s="269" t="s">
        <v>820</v>
      </c>
      <c r="E116" s="269" t="s">
        <v>821</v>
      </c>
      <c r="F116" s="270">
        <v>45748</v>
      </c>
      <c r="G116" s="4" t="s">
        <v>247</v>
      </c>
      <c r="H116" s="4" t="str">
        <f ca="1">'Database MK'!Q117</f>
        <v>DPPP</v>
      </c>
      <c r="I116" s="24">
        <f>'Database MK'!S117</f>
        <v>1</v>
      </c>
      <c r="J116" s="24">
        <f>'Database MK'!T117</f>
        <v>1</v>
      </c>
      <c r="K116" s="571">
        <f>'Database MK'!U117</f>
        <v>0</v>
      </c>
      <c r="L116" s="561">
        <f>'Database MK'!V117</f>
        <v>1006</v>
      </c>
      <c r="M116" s="561">
        <f>'Database MK'!W117</f>
        <v>1140</v>
      </c>
      <c r="N116" s="561">
        <f>Table3[[#This Row],[Total Panjang Pipa Aktual]]-Table3[[#This Row],[Volume
BA MC-0]]</f>
        <v>134</v>
      </c>
      <c r="O116" s="7" t="str">
        <f ca="1">'Database MK'!DE117</f>
        <v>Belum, Delay</v>
      </c>
      <c r="P116" s="7" t="str">
        <f ca="1">'Database MK'!DI117</f>
        <v>Belum, Delay</v>
      </c>
      <c r="Q116" s="7" t="str">
        <f ca="1">'Database MK'!DN117</f>
        <v>Sudah, OnSchedule</v>
      </c>
      <c r="R116" s="7" t="str">
        <f ca="1">'Database MK'!DR117</f>
        <v>Sudah, Delay</v>
      </c>
      <c r="S116" s="7" t="str">
        <f ca="1">'Database MK'!EA117</f>
        <v>Belum, Delay</v>
      </c>
      <c r="T116" s="7" t="str">
        <f ca="1">'Database MK'!EI117</f>
        <v>Belum, Delay</v>
      </c>
      <c r="U116" s="7" t="str">
        <f ca="1">'Database MK'!ET117</f>
        <v>Sudah, Delay</v>
      </c>
      <c r="V116" s="7" t="str">
        <f ca="1">'Database MK'!GA117</f>
        <v>Belum, Delay</v>
      </c>
      <c r="W116" s="7" t="str">
        <f ca="1">'Database MK'!GD117</f>
        <v>Sudah, Delay</v>
      </c>
      <c r="X116" s="7" t="str">
        <f ca="1">'Database MK'!GG117</f>
        <v>Sudah, Delay</v>
      </c>
      <c r="Y116" s="7" t="str">
        <f ca="1">'Database MK'!GK117</f>
        <v>Sudah, OnSchedule</v>
      </c>
      <c r="Z116" s="7" t="str">
        <f ca="1">'Database MK'!HH117</f>
        <v>Sudah, Delay</v>
      </c>
      <c r="AA116" s="7" t="str">
        <f ca="1">'Database MK'!HR117</f>
        <v>Sudah, Delay</v>
      </c>
      <c r="AB116" s="7" t="str">
        <f ca="1">'Database MK'!HX117</f>
        <v>Sudah, Delay</v>
      </c>
      <c r="AC116" s="7">
        <f>'Database MK'!DA117-'Database MK'!DB117</f>
        <v>45543</v>
      </c>
      <c r="AD116" s="7">
        <f>'Database MK'!DA117-'Database MK'!DF117</f>
        <v>45543</v>
      </c>
      <c r="AE116" s="7">
        <f>'Database MK'!DK117-'Database MK'!DL117</f>
        <v>50</v>
      </c>
      <c r="AF116" s="7">
        <f>'Database MK'!DK117-'Database MK'!DO117</f>
        <v>-1</v>
      </c>
      <c r="AG116" s="7">
        <f>'Database MK'!DU117-'Database MK'!DW117</f>
        <v>45571</v>
      </c>
      <c r="AH116" s="7" t="str">
        <f>IF('Database MK'!EB117="","Belum",'Database MK'!DU117-'Database MK'!EB117)</f>
        <v>Belum</v>
      </c>
      <c r="AI116" s="7">
        <f>IF('Database MK'!EN117="","Belum",'Database MK'!EL117-'Database MK'!EN117)</f>
        <v>-144</v>
      </c>
      <c r="AJ116" s="7">
        <f>'Database MK'!FY117-'Database MK'!FZ117</f>
        <v>0</v>
      </c>
      <c r="AK116" s="7">
        <f>IF('Database MK'!GC117="","Belum",'Database MK'!GB117-'Database MK'!GC117)</f>
        <v>-16</v>
      </c>
      <c r="AL116" s="7">
        <f>IF('Database MK'!GF117="","Belum",'Database MK'!GE117-'Database MK'!GF117)</f>
        <v>-9</v>
      </c>
      <c r="AM116" s="279">
        <f>IF('Database MK'!GJ117="","Belum",'Database MK'!GI117-'Database MK'!GJ117)</f>
        <v>61</v>
      </c>
      <c r="AN116" s="7">
        <f>IF('Database MK'!HG117="","Belum",'Database MK'!HF117-'Database MK'!HG117)</f>
        <v>-36</v>
      </c>
      <c r="AO116" s="7">
        <f>IF('Database MK'!HQ117="","Belum",'Database MK'!HN117-'Database MK'!HQ117)</f>
        <v>-88</v>
      </c>
      <c r="AP116" s="7">
        <f>IF('Database MK'!HW117="","Belum",'Database MK'!HU117-'Database MK'!HW117)</f>
        <v>-92</v>
      </c>
    </row>
    <row r="117" spans="2:42" hidden="1" x14ac:dyDescent="0.25">
      <c r="B117" s="7">
        <f>SUBTOTAL(3,$C$4:C117)</f>
        <v>74</v>
      </c>
      <c r="C117" s="269" t="s">
        <v>673</v>
      </c>
      <c r="D117" s="269" t="s">
        <v>826</v>
      </c>
      <c r="E117" s="269" t="s">
        <v>827</v>
      </c>
      <c r="F117" s="270">
        <v>45748</v>
      </c>
      <c r="G117" s="4" t="s">
        <v>247</v>
      </c>
      <c r="H117" s="4" t="str">
        <f ca="1">'Database MK'!Q118</f>
        <v>DPPP</v>
      </c>
      <c r="I117" s="24">
        <f>'Database MK'!S118</f>
        <v>1</v>
      </c>
      <c r="J117" s="24">
        <f>'Database MK'!T118</f>
        <v>1</v>
      </c>
      <c r="K117" s="571">
        <f>'Database MK'!U118</f>
        <v>0</v>
      </c>
      <c r="L117" s="561">
        <f>'Database MK'!V118</f>
        <v>212</v>
      </c>
      <c r="M117" s="561">
        <f>'Database MK'!W118</f>
        <v>212</v>
      </c>
      <c r="N117" s="561">
        <f>Table3[[#This Row],[Total Panjang Pipa Aktual]]-Table3[[#This Row],[Volume
BA MC-0]]</f>
        <v>0</v>
      </c>
      <c r="O117" s="7" t="str">
        <f ca="1">'Database MK'!DE118</f>
        <v>Belum, Delay</v>
      </c>
      <c r="P117" s="7" t="str">
        <f ca="1">'Database MK'!DI118</f>
        <v>Belum, Delay</v>
      </c>
      <c r="Q117" s="7" t="str">
        <f ca="1">'Database MK'!DN118</f>
        <v>Sudah, OnSchedule</v>
      </c>
      <c r="R117" s="7" t="str">
        <f ca="1">'Database MK'!DR118</f>
        <v>Sudah, Delay</v>
      </c>
      <c r="S117" s="7" t="str">
        <f ca="1">'Database MK'!EA118</f>
        <v>Belum, Delay</v>
      </c>
      <c r="T117" s="7" t="str">
        <f ca="1">'Database MK'!EI118</f>
        <v>Belum, Delay</v>
      </c>
      <c r="U117" s="7" t="str">
        <f ca="1">'Database MK'!ET118</f>
        <v>Sudah, Delay</v>
      </c>
      <c r="V117" s="7" t="str">
        <f ca="1">'Database MK'!GA118</f>
        <v>Belum, Delay</v>
      </c>
      <c r="W117" s="7" t="str">
        <f ca="1">'Database MK'!GD118</f>
        <v>Sudah, Delay</v>
      </c>
      <c r="X117" s="7" t="str">
        <f ca="1">'Database MK'!GG118</f>
        <v>Sudah, Delay</v>
      </c>
      <c r="Y117" s="7" t="str">
        <f ca="1">'Database MK'!GK118</f>
        <v>Sudah, OnSchedule</v>
      </c>
      <c r="Z117" s="7" t="str">
        <f ca="1">'Database MK'!HH118</f>
        <v>Sudah, Delay</v>
      </c>
      <c r="AA117" s="7" t="str">
        <f ca="1">'Database MK'!HR118</f>
        <v>Sudah, Delay</v>
      </c>
      <c r="AB117" s="7" t="str">
        <f ca="1">'Database MK'!HX118</f>
        <v>Sudah, Delay</v>
      </c>
      <c r="AC117" s="7">
        <f>'Database MK'!DA118-'Database MK'!DB118</f>
        <v>45543</v>
      </c>
      <c r="AD117" s="7">
        <f>'Database MK'!DA118-'Database MK'!DF118</f>
        <v>45543</v>
      </c>
      <c r="AE117" s="7">
        <f>'Database MK'!DK118-'Database MK'!DL118</f>
        <v>50</v>
      </c>
      <c r="AF117" s="7">
        <f>'Database MK'!DK118-'Database MK'!DO118</f>
        <v>-393</v>
      </c>
      <c r="AG117" s="7">
        <f>'Database MK'!DU118-'Database MK'!DW118</f>
        <v>45571</v>
      </c>
      <c r="AH117" s="7" t="str">
        <f>IF('Database MK'!EB118="","Belum",'Database MK'!DU118-'Database MK'!EB118)</f>
        <v>Belum</v>
      </c>
      <c r="AI117" s="7">
        <f>IF('Database MK'!EN118="","Belum",'Database MK'!EL118-'Database MK'!EN118)</f>
        <v>-166</v>
      </c>
      <c r="AJ117" s="7">
        <f>'Database MK'!FY118-'Database MK'!FZ118</f>
        <v>0</v>
      </c>
      <c r="AK117" s="7">
        <f>IF('Database MK'!GC118="","Belum",'Database MK'!GB118-'Database MK'!GC118)</f>
        <v>-16</v>
      </c>
      <c r="AL117" s="7">
        <f>IF('Database MK'!GF118="","Belum",'Database MK'!GE118-'Database MK'!GF118)</f>
        <v>-9</v>
      </c>
      <c r="AM117" s="279">
        <f>IF('Database MK'!GJ118="","Belum",'Database MK'!GI118-'Database MK'!GJ118)</f>
        <v>60</v>
      </c>
      <c r="AN117" s="7">
        <f>IF('Database MK'!HG118="","Belum",'Database MK'!HF118-'Database MK'!HG118)</f>
        <v>-37</v>
      </c>
      <c r="AO117" s="7">
        <f>IF('Database MK'!HQ118="","Belum",'Database MK'!HN118-'Database MK'!HQ118)</f>
        <v>-87</v>
      </c>
      <c r="AP117" s="7">
        <f>IF('Database MK'!HW118="","Belum",'Database MK'!HU118-'Database MK'!HW118)</f>
        <v>-92</v>
      </c>
    </row>
    <row r="118" spans="2:42" hidden="1" x14ac:dyDescent="0.25">
      <c r="B118" s="7">
        <f>SUBTOTAL(3,$C$4:C118)</f>
        <v>74</v>
      </c>
      <c r="C118" s="269" t="s">
        <v>673</v>
      </c>
      <c r="D118" s="269" t="s">
        <v>832</v>
      </c>
      <c r="E118" s="269" t="s">
        <v>833</v>
      </c>
      <c r="F118" s="270">
        <v>45748</v>
      </c>
      <c r="G118" s="4" t="s">
        <v>247</v>
      </c>
      <c r="H118" s="4" t="str">
        <f ca="1">'Database MK'!Q119</f>
        <v>DPPP</v>
      </c>
      <c r="I118" s="24">
        <f>'Database MK'!S119</f>
        <v>1</v>
      </c>
      <c r="J118" s="24">
        <f>'Database MK'!T119</f>
        <v>1</v>
      </c>
      <c r="K118" s="571">
        <f>'Database MK'!U119</f>
        <v>0</v>
      </c>
      <c r="L118" s="561">
        <f>'Database MK'!V119</f>
        <v>200</v>
      </c>
      <c r="M118" s="561">
        <f>'Database MK'!W119</f>
        <v>127</v>
      </c>
      <c r="N118" s="561">
        <f>Table3[[#This Row],[Total Panjang Pipa Aktual]]-Table3[[#This Row],[Volume
BA MC-0]]</f>
        <v>-73</v>
      </c>
      <c r="O118" s="7" t="str">
        <f ca="1">'Database MK'!DE119</f>
        <v>Belum, Delay</v>
      </c>
      <c r="P118" s="7" t="str">
        <f ca="1">'Database MK'!DI119</f>
        <v>Belum, Delay</v>
      </c>
      <c r="Q118" s="7" t="str">
        <f ca="1">'Database MK'!DN119</f>
        <v>Sudah, Delay</v>
      </c>
      <c r="R118" s="7" t="str">
        <f ca="1">'Database MK'!DR119</f>
        <v>Belum, Delay</v>
      </c>
      <c r="S118" s="7" t="str">
        <f ca="1">'Database MK'!EA119</f>
        <v>Belum, Delay</v>
      </c>
      <c r="T118" s="7" t="str">
        <f ca="1">'Database MK'!EI119</f>
        <v>Belum, Delay</v>
      </c>
      <c r="U118" s="7" t="str">
        <f ca="1">'Database MK'!ET119</f>
        <v>Sudah, Delay</v>
      </c>
      <c r="V118" s="7" t="str">
        <f ca="1">'Database MK'!GA119</f>
        <v>Belum, Delay</v>
      </c>
      <c r="W118" s="7" t="str">
        <f ca="1">'Database MK'!GD119</f>
        <v>Sudah, Delay</v>
      </c>
      <c r="X118" s="7" t="str">
        <f ca="1">'Database MK'!GG119</f>
        <v>Sudah, Delay</v>
      </c>
      <c r="Y118" s="7" t="str">
        <f ca="1">'Database MK'!GK119</f>
        <v>Sudah, OnSchedule</v>
      </c>
      <c r="Z118" s="7" t="str">
        <f ca="1">'Database MK'!HH119</f>
        <v>Sudah, Delay</v>
      </c>
      <c r="AA118" s="7" t="str">
        <f ca="1">'Database MK'!HR119</f>
        <v>Sudah, Delay</v>
      </c>
      <c r="AB118" s="7" t="str">
        <f ca="1">'Database MK'!HX119</f>
        <v>Sudah, Delay</v>
      </c>
      <c r="AC118" s="7">
        <f>'Database MK'!DA119-'Database MK'!DB119</f>
        <v>45543</v>
      </c>
      <c r="AD118" s="7">
        <f>'Database MK'!DA119-'Database MK'!DF119</f>
        <v>45543</v>
      </c>
      <c r="AE118" s="7">
        <f>'Database MK'!DK119-'Database MK'!DL119</f>
        <v>-326</v>
      </c>
      <c r="AF118" s="7">
        <f>'Database MK'!DK119-'Database MK'!DO119</f>
        <v>45592</v>
      </c>
      <c r="AG118" s="7">
        <f>'Database MK'!DU119-'Database MK'!DW119</f>
        <v>45571</v>
      </c>
      <c r="AH118" s="7" t="str">
        <f>IF('Database MK'!EB119="","Belum",'Database MK'!DU119-'Database MK'!EB119)</f>
        <v>Belum</v>
      </c>
      <c r="AI118" s="7">
        <f>IF('Database MK'!EN119="","Belum",'Database MK'!EL119-'Database MK'!EN119)</f>
        <v>-62</v>
      </c>
      <c r="AJ118" s="7">
        <f>'Database MK'!FY119-'Database MK'!FZ119</f>
        <v>0</v>
      </c>
      <c r="AK118" s="7">
        <f>IF('Database MK'!GC119="","Belum",'Database MK'!GB119-'Database MK'!GC119)</f>
        <v>-16</v>
      </c>
      <c r="AL118" s="7">
        <f>IF('Database MK'!GF119="","Belum",'Database MK'!GE119-'Database MK'!GF119)</f>
        <v>-9</v>
      </c>
      <c r="AM118" s="279">
        <f>IF('Database MK'!GJ119="","Belum",'Database MK'!GI119-'Database MK'!GJ119)</f>
        <v>60</v>
      </c>
      <c r="AN118" s="7">
        <f>IF('Database MK'!HG119="","Belum",'Database MK'!HF119-'Database MK'!HG119)</f>
        <v>-275</v>
      </c>
      <c r="AO118" s="7">
        <f>IF('Database MK'!HQ119="","Belum",'Database MK'!HN119-'Database MK'!HQ119)</f>
        <v>-89</v>
      </c>
      <c r="AP118" s="7">
        <f>IF('Database MK'!HW119="","Belum",'Database MK'!HU119-'Database MK'!HW119)</f>
        <v>-92</v>
      </c>
    </row>
    <row r="119" spans="2:42" hidden="1" x14ac:dyDescent="0.25">
      <c r="B119" s="7">
        <f>SUBTOTAL(3,$C$4:C119)</f>
        <v>74</v>
      </c>
      <c r="C119" s="269" t="s">
        <v>673</v>
      </c>
      <c r="D119" s="269" t="s">
        <v>836</v>
      </c>
      <c r="E119" s="269" t="s">
        <v>837</v>
      </c>
      <c r="F119" s="270">
        <v>45748</v>
      </c>
      <c r="G119" s="4" t="s">
        <v>247</v>
      </c>
      <c r="H119" s="4" t="str">
        <f ca="1">'Database MK'!Q120</f>
        <v>DPPP</v>
      </c>
      <c r="I119" s="24">
        <f>'Database MK'!S120</f>
        <v>1</v>
      </c>
      <c r="J119" s="24">
        <f>'Database MK'!T120</f>
        <v>1</v>
      </c>
      <c r="K119" s="571">
        <f>'Database MK'!U120</f>
        <v>0</v>
      </c>
      <c r="L119" s="561">
        <f>'Database MK'!V120</f>
        <v>382</v>
      </c>
      <c r="M119" s="561">
        <f>'Database MK'!W120</f>
        <v>348</v>
      </c>
      <c r="N119" s="561">
        <f>Table3[[#This Row],[Total Panjang Pipa Aktual]]-Table3[[#This Row],[Volume
BA MC-0]]</f>
        <v>-34</v>
      </c>
      <c r="O119" s="7" t="str">
        <f ca="1">'Database MK'!DE120</f>
        <v>Belum, Delay</v>
      </c>
      <c r="P119" s="7" t="str">
        <f ca="1">'Database MK'!DI120</f>
        <v>Belum, Delay</v>
      </c>
      <c r="Q119" s="7" t="str">
        <f ca="1">'Database MK'!DN120</f>
        <v>Sudah, OnSchedule</v>
      </c>
      <c r="R119" s="7" t="str">
        <f ca="1">'Database MK'!DR120</f>
        <v>Sudah, Delay</v>
      </c>
      <c r="S119" s="7" t="str">
        <f ca="1">'Database MK'!EA120</f>
        <v>Belum, Delay</v>
      </c>
      <c r="T119" s="7" t="str">
        <f ca="1">'Database MK'!EI120</f>
        <v>Belum, Delay</v>
      </c>
      <c r="U119" s="7" t="str">
        <f ca="1">'Database MK'!ET120</f>
        <v>Sudah, Delay</v>
      </c>
      <c r="V119" s="7" t="str">
        <f ca="1">'Database MK'!GA120</f>
        <v>Belum, Delay</v>
      </c>
      <c r="W119" s="7" t="str">
        <f ca="1">'Database MK'!GD120</f>
        <v>Sudah, Delay</v>
      </c>
      <c r="X119" s="7" t="str">
        <f ca="1">'Database MK'!GG120</f>
        <v>Sudah, Delay</v>
      </c>
      <c r="Y119" s="7" t="str">
        <f ca="1">'Database MK'!GK120</f>
        <v>Sudah, OnSchedule</v>
      </c>
      <c r="Z119" s="7" t="str">
        <f ca="1">'Database MK'!HH120</f>
        <v>Sudah, Delay</v>
      </c>
      <c r="AA119" s="7" t="str">
        <f ca="1">'Database MK'!HR120</f>
        <v>Sudah, Delay</v>
      </c>
      <c r="AB119" s="7" t="str">
        <f ca="1">'Database MK'!HX120</f>
        <v>Sudah, Delay</v>
      </c>
      <c r="AC119" s="7">
        <f>'Database MK'!DA120-'Database MK'!DB120</f>
        <v>45543</v>
      </c>
      <c r="AD119" s="7">
        <f>'Database MK'!DA120-'Database MK'!DF120</f>
        <v>45543</v>
      </c>
      <c r="AE119" s="7">
        <f>'Database MK'!DK120-'Database MK'!DL120</f>
        <v>50</v>
      </c>
      <c r="AF119" s="7">
        <f>'Database MK'!DK120-'Database MK'!DO120</f>
        <v>-1</v>
      </c>
      <c r="AG119" s="7">
        <f>'Database MK'!DU120-'Database MK'!DW120</f>
        <v>45571</v>
      </c>
      <c r="AH119" s="7" t="str">
        <f>IF('Database MK'!EB120="","Belum",'Database MK'!DU120-'Database MK'!EB120)</f>
        <v>Belum</v>
      </c>
      <c r="AI119" s="7">
        <f>IF('Database MK'!EN120="","Belum",'Database MK'!EL120-'Database MK'!EN120)</f>
        <v>-144</v>
      </c>
      <c r="AJ119" s="7">
        <f>'Database MK'!FY120-'Database MK'!FZ120</f>
        <v>0</v>
      </c>
      <c r="AK119" s="7">
        <f>IF('Database MK'!GC120="","Belum",'Database MK'!GB120-'Database MK'!GC120)</f>
        <v>-16</v>
      </c>
      <c r="AL119" s="7">
        <f>IF('Database MK'!GF120="","Belum",'Database MK'!GE120-'Database MK'!GF120)</f>
        <v>-9</v>
      </c>
      <c r="AM119" s="279">
        <f>IF('Database MK'!GJ120="","Belum",'Database MK'!GI120-'Database MK'!GJ120)</f>
        <v>61</v>
      </c>
      <c r="AN119" s="7">
        <f>IF('Database MK'!HG120="","Belum",'Database MK'!HF120-'Database MK'!HG120)</f>
        <v>-190</v>
      </c>
      <c r="AO119" s="7">
        <f>IF('Database MK'!HQ120="","Belum",'Database MK'!HN120-'Database MK'!HQ120)</f>
        <v>-88</v>
      </c>
      <c r="AP119" s="7">
        <f>IF('Database MK'!HW120="","Belum",'Database MK'!HU120-'Database MK'!HW120)</f>
        <v>-92</v>
      </c>
    </row>
    <row r="120" spans="2:42" hidden="1" x14ac:dyDescent="0.25">
      <c r="B120" s="7">
        <f>SUBTOTAL(3,$C$4:C120)</f>
        <v>74</v>
      </c>
      <c r="C120" s="269" t="s">
        <v>673</v>
      </c>
      <c r="D120" s="269" t="s">
        <v>840</v>
      </c>
      <c r="E120" s="269" t="s">
        <v>841</v>
      </c>
      <c r="F120" s="270">
        <v>45748</v>
      </c>
      <c r="G120" s="4" t="s">
        <v>247</v>
      </c>
      <c r="H120" s="4" t="str">
        <f ca="1">'Database MK'!Q121</f>
        <v>DPPP</v>
      </c>
      <c r="I120" s="24">
        <f>'Database MK'!S121</f>
        <v>1</v>
      </c>
      <c r="J120" s="24">
        <f>'Database MK'!T121</f>
        <v>1</v>
      </c>
      <c r="K120" s="571">
        <f>'Database MK'!U121</f>
        <v>0</v>
      </c>
      <c r="L120" s="561">
        <f>'Database MK'!V121</f>
        <v>1471</v>
      </c>
      <c r="M120" s="561">
        <f>'Database MK'!W121</f>
        <v>1280</v>
      </c>
      <c r="N120" s="561">
        <f>Table3[[#This Row],[Total Panjang Pipa Aktual]]-Table3[[#This Row],[Volume
BA MC-0]]</f>
        <v>-191</v>
      </c>
      <c r="O120" s="7" t="str">
        <f ca="1">'Database MK'!DE121</f>
        <v>Belum, Delay</v>
      </c>
      <c r="P120" s="7" t="str">
        <f ca="1">'Database MK'!DI121</f>
        <v>Belum, Delay</v>
      </c>
      <c r="Q120" s="7" t="str">
        <f ca="1">'Database MK'!DN121</f>
        <v>Sudah, OnSchedule</v>
      </c>
      <c r="R120" s="7" t="str">
        <f ca="1">'Database MK'!DR121</f>
        <v>Sudah, Delay</v>
      </c>
      <c r="S120" s="7" t="str">
        <f ca="1">'Database MK'!EA121</f>
        <v>Belum, Delay</v>
      </c>
      <c r="T120" s="7" t="str">
        <f ca="1">'Database MK'!EI121</f>
        <v>Belum, Delay</v>
      </c>
      <c r="U120" s="7" t="str">
        <f ca="1">'Database MK'!ET121</f>
        <v>Sudah, Delay</v>
      </c>
      <c r="V120" s="7" t="str">
        <f ca="1">'Database MK'!GA121</f>
        <v>Belum, Delay</v>
      </c>
      <c r="W120" s="7" t="str">
        <f ca="1">'Database MK'!GD121</f>
        <v>Sudah, OnSchedule</v>
      </c>
      <c r="X120" s="7" t="str">
        <f ca="1">'Database MK'!GG121</f>
        <v>Sudah, OnSchedule</v>
      </c>
      <c r="Y120" s="7" t="str">
        <f ca="1">'Database MK'!GK121</f>
        <v>Sudah, OnSchedule</v>
      </c>
      <c r="Z120" s="7" t="str">
        <f ca="1">'Database MK'!HH121</f>
        <v>Sudah, Delay</v>
      </c>
      <c r="AA120" s="7" t="str">
        <f ca="1">'Database MK'!HR121</f>
        <v>Sudah, Delay</v>
      </c>
      <c r="AB120" s="7" t="str">
        <f ca="1">'Database MK'!HX121</f>
        <v>Sudah, Delay</v>
      </c>
      <c r="AC120" s="7">
        <f>'Database MK'!DA121-'Database MK'!DB121</f>
        <v>45487</v>
      </c>
      <c r="AD120" s="7">
        <f>'Database MK'!DA121-'Database MK'!DF121</f>
        <v>45487</v>
      </c>
      <c r="AE120" s="7">
        <f>'Database MK'!DK121-'Database MK'!DL121</f>
        <v>6</v>
      </c>
      <c r="AF120" s="7">
        <f>'Database MK'!DK121-'Database MK'!DO121</f>
        <v>-80</v>
      </c>
      <c r="AG120" s="7">
        <f>'Database MK'!DU121-'Database MK'!DW121</f>
        <v>45515</v>
      </c>
      <c r="AH120" s="7" t="str">
        <f>IF('Database MK'!EB121="","Belum",'Database MK'!DU121-'Database MK'!EB121)</f>
        <v>Belum</v>
      </c>
      <c r="AI120" s="7">
        <f>IF('Database MK'!EN121="","Belum",'Database MK'!EL121-'Database MK'!EN121)</f>
        <v>-578</v>
      </c>
      <c r="AJ120" s="7">
        <f>'Database MK'!FY121-'Database MK'!FZ121</f>
        <v>0</v>
      </c>
      <c r="AK120" s="7">
        <f>IF('Database MK'!GC121="","Belum",'Database MK'!GB121-'Database MK'!GC121)</f>
        <v>278</v>
      </c>
      <c r="AL120" s="7">
        <f>IF('Database MK'!GF121="","Belum",'Database MK'!GE121-'Database MK'!GF121)</f>
        <v>285</v>
      </c>
      <c r="AM120" s="279">
        <f>IF('Database MK'!GJ121="","Belum",'Database MK'!GI121-'Database MK'!GJ121)</f>
        <v>291</v>
      </c>
      <c r="AN120" s="7">
        <f>IF('Database MK'!HG121="","Belum",'Database MK'!HF121-'Database MK'!HG121)</f>
        <v>-281</v>
      </c>
      <c r="AO120" s="7">
        <f>IF('Database MK'!HQ121="","Belum",'Database MK'!HN121-'Database MK'!HQ121)</f>
        <v>-283</v>
      </c>
      <c r="AP120" s="7">
        <f>IF('Database MK'!HW121="","Belum",'Database MK'!HU121-'Database MK'!HW121)</f>
        <v>-328</v>
      </c>
    </row>
    <row r="121" spans="2:42" hidden="1" x14ac:dyDescent="0.25">
      <c r="B121" s="7">
        <f>SUBTOTAL(3,$C$4:C121)</f>
        <v>74</v>
      </c>
      <c r="C121" s="269" t="s">
        <v>673</v>
      </c>
      <c r="D121" s="269" t="s">
        <v>846</v>
      </c>
      <c r="E121" s="269" t="s">
        <v>847</v>
      </c>
      <c r="F121" s="270">
        <v>45748</v>
      </c>
      <c r="G121" s="4" t="s">
        <v>247</v>
      </c>
      <c r="H121" s="4" t="str">
        <f ca="1">'Database MK'!Q122</f>
        <v>DPPP</v>
      </c>
      <c r="I121" s="24">
        <f>'Database MK'!S122</f>
        <v>1</v>
      </c>
      <c r="J121" s="24">
        <f>'Database MK'!T122</f>
        <v>1</v>
      </c>
      <c r="K121" s="571">
        <f>'Database MK'!U122</f>
        <v>0</v>
      </c>
      <c r="L121" s="561">
        <f>'Database MK'!V122</f>
        <v>82</v>
      </c>
      <c r="M121" s="561">
        <f>'Database MK'!W122</f>
        <v>82</v>
      </c>
      <c r="N121" s="561">
        <f>Table3[[#This Row],[Total Panjang Pipa Aktual]]-Table3[[#This Row],[Volume
BA MC-0]]</f>
        <v>0</v>
      </c>
      <c r="O121" s="7" t="str">
        <f ca="1">'Database MK'!DE122</f>
        <v>Belum, Delay</v>
      </c>
      <c r="P121" s="7" t="str">
        <f ca="1">'Database MK'!DI122</f>
        <v>Belum, Delay</v>
      </c>
      <c r="Q121" s="7" t="str">
        <f ca="1">'Database MK'!DN122</f>
        <v>Sudah, OnSchedule</v>
      </c>
      <c r="R121" s="7" t="str">
        <f ca="1">'Database MK'!DR122</f>
        <v>Sudah, OnSchedule</v>
      </c>
      <c r="S121" s="7" t="str">
        <f ca="1">'Database MK'!EA122</f>
        <v>Belum, Delay</v>
      </c>
      <c r="T121" s="7" t="str">
        <f ca="1">'Database MK'!EI122</f>
        <v>Belum, Delay</v>
      </c>
      <c r="U121" s="7" t="str">
        <f ca="1">'Database MK'!ET122</f>
        <v>Sudah, Delay</v>
      </c>
      <c r="V121" s="7" t="str">
        <f ca="1">'Database MK'!GA122</f>
        <v>Belum, Delay</v>
      </c>
      <c r="W121" s="7" t="str">
        <f ca="1">'Database MK'!GD122</f>
        <v>Sudah, Delay</v>
      </c>
      <c r="X121" s="7" t="str">
        <f ca="1">'Database MK'!GG122</f>
        <v>Sudah, Delay</v>
      </c>
      <c r="Y121" s="7" t="str">
        <f ca="1">'Database MK'!GK122</f>
        <v>Sudah, OnSchedule</v>
      </c>
      <c r="Z121" s="7" t="str">
        <f ca="1">'Database MK'!HH122</f>
        <v>Sudah, Delay</v>
      </c>
      <c r="AA121" s="7" t="str">
        <f ca="1">'Database MK'!HR122</f>
        <v>Sudah, Delay</v>
      </c>
      <c r="AB121" s="7" t="str">
        <f ca="1">'Database MK'!HX122</f>
        <v>Sudah, Delay</v>
      </c>
      <c r="AC121" s="7">
        <f>'Database MK'!DA122-'Database MK'!DB122</f>
        <v>45543</v>
      </c>
      <c r="AD121" s="7">
        <f>'Database MK'!DA122-'Database MK'!DF122</f>
        <v>45543</v>
      </c>
      <c r="AE121" s="7">
        <f>'Database MK'!DK122-'Database MK'!DL122</f>
        <v>52</v>
      </c>
      <c r="AF121" s="7">
        <f>'Database MK'!DK122-'Database MK'!DO122</f>
        <v>6</v>
      </c>
      <c r="AG121" s="7">
        <f>'Database MK'!DU122-'Database MK'!DW122</f>
        <v>45571</v>
      </c>
      <c r="AH121" s="7" t="str">
        <f>IF('Database MK'!EB122="","Belum",'Database MK'!DU122-'Database MK'!EB122)</f>
        <v>Belum</v>
      </c>
      <c r="AI121" s="7">
        <f>IF('Database MK'!EN122="","Belum",'Database MK'!EL122-'Database MK'!EN122)</f>
        <v>-60</v>
      </c>
      <c r="AJ121" s="7">
        <f>'Database MK'!FY122-'Database MK'!FZ122</f>
        <v>0</v>
      </c>
      <c r="AK121" s="7">
        <f>IF('Database MK'!GC122="","Belum",'Database MK'!GB122-'Database MK'!GC122)</f>
        <v>-16</v>
      </c>
      <c r="AL121" s="7">
        <f>IF('Database MK'!GF122="","Belum",'Database MK'!GE122-'Database MK'!GF122)</f>
        <v>-9</v>
      </c>
      <c r="AM121" s="279">
        <f>IF('Database MK'!GJ122="","Belum",'Database MK'!GI122-'Database MK'!GJ122)</f>
        <v>59</v>
      </c>
      <c r="AN121" s="7">
        <f>IF('Database MK'!HG122="","Belum",'Database MK'!HF122-'Database MK'!HG122)</f>
        <v>-37</v>
      </c>
      <c r="AO121" s="7">
        <f>IF('Database MK'!HQ122="","Belum",'Database MK'!HN122-'Database MK'!HQ122)</f>
        <v>-87</v>
      </c>
      <c r="AP121" s="7">
        <f>IF('Database MK'!HW122="","Belum",'Database MK'!HU122-'Database MK'!HW122)</f>
        <v>-92</v>
      </c>
    </row>
    <row r="122" spans="2:42" hidden="1" x14ac:dyDescent="0.25">
      <c r="B122" s="7">
        <f>SUBTOTAL(3,$C$4:C122)</f>
        <v>74</v>
      </c>
      <c r="C122" s="269" t="s">
        <v>673</v>
      </c>
      <c r="D122" s="269" t="s">
        <v>851</v>
      </c>
      <c r="E122" s="269" t="s">
        <v>852</v>
      </c>
      <c r="F122" s="270">
        <v>45748</v>
      </c>
      <c r="G122" s="4" t="s">
        <v>247</v>
      </c>
      <c r="H122" s="4" t="str">
        <f ca="1">'Database MK'!Q123</f>
        <v>DPPP</v>
      </c>
      <c r="I122" s="24">
        <f>'Database MK'!S123</f>
        <v>1</v>
      </c>
      <c r="J122" s="24">
        <f>'Database MK'!T123</f>
        <v>1</v>
      </c>
      <c r="K122" s="571">
        <f>'Database MK'!U123</f>
        <v>0</v>
      </c>
      <c r="L122" s="561">
        <f>'Database MK'!V123</f>
        <v>477</v>
      </c>
      <c r="M122" s="561">
        <f>'Database MK'!W123</f>
        <v>477</v>
      </c>
      <c r="N122" s="561">
        <f>Table3[[#This Row],[Total Panjang Pipa Aktual]]-Table3[[#This Row],[Volume
BA MC-0]]</f>
        <v>0</v>
      </c>
      <c r="O122" s="7" t="str">
        <f ca="1">'Database MK'!DE123</f>
        <v>Belum, Delay</v>
      </c>
      <c r="P122" s="7" t="str">
        <f ca="1">'Database MK'!DI123</f>
        <v>Belum, Delay</v>
      </c>
      <c r="Q122" s="7" t="str">
        <f ca="1">'Database MK'!DN123</f>
        <v>Sudah, OnSchedule</v>
      </c>
      <c r="R122" s="7" t="str">
        <f ca="1">'Database MK'!DR123</f>
        <v>Sudah, OnSchedule</v>
      </c>
      <c r="S122" s="7" t="str">
        <f ca="1">'Database MK'!EA123</f>
        <v>Belum, Delay</v>
      </c>
      <c r="T122" s="7" t="str">
        <f ca="1">'Database MK'!EI123</f>
        <v>Belum, Delay</v>
      </c>
      <c r="U122" s="7" t="str">
        <f ca="1">'Database MK'!ET123</f>
        <v>Sudah, Delay</v>
      </c>
      <c r="V122" s="7" t="str">
        <f ca="1">'Database MK'!GA123</f>
        <v>Belum, Delay</v>
      </c>
      <c r="W122" s="7" t="str">
        <f ca="1">'Database MK'!GD123</f>
        <v>Sudah, Delay</v>
      </c>
      <c r="X122" s="7" t="str">
        <f ca="1">'Database MK'!GG123</f>
        <v>Sudah, Delay</v>
      </c>
      <c r="Y122" s="7" t="str">
        <f ca="1">'Database MK'!GK123</f>
        <v>Sudah, OnSchedule</v>
      </c>
      <c r="Z122" s="7" t="str">
        <f ca="1">'Database MK'!HH123</f>
        <v>Sudah, Delay</v>
      </c>
      <c r="AA122" s="7" t="str">
        <f ca="1">'Database MK'!HR123</f>
        <v>Sudah, Delay</v>
      </c>
      <c r="AB122" s="7" t="str">
        <f ca="1">'Database MK'!HX123</f>
        <v>Sudah, Delay</v>
      </c>
      <c r="AC122" s="7">
        <f>'Database MK'!DA123-'Database MK'!DB123</f>
        <v>45543</v>
      </c>
      <c r="AD122" s="7">
        <f>'Database MK'!DA123-'Database MK'!DF123</f>
        <v>45543</v>
      </c>
      <c r="AE122" s="7">
        <f>'Database MK'!DK123-'Database MK'!DL123</f>
        <v>50</v>
      </c>
      <c r="AF122" s="7">
        <f>'Database MK'!DK123-'Database MK'!DO123</f>
        <v>6</v>
      </c>
      <c r="AG122" s="7">
        <f>'Database MK'!DU123-'Database MK'!DW123</f>
        <v>45571</v>
      </c>
      <c r="AH122" s="7" t="str">
        <f>IF('Database MK'!EB123="","Belum",'Database MK'!DU123-'Database MK'!EB123)</f>
        <v>Belum</v>
      </c>
      <c r="AI122" s="7">
        <f>IF('Database MK'!EN123="","Belum",'Database MK'!EL123-'Database MK'!EN123)</f>
        <v>-144</v>
      </c>
      <c r="AJ122" s="7">
        <f>'Database MK'!FY123-'Database MK'!FZ123</f>
        <v>0</v>
      </c>
      <c r="AK122" s="7">
        <f>IF('Database MK'!GC123="","Belum",'Database MK'!GB123-'Database MK'!GC123)</f>
        <v>-16</v>
      </c>
      <c r="AL122" s="7">
        <f>IF('Database MK'!GF123="","Belum",'Database MK'!GE123-'Database MK'!GF123)</f>
        <v>-9</v>
      </c>
      <c r="AM122" s="279">
        <f>IF('Database MK'!GJ123="","Belum",'Database MK'!GI123-'Database MK'!GJ123)</f>
        <v>60</v>
      </c>
      <c r="AN122" s="7">
        <f>IF('Database MK'!HG123="","Belum",'Database MK'!HF123-'Database MK'!HG123)</f>
        <v>-37</v>
      </c>
      <c r="AO122" s="7">
        <f>IF('Database MK'!HQ123="","Belum",'Database MK'!HN123-'Database MK'!HQ123)</f>
        <v>-87</v>
      </c>
      <c r="AP122" s="7">
        <f>IF('Database MK'!HW123="","Belum",'Database MK'!HU123-'Database MK'!HW123)</f>
        <v>-92</v>
      </c>
    </row>
    <row r="123" spans="2:42" hidden="1" x14ac:dyDescent="0.25">
      <c r="B123" s="7">
        <f>SUBTOTAL(3,$C$4:C123)</f>
        <v>74</v>
      </c>
      <c r="C123" s="269" t="s">
        <v>673</v>
      </c>
      <c r="D123" s="269" t="s">
        <v>857</v>
      </c>
      <c r="E123" s="269" t="s">
        <v>858</v>
      </c>
      <c r="F123" s="270">
        <v>45748</v>
      </c>
      <c r="G123" s="4" t="s">
        <v>681</v>
      </c>
      <c r="H123" s="4" t="str">
        <f ca="1">'Database MK'!Q124</f>
        <v>DPPP</v>
      </c>
      <c r="I123" s="24">
        <f>'Database MK'!S124</f>
        <v>1</v>
      </c>
      <c r="J123" s="24">
        <f>'Database MK'!T124</f>
        <v>1</v>
      </c>
      <c r="K123" s="571">
        <f>'Database MK'!U124</f>
        <v>0</v>
      </c>
      <c r="L123" s="561">
        <f>'Database MK'!V124</f>
        <v>12</v>
      </c>
      <c r="M123" s="561">
        <f>'Database MK'!W124</f>
        <v>12</v>
      </c>
      <c r="N123" s="561">
        <f>Table3[[#This Row],[Total Panjang Pipa Aktual]]-Table3[[#This Row],[Volume
BA MC-0]]</f>
        <v>0</v>
      </c>
      <c r="O123" s="7" t="str">
        <f ca="1">'Database MK'!DE124</f>
        <v>Belum, Delay</v>
      </c>
      <c r="P123" s="7" t="str">
        <f ca="1">'Database MK'!DI124</f>
        <v>Belum, Delay</v>
      </c>
      <c r="Q123" s="7" t="str">
        <f ca="1">'Database MK'!DN124</f>
        <v>Sudah, OnSchedule</v>
      </c>
      <c r="R123" s="7" t="str">
        <f ca="1">'Database MK'!DR124</f>
        <v>Sudah, OnSchedule</v>
      </c>
      <c r="S123" s="7" t="str">
        <f ca="1">'Database MK'!EA124</f>
        <v>Belum, Delay</v>
      </c>
      <c r="T123" s="7" t="str">
        <f ca="1">'Database MK'!EI124</f>
        <v>Belum, Delay</v>
      </c>
      <c r="U123" s="7" t="str">
        <f ca="1">'Database MK'!ET124</f>
        <v>Sudah, Delay</v>
      </c>
      <c r="V123" s="7" t="str">
        <f ca="1">'Database MK'!GA124</f>
        <v>Belum, Delay</v>
      </c>
      <c r="W123" s="7" t="str">
        <f ca="1">'Database MK'!GD124</f>
        <v>Sudah, OnSchedule</v>
      </c>
      <c r="X123" s="7" t="str">
        <f ca="1">'Database MK'!GG124</f>
        <v>Sudah, OnSchedule</v>
      </c>
      <c r="Y123" s="7" t="str">
        <f ca="1">'Database MK'!GK124</f>
        <v>Sudah, OnSchedule</v>
      </c>
      <c r="Z123" s="7" t="str">
        <f ca="1">'Database MK'!HH124</f>
        <v>Sudah, OnSchedule</v>
      </c>
      <c r="AA123" s="7" t="str">
        <f ca="1">'Database MK'!HR124</f>
        <v>Sudah, Delay</v>
      </c>
      <c r="AB123" s="7" t="str">
        <f ca="1">'Database MK'!HX124</f>
        <v>Sudah, Delay</v>
      </c>
      <c r="AC123" s="7">
        <f>'Database MK'!DA124-'Database MK'!DB124</f>
        <v>45550</v>
      </c>
      <c r="AD123" s="7">
        <f>'Database MK'!DA124-'Database MK'!DF124</f>
        <v>45550</v>
      </c>
      <c r="AE123" s="7">
        <f>'Database MK'!DK124-'Database MK'!DL124</f>
        <v>235</v>
      </c>
      <c r="AF123" s="7">
        <f>'Database MK'!DK124-'Database MK'!DO124</f>
        <v>223</v>
      </c>
      <c r="AG123" s="7">
        <f>'Database MK'!DU124-'Database MK'!DW124</f>
        <v>45585</v>
      </c>
      <c r="AH123" s="7" t="str">
        <f>IF('Database MK'!EB124="","Belum",'Database MK'!DU124-'Database MK'!EB124)</f>
        <v>Belum</v>
      </c>
      <c r="AI123" s="7">
        <f>IF('Database MK'!EN124="","Belum",'Database MK'!EL124-'Database MK'!EN124)</f>
        <v>-277</v>
      </c>
      <c r="AJ123" s="7">
        <f>'Database MK'!FY124-'Database MK'!FZ124</f>
        <v>0</v>
      </c>
      <c r="AK123" s="7">
        <f>IF('Database MK'!GC124="","Belum",'Database MK'!GB124-'Database MK'!GC124)</f>
        <v>272</v>
      </c>
      <c r="AL123" s="7">
        <f>IF('Database MK'!GF124="","Belum",'Database MK'!GE124-'Database MK'!GF124)</f>
        <v>279</v>
      </c>
      <c r="AM123" s="279">
        <f>IF('Database MK'!GJ124="","Belum",'Database MK'!GI124-'Database MK'!GJ124)</f>
        <v>275</v>
      </c>
      <c r="AN123" s="7">
        <f>IF('Database MK'!HG124="","Belum",'Database MK'!HF124-'Database MK'!HG124)</f>
        <v>96</v>
      </c>
      <c r="AO123" s="7">
        <f>IF('Database MK'!HQ124="","Belum",'Database MK'!HN124-'Database MK'!HQ124)</f>
        <v>-61</v>
      </c>
      <c r="AP123" s="7">
        <f>IF('Database MK'!HW124="","Belum",'Database MK'!HU124-'Database MK'!HW124)</f>
        <v>-64</v>
      </c>
    </row>
    <row r="124" spans="2:42" hidden="1" x14ac:dyDescent="0.25">
      <c r="B124" s="7">
        <f>SUBTOTAL(3,$C$4:C124)</f>
        <v>74</v>
      </c>
      <c r="C124" s="269" t="s">
        <v>673</v>
      </c>
      <c r="D124" s="269" t="s">
        <v>861</v>
      </c>
      <c r="E124" s="269" t="s">
        <v>862</v>
      </c>
      <c r="F124" s="270">
        <v>45748</v>
      </c>
      <c r="G124" s="4" t="s">
        <v>247</v>
      </c>
      <c r="H124" s="4" t="str">
        <f ca="1">'Database MK'!Q125</f>
        <v>DPPP</v>
      </c>
      <c r="I124" s="24">
        <f>'Database MK'!S125</f>
        <v>1</v>
      </c>
      <c r="J124" s="24">
        <f>'Database MK'!T125</f>
        <v>1</v>
      </c>
      <c r="K124" s="571">
        <f>'Database MK'!U125</f>
        <v>0</v>
      </c>
      <c r="L124" s="561">
        <f>'Database MK'!V125</f>
        <v>1131</v>
      </c>
      <c r="M124" s="561">
        <f>'Database MK'!W125</f>
        <v>1128</v>
      </c>
      <c r="N124" s="561">
        <f>Table3[[#This Row],[Total Panjang Pipa Aktual]]-Table3[[#This Row],[Volume
BA MC-0]]</f>
        <v>-3</v>
      </c>
      <c r="O124" s="7" t="str">
        <f ca="1">'Database MK'!DE125</f>
        <v>Belum, Delay</v>
      </c>
      <c r="P124" s="7" t="str">
        <f ca="1">'Database MK'!DI125</f>
        <v>Belum, Delay</v>
      </c>
      <c r="Q124" s="7" t="str">
        <f ca="1">'Database MK'!DN125</f>
        <v>Sudah, OnSchedule</v>
      </c>
      <c r="R124" s="7" t="str">
        <f ca="1">'Database MK'!DR125</f>
        <v>Sudah, Delay</v>
      </c>
      <c r="S124" s="7" t="str">
        <f ca="1">'Database MK'!EA125</f>
        <v>Belum, Delay</v>
      </c>
      <c r="T124" s="7" t="str">
        <f ca="1">'Database MK'!EI125</f>
        <v>Belum, Delay</v>
      </c>
      <c r="U124" s="7" t="str">
        <f ca="1">'Database MK'!ET125</f>
        <v>Sudah, Delay</v>
      </c>
      <c r="V124" s="7" t="str">
        <f ca="1">'Database MK'!GA125</f>
        <v>Belum, Delay</v>
      </c>
      <c r="W124" s="7" t="str">
        <f ca="1">'Database MK'!GD125</f>
        <v>Sudah, Delay</v>
      </c>
      <c r="X124" s="7" t="str">
        <f ca="1">'Database MK'!GG125</f>
        <v>Sudah, Delay</v>
      </c>
      <c r="Y124" s="7" t="str">
        <f ca="1">'Database MK'!GK125</f>
        <v>Sudah, OnSchedule</v>
      </c>
      <c r="Z124" s="7" t="str">
        <f ca="1">'Database MK'!HH125</f>
        <v>Sudah, Delay</v>
      </c>
      <c r="AA124" s="7" t="str">
        <f ca="1">'Database MK'!HR125</f>
        <v>Sudah, Delay</v>
      </c>
      <c r="AB124" s="7" t="str">
        <f ca="1">'Database MK'!HX125</f>
        <v>Sudah, Delay</v>
      </c>
      <c r="AC124" s="7">
        <f>'Database MK'!DA125-'Database MK'!DB125</f>
        <v>45543</v>
      </c>
      <c r="AD124" s="7">
        <f>'Database MK'!DA125-'Database MK'!DF125</f>
        <v>45543</v>
      </c>
      <c r="AE124" s="7">
        <f>'Database MK'!DK125-'Database MK'!DL125</f>
        <v>50</v>
      </c>
      <c r="AF124" s="7">
        <f>'Database MK'!DK125-'Database MK'!DO125</f>
        <v>-144</v>
      </c>
      <c r="AG124" s="7">
        <f>'Database MK'!DU125-'Database MK'!DW125</f>
        <v>45571</v>
      </c>
      <c r="AH124" s="7" t="str">
        <f>IF('Database MK'!EB125="","Belum",'Database MK'!DU125-'Database MK'!EB125)</f>
        <v>Belum</v>
      </c>
      <c r="AI124" s="7">
        <f>IF('Database MK'!EN125="","Belum",'Database MK'!EL125-'Database MK'!EN125)</f>
        <v>-139</v>
      </c>
      <c r="AJ124" s="7">
        <f>'Database MK'!FY125-'Database MK'!FZ125</f>
        <v>0</v>
      </c>
      <c r="AK124" s="7">
        <f>IF('Database MK'!GC125="","Belum",'Database MK'!GB125-'Database MK'!GC125)</f>
        <v>-16</v>
      </c>
      <c r="AL124" s="7">
        <f>IF('Database MK'!GF125="","Belum",'Database MK'!GE125-'Database MK'!GF125)</f>
        <v>-9</v>
      </c>
      <c r="AM124" s="279">
        <f>IF('Database MK'!GJ125="","Belum",'Database MK'!GI125-'Database MK'!GJ125)</f>
        <v>59</v>
      </c>
      <c r="AN124" s="7">
        <f>IF('Database MK'!HG125="","Belum",'Database MK'!HF125-'Database MK'!HG125)</f>
        <v>-85</v>
      </c>
      <c r="AO124" s="7">
        <f>IF('Database MK'!HQ125="","Belum",'Database MK'!HN125-'Database MK'!HQ125)</f>
        <v>-88</v>
      </c>
      <c r="AP124" s="7">
        <f>IF('Database MK'!HW125="","Belum",'Database MK'!HU125-'Database MK'!HW125)</f>
        <v>-92</v>
      </c>
    </row>
    <row r="125" spans="2:42" hidden="1" x14ac:dyDescent="0.25">
      <c r="B125" s="7">
        <f>SUBTOTAL(3,$C$4:C125)</f>
        <v>74</v>
      </c>
      <c r="C125" s="269" t="s">
        <v>673</v>
      </c>
      <c r="D125" s="269" t="s">
        <v>866</v>
      </c>
      <c r="E125" s="269" t="s">
        <v>867</v>
      </c>
      <c r="F125" s="270">
        <v>45748</v>
      </c>
      <c r="G125" s="4" t="s">
        <v>247</v>
      </c>
      <c r="H125" s="4" t="str">
        <f ca="1">'Database MK'!Q126</f>
        <v>MC-0</v>
      </c>
      <c r="I125" s="24">
        <f>'Database MK'!S126</f>
        <v>1</v>
      </c>
      <c r="J125" s="24">
        <f>'Database MK'!T126</f>
        <v>0</v>
      </c>
      <c r="K125" s="571">
        <f>'Database MK'!U126</f>
        <v>-1</v>
      </c>
      <c r="L125" s="561">
        <f>'Database MK'!V126</f>
        <v>188</v>
      </c>
      <c r="M125" s="561">
        <f>'Database MK'!W126</f>
        <v>0</v>
      </c>
      <c r="N125" s="561">
        <f>Table3[[#This Row],[Total Panjang Pipa Aktual]]-Table3[[#This Row],[Volume
BA MC-0]]</f>
        <v>-188</v>
      </c>
      <c r="O125" s="7" t="str">
        <f ca="1">'Database MK'!DE126</f>
        <v>Belum, Delay</v>
      </c>
      <c r="P125" s="7" t="str">
        <f ca="1">'Database MK'!DI126</f>
        <v>Belum, Delay</v>
      </c>
      <c r="Q125" s="7" t="str">
        <f ca="1">'Database MK'!DN126</f>
        <v>Sudah, OnSchedule</v>
      </c>
      <c r="R125" s="7" t="str">
        <f ca="1">'Database MK'!DR126</f>
        <v>Sudah, Delay</v>
      </c>
      <c r="S125" s="7" t="str">
        <f ca="1">'Database MK'!EA126</f>
        <v>Belum, Delay</v>
      </c>
      <c r="T125" s="7" t="str">
        <f ca="1">'Database MK'!EI126</f>
        <v>Belum, Delay</v>
      </c>
      <c r="U125" s="7" t="str">
        <f ca="1">'Database MK'!ET126</f>
        <v>Belum, Delay</v>
      </c>
      <c r="V125" s="7" t="str">
        <f ca="1">'Database MK'!GA126</f>
        <v>Belum, Delay</v>
      </c>
      <c r="W125" s="7" t="str">
        <f ca="1">'Database MK'!GD126</f>
        <v>Sudah, OnSchedule</v>
      </c>
      <c r="X125" s="7" t="str">
        <f ca="1">'Database MK'!GG126</f>
        <v>Sudah, OnSchedule</v>
      </c>
      <c r="Y125" s="7" t="str">
        <f ca="1">'Database MK'!GK126</f>
        <v>Sudah, OnSchedule</v>
      </c>
      <c r="Z125" s="7" t="str">
        <f ca="1">'Database MK'!HH126</f>
        <v>Belum, Delay</v>
      </c>
      <c r="AA125" s="7" t="str">
        <f ca="1">'Database MK'!HR126</f>
        <v>Belum, Delay</v>
      </c>
      <c r="AB125" s="7" t="str">
        <f ca="1">'Database MK'!HX126</f>
        <v>Belum, Delay</v>
      </c>
      <c r="AC125" s="7">
        <f>'Database MK'!DA126-'Database MK'!DB126</f>
        <v>45585</v>
      </c>
      <c r="AD125" s="7">
        <f>'Database MK'!DA126-'Database MK'!DF126</f>
        <v>45585</v>
      </c>
      <c r="AE125" s="7">
        <f>'Database MK'!DK126-'Database MK'!DL126</f>
        <v>19</v>
      </c>
      <c r="AF125" s="7">
        <f>'Database MK'!DK126-'Database MK'!DO126</f>
        <v>-29</v>
      </c>
      <c r="AG125" s="7">
        <f>'Database MK'!DU126-'Database MK'!DW126</f>
        <v>45620</v>
      </c>
      <c r="AH125" s="7" t="str">
        <f>IF('Database MK'!EB126="","Belum",'Database MK'!DU126-'Database MK'!EB126)</f>
        <v>Belum</v>
      </c>
      <c r="AI125" s="7" t="str">
        <f>IF('Database MK'!EN126="","Belum",'Database MK'!EL126-'Database MK'!EN126)</f>
        <v>Belum</v>
      </c>
      <c r="AJ125" s="7">
        <f>'Database MK'!FY126-'Database MK'!FZ126</f>
        <v>0</v>
      </c>
      <c r="AK125" s="7">
        <f>IF('Database MK'!GC126="","Belum",'Database MK'!GB126-'Database MK'!GC126)</f>
        <v>0</v>
      </c>
      <c r="AL125" s="7">
        <f>IF('Database MK'!GF126="","Belum",'Database MK'!GE126-'Database MK'!GF126)</f>
        <v>7</v>
      </c>
      <c r="AM125" s="279">
        <f>IF('Database MK'!GJ126="","Belum",'Database MK'!GI126-'Database MK'!GJ126)</f>
        <v>10</v>
      </c>
      <c r="AN125" s="7" t="str">
        <f>IF('Database MK'!HG126="","Belum",'Database MK'!HF126-'Database MK'!HG126)</f>
        <v>Belum</v>
      </c>
      <c r="AO125" s="7" t="str">
        <f>IF('Database MK'!HQ126="","Belum",'Database MK'!HN126-'Database MK'!HQ126)</f>
        <v>Belum</v>
      </c>
      <c r="AP125" s="7" t="str">
        <f>IF('Database MK'!HW126="","Belum",'Database MK'!HU126-'Database MK'!HW126)</f>
        <v>Belum</v>
      </c>
    </row>
    <row r="126" spans="2:42" hidden="1" x14ac:dyDescent="0.25">
      <c r="B126" s="7">
        <f>SUBTOTAL(3,$C$4:C126)</f>
        <v>74</v>
      </c>
      <c r="C126" s="271" t="s">
        <v>673</v>
      </c>
      <c r="D126" s="271" t="s">
        <v>872</v>
      </c>
      <c r="E126" s="271" t="s">
        <v>873</v>
      </c>
      <c r="F126" s="272">
        <v>45748</v>
      </c>
      <c r="G126" s="72" t="s">
        <v>247</v>
      </c>
      <c r="H126" s="72" t="str">
        <f>'Database MK'!Q127</f>
        <v>BATAL / CANCEL</v>
      </c>
      <c r="I126" s="572">
        <f>'Database MK'!S127</f>
        <v>1</v>
      </c>
      <c r="J126" s="572">
        <f>'Database MK'!T127</f>
        <v>0</v>
      </c>
      <c r="K126" s="573">
        <f>'Database MK'!U127</f>
        <v>-1</v>
      </c>
      <c r="L126" s="562">
        <f>'Database MK'!V127</f>
        <v>0</v>
      </c>
      <c r="M126" s="562">
        <f>'Database MK'!W127</f>
        <v>0</v>
      </c>
      <c r="N126" s="562">
        <f>Table3[[#This Row],[Total Panjang Pipa Aktual]]-Table3[[#This Row],[Volume
BA MC-0]]</f>
        <v>0</v>
      </c>
      <c r="O126" s="7" t="str">
        <f ca="1">'Database MK'!DE127</f>
        <v>Belum, Delay</v>
      </c>
      <c r="P126" s="7" t="str">
        <f ca="1">'Database MK'!DI127</f>
        <v>Belum, Delay</v>
      </c>
      <c r="Q126" s="7" t="str">
        <f ca="1">'Database MK'!DN127</f>
        <v>Belum, Delay</v>
      </c>
      <c r="R126" s="7" t="str">
        <f ca="1">'Database MK'!DR127</f>
        <v>Belum, Delay</v>
      </c>
      <c r="S126" s="7" t="str">
        <f ca="1">'Database MK'!EA127</f>
        <v>Belum, Delay</v>
      </c>
      <c r="T126" s="7" t="str">
        <f ca="1">'Database MK'!EI127</f>
        <v>Belum, Delay</v>
      </c>
      <c r="U126" s="7" t="str">
        <f ca="1">'Database MK'!ET127</f>
        <v>Belum, Delay</v>
      </c>
      <c r="V126" s="7" t="str">
        <f ca="1">'Database MK'!GA127</f>
        <v>Belum, Delay</v>
      </c>
      <c r="W126" s="7" t="str">
        <f ca="1">'Database MK'!GD127</f>
        <v>Belum, Delay</v>
      </c>
      <c r="X126" s="7" t="str">
        <f ca="1">'Database MK'!GG127</f>
        <v>Belum, Delay</v>
      </c>
      <c r="Y126" s="7" t="str">
        <f ca="1">'Database MK'!GK127</f>
        <v>Belum, Delay</v>
      </c>
      <c r="Z126" s="7" t="str">
        <f ca="1">'Database MK'!HH127</f>
        <v>Belum, Delay</v>
      </c>
      <c r="AA126" s="7" t="str">
        <f ca="1">'Database MK'!HR127</f>
        <v>Belum, Delay</v>
      </c>
      <c r="AB126" s="7" t="str">
        <f ca="1">'Database MK'!HX127</f>
        <v>Belum, Delay</v>
      </c>
      <c r="AC126" s="7">
        <f>'Database MK'!DA127-'Database MK'!DB127</f>
        <v>45592</v>
      </c>
      <c r="AD126" s="7">
        <f>'Database MK'!DA127-'Database MK'!DF127</f>
        <v>45592</v>
      </c>
      <c r="AE126" s="7">
        <f>'Database MK'!DK127-'Database MK'!DL127</f>
        <v>45641</v>
      </c>
      <c r="AF126" s="7">
        <f>'Database MK'!DK127-'Database MK'!DO127</f>
        <v>45641</v>
      </c>
      <c r="AG126" s="7">
        <f>'Database MK'!DU127-'Database MK'!DW127</f>
        <v>45634</v>
      </c>
      <c r="AH126" s="7" t="str">
        <f>IF('Database MK'!EB127="","Belum",'Database MK'!DU127-'Database MK'!EB127)</f>
        <v>Belum</v>
      </c>
      <c r="AI126" s="7" t="str">
        <f>IF('Database MK'!EN127="","Belum",'Database MK'!EL127-'Database MK'!EN127)</f>
        <v>Belum</v>
      </c>
      <c r="AJ126" s="7">
        <f>'Database MK'!FY127-'Database MK'!FZ127</f>
        <v>0</v>
      </c>
      <c r="AK126" s="7" t="str">
        <f>IF('Database MK'!GC127="","Belum",'Database MK'!GB127-'Database MK'!GC127)</f>
        <v>Belum</v>
      </c>
      <c r="AL126" s="7" t="str">
        <f>IF('Database MK'!GF127="","Belum",'Database MK'!GE127-'Database MK'!GF127)</f>
        <v>Belum</v>
      </c>
      <c r="AM126" s="279" t="str">
        <f>IF('Database MK'!GJ127="","Belum",'Database MK'!GI127-'Database MK'!GJ127)</f>
        <v>Belum</v>
      </c>
      <c r="AN126" s="7" t="str">
        <f>IF('Database MK'!HG127="","Belum",'Database MK'!HF127-'Database MK'!HG127)</f>
        <v>Belum</v>
      </c>
      <c r="AO126" s="7" t="str">
        <f>IF('Database MK'!HQ127="","Belum",'Database MK'!HN127-'Database MK'!HQ127)</f>
        <v>Belum</v>
      </c>
      <c r="AP126" s="7" t="str">
        <f>IF('Database MK'!HW127="","Belum",'Database MK'!HU127-'Database MK'!HW127)</f>
        <v>Belum</v>
      </c>
    </row>
    <row r="127" spans="2:42" hidden="1" x14ac:dyDescent="0.25">
      <c r="B127" s="7">
        <f>SUBTOTAL(3,$C$4:C127)</f>
        <v>74</v>
      </c>
      <c r="C127" s="269" t="s">
        <v>673</v>
      </c>
      <c r="D127" s="269" t="s">
        <v>875</v>
      </c>
      <c r="E127" s="269" t="s">
        <v>876</v>
      </c>
      <c r="F127" s="270">
        <v>45748</v>
      </c>
      <c r="G127" s="4" t="s">
        <v>247</v>
      </c>
      <c r="H127" s="4" t="str">
        <f ca="1">'Database MK'!Q128</f>
        <v>Kick Off Meeting</v>
      </c>
      <c r="I127" s="24">
        <f>'Database MK'!S128</f>
        <v>1</v>
      </c>
      <c r="J127" s="24">
        <f>'Database MK'!T128</f>
        <v>0</v>
      </c>
      <c r="K127" s="571">
        <f>'Database MK'!U128</f>
        <v>-1</v>
      </c>
      <c r="L127" s="561">
        <f>'Database MK'!V128</f>
        <v>445</v>
      </c>
      <c r="M127" s="561">
        <f>'Database MK'!W128</f>
        <v>0</v>
      </c>
      <c r="N127" s="561">
        <f>Table3[[#This Row],[Total Panjang Pipa Aktual]]-Table3[[#This Row],[Volume
BA MC-0]]</f>
        <v>-445</v>
      </c>
      <c r="O127" s="7" t="str">
        <f ca="1">'Database MK'!DE128</f>
        <v>Belum, Delay</v>
      </c>
      <c r="P127" s="7" t="str">
        <f ca="1">'Database MK'!DI128</f>
        <v>Belum, Delay</v>
      </c>
      <c r="Q127" s="7" t="str">
        <f ca="1">'Database MK'!DN128</f>
        <v>Sudah, OnSchedule</v>
      </c>
      <c r="R127" s="7" t="str">
        <f ca="1">'Database MK'!DR128</f>
        <v>Sudah, Delay</v>
      </c>
      <c r="S127" s="7" t="str">
        <f ca="1">'Database MK'!EA128</f>
        <v>Belum, Delay</v>
      </c>
      <c r="T127" s="7" t="str">
        <f ca="1">'Database MK'!EI128</f>
        <v>Belum, Delay</v>
      </c>
      <c r="U127" s="7" t="str">
        <f ca="1">'Database MK'!ET128</f>
        <v>Belum, Delay</v>
      </c>
      <c r="V127" s="7" t="str">
        <f ca="1">'Database MK'!GA128</f>
        <v>Belum, Delay</v>
      </c>
      <c r="W127" s="7" t="str">
        <f ca="1">'Database MK'!GD128</f>
        <v>Sudah, Delay</v>
      </c>
      <c r="X127" s="7" t="str">
        <f ca="1">'Database MK'!GG128</f>
        <v>Sudah, Delay</v>
      </c>
      <c r="Y127" s="7" t="str">
        <f ca="1">'Database MK'!GK128</f>
        <v>Belum, Delay</v>
      </c>
      <c r="Z127" s="7" t="str">
        <f ca="1">'Database MK'!HH128</f>
        <v>Belum, Delay</v>
      </c>
      <c r="AA127" s="7" t="str">
        <f ca="1">'Database MK'!HR128</f>
        <v>Belum, Delay</v>
      </c>
      <c r="AB127" s="7" t="str">
        <f ca="1">'Database MK'!HX128</f>
        <v>Belum, Delay</v>
      </c>
      <c r="AC127" s="7">
        <f>'Database MK'!DA128-'Database MK'!DB128</f>
        <v>45543</v>
      </c>
      <c r="AD127" s="7">
        <f>'Database MK'!DA128-'Database MK'!DF128</f>
        <v>45543</v>
      </c>
      <c r="AE127" s="7">
        <f>'Database MK'!DK128-'Database MK'!DL128</f>
        <v>50</v>
      </c>
      <c r="AF127" s="7">
        <f>'Database MK'!DK128-'Database MK'!DO128</f>
        <v>-418</v>
      </c>
      <c r="AG127" s="7">
        <f>'Database MK'!DU128-'Database MK'!DW128</f>
        <v>45571</v>
      </c>
      <c r="AH127" s="7" t="str">
        <f>IF('Database MK'!EB128="","Belum",'Database MK'!DU128-'Database MK'!EB128)</f>
        <v>Belum</v>
      </c>
      <c r="AI127" s="7" t="str">
        <f>IF('Database MK'!EN128="","Belum",'Database MK'!EL128-'Database MK'!EN128)</f>
        <v>Belum</v>
      </c>
      <c r="AJ127" s="7">
        <f>'Database MK'!FY128-'Database MK'!FZ128</f>
        <v>0</v>
      </c>
      <c r="AK127" s="7">
        <f>IF('Database MK'!GC128="","Belum",'Database MK'!GB128-'Database MK'!GC128)</f>
        <v>-16</v>
      </c>
      <c r="AL127" s="7">
        <f>IF('Database MK'!GF128="","Belum",'Database MK'!GE128-'Database MK'!GF128)</f>
        <v>-9</v>
      </c>
      <c r="AM127" s="279" t="str">
        <f>IF('Database MK'!GJ128="","Belum",'Database MK'!GI128-'Database MK'!GJ128)</f>
        <v>Belum</v>
      </c>
      <c r="AN127" s="7" t="str">
        <f>IF('Database MK'!HG128="","Belum",'Database MK'!HF128-'Database MK'!HG128)</f>
        <v>Belum</v>
      </c>
      <c r="AO127" s="7" t="str">
        <f>IF('Database MK'!HQ128="","Belum",'Database MK'!HN128-'Database MK'!HQ128)</f>
        <v>Belum</v>
      </c>
      <c r="AP127" s="7" t="str">
        <f>IF('Database MK'!HW128="","Belum",'Database MK'!HU128-'Database MK'!HW128)</f>
        <v>Belum</v>
      </c>
    </row>
    <row r="128" spans="2:42" hidden="1" x14ac:dyDescent="0.25">
      <c r="B128" s="7">
        <f>SUBTOTAL(3,$C$4:C128)</f>
        <v>74</v>
      </c>
      <c r="C128" s="4" t="s">
        <v>629</v>
      </c>
      <c r="D128" s="4" t="s">
        <v>880</v>
      </c>
      <c r="E128" s="4" t="s">
        <v>881</v>
      </c>
      <c r="F128" s="270">
        <v>45931</v>
      </c>
      <c r="G128" s="4" t="s">
        <v>247</v>
      </c>
      <c r="H128" s="4" t="str">
        <f ca="1">'Database MK'!Q129</f>
        <v>DPPP</v>
      </c>
      <c r="I128" s="24">
        <f>'Database MK'!S129</f>
        <v>1</v>
      </c>
      <c r="J128" s="24">
        <f>'Database MK'!T129</f>
        <v>1</v>
      </c>
      <c r="K128" s="571">
        <f>'Database MK'!U129</f>
        <v>0</v>
      </c>
      <c r="L128" s="561">
        <f>'Database MK'!V129</f>
        <v>1050</v>
      </c>
      <c r="M128" s="561">
        <f>'Database MK'!W129</f>
        <v>1008.2</v>
      </c>
      <c r="N128" s="561">
        <f>Table3[[#This Row],[Total Panjang Pipa Aktual]]-Table3[[#This Row],[Volume
BA MC-0]]</f>
        <v>-41.799999999999955</v>
      </c>
      <c r="O128" s="7" t="str">
        <f ca="1">'Database MK'!DE129</f>
        <v>Sudah, Delay</v>
      </c>
      <c r="P128" s="7" t="str">
        <f ca="1">'Database MK'!DI129</f>
        <v>Sudah, OnSchedule</v>
      </c>
      <c r="Q128" s="7" t="str">
        <f ca="1">'Database MK'!DN129</f>
        <v>Sudah, Delay</v>
      </c>
      <c r="R128" s="7" t="str">
        <f ca="1">'Database MK'!DR129</f>
        <v>Sudah, Delay</v>
      </c>
      <c r="S128" s="7" t="str">
        <f ca="1">'Database MK'!EA129</f>
        <v>Sudah, Delay</v>
      </c>
      <c r="T128" s="7" t="str">
        <f ca="1">'Database MK'!EI129</f>
        <v>Sudah, Delay</v>
      </c>
      <c r="U128" s="7" t="str">
        <f ca="1">'Database MK'!ET129</f>
        <v>Sudah, Delay</v>
      </c>
      <c r="V128" s="7" t="str">
        <f ca="1">'Database MK'!GA129</f>
        <v>Sudah, Delay</v>
      </c>
      <c r="W128" s="7" t="str">
        <f ca="1">'Database MK'!GD129</f>
        <v>Sudah, OnSchedule</v>
      </c>
      <c r="X128" s="7" t="str">
        <f ca="1">'Database MK'!GG129</f>
        <v>Sudah, Delay</v>
      </c>
      <c r="Y128" s="7" t="str">
        <f ca="1">'Database MK'!GK129</f>
        <v>Sudah, OnSchedule</v>
      </c>
      <c r="Z128" s="7" t="str">
        <f ca="1">'Database MK'!HH129</f>
        <v>Sudah, Delay</v>
      </c>
      <c r="AA128" s="7" t="str">
        <f ca="1">'Database MK'!HR129</f>
        <v>Sudah, Delay</v>
      </c>
      <c r="AB128" s="7" t="str">
        <f ca="1">'Database MK'!HX129</f>
        <v>Sudah, Delay</v>
      </c>
      <c r="AC128" s="7">
        <f>'Database MK'!DA129-'Database MK'!DB129</f>
        <v>-5</v>
      </c>
      <c r="AD128" s="7">
        <f>'Database MK'!DA129-'Database MK'!DF129</f>
        <v>142</v>
      </c>
      <c r="AE128" s="7">
        <f>'Database MK'!DK129-'Database MK'!DL129</f>
        <v>-325</v>
      </c>
      <c r="AF128" s="7">
        <f>'Database MK'!DK129-'Database MK'!DO129</f>
        <v>-332</v>
      </c>
      <c r="AG128" s="7">
        <f>'Database MK'!DU129-'Database MK'!DW129</f>
        <v>-271</v>
      </c>
      <c r="AH128" s="7">
        <f>IF('Database MK'!EB129="","Belum",'Database MK'!DU129-'Database MK'!EB129)</f>
        <v>-365</v>
      </c>
      <c r="AI128" s="7">
        <f>IF('Database MK'!EN129="","Belum",'Database MK'!EL129-'Database MK'!EN129)</f>
        <v>-316</v>
      </c>
      <c r="AJ128" s="7">
        <f>'Database MK'!FY129-'Database MK'!FZ129</f>
        <v>-45582</v>
      </c>
      <c r="AK128" s="7">
        <f>IF('Database MK'!GC129="","Belum",'Database MK'!GB129-'Database MK'!GC129)</f>
        <v>46</v>
      </c>
      <c r="AL128" s="7">
        <f>IF('Database MK'!GF129="","Belum",'Database MK'!GE129-'Database MK'!GF129)</f>
        <v>53</v>
      </c>
      <c r="AM128" s="279">
        <f>IF('Database MK'!GJ129="","Belum",'Database MK'!GI129-'Database MK'!GJ129)</f>
        <v>60</v>
      </c>
      <c r="AN128" s="7">
        <f>IF('Database MK'!HG129="","Belum",'Database MK'!HF129-'Database MK'!HG129)</f>
        <v>-229</v>
      </c>
      <c r="AO128" s="7">
        <f>IF('Database MK'!HQ129="","Belum",'Database MK'!HN129-'Database MK'!HQ129)</f>
        <v>-217</v>
      </c>
      <c r="AP128" s="7">
        <f>IF('Database MK'!HW129="","Belum",'Database MK'!HU129-'Database MK'!HW129)</f>
        <v>-248</v>
      </c>
    </row>
    <row r="129" spans="2:42" hidden="1" x14ac:dyDescent="0.25">
      <c r="B129" s="7">
        <f>SUBTOTAL(3,$C$4:C129)</f>
        <v>74</v>
      </c>
      <c r="C129" s="4" t="s">
        <v>629</v>
      </c>
      <c r="D129" s="4" t="s">
        <v>889</v>
      </c>
      <c r="E129" s="4" t="s">
        <v>890</v>
      </c>
      <c r="F129" s="270">
        <v>45931</v>
      </c>
      <c r="G129" s="4" t="s">
        <v>247</v>
      </c>
      <c r="H129" s="4" t="str">
        <f ca="1">'Database MK'!Q130</f>
        <v>DPPP</v>
      </c>
      <c r="I129" s="24">
        <f>'Database MK'!S130</f>
        <v>1</v>
      </c>
      <c r="J129" s="24">
        <f>'Database MK'!T130</f>
        <v>1</v>
      </c>
      <c r="K129" s="571">
        <f>'Database MK'!U130</f>
        <v>0</v>
      </c>
      <c r="L129" s="561">
        <f>'Database MK'!V130</f>
        <v>5379.5</v>
      </c>
      <c r="M129" s="561">
        <f>'Database MK'!W130</f>
        <v>5522</v>
      </c>
      <c r="N129" s="561">
        <f>Table3[[#This Row],[Total Panjang Pipa Aktual]]-Table3[[#This Row],[Volume
BA MC-0]]</f>
        <v>142.5</v>
      </c>
      <c r="O129" s="7" t="str">
        <f ca="1">'Database MK'!DE130</f>
        <v>Sudah, OnSchedule</v>
      </c>
      <c r="P129" s="7" t="str">
        <f ca="1">'Database MK'!DI130</f>
        <v>Sudah, OnSchedule</v>
      </c>
      <c r="Q129" s="7" t="str">
        <f ca="1">'Database MK'!DN130</f>
        <v>Sudah, Delay</v>
      </c>
      <c r="R129" s="7" t="str">
        <f ca="1">'Database MK'!DR130</f>
        <v>Sudah, Delay</v>
      </c>
      <c r="S129" s="7" t="str">
        <f ca="1">'Database MK'!EA130</f>
        <v>Sudah, Delay</v>
      </c>
      <c r="T129" s="7" t="str">
        <f ca="1">'Database MK'!EI130</f>
        <v>Sudah, Delay</v>
      </c>
      <c r="U129" s="7" t="str">
        <f ca="1">'Database MK'!ET130</f>
        <v>Sudah, Delay</v>
      </c>
      <c r="V129" s="7" t="str">
        <f ca="1">'Database MK'!GA130</f>
        <v>Sudah, Delay</v>
      </c>
      <c r="W129" s="7" t="str">
        <f ca="1">'Database MK'!GD130</f>
        <v>Sudah, OnSchedule</v>
      </c>
      <c r="X129" s="7" t="str">
        <f ca="1">'Database MK'!GG130</f>
        <v>Sudah, Delay</v>
      </c>
      <c r="Y129" s="7" t="str">
        <f ca="1">'Database MK'!GK130</f>
        <v>Sudah, OnSchedule</v>
      </c>
      <c r="Z129" s="7" t="str">
        <f ca="1">'Database MK'!HH130</f>
        <v>Sudah, Delay</v>
      </c>
      <c r="AA129" s="7" t="str">
        <f ca="1">'Database MK'!HR130</f>
        <v>Sudah, Delay</v>
      </c>
      <c r="AB129" s="7" t="str">
        <f ca="1">'Database MK'!HX130</f>
        <v>Sudah, Delay</v>
      </c>
      <c r="AC129" s="7">
        <f>'Database MK'!DA130-'Database MK'!DB130</f>
        <v>164</v>
      </c>
      <c r="AD129" s="7">
        <f>'Database MK'!DA130-'Database MK'!DF130</f>
        <v>142</v>
      </c>
      <c r="AE129" s="7">
        <f>'Database MK'!DK130-'Database MK'!DL130</f>
        <v>-325</v>
      </c>
      <c r="AF129" s="7">
        <f>'Database MK'!DK130-'Database MK'!DO130</f>
        <v>-332</v>
      </c>
      <c r="AG129" s="7">
        <f>'Database MK'!DU130-'Database MK'!DW130</f>
        <v>-477</v>
      </c>
      <c r="AH129" s="7">
        <f>IF('Database MK'!EB130="","Belum",'Database MK'!DU130-'Database MK'!EB130)</f>
        <v>-519</v>
      </c>
      <c r="AI129" s="7">
        <f>IF('Database MK'!EN130="","Belum",'Database MK'!EL130-'Database MK'!EN130)</f>
        <v>-496</v>
      </c>
      <c r="AJ129" s="7">
        <f>'Database MK'!FY130-'Database MK'!FZ130</f>
        <v>-45582</v>
      </c>
      <c r="AK129" s="7">
        <f>IF('Database MK'!GC130="","Belum",'Database MK'!GB130-'Database MK'!GC130)</f>
        <v>46</v>
      </c>
      <c r="AL129" s="7">
        <f>IF('Database MK'!GF130="","Belum",'Database MK'!GE130-'Database MK'!GF130)</f>
        <v>53</v>
      </c>
      <c r="AM129" s="279">
        <f>IF('Database MK'!GJ130="","Belum",'Database MK'!GI130-'Database MK'!GJ130)</f>
        <v>59</v>
      </c>
      <c r="AN129" s="7">
        <f>IF('Database MK'!HG130="","Belum",'Database MK'!HF130-'Database MK'!HG130)</f>
        <v>-232</v>
      </c>
      <c r="AO129" s="7">
        <f>IF('Database MK'!HQ130="","Belum",'Database MK'!HN130-'Database MK'!HQ130)</f>
        <v>-217</v>
      </c>
      <c r="AP129" s="7">
        <f>IF('Database MK'!HW130="","Belum",'Database MK'!HU130-'Database MK'!HW130)</f>
        <v>-248</v>
      </c>
    </row>
    <row r="130" spans="2:42" hidden="1" x14ac:dyDescent="0.25">
      <c r="B130" s="7">
        <f>SUBTOTAL(3,$C$4:C130)</f>
        <v>74</v>
      </c>
      <c r="C130" s="4" t="s">
        <v>629</v>
      </c>
      <c r="D130" s="4" t="s">
        <v>895</v>
      </c>
      <c r="E130" s="4" t="s">
        <v>896</v>
      </c>
      <c r="F130" s="270">
        <v>45931</v>
      </c>
      <c r="G130" s="4" t="s">
        <v>247</v>
      </c>
      <c r="H130" s="4" t="str">
        <f ca="1">'Database MK'!Q131</f>
        <v>DPPP</v>
      </c>
      <c r="I130" s="24">
        <f>'Database MK'!S131</f>
        <v>1</v>
      </c>
      <c r="J130" s="24">
        <f>'Database MK'!T131</f>
        <v>1</v>
      </c>
      <c r="K130" s="571">
        <f>'Database MK'!U131</f>
        <v>0</v>
      </c>
      <c r="L130" s="561">
        <f>'Database MK'!V131</f>
        <v>1275.5</v>
      </c>
      <c r="M130" s="561">
        <f>'Database MK'!W131</f>
        <v>1347.4</v>
      </c>
      <c r="N130" s="561">
        <f>Table3[[#This Row],[Total Panjang Pipa Aktual]]-Table3[[#This Row],[Volume
BA MC-0]]</f>
        <v>71.900000000000091</v>
      </c>
      <c r="O130" s="7" t="str">
        <f ca="1">'Database MK'!DE131</f>
        <v>Sudah, OnSchedule</v>
      </c>
      <c r="P130" s="7" t="str">
        <f ca="1">'Database MK'!DI131</f>
        <v>Sudah, Delay</v>
      </c>
      <c r="Q130" s="7" t="str">
        <f ca="1">'Database MK'!DN131</f>
        <v>Sudah, Delay</v>
      </c>
      <c r="R130" s="7" t="str">
        <f ca="1">'Database MK'!DR131</f>
        <v>Sudah, Delay</v>
      </c>
      <c r="S130" s="7" t="str">
        <f ca="1">'Database MK'!EA131</f>
        <v>Sudah, Delay</v>
      </c>
      <c r="T130" s="7" t="str">
        <f ca="1">'Database MK'!EI131</f>
        <v>Sudah, Delay</v>
      </c>
      <c r="U130" s="7" t="str">
        <f ca="1">'Database MK'!ET131</f>
        <v>Sudah, Delay</v>
      </c>
      <c r="V130" s="7" t="str">
        <f ca="1">'Database MK'!GA131</f>
        <v>Sudah, Delay</v>
      </c>
      <c r="W130" s="7" t="str">
        <f ca="1">'Database MK'!GD131</f>
        <v>Sudah, OnSchedule</v>
      </c>
      <c r="X130" s="7" t="str">
        <f ca="1">'Database MK'!GG131</f>
        <v>Sudah, Delay</v>
      </c>
      <c r="Y130" s="7" t="str">
        <f ca="1">'Database MK'!GK131</f>
        <v>Sudah, OnSchedule</v>
      </c>
      <c r="Z130" s="7" t="str">
        <f ca="1">'Database MK'!HH131</f>
        <v>Sudah, Delay</v>
      </c>
      <c r="AA130" s="7" t="str">
        <f ca="1">'Database MK'!HR131</f>
        <v>Sudah, Delay</v>
      </c>
      <c r="AB130" s="7" t="str">
        <f ca="1">'Database MK'!HX131</f>
        <v>Sudah, Delay</v>
      </c>
      <c r="AC130" s="7">
        <f>'Database MK'!DA131-'Database MK'!DB131</f>
        <v>52</v>
      </c>
      <c r="AD130" s="7">
        <f>'Database MK'!DA131-'Database MK'!DF131</f>
        <v>-62</v>
      </c>
      <c r="AE130" s="7">
        <f>'Database MK'!DK131-'Database MK'!DL131</f>
        <v>-325</v>
      </c>
      <c r="AF130" s="7">
        <f>'Database MK'!DK131-'Database MK'!DO131</f>
        <v>-332</v>
      </c>
      <c r="AG130" s="7">
        <f>'Database MK'!DU131-'Database MK'!DW131</f>
        <v>-473</v>
      </c>
      <c r="AH130" s="7">
        <f>IF('Database MK'!EB131="","Belum",'Database MK'!DU131-'Database MK'!EB131)</f>
        <v>-495</v>
      </c>
      <c r="AI130" s="7">
        <f>IF('Database MK'!EN131="","Belum",'Database MK'!EL131-'Database MK'!EN131)</f>
        <v>-394</v>
      </c>
      <c r="AJ130" s="7">
        <f>'Database MK'!FY131-'Database MK'!FZ131</f>
        <v>-45582</v>
      </c>
      <c r="AK130" s="7">
        <f>IF('Database MK'!GC131="","Belum",'Database MK'!GB131-'Database MK'!GC131)</f>
        <v>46</v>
      </c>
      <c r="AL130" s="7">
        <f>IF('Database MK'!GF131="","Belum",'Database MK'!GE131-'Database MK'!GF131)</f>
        <v>53</v>
      </c>
      <c r="AM130" s="279">
        <f>IF('Database MK'!GJ131="","Belum",'Database MK'!GI131-'Database MK'!GJ131)</f>
        <v>59</v>
      </c>
      <c r="AN130" s="7">
        <f>IF('Database MK'!HG131="","Belum",'Database MK'!HF131-'Database MK'!HG131)</f>
        <v>-232</v>
      </c>
      <c r="AO130" s="7">
        <f>IF('Database MK'!HQ131="","Belum",'Database MK'!HN131-'Database MK'!HQ131)</f>
        <v>-217</v>
      </c>
      <c r="AP130" s="7">
        <f>IF('Database MK'!HW131="","Belum",'Database MK'!HU131-'Database MK'!HW131)</f>
        <v>-248</v>
      </c>
    </row>
    <row r="131" spans="2:42" hidden="1" x14ac:dyDescent="0.25">
      <c r="B131" s="7">
        <f>SUBTOTAL(3,$C$4:C131)</f>
        <v>74</v>
      </c>
      <c r="C131" s="4" t="s">
        <v>629</v>
      </c>
      <c r="D131" s="4" t="s">
        <v>903</v>
      </c>
      <c r="E131" s="4" t="s">
        <v>904</v>
      </c>
      <c r="F131" s="270">
        <v>45931</v>
      </c>
      <c r="G131" s="4" t="s">
        <v>247</v>
      </c>
      <c r="H131" s="4" t="str">
        <f ca="1">'Database MK'!Q132</f>
        <v>DPPP</v>
      </c>
      <c r="I131" s="24">
        <f>'Database MK'!S132</f>
        <v>1</v>
      </c>
      <c r="J131" s="24">
        <f>'Database MK'!T132</f>
        <v>1</v>
      </c>
      <c r="K131" s="571">
        <f>'Database MK'!U132</f>
        <v>0</v>
      </c>
      <c r="L131" s="561">
        <f>'Database MK'!V132</f>
        <v>1085</v>
      </c>
      <c r="M131" s="561">
        <f>'Database MK'!W132</f>
        <v>1168.9000000000001</v>
      </c>
      <c r="N131" s="561">
        <f>Table3[[#This Row],[Total Panjang Pipa Aktual]]-Table3[[#This Row],[Volume
BA MC-0]]</f>
        <v>83.900000000000091</v>
      </c>
      <c r="O131" s="7" t="str">
        <f ca="1">'Database MK'!DE132</f>
        <v>Sudah, OnSchedule</v>
      </c>
      <c r="P131" s="7" t="str">
        <f ca="1">'Database MK'!DI132</f>
        <v>Sudah, Delay</v>
      </c>
      <c r="Q131" s="7" t="str">
        <f ca="1">'Database MK'!DN132</f>
        <v>Sudah, Delay</v>
      </c>
      <c r="R131" s="7" t="str">
        <f ca="1">'Database MK'!DR132</f>
        <v>Sudah, Delay</v>
      </c>
      <c r="S131" s="7" t="str">
        <f ca="1">'Database MK'!EA132</f>
        <v>Sudah, Delay</v>
      </c>
      <c r="T131" s="7" t="str">
        <f ca="1">'Database MK'!EI132</f>
        <v>Sudah, Delay</v>
      </c>
      <c r="U131" s="7" t="str">
        <f ca="1">'Database MK'!ET132</f>
        <v>Sudah, Delay</v>
      </c>
      <c r="V131" s="7" t="str">
        <f ca="1">'Database MK'!GA132</f>
        <v>Sudah, Delay</v>
      </c>
      <c r="W131" s="7" t="str">
        <f ca="1">'Database MK'!GD132</f>
        <v>Sudah, OnSchedule</v>
      </c>
      <c r="X131" s="7" t="str">
        <f ca="1">'Database MK'!GG132</f>
        <v>Sudah, OnSchedule</v>
      </c>
      <c r="Y131" s="7" t="str">
        <f ca="1">'Database MK'!GK132</f>
        <v>Sudah, OnSchedule</v>
      </c>
      <c r="Z131" s="7" t="str">
        <f ca="1">'Database MK'!HH132</f>
        <v>Sudah, Delay</v>
      </c>
      <c r="AA131" s="7" t="str">
        <f ca="1">'Database MK'!HR132</f>
        <v>Sudah, Delay</v>
      </c>
      <c r="AB131" s="7" t="str">
        <f ca="1">'Database MK'!HX132</f>
        <v>Sudah, Delay</v>
      </c>
      <c r="AC131" s="7">
        <f>'Database MK'!DA132-'Database MK'!DB132</f>
        <v>252</v>
      </c>
      <c r="AD131" s="7">
        <f>'Database MK'!DA132-'Database MK'!DF132</f>
        <v>-114</v>
      </c>
      <c r="AE131" s="7">
        <f>'Database MK'!DK132-'Database MK'!DL132</f>
        <v>-411</v>
      </c>
      <c r="AF131" s="7">
        <f>'Database MK'!DK132-'Database MK'!DO132</f>
        <v>-467</v>
      </c>
      <c r="AG131" s="7">
        <f>'Database MK'!DU132-'Database MK'!DW132</f>
        <v>-310</v>
      </c>
      <c r="AH131" s="7">
        <f>IF('Database MK'!EB132="","Belum",'Database MK'!DU132-'Database MK'!EB132)</f>
        <v>-355</v>
      </c>
      <c r="AI131" s="7">
        <f>IF('Database MK'!EN132="","Belum",'Database MK'!EL132-'Database MK'!EN132)</f>
        <v>-152</v>
      </c>
      <c r="AJ131" s="7">
        <f>'Database MK'!FY132-'Database MK'!FZ132</f>
        <v>-45582</v>
      </c>
      <c r="AK131" s="7">
        <f>IF('Database MK'!GC132="","Belum",'Database MK'!GB132-'Database MK'!GC132)</f>
        <v>11</v>
      </c>
      <c r="AL131" s="7">
        <f>IF('Database MK'!GF132="","Belum",'Database MK'!GE132-'Database MK'!GF132)</f>
        <v>18</v>
      </c>
      <c r="AM131" s="279">
        <f>IF('Database MK'!GJ132="","Belum",'Database MK'!GI132-'Database MK'!GJ132)</f>
        <v>26</v>
      </c>
      <c r="AN131" s="7">
        <f>IF('Database MK'!HG132="","Belum",'Database MK'!HF132-'Database MK'!HG132)</f>
        <v>-234</v>
      </c>
      <c r="AO131" s="7">
        <f>IF('Database MK'!HQ132="","Belum",'Database MK'!HN132-'Database MK'!HQ132)</f>
        <v>-217</v>
      </c>
      <c r="AP131" s="7">
        <f>IF('Database MK'!HW132="","Belum",'Database MK'!HU132-'Database MK'!HW132)</f>
        <v>-248</v>
      </c>
    </row>
    <row r="132" spans="2:42" hidden="1" x14ac:dyDescent="0.25">
      <c r="B132" s="7">
        <f>SUBTOTAL(3,$C$4:C132)</f>
        <v>74</v>
      </c>
      <c r="C132" s="4" t="s">
        <v>629</v>
      </c>
      <c r="D132" s="4" t="s">
        <v>913</v>
      </c>
      <c r="E132" s="4" t="s">
        <v>914</v>
      </c>
      <c r="F132" s="270">
        <v>45931</v>
      </c>
      <c r="G132" s="4" t="s">
        <v>247</v>
      </c>
      <c r="H132" s="4" t="str">
        <f ca="1">'Database MK'!Q133</f>
        <v>DPPP</v>
      </c>
      <c r="I132" s="24">
        <f>'Database MK'!S133</f>
        <v>1</v>
      </c>
      <c r="J132" s="24">
        <f>'Database MK'!T133</f>
        <v>1</v>
      </c>
      <c r="K132" s="571">
        <f>'Database MK'!U133</f>
        <v>0</v>
      </c>
      <c r="L132" s="561">
        <f>'Database MK'!V133</f>
        <v>24731</v>
      </c>
      <c r="M132" s="561">
        <f>'Database MK'!W133</f>
        <v>19044.900000000001</v>
      </c>
      <c r="N132" s="561">
        <f>Table3[[#This Row],[Total Panjang Pipa Aktual]]-Table3[[#This Row],[Volume
BA MC-0]]</f>
        <v>-5686.0999999999985</v>
      </c>
      <c r="O132" s="7" t="str">
        <f ca="1">'Database MK'!DE133</f>
        <v>Sudah, OnSchedule</v>
      </c>
      <c r="P132" s="7" t="str">
        <f ca="1">'Database MK'!DI133</f>
        <v>Sudah, OnSchedule</v>
      </c>
      <c r="Q132" s="7" t="str">
        <f ca="1">'Database MK'!DN133</f>
        <v>Sudah, Delay</v>
      </c>
      <c r="R132" s="7" t="str">
        <f ca="1">'Database MK'!DR133</f>
        <v>Sudah, Delay</v>
      </c>
      <c r="S132" s="7" t="str">
        <f ca="1">'Database MK'!EA133</f>
        <v>Sudah, Delay</v>
      </c>
      <c r="T132" s="7" t="str">
        <f ca="1">'Database MK'!EI133</f>
        <v>Sudah, Delay</v>
      </c>
      <c r="U132" s="7" t="str">
        <f ca="1">'Database MK'!ET133</f>
        <v>Sudah, Delay</v>
      </c>
      <c r="V132" s="7" t="str">
        <f ca="1">'Database MK'!GA133</f>
        <v>Sudah, Delay</v>
      </c>
      <c r="W132" s="7" t="str">
        <f ca="1">'Database MK'!GD133</f>
        <v>Sudah, OnSchedule</v>
      </c>
      <c r="X132" s="7" t="str">
        <f ca="1">'Database MK'!GG133</f>
        <v>Sudah, OnSchedule</v>
      </c>
      <c r="Y132" s="7" t="str">
        <f ca="1">'Database MK'!GK133</f>
        <v>Sudah, OnSchedule</v>
      </c>
      <c r="Z132" s="7" t="str">
        <f ca="1">'Database MK'!HH133</f>
        <v>Sudah, Delay</v>
      </c>
      <c r="AA132" s="7" t="str">
        <f ca="1">'Database MK'!HR133</f>
        <v>Sudah, Delay</v>
      </c>
      <c r="AB132" s="7" t="str">
        <f ca="1">'Database MK'!HX133</f>
        <v>Sudah, Delay</v>
      </c>
      <c r="AC132" s="7">
        <f>'Database MK'!DA133-'Database MK'!DB133</f>
        <v>26</v>
      </c>
      <c r="AD132" s="7">
        <f>'Database MK'!DA133-'Database MK'!DF133</f>
        <v>23</v>
      </c>
      <c r="AE132" s="7">
        <f>'Database MK'!DK133-'Database MK'!DL133</f>
        <v>-310</v>
      </c>
      <c r="AF132" s="7">
        <f>'Database MK'!DK133-'Database MK'!DO133</f>
        <v>-326</v>
      </c>
      <c r="AG132" s="7">
        <f>'Database MK'!DU133-'Database MK'!DW133</f>
        <v>-387</v>
      </c>
      <c r="AH132" s="7">
        <f>IF('Database MK'!EB133="","Belum",'Database MK'!DU133-'Database MK'!EB133)</f>
        <v>-390</v>
      </c>
      <c r="AI132" s="7">
        <f>IF('Database MK'!EN133="","Belum",'Database MK'!EL133-'Database MK'!EN133)</f>
        <v>-403</v>
      </c>
      <c r="AJ132" s="7">
        <f>'Database MK'!FY133-'Database MK'!FZ133</f>
        <v>-45582</v>
      </c>
      <c r="AK132" s="7">
        <f>IF('Database MK'!GC133="","Belum",'Database MK'!GB133-'Database MK'!GC133)</f>
        <v>32</v>
      </c>
      <c r="AL132" s="7">
        <f>IF('Database MK'!GF133="","Belum",'Database MK'!GE133-'Database MK'!GF133)</f>
        <v>39</v>
      </c>
      <c r="AM132" s="279">
        <f>IF('Database MK'!GJ133="","Belum",'Database MK'!GI133-'Database MK'!GJ133)</f>
        <v>46</v>
      </c>
      <c r="AN132" s="7">
        <f>IF('Database MK'!HG133="","Belum",'Database MK'!HF133-'Database MK'!HG133)</f>
        <v>-233</v>
      </c>
      <c r="AO132" s="7">
        <f>IF('Database MK'!HQ133="","Belum",'Database MK'!HN133-'Database MK'!HQ133)</f>
        <v>-220</v>
      </c>
      <c r="AP132" s="7">
        <f>IF('Database MK'!HW133="","Belum",'Database MK'!HU133-'Database MK'!HW133)</f>
        <v>-224</v>
      </c>
    </row>
    <row r="133" spans="2:42" hidden="1" x14ac:dyDescent="0.25">
      <c r="B133" s="7">
        <f>SUBTOTAL(3,$C$4:C133)</f>
        <v>74</v>
      </c>
      <c r="C133" s="4" t="s">
        <v>629</v>
      </c>
      <c r="D133" s="4" t="s">
        <v>924</v>
      </c>
      <c r="E133" s="4" t="s">
        <v>925</v>
      </c>
      <c r="F133" s="270">
        <v>45931</v>
      </c>
      <c r="G133" s="4" t="s">
        <v>247</v>
      </c>
      <c r="H133" s="4" t="str">
        <f ca="1">'Database MK'!Q134</f>
        <v>DPPP</v>
      </c>
      <c r="I133" s="24">
        <f>'Database MK'!S134</f>
        <v>1</v>
      </c>
      <c r="J133" s="24">
        <f>'Database MK'!T134</f>
        <v>1</v>
      </c>
      <c r="K133" s="571">
        <f>'Database MK'!U134</f>
        <v>0</v>
      </c>
      <c r="L133" s="561">
        <f>'Database MK'!V134</f>
        <v>20222</v>
      </c>
      <c r="M133" s="561">
        <f>'Database MK'!W134</f>
        <v>18046.099999999999</v>
      </c>
      <c r="N133" s="561">
        <f>Table3[[#This Row],[Total Panjang Pipa Aktual]]-Table3[[#This Row],[Volume
BA MC-0]]</f>
        <v>-2175.9000000000015</v>
      </c>
      <c r="O133" s="7" t="str">
        <f ca="1">'Database MK'!DE134</f>
        <v>Sudah, OnSchedule</v>
      </c>
      <c r="P133" s="7" t="str">
        <f ca="1">'Database MK'!DI134</f>
        <v>Sudah, OnSchedule</v>
      </c>
      <c r="Q133" s="7" t="str">
        <f ca="1">'Database MK'!DN134</f>
        <v>Sudah, Delay</v>
      </c>
      <c r="R133" s="7" t="str">
        <f ca="1">'Database MK'!DR134</f>
        <v>Sudah, Delay</v>
      </c>
      <c r="S133" s="7" t="str">
        <f ca="1">'Database MK'!EA134</f>
        <v>Sudah, Delay</v>
      </c>
      <c r="T133" s="7" t="str">
        <f ca="1">'Database MK'!EI134</f>
        <v>Sudah, Delay</v>
      </c>
      <c r="U133" s="7" t="str">
        <f ca="1">'Database MK'!ET134</f>
        <v>Sudah, Delay</v>
      </c>
      <c r="V133" s="7" t="str">
        <f ca="1">'Database MK'!GA134</f>
        <v>Sudah, Delay</v>
      </c>
      <c r="W133" s="7" t="str">
        <f ca="1">'Database MK'!GD134</f>
        <v>Sudah, OnSchedule</v>
      </c>
      <c r="X133" s="7" t="str">
        <f ca="1">'Database MK'!GG134</f>
        <v>Sudah, OnSchedule</v>
      </c>
      <c r="Y133" s="7" t="str">
        <f ca="1">'Database MK'!GK134</f>
        <v>Sudah, OnSchedule</v>
      </c>
      <c r="Z133" s="7" t="str">
        <f ca="1">'Database MK'!HH134</f>
        <v>Sudah, Delay</v>
      </c>
      <c r="AA133" s="7" t="str">
        <f ca="1">'Database MK'!HR134</f>
        <v>Sudah, Delay</v>
      </c>
      <c r="AB133" s="7" t="str">
        <f ca="1">'Database MK'!HX134</f>
        <v>Sudah, Delay</v>
      </c>
      <c r="AC133" s="7">
        <f>'Database MK'!DA134-'Database MK'!DB134</f>
        <v>26</v>
      </c>
      <c r="AD133" s="7">
        <f>'Database MK'!DA134-'Database MK'!DF134</f>
        <v>23</v>
      </c>
      <c r="AE133" s="7">
        <f>'Database MK'!DK134-'Database MK'!DL134</f>
        <v>-214</v>
      </c>
      <c r="AF133" s="7">
        <f>'Database MK'!DK134-'Database MK'!DO134</f>
        <v>-344</v>
      </c>
      <c r="AG133" s="7">
        <f>'Database MK'!DU134-'Database MK'!DW134</f>
        <v>-394</v>
      </c>
      <c r="AH133" s="7">
        <f>IF('Database MK'!EB134="","Belum",'Database MK'!DU134-'Database MK'!EB134)</f>
        <v>-396</v>
      </c>
      <c r="AI133" s="7">
        <f>IF('Database MK'!EN134="","Belum",'Database MK'!EL134-'Database MK'!EN134)</f>
        <v>-438</v>
      </c>
      <c r="AJ133" s="7">
        <f>'Database MK'!FY134-'Database MK'!FZ134</f>
        <v>-45582</v>
      </c>
      <c r="AK133" s="7">
        <f>IF('Database MK'!GC134="","Belum",'Database MK'!GB134-'Database MK'!GC134)</f>
        <v>32</v>
      </c>
      <c r="AL133" s="7">
        <f>IF('Database MK'!GF134="","Belum",'Database MK'!GE134-'Database MK'!GF134)</f>
        <v>39</v>
      </c>
      <c r="AM133" s="279">
        <f>IF('Database MK'!GJ134="","Belum",'Database MK'!GI134-'Database MK'!GJ134)</f>
        <v>45</v>
      </c>
      <c r="AN133" s="7">
        <f>IF('Database MK'!HG134="","Belum",'Database MK'!HF134-'Database MK'!HG134)</f>
        <v>-232</v>
      </c>
      <c r="AO133" s="7">
        <f>IF('Database MK'!HQ134="","Belum",'Database MK'!HN134-'Database MK'!HQ134)</f>
        <v>-221</v>
      </c>
      <c r="AP133" s="7">
        <f>IF('Database MK'!HW134="","Belum",'Database MK'!HU134-'Database MK'!HW134)</f>
        <v>-225</v>
      </c>
    </row>
    <row r="134" spans="2:42" hidden="1" x14ac:dyDescent="0.25">
      <c r="B134" s="7">
        <f>SUBTOTAL(3,$C$4:C134)</f>
        <v>74</v>
      </c>
      <c r="C134" s="4" t="s">
        <v>629</v>
      </c>
      <c r="D134" s="4" t="s">
        <v>933</v>
      </c>
      <c r="E134" s="4" t="s">
        <v>934</v>
      </c>
      <c r="F134" s="270">
        <v>45931</v>
      </c>
      <c r="G134" s="4" t="s">
        <v>247</v>
      </c>
      <c r="H134" s="4" t="str">
        <f ca="1">'Database MK'!Q135</f>
        <v>DPPP</v>
      </c>
      <c r="I134" s="24">
        <f>'Database MK'!S135</f>
        <v>1</v>
      </c>
      <c r="J134" s="24">
        <f>'Database MK'!T135</f>
        <v>1</v>
      </c>
      <c r="K134" s="571">
        <f>'Database MK'!U135</f>
        <v>0</v>
      </c>
      <c r="L134" s="561">
        <f>'Database MK'!V135</f>
        <v>20</v>
      </c>
      <c r="M134" s="561">
        <f>'Database MK'!W135</f>
        <v>42.2</v>
      </c>
      <c r="N134" s="561">
        <f>Table3[[#This Row],[Total Panjang Pipa Aktual]]-Table3[[#This Row],[Volume
BA MC-0]]</f>
        <v>22.200000000000003</v>
      </c>
      <c r="O134" s="7" t="str">
        <f ca="1">'Database MK'!DE135</f>
        <v>Sudah, Delay</v>
      </c>
      <c r="P134" s="7" t="str">
        <f ca="1">'Database MK'!DI135</f>
        <v>Sudah, Delay</v>
      </c>
      <c r="Q134" s="7" t="str">
        <f ca="1">'Database MK'!DN135</f>
        <v>Sudah, Delay</v>
      </c>
      <c r="R134" s="7" t="str">
        <f ca="1">'Database MK'!DR135</f>
        <v>Sudah, Delay</v>
      </c>
      <c r="S134" s="7" t="str">
        <f ca="1">'Database MK'!EA135</f>
        <v>Sudah, Delay</v>
      </c>
      <c r="T134" s="7" t="str">
        <f ca="1">'Database MK'!EI135</f>
        <v>Sudah, Delay</v>
      </c>
      <c r="U134" s="7" t="str">
        <f ca="1">'Database MK'!ET135</f>
        <v>Sudah, Delay</v>
      </c>
      <c r="V134" s="7" t="str">
        <f ca="1">'Database MK'!GA135</f>
        <v>Sudah, Delay</v>
      </c>
      <c r="W134" s="7" t="str">
        <f ca="1">'Database MK'!GD135</f>
        <v>Sudah, Delay</v>
      </c>
      <c r="X134" s="7" t="str">
        <f ca="1">'Database MK'!GG135</f>
        <v>Sudah, Delay</v>
      </c>
      <c r="Y134" s="7" t="str">
        <f ca="1">'Database MK'!GK135</f>
        <v>Sudah, Delay</v>
      </c>
      <c r="Z134" s="7" t="str">
        <f ca="1">'Database MK'!HH135</f>
        <v>Sudah, Delay</v>
      </c>
      <c r="AA134" s="7" t="str">
        <f ca="1">'Database MK'!HR135</f>
        <v>Sudah, Delay</v>
      </c>
      <c r="AB134" s="7" t="str">
        <f ca="1">'Database MK'!HX135</f>
        <v>Sudah, Delay</v>
      </c>
      <c r="AC134" s="7">
        <f>'Database MK'!DA135-'Database MK'!DB135</f>
        <v>-25</v>
      </c>
      <c r="AD134" s="7">
        <f>'Database MK'!DA135-'Database MK'!DF135</f>
        <v>-43</v>
      </c>
      <c r="AE134" s="7">
        <f>'Database MK'!DK135-'Database MK'!DL135</f>
        <v>-169</v>
      </c>
      <c r="AF134" s="7">
        <f>'Database MK'!DK135-'Database MK'!DO135</f>
        <v>-207</v>
      </c>
      <c r="AG134" s="7">
        <f>'Database MK'!DU135-'Database MK'!DW135</f>
        <v>-386</v>
      </c>
      <c r="AH134" s="7">
        <f>IF('Database MK'!EB135="","Belum",'Database MK'!DU135-'Database MK'!EB135)</f>
        <v>-394</v>
      </c>
      <c r="AI134" s="7">
        <f>IF('Database MK'!EN135="","Belum",'Database MK'!EL135-'Database MK'!EN135)</f>
        <v>-445</v>
      </c>
      <c r="AJ134" s="7">
        <f>'Database MK'!FY135-'Database MK'!FZ135</f>
        <v>-45582</v>
      </c>
      <c r="AK134" s="7">
        <f>IF('Database MK'!GC135="","Belum",'Database MK'!GB135-'Database MK'!GC135)</f>
        <v>-241</v>
      </c>
      <c r="AL134" s="7">
        <f>IF('Database MK'!GF135="","Belum",'Database MK'!GE135-'Database MK'!GF135)</f>
        <v>-234</v>
      </c>
      <c r="AM134" s="279">
        <f>IF('Database MK'!GJ135="","Belum",'Database MK'!GI135-'Database MK'!GJ135)</f>
        <v>-226</v>
      </c>
      <c r="AN134" s="7">
        <f>IF('Database MK'!HG135="","Belum",'Database MK'!HF135-'Database MK'!HG135)</f>
        <v>-227</v>
      </c>
      <c r="AO134" s="7">
        <f>IF('Database MK'!HQ135="","Belum",'Database MK'!HN135-'Database MK'!HQ135)</f>
        <v>-216</v>
      </c>
      <c r="AP134" s="7">
        <f>IF('Database MK'!HW135="","Belum",'Database MK'!HU135-'Database MK'!HW135)</f>
        <v>-225</v>
      </c>
    </row>
    <row r="135" spans="2:42" hidden="1" x14ac:dyDescent="0.25">
      <c r="B135" s="7">
        <f>SUBTOTAL(3,$C$4:C135)</f>
        <v>74</v>
      </c>
      <c r="C135" s="4" t="s">
        <v>629</v>
      </c>
      <c r="D135" s="4" t="s">
        <v>941</v>
      </c>
      <c r="E135" s="4" t="s">
        <v>942</v>
      </c>
      <c r="F135" s="270">
        <v>45931</v>
      </c>
      <c r="G135" s="4" t="s">
        <v>247</v>
      </c>
      <c r="H135" s="4" t="str">
        <f ca="1">'Database MK'!Q136</f>
        <v>Tes Com</v>
      </c>
      <c r="I135" s="24">
        <f>'Database MK'!S136</f>
        <v>1</v>
      </c>
      <c r="J135" s="24">
        <f>'Database MK'!T136</f>
        <v>0.62963512028177115</v>
      </c>
      <c r="K135" s="571">
        <f>'Database MK'!U136</f>
        <v>-0.37036487971822885</v>
      </c>
      <c r="L135" s="561">
        <f>'Database MK'!V136</f>
        <v>6209</v>
      </c>
      <c r="M135" s="561">
        <f>'Database MK'!W136</f>
        <v>2571</v>
      </c>
      <c r="N135" s="561">
        <f>Table3[[#This Row],[Total Panjang Pipa Aktual]]-Table3[[#This Row],[Volume
BA MC-0]]</f>
        <v>-3638</v>
      </c>
      <c r="O135" s="7" t="str">
        <f ca="1">'Database MK'!DE136</f>
        <v>Sudah, OnSchedule</v>
      </c>
      <c r="P135" s="7" t="str">
        <f ca="1">'Database MK'!DI136</f>
        <v>Sudah, OnSchedule</v>
      </c>
      <c r="Q135" s="7" t="str">
        <f ca="1">'Database MK'!DN136</f>
        <v>Sudah, OnSchedule</v>
      </c>
      <c r="R135" s="7" t="str">
        <f ca="1">'Database MK'!DR136</f>
        <v>Sudah, OnSchedule</v>
      </c>
      <c r="S135" s="7" t="str">
        <f ca="1">'Database MK'!EA136</f>
        <v>Sudah, Delay</v>
      </c>
      <c r="T135" s="7" t="str">
        <f ca="1">'Database MK'!EI136</f>
        <v>Sudah, Delay</v>
      </c>
      <c r="U135" s="7" t="str">
        <f ca="1">'Database MK'!ET136</f>
        <v>Belum, Delay</v>
      </c>
      <c r="V135" s="7" t="str">
        <f ca="1">'Database MK'!GA136</f>
        <v>Sudah, Delay</v>
      </c>
      <c r="W135" s="7" t="str">
        <f ca="1">'Database MK'!GD136</f>
        <v>Sudah, OnSchedule</v>
      </c>
      <c r="X135" s="7" t="str">
        <f ca="1">'Database MK'!GG136</f>
        <v>Sudah, OnSchedule</v>
      </c>
      <c r="Y135" s="7" t="str">
        <f ca="1">'Database MK'!GK136</f>
        <v>Sudah, OnSchedule</v>
      </c>
      <c r="Z135" s="7" t="str">
        <f ca="1">'Database MK'!HH136</f>
        <v>Sudah, Delay</v>
      </c>
      <c r="AA135" s="7" t="str">
        <f ca="1">'Database MK'!HR136</f>
        <v>Belum, Delay</v>
      </c>
      <c r="AB135" s="7" t="str">
        <f ca="1">'Database MK'!HX136</f>
        <v>Belum, Delay</v>
      </c>
      <c r="AC135" s="7">
        <f>'Database MK'!DA136-'Database MK'!DB136</f>
        <v>26</v>
      </c>
      <c r="AD135" s="7">
        <f>'Database MK'!DA136-'Database MK'!DF136</f>
        <v>19</v>
      </c>
      <c r="AE135" s="7">
        <f>'Database MK'!DK136-'Database MK'!DL136</f>
        <v>22</v>
      </c>
      <c r="AF135" s="7">
        <f>'Database MK'!DK136-'Database MK'!DO136</f>
        <v>11</v>
      </c>
      <c r="AG135" s="7">
        <f>'Database MK'!DU136-'Database MK'!DW136</f>
        <v>-391</v>
      </c>
      <c r="AH135" s="7">
        <f>IF('Database MK'!EB136="","Belum",'Database MK'!DU136-'Database MK'!EB136)</f>
        <v>-394</v>
      </c>
      <c r="AI135" s="7" t="str">
        <f>IF('Database MK'!EN136="","Belum",'Database MK'!EL136-'Database MK'!EN136)</f>
        <v>Belum</v>
      </c>
      <c r="AJ135" s="7">
        <f>'Database MK'!FY136-'Database MK'!FZ136</f>
        <v>-45582</v>
      </c>
      <c r="AK135" s="7">
        <f>IF('Database MK'!GC136="","Belum",'Database MK'!GB136-'Database MK'!GC136)</f>
        <v>32</v>
      </c>
      <c r="AL135" s="7">
        <f>IF('Database MK'!GF136="","Belum",'Database MK'!GE136-'Database MK'!GF136)</f>
        <v>39</v>
      </c>
      <c r="AM135" s="279">
        <f>IF('Database MK'!GJ136="","Belum",'Database MK'!GI136-'Database MK'!GJ136)</f>
        <v>44</v>
      </c>
      <c r="AN135" s="7">
        <f>IF('Database MK'!HG136="","Belum",'Database MK'!HF136-'Database MK'!HG136)</f>
        <v>-365</v>
      </c>
      <c r="AO135" s="7" t="str">
        <f>IF('Database MK'!HQ136="","Belum",'Database MK'!HN136-'Database MK'!HQ136)</f>
        <v>Belum</v>
      </c>
      <c r="AP135" s="7" t="str">
        <f>IF('Database MK'!HW136="","Belum",'Database MK'!HU136-'Database MK'!HW136)</f>
        <v>Belum</v>
      </c>
    </row>
    <row r="136" spans="2:42" hidden="1" x14ac:dyDescent="0.25">
      <c r="B136" s="7">
        <f>SUBTOTAL(3,$C$4:C136)</f>
        <v>74</v>
      </c>
      <c r="C136" s="4" t="s">
        <v>629</v>
      </c>
      <c r="D136" s="4" t="s">
        <v>952</v>
      </c>
      <c r="E136" s="4" t="s">
        <v>953</v>
      </c>
      <c r="F136" s="270">
        <v>45931</v>
      </c>
      <c r="G136" s="4" t="s">
        <v>247</v>
      </c>
      <c r="H136" s="4" t="str">
        <f ca="1">'Database MK'!Q137</f>
        <v>DPPP</v>
      </c>
      <c r="I136" s="24">
        <f>'Database MK'!S137</f>
        <v>1</v>
      </c>
      <c r="J136" s="24">
        <f>'Database MK'!T137</f>
        <v>1</v>
      </c>
      <c r="K136" s="571">
        <f>'Database MK'!U137</f>
        <v>0</v>
      </c>
      <c r="L136" s="561">
        <f>'Database MK'!V137</f>
        <v>4014</v>
      </c>
      <c r="M136" s="561">
        <f>'Database MK'!W137</f>
        <v>2323.4</v>
      </c>
      <c r="N136" s="561">
        <f>Table3[[#This Row],[Total Panjang Pipa Aktual]]-Table3[[#This Row],[Volume
BA MC-0]]</f>
        <v>-1690.6</v>
      </c>
      <c r="O136" s="7" t="str">
        <f ca="1">'Database MK'!DE137</f>
        <v>Sudah, OnSchedule</v>
      </c>
      <c r="P136" s="7" t="str">
        <f ca="1">'Database MK'!DI137</f>
        <v>Sudah, OnSchedule</v>
      </c>
      <c r="Q136" s="7" t="str">
        <f ca="1">'Database MK'!DN137</f>
        <v>Sudah, Delay</v>
      </c>
      <c r="R136" s="7" t="str">
        <f ca="1">'Database MK'!DR137</f>
        <v>Sudah, Delay</v>
      </c>
      <c r="S136" s="7" t="str">
        <f ca="1">'Database MK'!EA137</f>
        <v>Sudah, Delay</v>
      </c>
      <c r="T136" s="7" t="str">
        <f ca="1">'Database MK'!EI137</f>
        <v>Sudah, Delay</v>
      </c>
      <c r="U136" s="7" t="str">
        <f ca="1">'Database MK'!ET137</f>
        <v>Sudah, Delay</v>
      </c>
      <c r="V136" s="7" t="str">
        <f ca="1">'Database MK'!GA137</f>
        <v>Sudah, Delay</v>
      </c>
      <c r="W136" s="7" t="str">
        <f ca="1">'Database MK'!GD137</f>
        <v>Sudah, OnSchedule</v>
      </c>
      <c r="X136" s="7" t="str">
        <f ca="1">'Database MK'!GG137</f>
        <v>Sudah, OnSchedule</v>
      </c>
      <c r="Y136" s="7" t="str">
        <f ca="1">'Database MK'!GK137</f>
        <v>Sudah, OnSchedule</v>
      </c>
      <c r="Z136" s="7" t="str">
        <f ca="1">'Database MK'!HH137</f>
        <v>Sudah, Delay</v>
      </c>
      <c r="AA136" s="7" t="str">
        <f ca="1">'Database MK'!HR137</f>
        <v>Sudah, Delay</v>
      </c>
      <c r="AB136" s="7" t="str">
        <f ca="1">'Database MK'!HX137</f>
        <v>Sudah, Delay</v>
      </c>
      <c r="AC136" s="7">
        <f>'Database MK'!DA137-'Database MK'!DB137</f>
        <v>26</v>
      </c>
      <c r="AD136" s="7">
        <f>'Database MK'!DA137-'Database MK'!DF137</f>
        <v>19</v>
      </c>
      <c r="AE136" s="7">
        <f>'Database MK'!DK137-'Database MK'!DL137</f>
        <v>-319</v>
      </c>
      <c r="AF136" s="7">
        <f>'Database MK'!DK137-'Database MK'!DO137</f>
        <v>-337</v>
      </c>
      <c r="AG136" s="7">
        <f>'Database MK'!DU137-'Database MK'!DW137</f>
        <v>-394</v>
      </c>
      <c r="AH136" s="7">
        <f>IF('Database MK'!EB137="","Belum",'Database MK'!DU137-'Database MK'!EB137)</f>
        <v>-396</v>
      </c>
      <c r="AI136" s="7">
        <f>IF('Database MK'!EN137="","Belum",'Database MK'!EL137-'Database MK'!EN137)</f>
        <v>-340</v>
      </c>
      <c r="AJ136" s="7">
        <f>'Database MK'!FY137-'Database MK'!FZ137</f>
        <v>-45582</v>
      </c>
      <c r="AK136" s="7">
        <f>IF('Database MK'!GC137="","Belum",'Database MK'!GB137-'Database MK'!GC137)</f>
        <v>32</v>
      </c>
      <c r="AL136" s="7">
        <f>IF('Database MK'!GF137="","Belum",'Database MK'!GE137-'Database MK'!GF137)</f>
        <v>39</v>
      </c>
      <c r="AM136" s="279">
        <f>IF('Database MK'!GJ137="","Belum",'Database MK'!GI137-'Database MK'!GJ137)</f>
        <v>39</v>
      </c>
      <c r="AN136" s="7">
        <f>IF('Database MK'!HG137="","Belum",'Database MK'!HF137-'Database MK'!HG137)</f>
        <v>-211</v>
      </c>
      <c r="AO136" s="7">
        <f>IF('Database MK'!HQ137="","Belum",'Database MK'!HN137-'Database MK'!HQ137)</f>
        <v>-216</v>
      </c>
      <c r="AP136" s="7">
        <f>IF('Database MK'!HW137="","Belum",'Database MK'!HU137-'Database MK'!HW137)</f>
        <v>-224</v>
      </c>
    </row>
    <row r="137" spans="2:42" hidden="1" x14ac:dyDescent="0.25">
      <c r="B137" s="7">
        <f>SUBTOTAL(3,$C$4:C137)</f>
        <v>74</v>
      </c>
      <c r="C137" s="4" t="s">
        <v>629</v>
      </c>
      <c r="D137" s="4" t="s">
        <v>961</v>
      </c>
      <c r="E137" s="4" t="s">
        <v>962</v>
      </c>
      <c r="F137" s="270">
        <v>45931</v>
      </c>
      <c r="G137" s="4" t="s">
        <v>247</v>
      </c>
      <c r="H137" s="4" t="str">
        <f ca="1">'Database MK'!Q138</f>
        <v>DPPP</v>
      </c>
      <c r="I137" s="24">
        <f>'Database MK'!S138</f>
        <v>1</v>
      </c>
      <c r="J137" s="24">
        <f>'Database MK'!T138</f>
        <v>1</v>
      </c>
      <c r="K137" s="571">
        <f>'Database MK'!U138</f>
        <v>0</v>
      </c>
      <c r="L137" s="561">
        <f>'Database MK'!V138</f>
        <v>6415</v>
      </c>
      <c r="M137" s="561">
        <f>'Database MK'!W138</f>
        <v>5544.1</v>
      </c>
      <c r="N137" s="561">
        <f>Table3[[#This Row],[Total Panjang Pipa Aktual]]-Table3[[#This Row],[Volume
BA MC-0]]</f>
        <v>-870.89999999999964</v>
      </c>
      <c r="O137" s="7" t="str">
        <f ca="1">'Database MK'!DE138</f>
        <v>Sudah, OnSchedule</v>
      </c>
      <c r="P137" s="7" t="str">
        <f ca="1">'Database MK'!DI138</f>
        <v>Sudah, OnSchedule</v>
      </c>
      <c r="Q137" s="7" t="str">
        <f ca="1">'Database MK'!DN138</f>
        <v>Sudah, Delay</v>
      </c>
      <c r="R137" s="7" t="str">
        <f ca="1">'Database MK'!DR138</f>
        <v>Sudah, Delay</v>
      </c>
      <c r="S137" s="7" t="str">
        <f ca="1">'Database MK'!EA138</f>
        <v>Sudah, Delay</v>
      </c>
      <c r="T137" s="7" t="str">
        <f ca="1">'Database MK'!EI138</f>
        <v>Sudah, Delay</v>
      </c>
      <c r="U137" s="7" t="str">
        <f ca="1">'Database MK'!ET138</f>
        <v>Sudah, Delay</v>
      </c>
      <c r="V137" s="7" t="str">
        <f ca="1">'Database MK'!GA138</f>
        <v>Sudah, Delay</v>
      </c>
      <c r="W137" s="7" t="str">
        <f ca="1">'Database MK'!GD138</f>
        <v>Sudah, Delay</v>
      </c>
      <c r="X137" s="7" t="str">
        <f ca="1">'Database MK'!GG138</f>
        <v>Sudah, OnSchedule</v>
      </c>
      <c r="Y137" s="7" t="str">
        <f ca="1">'Database MK'!GK138</f>
        <v>Sudah, Delay</v>
      </c>
      <c r="Z137" s="7" t="str">
        <f ca="1">'Database MK'!HH138</f>
        <v>Sudah, Delay</v>
      </c>
      <c r="AA137" s="7" t="str">
        <f ca="1">'Database MK'!HR138</f>
        <v>Sudah, Delay</v>
      </c>
      <c r="AB137" s="7" t="str">
        <f ca="1">'Database MK'!HX138</f>
        <v>Sudah, Delay</v>
      </c>
      <c r="AC137" s="7">
        <f>'Database MK'!DA138-'Database MK'!DB138</f>
        <v>26</v>
      </c>
      <c r="AD137" s="7">
        <f>'Database MK'!DA138-'Database MK'!DF138</f>
        <v>23</v>
      </c>
      <c r="AE137" s="7">
        <f>'Database MK'!DK138-'Database MK'!DL138</f>
        <v>-319</v>
      </c>
      <c r="AF137" s="7">
        <f>'Database MK'!DK138-'Database MK'!DO138</f>
        <v>-338</v>
      </c>
      <c r="AG137" s="7">
        <f>'Database MK'!DU138-'Database MK'!DW138</f>
        <v>-347</v>
      </c>
      <c r="AH137" s="7">
        <f>IF('Database MK'!EB138="","Belum",'Database MK'!DU138-'Database MK'!EB138)</f>
        <v>-381</v>
      </c>
      <c r="AI137" s="7">
        <f>IF('Database MK'!EN138="","Belum",'Database MK'!EL138-'Database MK'!EN138)</f>
        <v>-390</v>
      </c>
      <c r="AJ137" s="7">
        <f>'Database MK'!FY138-'Database MK'!FZ138</f>
        <v>-45582</v>
      </c>
      <c r="AK137" s="7">
        <f>IF('Database MK'!GC138="","Belum",'Database MK'!GB138-'Database MK'!GC138)</f>
        <v>-6</v>
      </c>
      <c r="AL137" s="7">
        <f>IF('Database MK'!GF138="","Belum",'Database MK'!GE138-'Database MK'!GF138)</f>
        <v>1</v>
      </c>
      <c r="AM137" s="279">
        <f>IF('Database MK'!GJ138="","Belum",'Database MK'!GI138-'Database MK'!GJ138)</f>
        <v>-15</v>
      </c>
      <c r="AN137" s="7">
        <f>IF('Database MK'!HG138="","Belum",'Database MK'!HF138-'Database MK'!HG138)</f>
        <v>-138</v>
      </c>
      <c r="AO137" s="7">
        <f>IF('Database MK'!HQ138="","Belum",'Database MK'!HN138-'Database MK'!HQ138)</f>
        <v>-140</v>
      </c>
      <c r="AP137" s="7">
        <f>IF('Database MK'!HW138="","Belum",'Database MK'!HU138-'Database MK'!HW138)</f>
        <v>-134</v>
      </c>
    </row>
    <row r="138" spans="2:42" hidden="1" x14ac:dyDescent="0.25">
      <c r="B138" s="7">
        <f>SUBTOTAL(3,$C$4:C138)</f>
        <v>74</v>
      </c>
      <c r="C138" s="4" t="s">
        <v>629</v>
      </c>
      <c r="D138" s="4" t="s">
        <v>969</v>
      </c>
      <c r="E138" s="4" t="s">
        <v>970</v>
      </c>
      <c r="F138" s="270">
        <v>45931</v>
      </c>
      <c r="G138" s="4" t="s">
        <v>247</v>
      </c>
      <c r="H138" s="4" t="str">
        <f ca="1">'Database MK'!Q139</f>
        <v>DPPP</v>
      </c>
      <c r="I138" s="24">
        <f>'Database MK'!S139</f>
        <v>1</v>
      </c>
      <c r="J138" s="24">
        <f>'Database MK'!T139</f>
        <v>1</v>
      </c>
      <c r="K138" s="571">
        <f>'Database MK'!U139</f>
        <v>0</v>
      </c>
      <c r="L138" s="561">
        <f>'Database MK'!V139</f>
        <v>11861</v>
      </c>
      <c r="M138" s="561">
        <f>'Database MK'!W139</f>
        <v>11088.6</v>
      </c>
      <c r="N138" s="561">
        <f>Table3[[#This Row],[Total Panjang Pipa Aktual]]-Table3[[#This Row],[Volume
BA MC-0]]</f>
        <v>-772.39999999999964</v>
      </c>
      <c r="O138" s="7" t="str">
        <f ca="1">'Database MK'!DE139</f>
        <v>Sudah, OnSchedule</v>
      </c>
      <c r="P138" s="7" t="str">
        <f ca="1">'Database MK'!DI139</f>
        <v>Sudah, OnSchedule</v>
      </c>
      <c r="Q138" s="7" t="str">
        <f ca="1">'Database MK'!DN139</f>
        <v>Sudah, OnSchedule</v>
      </c>
      <c r="R138" s="7" t="str">
        <f ca="1">'Database MK'!DR139</f>
        <v>Sudah, Delay</v>
      </c>
      <c r="S138" s="7" t="str">
        <f ca="1">'Database MK'!EA139</f>
        <v>Sudah, Delay</v>
      </c>
      <c r="T138" s="7" t="str">
        <f ca="1">'Database MK'!EI139</f>
        <v>Sudah, Delay</v>
      </c>
      <c r="U138" s="7" t="str">
        <f ca="1">'Database MK'!ET139</f>
        <v>Sudah, Delay</v>
      </c>
      <c r="V138" s="7" t="str">
        <f ca="1">'Database MK'!GA139</f>
        <v>Sudah, Delay</v>
      </c>
      <c r="W138" s="7" t="str">
        <f ca="1">'Database MK'!GD139</f>
        <v>Sudah, Delay</v>
      </c>
      <c r="X138" s="7" t="str">
        <f ca="1">'Database MK'!GG139</f>
        <v>Sudah, OnSchedule</v>
      </c>
      <c r="Y138" s="7" t="str">
        <f ca="1">'Database MK'!GK139</f>
        <v>Sudah, Delay</v>
      </c>
      <c r="Z138" s="7" t="str">
        <f ca="1">'Database MK'!HH139</f>
        <v>Sudah, Delay</v>
      </c>
      <c r="AA138" s="7" t="str">
        <f ca="1">'Database MK'!HR139</f>
        <v>Sudah, Delay</v>
      </c>
      <c r="AB138" s="7" t="str">
        <f ca="1">'Database MK'!HX139</f>
        <v>Sudah, Delay</v>
      </c>
      <c r="AC138" s="7">
        <f>'Database MK'!DA139-'Database MK'!DB139</f>
        <v>26</v>
      </c>
      <c r="AD138" s="7">
        <f>'Database MK'!DA139-'Database MK'!DF139</f>
        <v>19</v>
      </c>
      <c r="AE138" s="7">
        <f>'Database MK'!DK139-'Database MK'!DL139</f>
        <v>9</v>
      </c>
      <c r="AF138" s="7">
        <f>'Database MK'!DK139-'Database MK'!DO139</f>
        <v>-10</v>
      </c>
      <c r="AG138" s="7">
        <f>'Database MK'!DU139-'Database MK'!DW139</f>
        <v>-393</v>
      </c>
      <c r="AH138" s="7">
        <f>IF('Database MK'!EB139="","Belum",'Database MK'!DU139-'Database MK'!EB139)</f>
        <v>-396</v>
      </c>
      <c r="AI138" s="7">
        <f>IF('Database MK'!EN139="","Belum",'Database MK'!EL139-'Database MK'!EN139)</f>
        <v>-390</v>
      </c>
      <c r="AJ138" s="7">
        <f>'Database MK'!FY139-'Database MK'!FZ139</f>
        <v>-45582</v>
      </c>
      <c r="AK138" s="7">
        <f>IF('Database MK'!GC139="","Belum",'Database MK'!GB139-'Database MK'!GC139)</f>
        <v>-6</v>
      </c>
      <c r="AL138" s="7">
        <f>IF('Database MK'!GF139="","Belum",'Database MK'!GE139-'Database MK'!GF139)</f>
        <v>1</v>
      </c>
      <c r="AM138" s="279">
        <f>IF('Database MK'!GJ139="","Belum",'Database MK'!GI139-'Database MK'!GJ139)</f>
        <v>-16</v>
      </c>
      <c r="AN138" s="7">
        <f>IF('Database MK'!HG139="","Belum",'Database MK'!HF139-'Database MK'!HG139)</f>
        <v>-234</v>
      </c>
      <c r="AO138" s="7">
        <f>IF('Database MK'!HQ139="","Belum",'Database MK'!HN139-'Database MK'!HQ139)</f>
        <v>-222</v>
      </c>
      <c r="AP138" s="7">
        <f>IF('Database MK'!HW139="","Belum",'Database MK'!HU139-'Database MK'!HW139)</f>
        <v>-224</v>
      </c>
    </row>
    <row r="139" spans="2:42" hidden="1" x14ac:dyDescent="0.25">
      <c r="B139" s="7">
        <f>SUBTOTAL(3,$C$4:C139)</f>
        <v>74</v>
      </c>
      <c r="C139" s="4" t="s">
        <v>629</v>
      </c>
      <c r="D139" s="4" t="s">
        <v>978</v>
      </c>
      <c r="E139" s="4" t="s">
        <v>979</v>
      </c>
      <c r="F139" s="270">
        <v>45931</v>
      </c>
      <c r="G139" s="4" t="s">
        <v>247</v>
      </c>
      <c r="H139" s="4" t="str">
        <f ca="1">'Database MK'!Q140</f>
        <v>DPPP</v>
      </c>
      <c r="I139" s="24">
        <f>'Database MK'!S140</f>
        <v>1</v>
      </c>
      <c r="J139" s="24">
        <f>'Database MK'!T140</f>
        <v>1</v>
      </c>
      <c r="K139" s="571">
        <f>'Database MK'!U140</f>
        <v>0</v>
      </c>
      <c r="L139" s="561">
        <f>'Database MK'!V140</f>
        <v>18170</v>
      </c>
      <c r="M139" s="561">
        <f>'Database MK'!W140</f>
        <v>16501</v>
      </c>
      <c r="N139" s="561">
        <f>Table3[[#This Row],[Total Panjang Pipa Aktual]]-Table3[[#This Row],[Volume
BA MC-0]]</f>
        <v>-1669</v>
      </c>
      <c r="O139" s="7" t="str">
        <f ca="1">'Database MK'!DE140</f>
        <v>Sudah, OnSchedule</v>
      </c>
      <c r="P139" s="7" t="str">
        <f ca="1">'Database MK'!DI140</f>
        <v>Sudah, OnSchedule</v>
      </c>
      <c r="Q139" s="7" t="str">
        <f ca="1">'Database MK'!DN140</f>
        <v>Sudah, Delay</v>
      </c>
      <c r="R139" s="7" t="str">
        <f ca="1">'Database MK'!DR140</f>
        <v>Sudah, Delay</v>
      </c>
      <c r="S139" s="7" t="str">
        <f ca="1">'Database MK'!EA140</f>
        <v>Sudah, Delay</v>
      </c>
      <c r="T139" s="7" t="str">
        <f ca="1">'Database MK'!EI140</f>
        <v>Sudah, Delay</v>
      </c>
      <c r="U139" s="7" t="str">
        <f ca="1">'Database MK'!ET140</f>
        <v>Sudah, Delay</v>
      </c>
      <c r="V139" s="7" t="str">
        <f ca="1">'Database MK'!GA140</f>
        <v>Sudah, Delay</v>
      </c>
      <c r="W139" s="7" t="str">
        <f ca="1">'Database MK'!GD140</f>
        <v>Sudah, Delay</v>
      </c>
      <c r="X139" s="7" t="str">
        <f ca="1">'Database MK'!GG140</f>
        <v>Sudah, OnSchedule</v>
      </c>
      <c r="Y139" s="7" t="str">
        <f ca="1">'Database MK'!GK140</f>
        <v>Sudah, OnSchedule</v>
      </c>
      <c r="Z139" s="7" t="str">
        <f ca="1">'Database MK'!HH140</f>
        <v>Sudah, Delay</v>
      </c>
      <c r="AA139" s="7" t="str">
        <f ca="1">'Database MK'!HR140</f>
        <v>Sudah, Delay</v>
      </c>
      <c r="AB139" s="7" t="str">
        <f ca="1">'Database MK'!HX140</f>
        <v>Sudah, Delay</v>
      </c>
      <c r="AC139" s="7">
        <f>'Database MK'!DA140-'Database MK'!DB140</f>
        <v>26</v>
      </c>
      <c r="AD139" s="7">
        <f>'Database MK'!DA140-'Database MK'!DF140</f>
        <v>23</v>
      </c>
      <c r="AE139" s="7">
        <f>'Database MK'!DK140-'Database MK'!DL140</f>
        <v>-319</v>
      </c>
      <c r="AF139" s="7">
        <f>'Database MK'!DK140-'Database MK'!DO140</f>
        <v>-337</v>
      </c>
      <c r="AG139" s="7">
        <f>'Database MK'!DU140-'Database MK'!DW140</f>
        <v>-374</v>
      </c>
      <c r="AH139" s="7">
        <f>IF('Database MK'!EB140="","Belum",'Database MK'!DU140-'Database MK'!EB140)</f>
        <v>-394</v>
      </c>
      <c r="AI139" s="7">
        <f>IF('Database MK'!EN140="","Belum",'Database MK'!EL140-'Database MK'!EN140)</f>
        <v>-437</v>
      </c>
      <c r="AJ139" s="7">
        <f>'Database MK'!FY140-'Database MK'!FZ140</f>
        <v>-45582</v>
      </c>
      <c r="AK139" s="7">
        <f>IF('Database MK'!GC140="","Belum",'Database MK'!GB140-'Database MK'!GC140)</f>
        <v>-6</v>
      </c>
      <c r="AL139" s="7">
        <f>IF('Database MK'!GF140="","Belum",'Database MK'!GE140-'Database MK'!GF140)</f>
        <v>1</v>
      </c>
      <c r="AM139" s="279">
        <f>IF('Database MK'!GJ140="","Belum",'Database MK'!GI140-'Database MK'!GJ140)</f>
        <v>2</v>
      </c>
      <c r="AN139" s="7">
        <f>IF('Database MK'!HG140="","Belum",'Database MK'!HF140-'Database MK'!HG140)</f>
        <v>-208</v>
      </c>
      <c r="AO139" s="7">
        <f>IF('Database MK'!HQ140="","Belum",'Database MK'!HN140-'Database MK'!HQ140)</f>
        <v>-213</v>
      </c>
      <c r="AP139" s="7">
        <f>IF('Database MK'!HW140="","Belum",'Database MK'!HU140-'Database MK'!HW140)</f>
        <v>-225</v>
      </c>
    </row>
    <row r="140" spans="2:42" hidden="1" x14ac:dyDescent="0.25">
      <c r="B140" s="7">
        <f>SUBTOTAL(3,$C$4:C140)</f>
        <v>74</v>
      </c>
      <c r="C140" s="4" t="s">
        <v>629</v>
      </c>
      <c r="D140" s="4" t="s">
        <v>987</v>
      </c>
      <c r="E140" s="4" t="s">
        <v>988</v>
      </c>
      <c r="F140" s="270">
        <v>45931</v>
      </c>
      <c r="G140" s="4" t="s">
        <v>247</v>
      </c>
      <c r="H140" s="4" t="str">
        <f ca="1">'Database MK'!Q141</f>
        <v>DPPP</v>
      </c>
      <c r="I140" s="24">
        <f>'Database MK'!S141</f>
        <v>1</v>
      </c>
      <c r="J140" s="24">
        <f>'Database MK'!T141</f>
        <v>1</v>
      </c>
      <c r="K140" s="571">
        <f>'Database MK'!U141</f>
        <v>0</v>
      </c>
      <c r="L140" s="561">
        <f>'Database MK'!V141</f>
        <v>11233</v>
      </c>
      <c r="M140" s="561">
        <f>'Database MK'!W141</f>
        <v>8788.7000000000007</v>
      </c>
      <c r="N140" s="561">
        <f>Table3[[#This Row],[Total Panjang Pipa Aktual]]-Table3[[#This Row],[Volume
BA MC-0]]</f>
        <v>-2444.2999999999993</v>
      </c>
      <c r="O140" s="7" t="str">
        <f ca="1">'Database MK'!DE141</f>
        <v>Sudah, OnSchedule</v>
      </c>
      <c r="P140" s="7" t="str">
        <f ca="1">'Database MK'!DI141</f>
        <v>Sudah, OnSchedule</v>
      </c>
      <c r="Q140" s="7" t="str">
        <f ca="1">'Database MK'!DN141</f>
        <v>Sudah, OnSchedule</v>
      </c>
      <c r="R140" s="7" t="str">
        <f ca="1">'Database MK'!DR141</f>
        <v>Sudah, Delay</v>
      </c>
      <c r="S140" s="7" t="str">
        <f ca="1">'Database MK'!EA141</f>
        <v>Sudah, Delay</v>
      </c>
      <c r="T140" s="7" t="str">
        <f ca="1">'Database MK'!EI141</f>
        <v>Sudah, Delay</v>
      </c>
      <c r="U140" s="7" t="str">
        <f ca="1">'Database MK'!ET141</f>
        <v>Sudah, Delay</v>
      </c>
      <c r="V140" s="7" t="str">
        <f ca="1">'Database MK'!GA141</f>
        <v>Sudah, Delay</v>
      </c>
      <c r="W140" s="7" t="str">
        <f ca="1">'Database MK'!GD141</f>
        <v>Sudah, Delay</v>
      </c>
      <c r="X140" s="7" t="str">
        <f ca="1">'Database MK'!GG141</f>
        <v>Sudah, OnSchedule</v>
      </c>
      <c r="Y140" s="7" t="str">
        <f ca="1">'Database MK'!GK141</f>
        <v>Sudah, OnSchedule</v>
      </c>
      <c r="Z140" s="7" t="str">
        <f ca="1">'Database MK'!HH141</f>
        <v>Sudah, Delay</v>
      </c>
      <c r="AA140" s="7" t="str">
        <f ca="1">'Database MK'!HR141</f>
        <v>Sudah, Delay</v>
      </c>
      <c r="AB140" s="7" t="str">
        <f ca="1">'Database MK'!HX141</f>
        <v>Sudah, Delay</v>
      </c>
      <c r="AC140" s="7">
        <f>'Database MK'!DA141-'Database MK'!DB141</f>
        <v>26</v>
      </c>
      <c r="AD140" s="7">
        <f>'Database MK'!DA141-'Database MK'!DF141</f>
        <v>23</v>
      </c>
      <c r="AE140" s="7">
        <f>'Database MK'!DK141-'Database MK'!DL141</f>
        <v>2</v>
      </c>
      <c r="AF140" s="7">
        <f>'Database MK'!DK141-'Database MK'!DO141</f>
        <v>-8</v>
      </c>
      <c r="AG140" s="7">
        <f>'Database MK'!DU141-'Database MK'!DW141</f>
        <v>-226</v>
      </c>
      <c r="AH140" s="7">
        <f>IF('Database MK'!EB141="","Belum",'Database MK'!DU141-'Database MK'!EB141)</f>
        <v>-366</v>
      </c>
      <c r="AI140" s="7">
        <f>IF('Database MK'!EN141="","Belum",'Database MK'!EL141-'Database MK'!EN141)</f>
        <v>-437</v>
      </c>
      <c r="AJ140" s="7">
        <f>'Database MK'!FY141-'Database MK'!FZ141</f>
        <v>-45582</v>
      </c>
      <c r="AK140" s="7">
        <f>IF('Database MK'!GC141="","Belum",'Database MK'!GB141-'Database MK'!GC141)</f>
        <v>-6</v>
      </c>
      <c r="AL140" s="7">
        <f>IF('Database MK'!GF141="","Belum",'Database MK'!GE141-'Database MK'!GF141)</f>
        <v>1</v>
      </c>
      <c r="AM140" s="279">
        <f>IF('Database MK'!GJ141="","Belum",'Database MK'!GI141-'Database MK'!GJ141)</f>
        <v>5</v>
      </c>
      <c r="AN140" s="7">
        <f>IF('Database MK'!HG141="","Belum",'Database MK'!HF141-'Database MK'!HG141)</f>
        <v>-185</v>
      </c>
      <c r="AO140" s="7">
        <f>IF('Database MK'!HQ141="","Belum",'Database MK'!HN141-'Database MK'!HQ141)</f>
        <v>-189</v>
      </c>
      <c r="AP140" s="7">
        <f>IF('Database MK'!HW141="","Belum",'Database MK'!HU141-'Database MK'!HW141)</f>
        <v>-224</v>
      </c>
    </row>
    <row r="141" spans="2:42" hidden="1" x14ac:dyDescent="0.25">
      <c r="B141" s="7">
        <f>SUBTOTAL(3,$C$4:C141)</f>
        <v>74</v>
      </c>
      <c r="C141" s="4" t="s">
        <v>629</v>
      </c>
      <c r="D141" s="4" t="s">
        <v>996</v>
      </c>
      <c r="E141" s="4" t="s">
        <v>997</v>
      </c>
      <c r="F141" s="270">
        <v>45931</v>
      </c>
      <c r="G141" s="4" t="s">
        <v>247</v>
      </c>
      <c r="H141" s="4" t="str">
        <f ca="1">'Database MK'!Q142</f>
        <v>DPPP</v>
      </c>
      <c r="I141" s="24">
        <f>'Database MK'!S142</f>
        <v>1</v>
      </c>
      <c r="J141" s="24">
        <f>'Database MK'!T142</f>
        <v>1</v>
      </c>
      <c r="K141" s="571">
        <f>'Database MK'!U142</f>
        <v>0</v>
      </c>
      <c r="L141" s="561">
        <f>'Database MK'!V142</f>
        <v>14011</v>
      </c>
      <c r="M141" s="561">
        <f>'Database MK'!W142</f>
        <v>6139.2</v>
      </c>
      <c r="N141" s="561">
        <f>Table3[[#This Row],[Total Panjang Pipa Aktual]]-Table3[[#This Row],[Volume
BA MC-0]]</f>
        <v>-7871.8</v>
      </c>
      <c r="O141" s="7" t="str">
        <f ca="1">'Database MK'!DE142</f>
        <v>Sudah, OnSchedule</v>
      </c>
      <c r="P141" s="7" t="str">
        <f ca="1">'Database MK'!DI142</f>
        <v>Sudah, Delay</v>
      </c>
      <c r="Q141" s="7" t="str">
        <f ca="1">'Database MK'!DN142</f>
        <v>Sudah, OnSchedule</v>
      </c>
      <c r="R141" s="7" t="str">
        <f ca="1">'Database MK'!DR142</f>
        <v>Sudah, Delay</v>
      </c>
      <c r="S141" s="7" t="str">
        <f ca="1">'Database MK'!EA142</f>
        <v>Sudah, Delay</v>
      </c>
      <c r="T141" s="7" t="str">
        <f ca="1">'Database MK'!EI142</f>
        <v>Sudah, Delay</v>
      </c>
      <c r="U141" s="7" t="str">
        <f ca="1">'Database MK'!ET142</f>
        <v>Sudah, Delay</v>
      </c>
      <c r="V141" s="7" t="str">
        <f ca="1">'Database MK'!GA142</f>
        <v>Sudah, Delay</v>
      </c>
      <c r="W141" s="7" t="str">
        <f ca="1">'Database MK'!GD142</f>
        <v>Sudah, Delay</v>
      </c>
      <c r="X141" s="7" t="str">
        <f ca="1">'Database MK'!GG142</f>
        <v>Sudah, OnSchedule</v>
      </c>
      <c r="Y141" s="7" t="str">
        <f ca="1">'Database MK'!GK142</f>
        <v>Sudah, Delay</v>
      </c>
      <c r="Z141" s="7" t="str">
        <f ca="1">'Database MK'!HH142</f>
        <v>Sudah, Delay</v>
      </c>
      <c r="AA141" s="7" t="str">
        <f ca="1">'Database MK'!HR142</f>
        <v>Sudah, Delay</v>
      </c>
      <c r="AB141" s="7" t="str">
        <f ca="1">'Database MK'!HX142</f>
        <v>Sudah, Delay</v>
      </c>
      <c r="AC141" s="7">
        <f>'Database MK'!DA142-'Database MK'!DB142</f>
        <v>4</v>
      </c>
      <c r="AD141" s="7">
        <f>'Database MK'!DA142-'Database MK'!DF142</f>
        <v>-9</v>
      </c>
      <c r="AE141" s="7">
        <f>'Database MK'!DK142-'Database MK'!DL142</f>
        <v>1</v>
      </c>
      <c r="AF141" s="7">
        <f>'Database MK'!DK142-'Database MK'!DO142</f>
        <v>-8</v>
      </c>
      <c r="AG141" s="7">
        <f>'Database MK'!DU142-'Database MK'!DW142</f>
        <v>-102</v>
      </c>
      <c r="AH141" s="7">
        <f>IF('Database MK'!EB142="","Belum",'Database MK'!DU142-'Database MK'!EB142)</f>
        <v>-214</v>
      </c>
      <c r="AI141" s="7">
        <f>IF('Database MK'!EN142="","Belum",'Database MK'!EL142-'Database MK'!EN142)</f>
        <v>-222</v>
      </c>
      <c r="AJ141" s="7">
        <f>'Database MK'!FY142-'Database MK'!FZ142</f>
        <v>-45582</v>
      </c>
      <c r="AK141" s="7">
        <f>IF('Database MK'!GC142="","Belum",'Database MK'!GB142-'Database MK'!GC142)</f>
        <v>-6</v>
      </c>
      <c r="AL141" s="7">
        <f>IF('Database MK'!GF142="","Belum",'Database MK'!GE142-'Database MK'!GF142)</f>
        <v>1</v>
      </c>
      <c r="AM141" s="279">
        <f>IF('Database MK'!GJ142="","Belum",'Database MK'!GI142-'Database MK'!GJ142)</f>
        <v>-1</v>
      </c>
      <c r="AN141" s="7">
        <f>IF('Database MK'!HG142="","Belum",'Database MK'!HF142-'Database MK'!HG142)</f>
        <v>-148</v>
      </c>
      <c r="AO141" s="7">
        <f>IF('Database MK'!HQ142="","Belum",'Database MK'!HN142-'Database MK'!HQ142)</f>
        <v>-140</v>
      </c>
      <c r="AP141" s="7">
        <f>IF('Database MK'!HW142="","Belum",'Database MK'!HU142-'Database MK'!HW142)</f>
        <v>-134</v>
      </c>
    </row>
    <row r="142" spans="2:42" hidden="1" x14ac:dyDescent="0.25">
      <c r="B142" s="7">
        <f>SUBTOTAL(3,$C$4:C142)</f>
        <v>74</v>
      </c>
      <c r="C142" s="4" t="s">
        <v>629</v>
      </c>
      <c r="D142" s="4" t="s">
        <v>1005</v>
      </c>
      <c r="E142" s="4" t="s">
        <v>1006</v>
      </c>
      <c r="F142" s="270">
        <v>45931</v>
      </c>
      <c r="G142" s="4" t="s">
        <v>247</v>
      </c>
      <c r="H142" s="4" t="str">
        <f ca="1">'Database MK'!Q143</f>
        <v>DPPP</v>
      </c>
      <c r="I142" s="24">
        <f>'Database MK'!S143</f>
        <v>1</v>
      </c>
      <c r="J142" s="24">
        <f>'Database MK'!T143</f>
        <v>1</v>
      </c>
      <c r="K142" s="571">
        <f>'Database MK'!U143</f>
        <v>0</v>
      </c>
      <c r="L142" s="561">
        <f>'Database MK'!V143</f>
        <v>9781</v>
      </c>
      <c r="M142" s="561">
        <f>'Database MK'!W143</f>
        <v>7185.5999999999995</v>
      </c>
      <c r="N142" s="561">
        <f>Table3[[#This Row],[Total Panjang Pipa Aktual]]-Table3[[#This Row],[Volume
BA MC-0]]</f>
        <v>-2595.4000000000005</v>
      </c>
      <c r="O142" s="7" t="str">
        <f ca="1">'Database MK'!DE143</f>
        <v>Sudah, OnSchedule</v>
      </c>
      <c r="P142" s="7" t="str">
        <f ca="1">'Database MK'!DI143</f>
        <v>Sudah, Delay</v>
      </c>
      <c r="Q142" s="7" t="str">
        <f ca="1">'Database MK'!DN143</f>
        <v>Sudah, OnSchedule</v>
      </c>
      <c r="R142" s="7" t="str">
        <f ca="1">'Database MK'!DR143</f>
        <v>Sudah, Delay</v>
      </c>
      <c r="S142" s="7" t="str">
        <f ca="1">'Database MK'!EA143</f>
        <v>Sudah, Delay</v>
      </c>
      <c r="T142" s="7" t="str">
        <f ca="1">'Database MK'!EI143</f>
        <v>Sudah, Delay</v>
      </c>
      <c r="U142" s="7" t="str">
        <f ca="1">'Database MK'!ET143</f>
        <v>Sudah, Delay</v>
      </c>
      <c r="V142" s="7" t="str">
        <f ca="1">'Database MK'!GA143</f>
        <v>Sudah, Delay</v>
      </c>
      <c r="W142" s="7" t="str">
        <f ca="1">'Database MK'!GD143</f>
        <v>Sudah, Delay</v>
      </c>
      <c r="X142" s="7" t="str">
        <f ca="1">'Database MK'!GG143</f>
        <v>Sudah, OnSchedule</v>
      </c>
      <c r="Y142" s="7" t="str">
        <f ca="1">'Database MK'!GK143</f>
        <v>Sudah, Delay</v>
      </c>
      <c r="Z142" s="7" t="str">
        <f ca="1">'Database MK'!HH143</f>
        <v>Sudah, Delay</v>
      </c>
      <c r="AA142" s="7" t="str">
        <f ca="1">'Database MK'!HR143</f>
        <v>Sudah, Delay</v>
      </c>
      <c r="AB142" s="7" t="str">
        <f ca="1">'Database MK'!HX143</f>
        <v>Sudah, Delay</v>
      </c>
      <c r="AC142" s="7">
        <f>'Database MK'!DA143-'Database MK'!DB143</f>
        <v>4</v>
      </c>
      <c r="AD142" s="7">
        <f>'Database MK'!DA143-'Database MK'!DF143</f>
        <v>-9</v>
      </c>
      <c r="AE142" s="7">
        <f>'Database MK'!DK143-'Database MK'!DL143</f>
        <v>1</v>
      </c>
      <c r="AF142" s="7">
        <f>'Database MK'!DK143-'Database MK'!DO143</f>
        <v>-8</v>
      </c>
      <c r="AG142" s="7">
        <f>'Database MK'!DU143-'Database MK'!DW143</f>
        <v>-318</v>
      </c>
      <c r="AH142" s="7">
        <f>IF('Database MK'!EB143="","Belum",'Database MK'!DU143-'Database MK'!EB143)</f>
        <v>-338</v>
      </c>
      <c r="AI142" s="7">
        <f>IF('Database MK'!EN143="","Belum",'Database MK'!EL143-'Database MK'!EN143)</f>
        <v>-253</v>
      </c>
      <c r="AJ142" s="7">
        <f>'Database MK'!FY143-'Database MK'!FZ143</f>
        <v>-45582</v>
      </c>
      <c r="AK142" s="7">
        <f>IF('Database MK'!GC143="","Belum",'Database MK'!GB143-'Database MK'!GC143)</f>
        <v>-6</v>
      </c>
      <c r="AL142" s="7">
        <f>IF('Database MK'!GF143="","Belum",'Database MK'!GE143-'Database MK'!GF143)</f>
        <v>1</v>
      </c>
      <c r="AM142" s="279">
        <f>IF('Database MK'!GJ143="","Belum",'Database MK'!GI143-'Database MK'!GJ143)</f>
        <v>-2</v>
      </c>
      <c r="AN142" s="7">
        <f>IF('Database MK'!HG143="","Belum",'Database MK'!HF143-'Database MK'!HG143)</f>
        <v>-148</v>
      </c>
      <c r="AO142" s="7">
        <f>IF('Database MK'!HQ143="","Belum",'Database MK'!HN143-'Database MK'!HQ143)</f>
        <v>-140</v>
      </c>
      <c r="AP142" s="7">
        <f>IF('Database MK'!HW143="","Belum",'Database MK'!HU143-'Database MK'!HW143)</f>
        <v>-134</v>
      </c>
    </row>
    <row r="143" spans="2:42" hidden="1" x14ac:dyDescent="0.25">
      <c r="B143" s="7">
        <f>SUBTOTAL(3,$C$4:C143)</f>
        <v>74</v>
      </c>
      <c r="C143" s="4" t="s">
        <v>629</v>
      </c>
      <c r="D143" s="4" t="s">
        <v>1012</v>
      </c>
      <c r="E143" s="4" t="s">
        <v>1013</v>
      </c>
      <c r="F143" s="270">
        <v>45931</v>
      </c>
      <c r="G143" s="4" t="s">
        <v>247</v>
      </c>
      <c r="H143" s="4" t="str">
        <f ca="1">'Database MK'!Q144</f>
        <v>DPPP</v>
      </c>
      <c r="I143" s="24">
        <f>'Database MK'!S144</f>
        <v>1</v>
      </c>
      <c r="J143" s="24">
        <f>'Database MK'!T144</f>
        <v>1</v>
      </c>
      <c r="K143" s="571">
        <f>'Database MK'!U144</f>
        <v>0</v>
      </c>
      <c r="L143" s="561">
        <f>'Database MK'!V144</f>
        <v>12262</v>
      </c>
      <c r="M143" s="561">
        <f>'Database MK'!W144</f>
        <v>7078.3999999999987</v>
      </c>
      <c r="N143" s="561">
        <f>Table3[[#This Row],[Total Panjang Pipa Aktual]]-Table3[[#This Row],[Volume
BA MC-0]]</f>
        <v>-5183.6000000000013</v>
      </c>
      <c r="O143" s="7" t="str">
        <f ca="1">'Database MK'!DE144</f>
        <v>Sudah, OnSchedule</v>
      </c>
      <c r="P143" s="7" t="str">
        <f ca="1">'Database MK'!DI144</f>
        <v>Sudah, Delay</v>
      </c>
      <c r="Q143" s="7" t="str">
        <f ca="1">'Database MK'!DN144</f>
        <v>Sudah, OnSchedule</v>
      </c>
      <c r="R143" s="7" t="str">
        <f ca="1">'Database MK'!DR144</f>
        <v>Sudah, Delay</v>
      </c>
      <c r="S143" s="7" t="str">
        <f ca="1">'Database MK'!EA144</f>
        <v>Sudah, Delay</v>
      </c>
      <c r="T143" s="7" t="str">
        <f ca="1">'Database MK'!EI144</f>
        <v>Sudah, Delay</v>
      </c>
      <c r="U143" s="7" t="str">
        <f ca="1">'Database MK'!ET144</f>
        <v>Sudah, Delay</v>
      </c>
      <c r="V143" s="7" t="str">
        <f ca="1">'Database MK'!GA144</f>
        <v>Sudah, Delay</v>
      </c>
      <c r="W143" s="7" t="str">
        <f ca="1">'Database MK'!GD144</f>
        <v>Sudah, Delay</v>
      </c>
      <c r="X143" s="7" t="str">
        <f ca="1">'Database MK'!GG144</f>
        <v>Sudah, OnSchedule</v>
      </c>
      <c r="Y143" s="7" t="str">
        <f ca="1">'Database MK'!GK144</f>
        <v>Sudah, Delay</v>
      </c>
      <c r="Z143" s="7" t="str">
        <f ca="1">'Database MK'!HH144</f>
        <v>Sudah, Delay</v>
      </c>
      <c r="AA143" s="7" t="str">
        <f ca="1">'Database MK'!HR144</f>
        <v>Sudah, Delay</v>
      </c>
      <c r="AB143" s="7" t="str">
        <f ca="1">'Database MK'!HX144</f>
        <v>Sudah, Delay</v>
      </c>
      <c r="AC143" s="7">
        <f>'Database MK'!DA144-'Database MK'!DB144</f>
        <v>4</v>
      </c>
      <c r="AD143" s="7">
        <f>'Database MK'!DA144-'Database MK'!DF144</f>
        <v>-9</v>
      </c>
      <c r="AE143" s="7">
        <f>'Database MK'!DK144-'Database MK'!DL144</f>
        <v>10</v>
      </c>
      <c r="AF143" s="7">
        <f>'Database MK'!DK144-'Database MK'!DO144</f>
        <v>-8</v>
      </c>
      <c r="AG143" s="7">
        <f>'Database MK'!DU144-'Database MK'!DW144</f>
        <v>-400</v>
      </c>
      <c r="AH143" s="7">
        <f>IF('Database MK'!EB144="","Belum",'Database MK'!DU144-'Database MK'!EB144)</f>
        <v>-403</v>
      </c>
      <c r="AI143" s="7">
        <f>IF('Database MK'!EN144="","Belum",'Database MK'!EL144-'Database MK'!EN144)</f>
        <v>-319</v>
      </c>
      <c r="AJ143" s="7">
        <f>'Database MK'!FY144-'Database MK'!FZ144</f>
        <v>-45582</v>
      </c>
      <c r="AK143" s="7">
        <f>IF('Database MK'!GC144="","Belum",'Database MK'!GB144-'Database MK'!GC144)</f>
        <v>-6</v>
      </c>
      <c r="AL143" s="7">
        <f>IF('Database MK'!GF144="","Belum",'Database MK'!GE144-'Database MK'!GF144)</f>
        <v>1</v>
      </c>
      <c r="AM143" s="279">
        <f>IF('Database MK'!GJ144="","Belum",'Database MK'!GI144-'Database MK'!GJ144)</f>
        <v>-8</v>
      </c>
      <c r="AN143" s="7">
        <f>IF('Database MK'!HG144="","Belum",'Database MK'!HF144-'Database MK'!HG144)</f>
        <v>-152</v>
      </c>
      <c r="AO143" s="7">
        <f>IF('Database MK'!HQ144="","Belum",'Database MK'!HN144-'Database MK'!HQ144)</f>
        <v>-140</v>
      </c>
      <c r="AP143" s="7">
        <f>IF('Database MK'!HW144="","Belum",'Database MK'!HU144-'Database MK'!HW144)</f>
        <v>-134</v>
      </c>
    </row>
    <row r="144" spans="2:42" hidden="1" x14ac:dyDescent="0.25">
      <c r="B144" s="7">
        <f>SUBTOTAL(3,$C$4:C144)</f>
        <v>74</v>
      </c>
      <c r="C144" s="4" t="s">
        <v>629</v>
      </c>
      <c r="D144" s="4" t="s">
        <v>1021</v>
      </c>
      <c r="E144" s="4" t="s">
        <v>1022</v>
      </c>
      <c r="F144" s="270">
        <v>45931</v>
      </c>
      <c r="G144" s="4" t="s">
        <v>247</v>
      </c>
      <c r="H144" s="4" t="str">
        <f ca="1">'Database MK'!Q145</f>
        <v>DPPP</v>
      </c>
      <c r="I144" s="24">
        <f>'Database MK'!S145</f>
        <v>1</v>
      </c>
      <c r="J144" s="24">
        <f>'Database MK'!T145</f>
        <v>1</v>
      </c>
      <c r="K144" s="571">
        <f>'Database MK'!U145</f>
        <v>0</v>
      </c>
      <c r="L144" s="561">
        <f>'Database MK'!V145</f>
        <v>20459</v>
      </c>
      <c r="M144" s="561">
        <f>'Database MK'!W145</f>
        <v>14657</v>
      </c>
      <c r="N144" s="561">
        <f>Table3[[#This Row],[Total Panjang Pipa Aktual]]-Table3[[#This Row],[Volume
BA MC-0]]</f>
        <v>-5802</v>
      </c>
      <c r="O144" s="7" t="str">
        <f ca="1">'Database MK'!DE145</f>
        <v>Sudah, OnSchedule</v>
      </c>
      <c r="P144" s="7" t="str">
        <f ca="1">'Database MK'!DI145</f>
        <v>Sudah, Delay</v>
      </c>
      <c r="Q144" s="7" t="str">
        <f ca="1">'Database MK'!DN145</f>
        <v>Sudah, OnSchedule</v>
      </c>
      <c r="R144" s="7" t="str">
        <f ca="1">'Database MK'!DR145</f>
        <v>Sudah, Delay</v>
      </c>
      <c r="S144" s="7" t="str">
        <f ca="1">'Database MK'!EA145</f>
        <v>Sudah, Delay</v>
      </c>
      <c r="T144" s="7" t="str">
        <f ca="1">'Database MK'!EI145</f>
        <v>Sudah, Delay</v>
      </c>
      <c r="U144" s="7" t="str">
        <f ca="1">'Database MK'!ET145</f>
        <v>Sudah, Delay</v>
      </c>
      <c r="V144" s="7" t="str">
        <f ca="1">'Database MK'!GA145</f>
        <v>Sudah, Delay</v>
      </c>
      <c r="W144" s="7" t="str">
        <f ca="1">'Database MK'!GD145</f>
        <v>Sudah, Delay</v>
      </c>
      <c r="X144" s="7" t="str">
        <f ca="1">'Database MK'!GG145</f>
        <v>Sudah, OnSchedule</v>
      </c>
      <c r="Y144" s="7" t="str">
        <f ca="1">'Database MK'!GK145</f>
        <v>Sudah, Delay</v>
      </c>
      <c r="Z144" s="7" t="str">
        <f ca="1">'Database MK'!HH145</f>
        <v>Sudah, Delay</v>
      </c>
      <c r="AA144" s="7" t="str">
        <f ca="1">'Database MK'!HR145</f>
        <v>Sudah, Delay</v>
      </c>
      <c r="AB144" s="7" t="str">
        <f ca="1">'Database MK'!HX145</f>
        <v>Sudah, Delay</v>
      </c>
      <c r="AC144" s="7">
        <f>'Database MK'!DA145-'Database MK'!DB145</f>
        <v>4</v>
      </c>
      <c r="AD144" s="7">
        <f>'Database MK'!DA145-'Database MK'!DF145</f>
        <v>-9</v>
      </c>
      <c r="AE144" s="7">
        <f>'Database MK'!DK145-'Database MK'!DL145</f>
        <v>1</v>
      </c>
      <c r="AF144" s="7">
        <f>'Database MK'!DK145-'Database MK'!DO145</f>
        <v>-8</v>
      </c>
      <c r="AG144" s="7">
        <f>'Database MK'!DU145-'Database MK'!DW145</f>
        <v>-373</v>
      </c>
      <c r="AH144" s="7">
        <f>IF('Database MK'!EB145="","Belum",'Database MK'!DU145-'Database MK'!EB145)</f>
        <v>-374</v>
      </c>
      <c r="AI144" s="7">
        <f>IF('Database MK'!EN145="","Belum",'Database MK'!EL145-'Database MK'!EN145)</f>
        <v>-208</v>
      </c>
      <c r="AJ144" s="7">
        <f>'Database MK'!FY145-'Database MK'!FZ145</f>
        <v>-45582</v>
      </c>
      <c r="AK144" s="7">
        <f>IF('Database MK'!GC145="","Belum",'Database MK'!GB145-'Database MK'!GC145)</f>
        <v>-6</v>
      </c>
      <c r="AL144" s="7">
        <f>IF('Database MK'!GF145="","Belum",'Database MK'!GE145-'Database MK'!GF145)</f>
        <v>1</v>
      </c>
      <c r="AM144" s="279">
        <f>IF('Database MK'!GJ145="","Belum",'Database MK'!GI145-'Database MK'!GJ145)</f>
        <v>-9</v>
      </c>
      <c r="AN144" s="7">
        <f>IF('Database MK'!HG145="","Belum",'Database MK'!HF145-'Database MK'!HG145)</f>
        <v>-145</v>
      </c>
      <c r="AO144" s="7">
        <f>IF('Database MK'!HQ145="","Belum",'Database MK'!HN145-'Database MK'!HQ145)</f>
        <v>-140</v>
      </c>
      <c r="AP144" s="7">
        <f>IF('Database MK'!HW145="","Belum",'Database MK'!HU145-'Database MK'!HW145)</f>
        <v>-134</v>
      </c>
    </row>
    <row r="145" spans="2:42" hidden="1" x14ac:dyDescent="0.25">
      <c r="B145" s="7">
        <f>SUBTOTAL(3,$C$4:C145)</f>
        <v>74</v>
      </c>
      <c r="C145" s="4" t="s">
        <v>629</v>
      </c>
      <c r="D145" s="4" t="s">
        <v>1030</v>
      </c>
      <c r="E145" s="4" t="s">
        <v>1031</v>
      </c>
      <c r="F145" s="270">
        <v>45931</v>
      </c>
      <c r="G145" s="4" t="s">
        <v>247</v>
      </c>
      <c r="H145" s="4" t="str">
        <f ca="1">'Database MK'!Q146</f>
        <v>DPPP</v>
      </c>
      <c r="I145" s="24">
        <f>'Database MK'!S146</f>
        <v>1</v>
      </c>
      <c r="J145" s="24">
        <f>'Database MK'!T146</f>
        <v>1</v>
      </c>
      <c r="K145" s="571">
        <f>'Database MK'!U146</f>
        <v>0</v>
      </c>
      <c r="L145" s="561">
        <f>'Database MK'!V146</f>
        <v>10012</v>
      </c>
      <c r="M145" s="561">
        <f>'Database MK'!W146</f>
        <v>8562.5</v>
      </c>
      <c r="N145" s="561">
        <f>Table3[[#This Row],[Total Panjang Pipa Aktual]]-Table3[[#This Row],[Volume
BA MC-0]]</f>
        <v>-1449.5</v>
      </c>
      <c r="O145" s="7" t="str">
        <f ca="1">'Database MK'!DE146</f>
        <v>Sudah, OnSchedule</v>
      </c>
      <c r="P145" s="7" t="str">
        <f ca="1">'Database MK'!DI146</f>
        <v>Sudah, Delay</v>
      </c>
      <c r="Q145" s="7" t="str">
        <f ca="1">'Database MK'!DN146</f>
        <v>Sudah, OnSchedule</v>
      </c>
      <c r="R145" s="7" t="str">
        <f ca="1">'Database MK'!DR146</f>
        <v>Sudah, Delay</v>
      </c>
      <c r="S145" s="7" t="str">
        <f ca="1">'Database MK'!EA146</f>
        <v>Sudah, Delay</v>
      </c>
      <c r="T145" s="7" t="str">
        <f ca="1">'Database MK'!EI146</f>
        <v>Sudah, Delay</v>
      </c>
      <c r="U145" s="7" t="str">
        <f ca="1">'Database MK'!ET146</f>
        <v>Sudah, Delay</v>
      </c>
      <c r="V145" s="7" t="str">
        <f ca="1">'Database MK'!GA146</f>
        <v>Sudah, Delay</v>
      </c>
      <c r="W145" s="7" t="str">
        <f ca="1">'Database MK'!GD146</f>
        <v>Sudah, Delay</v>
      </c>
      <c r="X145" s="7" t="str">
        <f ca="1">'Database MK'!GG146</f>
        <v>Sudah, OnSchedule</v>
      </c>
      <c r="Y145" s="7" t="str">
        <f ca="1">'Database MK'!GK146</f>
        <v>Sudah, Delay</v>
      </c>
      <c r="Z145" s="7" t="str">
        <f ca="1">'Database MK'!HH146</f>
        <v>Sudah, Delay</v>
      </c>
      <c r="AA145" s="7" t="str">
        <f ca="1">'Database MK'!HR146</f>
        <v>Sudah, Delay</v>
      </c>
      <c r="AB145" s="7" t="str">
        <f ca="1">'Database MK'!HX146</f>
        <v>Sudah, Delay</v>
      </c>
      <c r="AC145" s="7">
        <f>'Database MK'!DA146-'Database MK'!DB146</f>
        <v>4</v>
      </c>
      <c r="AD145" s="7">
        <f>'Database MK'!DA146-'Database MK'!DF146</f>
        <v>-9</v>
      </c>
      <c r="AE145" s="7">
        <f>'Database MK'!DK146-'Database MK'!DL146</f>
        <v>6</v>
      </c>
      <c r="AF145" s="7">
        <f>'Database MK'!DK146-'Database MK'!DO146</f>
        <v>-9</v>
      </c>
      <c r="AG145" s="7">
        <f>'Database MK'!DU146-'Database MK'!DW146</f>
        <v>-380</v>
      </c>
      <c r="AH145" s="7">
        <f>IF('Database MK'!EB146="","Belum",'Database MK'!DU146-'Database MK'!EB146)</f>
        <v>-393</v>
      </c>
      <c r="AI145" s="7">
        <f>IF('Database MK'!EN146="","Belum",'Database MK'!EL146-'Database MK'!EN146)</f>
        <v>-449</v>
      </c>
      <c r="AJ145" s="7">
        <f>'Database MK'!FY146-'Database MK'!FZ146</f>
        <v>-45582</v>
      </c>
      <c r="AK145" s="7">
        <f>IF('Database MK'!GC146="","Belum",'Database MK'!GB146-'Database MK'!GC146)</f>
        <v>-6</v>
      </c>
      <c r="AL145" s="7">
        <f>IF('Database MK'!GF146="","Belum",'Database MK'!GE146-'Database MK'!GF146)</f>
        <v>1</v>
      </c>
      <c r="AM145" s="279">
        <f>IF('Database MK'!GJ146="","Belum",'Database MK'!GI146-'Database MK'!GJ146)</f>
        <v>-12</v>
      </c>
      <c r="AN145" s="7">
        <f>IF('Database MK'!HG146="","Belum",'Database MK'!HF146-'Database MK'!HG146)</f>
        <v>-233</v>
      </c>
      <c r="AO145" s="7">
        <f>IF('Database MK'!HQ146="","Belum",'Database MK'!HN146-'Database MK'!HQ146)</f>
        <v>-217</v>
      </c>
      <c r="AP145" s="7">
        <f>IF('Database MK'!HW146="","Belum",'Database MK'!HU146-'Database MK'!HW146)</f>
        <v>-224</v>
      </c>
    </row>
    <row r="146" spans="2:42" hidden="1" x14ac:dyDescent="0.25">
      <c r="B146" s="7">
        <f>SUBTOTAL(3,$C$4:C146)</f>
        <v>74</v>
      </c>
      <c r="C146" s="4" t="s">
        <v>629</v>
      </c>
      <c r="D146" s="4" t="s">
        <v>1039</v>
      </c>
      <c r="E146" s="4" t="s">
        <v>1040</v>
      </c>
      <c r="F146" s="270">
        <v>45931</v>
      </c>
      <c r="G146" s="4" t="s">
        <v>247</v>
      </c>
      <c r="H146" s="4" t="str">
        <f ca="1">'Database MK'!Q147</f>
        <v>DPPP</v>
      </c>
      <c r="I146" s="24">
        <f>'Database MK'!S147</f>
        <v>1</v>
      </c>
      <c r="J146" s="24">
        <f>'Database MK'!T147</f>
        <v>1</v>
      </c>
      <c r="K146" s="571">
        <f>'Database MK'!U147</f>
        <v>0</v>
      </c>
      <c r="L146" s="561">
        <f>'Database MK'!V147</f>
        <v>11607</v>
      </c>
      <c r="M146" s="561">
        <f>'Database MK'!W147</f>
        <v>8772</v>
      </c>
      <c r="N146" s="561">
        <f>Table3[[#This Row],[Total Panjang Pipa Aktual]]-Table3[[#This Row],[Volume
BA MC-0]]</f>
        <v>-2835</v>
      </c>
      <c r="O146" s="7" t="str">
        <f ca="1">'Database MK'!DE147</f>
        <v>Sudah, OnSchedule</v>
      </c>
      <c r="P146" s="7" t="str">
        <f ca="1">'Database MK'!DI147</f>
        <v>Sudah, Delay</v>
      </c>
      <c r="Q146" s="7" t="str">
        <f ca="1">'Database MK'!DN147</f>
        <v>Sudah, Delay</v>
      </c>
      <c r="R146" s="7" t="str">
        <f ca="1">'Database MK'!DR147</f>
        <v>Sudah, Delay</v>
      </c>
      <c r="S146" s="7" t="str">
        <f ca="1">'Database MK'!EA147</f>
        <v>Sudah, Delay</v>
      </c>
      <c r="T146" s="7" t="str">
        <f ca="1">'Database MK'!EI147</f>
        <v>Sudah, Delay</v>
      </c>
      <c r="U146" s="7" t="str">
        <f ca="1">'Database MK'!ET147</f>
        <v>Sudah, Delay</v>
      </c>
      <c r="V146" s="7" t="str">
        <f ca="1">'Database MK'!GA147</f>
        <v>Sudah, Delay</v>
      </c>
      <c r="W146" s="7" t="str">
        <f ca="1">'Database MK'!GD147</f>
        <v>Sudah, Delay</v>
      </c>
      <c r="X146" s="7" t="str">
        <f ca="1">'Database MK'!GG147</f>
        <v>Sudah, OnSchedule</v>
      </c>
      <c r="Y146" s="7" t="str">
        <f ca="1">'Database MK'!GK147</f>
        <v>Sudah, OnSchedule</v>
      </c>
      <c r="Z146" s="7" t="str">
        <f ca="1">'Database MK'!HH147</f>
        <v>Sudah, Delay</v>
      </c>
      <c r="AA146" s="7" t="str">
        <f ca="1">'Database MK'!HR147</f>
        <v>Sudah, Delay</v>
      </c>
      <c r="AB146" s="7" t="str">
        <f ca="1">'Database MK'!HX147</f>
        <v>Sudah, Delay</v>
      </c>
      <c r="AC146" s="7">
        <f>'Database MK'!DA147-'Database MK'!DB147</f>
        <v>4</v>
      </c>
      <c r="AD146" s="7">
        <f>'Database MK'!DA147-'Database MK'!DF147</f>
        <v>-9</v>
      </c>
      <c r="AE146" s="7">
        <f>'Database MK'!DK147-'Database MK'!DL147</f>
        <v>-297</v>
      </c>
      <c r="AF146" s="7">
        <f>'Database MK'!DK147-'Database MK'!DO147</f>
        <v>-339</v>
      </c>
      <c r="AG146" s="7">
        <f>'Database MK'!DU147-'Database MK'!DW147</f>
        <v>-391</v>
      </c>
      <c r="AH146" s="7">
        <f>IF('Database MK'!EB147="","Belum",'Database MK'!DU147-'Database MK'!EB147)</f>
        <v>-395</v>
      </c>
      <c r="AI146" s="7">
        <f>IF('Database MK'!EN147="","Belum",'Database MK'!EL147-'Database MK'!EN147)</f>
        <v>-384</v>
      </c>
      <c r="AJ146" s="7">
        <f>'Database MK'!FY147-'Database MK'!FZ147</f>
        <v>-45582</v>
      </c>
      <c r="AK146" s="7">
        <f>IF('Database MK'!GC147="","Belum",'Database MK'!GB147-'Database MK'!GC147)</f>
        <v>-6</v>
      </c>
      <c r="AL146" s="7">
        <f>IF('Database MK'!GF147="","Belum",'Database MK'!GE147-'Database MK'!GF147)</f>
        <v>1</v>
      </c>
      <c r="AM146" s="279">
        <f>IF('Database MK'!GJ147="","Belum",'Database MK'!GI147-'Database MK'!GJ147)</f>
        <v>4</v>
      </c>
      <c r="AN146" s="7">
        <f>IF('Database MK'!HG147="","Belum",'Database MK'!HF147-'Database MK'!HG147)</f>
        <v>-234</v>
      </c>
      <c r="AO146" s="7">
        <f>IF('Database MK'!HQ147="","Belum",'Database MK'!HN147-'Database MK'!HQ147)</f>
        <v>-222</v>
      </c>
      <c r="AP146" s="7">
        <f>IF('Database MK'!HW147="","Belum",'Database MK'!HU147-'Database MK'!HW147)</f>
        <v>-224</v>
      </c>
    </row>
    <row r="147" spans="2:42" hidden="1" x14ac:dyDescent="0.25">
      <c r="B147" s="7">
        <f>SUBTOTAL(3,$C$4:C147)</f>
        <v>74</v>
      </c>
      <c r="C147" s="4" t="s">
        <v>629</v>
      </c>
      <c r="D147" s="4" t="s">
        <v>1048</v>
      </c>
      <c r="E147" s="4" t="s">
        <v>1049</v>
      </c>
      <c r="F147" s="270">
        <v>45931</v>
      </c>
      <c r="G147" s="4" t="s">
        <v>247</v>
      </c>
      <c r="H147" s="4" t="str">
        <f ca="1">'Database MK'!Q148</f>
        <v>DPPP</v>
      </c>
      <c r="I147" s="24">
        <f>'Database MK'!S148</f>
        <v>1</v>
      </c>
      <c r="J147" s="24">
        <f>'Database MK'!T148</f>
        <v>1</v>
      </c>
      <c r="K147" s="571">
        <f>'Database MK'!U148</f>
        <v>0</v>
      </c>
      <c r="L147" s="561">
        <f>'Database MK'!V148</f>
        <v>44782</v>
      </c>
      <c r="M147" s="561">
        <f>'Database MK'!W148</f>
        <v>37737.200000000004</v>
      </c>
      <c r="N147" s="561">
        <f>Table3[[#This Row],[Total Panjang Pipa Aktual]]-Table3[[#This Row],[Volume
BA MC-0]]</f>
        <v>-7044.7999999999956</v>
      </c>
      <c r="O147" s="7" t="str">
        <f ca="1">'Database MK'!DE148</f>
        <v>Sudah, OnSchedule</v>
      </c>
      <c r="P147" s="7" t="str">
        <f ca="1">'Database MK'!DI148</f>
        <v>Sudah, Delay</v>
      </c>
      <c r="Q147" s="7" t="str">
        <f ca="1">'Database MK'!DN148</f>
        <v>Sudah, OnSchedule</v>
      </c>
      <c r="R147" s="7" t="str">
        <f ca="1">'Database MK'!DR148</f>
        <v>Sudah, Delay</v>
      </c>
      <c r="S147" s="7" t="str">
        <f ca="1">'Database MK'!EA148</f>
        <v>Sudah, Delay</v>
      </c>
      <c r="T147" s="7" t="str">
        <f ca="1">'Database MK'!EI148</f>
        <v>Sudah, Delay</v>
      </c>
      <c r="U147" s="7" t="str">
        <f ca="1">'Database MK'!ET148</f>
        <v>Sudah, Delay</v>
      </c>
      <c r="V147" s="7" t="str">
        <f ca="1">'Database MK'!GA148</f>
        <v>Sudah, Delay</v>
      </c>
      <c r="W147" s="7" t="str">
        <f ca="1">'Database MK'!GD148</f>
        <v>Sudah, Delay</v>
      </c>
      <c r="X147" s="7" t="str">
        <f ca="1">'Database MK'!GG148</f>
        <v>Sudah, OnSchedule</v>
      </c>
      <c r="Y147" s="7" t="str">
        <f ca="1">'Database MK'!GK148</f>
        <v>Sudah, Delay</v>
      </c>
      <c r="Z147" s="7" t="str">
        <f ca="1">'Database MK'!HH148</f>
        <v>Sudah, Delay</v>
      </c>
      <c r="AA147" s="7" t="str">
        <f ca="1">'Database MK'!HR148</f>
        <v>Sudah, Delay</v>
      </c>
      <c r="AB147" s="7" t="str">
        <f ca="1">'Database MK'!HX148</f>
        <v>Sudah, Delay</v>
      </c>
      <c r="AC147" s="7">
        <f>'Database MK'!DA148-'Database MK'!DB148</f>
        <v>4</v>
      </c>
      <c r="AD147" s="7">
        <f>'Database MK'!DA148-'Database MK'!DF148</f>
        <v>-8</v>
      </c>
      <c r="AE147" s="7">
        <f>'Database MK'!DK148-'Database MK'!DL148</f>
        <v>9</v>
      </c>
      <c r="AF147" s="7">
        <f>'Database MK'!DK148-'Database MK'!DO148</f>
        <v>-18</v>
      </c>
      <c r="AG147" s="7">
        <f>'Database MK'!DU148-'Database MK'!DW148</f>
        <v>-394</v>
      </c>
      <c r="AH147" s="7">
        <f>IF('Database MK'!EB148="","Belum",'Database MK'!DU148-'Database MK'!EB148)</f>
        <v>-381</v>
      </c>
      <c r="AI147" s="7">
        <f>IF('Database MK'!EN148="","Belum",'Database MK'!EL148-'Database MK'!EN148)</f>
        <v>-382</v>
      </c>
      <c r="AJ147" s="7">
        <f>'Database MK'!FY148-'Database MK'!FZ148</f>
        <v>-45582</v>
      </c>
      <c r="AK147" s="7">
        <f>IF('Database MK'!GC148="","Belum",'Database MK'!GB148-'Database MK'!GC148)</f>
        <v>-6</v>
      </c>
      <c r="AL147" s="7">
        <f>IF('Database MK'!GF148="","Belum",'Database MK'!GE148-'Database MK'!GF148)</f>
        <v>1</v>
      </c>
      <c r="AM147" s="279">
        <f>IF('Database MK'!GJ148="","Belum",'Database MK'!GI148-'Database MK'!GJ148)</f>
        <v>-23</v>
      </c>
      <c r="AN147" s="7">
        <f>IF('Database MK'!HG148="","Belum",'Database MK'!HF148-'Database MK'!HG148)</f>
        <v>-199</v>
      </c>
      <c r="AO147" s="7">
        <f>IF('Database MK'!HQ148="","Belum",'Database MK'!HN148-'Database MK'!HQ148)</f>
        <v>-193</v>
      </c>
      <c r="AP147" s="7">
        <f>IF('Database MK'!HW148="","Belum",'Database MK'!HU148-'Database MK'!HW148)</f>
        <v>-224</v>
      </c>
    </row>
    <row r="148" spans="2:42" hidden="1" x14ac:dyDescent="0.25">
      <c r="B148" s="7">
        <f>SUBTOTAL(3,$C$4:C148)</f>
        <v>74</v>
      </c>
      <c r="C148" s="4" t="s">
        <v>629</v>
      </c>
      <c r="D148" s="4" t="s">
        <v>1057</v>
      </c>
      <c r="E148" s="4" t="s">
        <v>1058</v>
      </c>
      <c r="F148" s="270">
        <v>45931</v>
      </c>
      <c r="G148" s="4" t="s">
        <v>247</v>
      </c>
      <c r="H148" s="4" t="str">
        <f ca="1">'Database MK'!Q149</f>
        <v>DPPP</v>
      </c>
      <c r="I148" s="24">
        <f>'Database MK'!S149</f>
        <v>1</v>
      </c>
      <c r="J148" s="24">
        <f>'Database MK'!T149</f>
        <v>1</v>
      </c>
      <c r="K148" s="571">
        <f>'Database MK'!U149</f>
        <v>0</v>
      </c>
      <c r="L148" s="561">
        <f>'Database MK'!V149</f>
        <v>14433</v>
      </c>
      <c r="M148" s="561">
        <f>'Database MK'!W149</f>
        <v>14560</v>
      </c>
      <c r="N148" s="561">
        <f>Table3[[#This Row],[Total Panjang Pipa Aktual]]-Table3[[#This Row],[Volume
BA MC-0]]</f>
        <v>127</v>
      </c>
      <c r="O148" s="7" t="str">
        <f ca="1">'Database MK'!DE149</f>
        <v>Sudah, OnSchedule</v>
      </c>
      <c r="P148" s="7" t="str">
        <f ca="1">'Database MK'!DI149</f>
        <v>Sudah, Delay</v>
      </c>
      <c r="Q148" s="7" t="str">
        <f ca="1">'Database MK'!DN149</f>
        <v>Sudah, OnSchedule</v>
      </c>
      <c r="R148" s="7" t="str">
        <f ca="1">'Database MK'!DR149</f>
        <v>Sudah, Delay</v>
      </c>
      <c r="S148" s="7" t="str">
        <f ca="1">'Database MK'!EA149</f>
        <v>Sudah, Delay</v>
      </c>
      <c r="T148" s="7" t="str">
        <f ca="1">'Database MK'!EI149</f>
        <v>Sudah, Delay</v>
      </c>
      <c r="U148" s="7" t="str">
        <f ca="1">'Database MK'!ET149</f>
        <v>Sudah, Delay</v>
      </c>
      <c r="V148" s="7" t="str">
        <f ca="1">'Database MK'!GA149</f>
        <v>Sudah, Delay</v>
      </c>
      <c r="W148" s="7" t="str">
        <f ca="1">'Database MK'!GD149</f>
        <v>Sudah, Delay</v>
      </c>
      <c r="X148" s="7" t="str">
        <f ca="1">'Database MK'!GG149</f>
        <v>Sudah, OnSchedule</v>
      </c>
      <c r="Y148" s="7" t="str">
        <f ca="1">'Database MK'!GK149</f>
        <v>Sudah, Delay</v>
      </c>
      <c r="Z148" s="7" t="str">
        <f ca="1">'Database MK'!HH149</f>
        <v>Sudah, Delay</v>
      </c>
      <c r="AA148" s="7" t="str">
        <f ca="1">'Database MK'!HR149</f>
        <v>Sudah, Delay</v>
      </c>
      <c r="AB148" s="7" t="str">
        <f ca="1">'Database MK'!HX149</f>
        <v>Sudah, Delay</v>
      </c>
      <c r="AC148" s="7">
        <f>'Database MK'!DA149-'Database MK'!DB149</f>
        <v>4</v>
      </c>
      <c r="AD148" s="7">
        <f>'Database MK'!DA149-'Database MK'!DF149</f>
        <v>-8</v>
      </c>
      <c r="AE148" s="7">
        <f>'Database MK'!DK149-'Database MK'!DL149</f>
        <v>6</v>
      </c>
      <c r="AF148" s="7">
        <f>'Database MK'!DK149-'Database MK'!DO149</f>
        <v>-9</v>
      </c>
      <c r="AG148" s="7">
        <f>'Database MK'!DU149-'Database MK'!DW149</f>
        <v>-312</v>
      </c>
      <c r="AH148" s="7">
        <f>IF('Database MK'!EB149="","Belum",'Database MK'!DU149-'Database MK'!EB149)</f>
        <v>-327</v>
      </c>
      <c r="AI148" s="7">
        <f>IF('Database MK'!EN149="","Belum",'Database MK'!EL149-'Database MK'!EN149)</f>
        <v>-234</v>
      </c>
      <c r="AJ148" s="7">
        <f>'Database MK'!FY149-'Database MK'!FZ149</f>
        <v>-45582</v>
      </c>
      <c r="AK148" s="7">
        <f>IF('Database MK'!GC149="","Belum",'Database MK'!GB149-'Database MK'!GC149)</f>
        <v>-6</v>
      </c>
      <c r="AL148" s="7">
        <f>IF('Database MK'!GF149="","Belum",'Database MK'!GE149-'Database MK'!GF149)</f>
        <v>1</v>
      </c>
      <c r="AM148" s="279">
        <f>IF('Database MK'!GJ149="","Belum",'Database MK'!GI149-'Database MK'!GJ149)</f>
        <v>-71</v>
      </c>
      <c r="AN148" s="7">
        <f>IF('Database MK'!HG149="","Belum",'Database MK'!HF149-'Database MK'!HG149)</f>
        <v>-152</v>
      </c>
      <c r="AO148" s="7">
        <f>IF('Database MK'!HQ149="","Belum",'Database MK'!HN149-'Database MK'!HQ149)</f>
        <v>-140</v>
      </c>
      <c r="AP148" s="7">
        <f>IF('Database MK'!HW149="","Belum",'Database MK'!HU149-'Database MK'!HW149)</f>
        <v>-134</v>
      </c>
    </row>
    <row r="149" spans="2:42" hidden="1" x14ac:dyDescent="0.25">
      <c r="B149" s="7">
        <f>SUBTOTAL(3,$C$4:C149)</f>
        <v>74</v>
      </c>
      <c r="C149" s="4" t="s">
        <v>629</v>
      </c>
      <c r="D149" s="4" t="s">
        <v>1066</v>
      </c>
      <c r="E149" s="4" t="s">
        <v>1067</v>
      </c>
      <c r="F149" s="270">
        <v>45931</v>
      </c>
      <c r="G149" s="4" t="s">
        <v>247</v>
      </c>
      <c r="H149" s="4" t="str">
        <f ca="1">'Database MK'!Q150</f>
        <v>DPPP</v>
      </c>
      <c r="I149" s="24">
        <f>'Database MK'!S150</f>
        <v>1</v>
      </c>
      <c r="J149" s="24">
        <f>'Database MK'!T150</f>
        <v>1</v>
      </c>
      <c r="K149" s="571">
        <f>'Database MK'!U150</f>
        <v>0</v>
      </c>
      <c r="L149" s="561">
        <f>'Database MK'!V150</f>
        <v>16592</v>
      </c>
      <c r="M149" s="561">
        <f>'Database MK'!W150</f>
        <v>8710</v>
      </c>
      <c r="N149" s="561">
        <f>Table3[[#This Row],[Total Panjang Pipa Aktual]]-Table3[[#This Row],[Volume
BA MC-0]]</f>
        <v>-7882</v>
      </c>
      <c r="O149" s="7" t="str">
        <f ca="1">'Database MK'!DE150</f>
        <v>Sudah, OnSchedule</v>
      </c>
      <c r="P149" s="7" t="str">
        <f ca="1">'Database MK'!DI150</f>
        <v>Sudah, OnSchedule</v>
      </c>
      <c r="Q149" s="7" t="str">
        <f ca="1">'Database MK'!DN150</f>
        <v>Sudah, OnSchedule</v>
      </c>
      <c r="R149" s="7" t="str">
        <f ca="1">'Database MK'!DR150</f>
        <v>Sudah, OnSchedule</v>
      </c>
      <c r="S149" s="7" t="str">
        <f ca="1">'Database MK'!EA150</f>
        <v>Sudah, Delay</v>
      </c>
      <c r="T149" s="7" t="str">
        <f ca="1">'Database MK'!EI150</f>
        <v>Sudah, Delay</v>
      </c>
      <c r="U149" s="7" t="str">
        <f ca="1">'Database MK'!ET150</f>
        <v>Belum, Delay</v>
      </c>
      <c r="V149" s="7" t="str">
        <f ca="1">'Database MK'!GA150</f>
        <v>Sudah, Delay</v>
      </c>
      <c r="W149" s="7" t="str">
        <f ca="1">'Database MK'!GD150</f>
        <v>Sudah, OnSchedule</v>
      </c>
      <c r="X149" s="7" t="str">
        <f ca="1">'Database MK'!GG150</f>
        <v>Sudah, OnSchedule</v>
      </c>
      <c r="Y149" s="7" t="str">
        <f ca="1">'Database MK'!GK150</f>
        <v>Sudah, OnSchedule</v>
      </c>
      <c r="Z149" s="7" t="str">
        <f ca="1">'Database MK'!HH150</f>
        <v>Sudah, Delay</v>
      </c>
      <c r="AA149" s="7" t="str">
        <f ca="1">'Database MK'!HR150</f>
        <v>Sudah, Delay</v>
      </c>
      <c r="AB149" s="7" t="str">
        <f ca="1">'Database MK'!HX150</f>
        <v>Sudah, Delay</v>
      </c>
      <c r="AC149" s="7">
        <f>'Database MK'!DA150-'Database MK'!DB150</f>
        <v>26</v>
      </c>
      <c r="AD149" s="7">
        <f>'Database MK'!DA150-'Database MK'!DF150</f>
        <v>17</v>
      </c>
      <c r="AE149" s="7">
        <f>'Database MK'!DK150-'Database MK'!DL150</f>
        <v>34</v>
      </c>
      <c r="AF149" s="7">
        <f>'Database MK'!DK150-'Database MK'!DO150</f>
        <v>23</v>
      </c>
      <c r="AG149" s="7">
        <f>'Database MK'!DU150-'Database MK'!DW150</f>
        <v>-390</v>
      </c>
      <c r="AH149" s="7">
        <f>IF('Database MK'!EB150="","Belum",'Database MK'!DU150-'Database MK'!EB150)</f>
        <v>-402</v>
      </c>
      <c r="AI149" s="7" t="str">
        <f>IF('Database MK'!EN150="","Belum",'Database MK'!EL150-'Database MK'!EN150)</f>
        <v>Belum</v>
      </c>
      <c r="AJ149" s="7">
        <f>'Database MK'!FY150-'Database MK'!FZ150</f>
        <v>-45582</v>
      </c>
      <c r="AK149" s="7">
        <f>IF('Database MK'!GC150="","Belum",'Database MK'!GB150-'Database MK'!GC150)</f>
        <v>32</v>
      </c>
      <c r="AL149" s="7">
        <f>IF('Database MK'!GF150="","Belum",'Database MK'!GE150-'Database MK'!GF150)</f>
        <v>39</v>
      </c>
      <c r="AM149" s="279">
        <f>IF('Database MK'!GJ150="","Belum",'Database MK'!GI150-'Database MK'!GJ150)</f>
        <v>41</v>
      </c>
      <c r="AN149" s="7">
        <f>IF('Database MK'!HG150="","Belum",'Database MK'!HF150-'Database MK'!HG150)</f>
        <v>-324</v>
      </c>
      <c r="AO149" s="7">
        <f>IF('Database MK'!HQ150="","Belum",'Database MK'!HN150-'Database MK'!HQ150)</f>
        <v>-383</v>
      </c>
      <c r="AP149" s="7">
        <f>IF('Database MK'!HW150="","Belum",'Database MK'!HU150-'Database MK'!HW150)</f>
        <v>-381</v>
      </c>
    </row>
    <row r="150" spans="2:42" hidden="1" x14ac:dyDescent="0.25">
      <c r="B150" s="7">
        <f>SUBTOTAL(3,$C$4:C150)</f>
        <v>74</v>
      </c>
      <c r="C150" s="4" t="s">
        <v>629</v>
      </c>
      <c r="D150" s="4" t="s">
        <v>1075</v>
      </c>
      <c r="E150" s="4" t="s">
        <v>1076</v>
      </c>
      <c r="F150" s="270">
        <v>45931</v>
      </c>
      <c r="G150" s="4" t="s">
        <v>247</v>
      </c>
      <c r="H150" s="4" t="str">
        <f ca="1">'Database MK'!Q151</f>
        <v>Tes Com</v>
      </c>
      <c r="I150" s="24">
        <f>'Database MK'!S151</f>
        <v>1</v>
      </c>
      <c r="J150" s="24">
        <f>'Database MK'!T151</f>
        <v>0.78923650574282911</v>
      </c>
      <c r="K150" s="571">
        <f>'Database MK'!U151</f>
        <v>-0.21076349425717089</v>
      </c>
      <c r="L150" s="561">
        <f>'Database MK'!V151</f>
        <v>22219</v>
      </c>
      <c r="M150" s="561">
        <f>'Database MK'!W151</f>
        <v>12914</v>
      </c>
      <c r="N150" s="561">
        <f>Table3[[#This Row],[Total Panjang Pipa Aktual]]-Table3[[#This Row],[Volume
BA MC-0]]</f>
        <v>-9305</v>
      </c>
      <c r="O150" s="7" t="str">
        <f ca="1">'Database MK'!DE151</f>
        <v>Sudah, OnSchedule</v>
      </c>
      <c r="P150" s="7" t="str">
        <f ca="1">'Database MK'!DI151</f>
        <v>Sudah, OnSchedule</v>
      </c>
      <c r="Q150" s="7" t="str">
        <f ca="1">'Database MK'!DN151</f>
        <v>Sudah, Delay</v>
      </c>
      <c r="R150" s="7" t="str">
        <f ca="1">'Database MK'!DR151</f>
        <v>Sudah, Delay</v>
      </c>
      <c r="S150" s="7" t="str">
        <f ca="1">'Database MK'!EA151</f>
        <v>Sudah, Delay</v>
      </c>
      <c r="T150" s="7" t="str">
        <f ca="1">'Database MK'!EI151</f>
        <v>Sudah, Delay</v>
      </c>
      <c r="U150" s="7" t="str">
        <f ca="1">'Database MK'!ET151</f>
        <v>Belum, Delay</v>
      </c>
      <c r="V150" s="7" t="str">
        <f ca="1">'Database MK'!GA151</f>
        <v>Sudah, Delay</v>
      </c>
      <c r="W150" s="7" t="str">
        <f ca="1">'Database MK'!GD151</f>
        <v>Sudah, OnSchedule</v>
      </c>
      <c r="X150" s="7" t="str">
        <f ca="1">'Database MK'!GG151</f>
        <v>Sudah, OnSchedule</v>
      </c>
      <c r="Y150" s="7" t="str">
        <f ca="1">'Database MK'!GK151</f>
        <v>Sudah, OnSchedule</v>
      </c>
      <c r="Z150" s="7" t="str">
        <f ca="1">'Database MK'!HH151</f>
        <v>Sudah, Delay</v>
      </c>
      <c r="AA150" s="7" t="str">
        <f ca="1">'Database MK'!HR151</f>
        <v>Belum, Delay</v>
      </c>
      <c r="AB150" s="7" t="str">
        <f ca="1">'Database MK'!HX151</f>
        <v>Belum, Delay</v>
      </c>
      <c r="AC150" s="7">
        <f>'Database MK'!DA151-'Database MK'!DB151</f>
        <v>26</v>
      </c>
      <c r="AD150" s="7">
        <f>'Database MK'!DA151-'Database MK'!DF151</f>
        <v>17</v>
      </c>
      <c r="AE150" s="7">
        <f>'Database MK'!DK151-'Database MK'!DL151</f>
        <v>-312</v>
      </c>
      <c r="AF150" s="7">
        <f>'Database MK'!DK151-'Database MK'!DO151</f>
        <v>-326</v>
      </c>
      <c r="AG150" s="7">
        <f>'Database MK'!DU151-'Database MK'!DW151</f>
        <v>-393</v>
      </c>
      <c r="AH150" s="7">
        <f>IF('Database MK'!EB151="","Belum",'Database MK'!DU151-'Database MK'!EB151)</f>
        <v>-402</v>
      </c>
      <c r="AI150" s="7" t="str">
        <f>IF('Database MK'!EN151="","Belum",'Database MK'!EL151-'Database MK'!EN151)</f>
        <v>Belum</v>
      </c>
      <c r="AJ150" s="7">
        <f>'Database MK'!FY151-'Database MK'!FZ151</f>
        <v>-45582</v>
      </c>
      <c r="AK150" s="7">
        <f>IF('Database MK'!GC151="","Belum",'Database MK'!GB151-'Database MK'!GC151)</f>
        <v>32</v>
      </c>
      <c r="AL150" s="7">
        <f>IF('Database MK'!GF151="","Belum",'Database MK'!GE151-'Database MK'!GF151)</f>
        <v>39</v>
      </c>
      <c r="AM150" s="279">
        <f>IF('Database MK'!GJ151="","Belum",'Database MK'!GI151-'Database MK'!GJ151)</f>
        <v>40</v>
      </c>
      <c r="AN150" s="7">
        <f>IF('Database MK'!HG151="","Belum",'Database MK'!HF151-'Database MK'!HG151)</f>
        <v>-337</v>
      </c>
      <c r="AO150" s="7" t="str">
        <f>IF('Database MK'!HQ151="","Belum",'Database MK'!HN151-'Database MK'!HQ151)</f>
        <v>Belum</v>
      </c>
      <c r="AP150" s="7" t="str">
        <f>IF('Database MK'!HW151="","Belum",'Database MK'!HU151-'Database MK'!HW151)</f>
        <v>Belum</v>
      </c>
    </row>
    <row r="151" spans="2:42" hidden="1" x14ac:dyDescent="0.25">
      <c r="B151" s="7">
        <f>SUBTOTAL(3,$C$4:C151)</f>
        <v>74</v>
      </c>
      <c r="C151" s="4" t="s">
        <v>629</v>
      </c>
      <c r="D151" s="4" t="s">
        <v>1083</v>
      </c>
      <c r="E151" s="4" t="s">
        <v>1084</v>
      </c>
      <c r="F151" s="270">
        <v>45931</v>
      </c>
      <c r="G151" s="4" t="s">
        <v>681</v>
      </c>
      <c r="H151" s="4" t="str">
        <f ca="1">'Database MK'!Q152</f>
        <v>DPPP</v>
      </c>
      <c r="I151" s="24">
        <f>'Database MK'!S152</f>
        <v>1</v>
      </c>
      <c r="J151" s="24">
        <f>'Database MK'!T152</f>
        <v>1</v>
      </c>
      <c r="K151" s="571">
        <f>'Database MK'!U152</f>
        <v>0</v>
      </c>
      <c r="L151" s="561">
        <f>'Database MK'!V152</f>
        <v>171</v>
      </c>
      <c r="M151" s="561">
        <f>'Database MK'!W152</f>
        <v>171.8</v>
      </c>
      <c r="N151" s="561">
        <f>Table3[[#This Row],[Total Panjang Pipa Aktual]]-Table3[[#This Row],[Volume
BA MC-0]]</f>
        <v>0.80000000000001137</v>
      </c>
      <c r="O151" s="7" t="str">
        <f ca="1">'Database MK'!DE152</f>
        <v>Sudah, Delay</v>
      </c>
      <c r="P151" s="7" t="str">
        <f ca="1">'Database MK'!DI152</f>
        <v>Sudah, Delay</v>
      </c>
      <c r="Q151" s="7" t="str">
        <f ca="1">'Database MK'!DN152</f>
        <v>Sudah, OnSchedule</v>
      </c>
      <c r="R151" s="7" t="str">
        <f ca="1">'Database MK'!DR152</f>
        <v>Sudah, Delay</v>
      </c>
      <c r="S151" s="7" t="str">
        <f ca="1">'Database MK'!EA152</f>
        <v>Sudah, Delay</v>
      </c>
      <c r="T151" s="7" t="str">
        <f ca="1">'Database MK'!EI152</f>
        <v>Sudah, Delay</v>
      </c>
      <c r="U151" s="7" t="str">
        <f ca="1">'Database MK'!ET152</f>
        <v>Sudah, Delay</v>
      </c>
      <c r="V151" s="7" t="str">
        <f ca="1">'Database MK'!GA152</f>
        <v>Sudah, Delay</v>
      </c>
      <c r="W151" s="7" t="str">
        <f ca="1">'Database MK'!GD152</f>
        <v>Sudah, Delay</v>
      </c>
      <c r="X151" s="7" t="str">
        <f ca="1">'Database MK'!GG152</f>
        <v>Sudah, Delay</v>
      </c>
      <c r="Y151" s="7" t="str">
        <f ca="1">'Database MK'!GK152</f>
        <v>Sudah, OnSchedule</v>
      </c>
      <c r="Z151" s="7" t="str">
        <f ca="1">'Database MK'!HH152</f>
        <v>Sudah, Delay</v>
      </c>
      <c r="AA151" s="7" t="str">
        <f ca="1">'Database MK'!HR152</f>
        <v>Sudah, Delay</v>
      </c>
      <c r="AB151" s="7" t="str">
        <f ca="1">'Database MK'!HX152</f>
        <v>Sudah, Delay</v>
      </c>
      <c r="AC151" s="7">
        <f>'Database MK'!DA152-'Database MK'!DB152</f>
        <v>-15</v>
      </c>
      <c r="AD151" s="7">
        <f>'Database MK'!DA152-'Database MK'!DF152</f>
        <v>-19</v>
      </c>
      <c r="AE151" s="7">
        <f>'Database MK'!DK152-'Database MK'!DL152</f>
        <v>5</v>
      </c>
      <c r="AF151" s="7">
        <f>'Database MK'!DK152-'Database MK'!DO152</f>
        <v>-12</v>
      </c>
      <c r="AG151" s="7">
        <f>'Database MK'!DU152-'Database MK'!DW152</f>
        <v>-282</v>
      </c>
      <c r="AH151" s="7">
        <f>IF('Database MK'!EB152="","Belum",'Database MK'!DU152-'Database MK'!EB152)</f>
        <v>-290</v>
      </c>
      <c r="AI151" s="7">
        <f>IF('Database MK'!EN152="","Belum",'Database MK'!EL152-'Database MK'!EN152)</f>
        <v>-249</v>
      </c>
      <c r="AJ151" s="7">
        <f>'Database MK'!FY152-'Database MK'!FZ152</f>
        <v>-45582</v>
      </c>
      <c r="AK151" s="7">
        <f>IF('Database MK'!GC152="","Belum",'Database MK'!GB152-'Database MK'!GC152)</f>
        <v>-213</v>
      </c>
      <c r="AL151" s="7">
        <f>IF('Database MK'!GF152="","Belum",'Database MK'!GE152-'Database MK'!GF152)</f>
        <v>-206</v>
      </c>
      <c r="AM151" s="279">
        <f>IF('Database MK'!GJ152="","Belum",'Database MK'!GI152-'Database MK'!GJ152)</f>
        <v>33</v>
      </c>
      <c r="AN151" s="7">
        <f>IF('Database MK'!HG152="","Belum",'Database MK'!HF152-'Database MK'!HG152)</f>
        <v>-142</v>
      </c>
      <c r="AO151" s="7">
        <f>IF('Database MK'!HQ152="","Belum",'Database MK'!HN152-'Database MK'!HQ152)</f>
        <v>-213</v>
      </c>
      <c r="AP151" s="7">
        <f>IF('Database MK'!HW152="","Belum",'Database MK'!HU152-'Database MK'!HW152)</f>
        <v>-215</v>
      </c>
    </row>
    <row r="152" spans="2:42" hidden="1" x14ac:dyDescent="0.25">
      <c r="B152" s="7">
        <f>SUBTOTAL(3,$C$4:C152)</f>
        <v>74</v>
      </c>
      <c r="C152" s="4" t="s">
        <v>629</v>
      </c>
      <c r="D152" s="4" t="s">
        <v>1092</v>
      </c>
      <c r="E152" s="4" t="s">
        <v>1093</v>
      </c>
      <c r="F152" s="270">
        <v>45931</v>
      </c>
      <c r="G152" s="4" t="s">
        <v>681</v>
      </c>
      <c r="H152" s="4" t="str">
        <f ca="1">'Database MK'!Q153</f>
        <v>DPPP</v>
      </c>
      <c r="I152" s="24">
        <f>'Database MK'!S153</f>
        <v>1</v>
      </c>
      <c r="J152" s="24">
        <f>'Database MK'!T153</f>
        <v>1</v>
      </c>
      <c r="K152" s="571">
        <f>'Database MK'!U153</f>
        <v>0</v>
      </c>
      <c r="L152" s="561">
        <f>'Database MK'!V153</f>
        <v>94</v>
      </c>
      <c r="M152" s="561">
        <f>'Database MK'!W153</f>
        <v>93</v>
      </c>
      <c r="N152" s="561">
        <f>Table3[[#This Row],[Total Panjang Pipa Aktual]]-Table3[[#This Row],[Volume
BA MC-0]]</f>
        <v>-1</v>
      </c>
      <c r="O152" s="7" t="str">
        <f ca="1">'Database MK'!DE153</f>
        <v>Sudah, OnSchedule</v>
      </c>
      <c r="P152" s="7" t="str">
        <f ca="1">'Database MK'!DI153</f>
        <v>Sudah, OnSchedule</v>
      </c>
      <c r="Q152" s="7" t="str">
        <f ca="1">'Database MK'!DN153</f>
        <v>Sudah, OnSchedule</v>
      </c>
      <c r="R152" s="7" t="str">
        <f ca="1">'Database MK'!DR153</f>
        <v>Sudah, OnSchedule</v>
      </c>
      <c r="S152" s="7" t="str">
        <f ca="1">'Database MK'!EA153</f>
        <v>Sudah, Delay</v>
      </c>
      <c r="T152" s="7" t="str">
        <f ca="1">'Database MK'!EI153</f>
        <v>Sudah, Delay</v>
      </c>
      <c r="U152" s="7" t="str">
        <f ca="1">'Database MK'!ET153</f>
        <v>Sudah, Delay</v>
      </c>
      <c r="V152" s="7" t="str">
        <f ca="1">'Database MK'!GA153</f>
        <v>Sudah, Delay</v>
      </c>
      <c r="W152" s="7" t="str">
        <f ca="1">'Database MK'!GD153</f>
        <v>Sudah, OnSchedule</v>
      </c>
      <c r="X152" s="7" t="str">
        <f ca="1">'Database MK'!GG153</f>
        <v>Sudah, OnSchedule</v>
      </c>
      <c r="Y152" s="7" t="str">
        <f ca="1">'Database MK'!GK153</f>
        <v>Sudah, Delay</v>
      </c>
      <c r="Z152" s="7" t="str">
        <f ca="1">'Database MK'!HH153</f>
        <v>Sudah, Delay</v>
      </c>
      <c r="AA152" s="7" t="str">
        <f ca="1">'Database MK'!HR153</f>
        <v>Sudah, Delay</v>
      </c>
      <c r="AB152" s="7" t="str">
        <f ca="1">'Database MK'!HX153</f>
        <v>Sudah, Delay</v>
      </c>
      <c r="AC152" s="7">
        <f>'Database MK'!DA153-'Database MK'!DB153</f>
        <v>275</v>
      </c>
      <c r="AD152" s="7">
        <f>'Database MK'!DA153-'Database MK'!DF153</f>
        <v>34</v>
      </c>
      <c r="AE152" s="7">
        <f>'Database MK'!DK153-'Database MK'!DL153</f>
        <v>68</v>
      </c>
      <c r="AF152" s="7">
        <f>'Database MK'!DK153-'Database MK'!DO153</f>
        <v>41</v>
      </c>
      <c r="AG152" s="7">
        <f>'Database MK'!DU153-'Database MK'!DW153</f>
        <v>-41</v>
      </c>
      <c r="AH152" s="7">
        <f>IF('Database MK'!EB153="","Belum",'Database MK'!DU153-'Database MK'!EB153)</f>
        <v>-136</v>
      </c>
      <c r="AI152" s="7">
        <f>IF('Database MK'!EN153="","Belum",'Database MK'!EL153-'Database MK'!EN153)</f>
        <v>-184</v>
      </c>
      <c r="AJ152" s="7">
        <f>'Database MK'!FY153-'Database MK'!FZ153</f>
        <v>-45582</v>
      </c>
      <c r="AK152" s="7">
        <f>IF('Database MK'!GC153="","Belum",'Database MK'!GB153-'Database MK'!GC153)</f>
        <v>85</v>
      </c>
      <c r="AL152" s="7">
        <f>IF('Database MK'!GF153="","Belum",'Database MK'!GE153-'Database MK'!GF153)</f>
        <v>92</v>
      </c>
      <c r="AM152" s="279">
        <f>IF('Database MK'!GJ153="","Belum",'Database MK'!GI153-'Database MK'!GJ153)</f>
        <v>-269</v>
      </c>
      <c r="AN152" s="7">
        <f>IF('Database MK'!HG153="","Belum",'Database MK'!HF153-'Database MK'!HG153)</f>
        <v>-89</v>
      </c>
      <c r="AO152" s="7">
        <f>IF('Database MK'!HQ153="","Belum",'Database MK'!HN153-'Database MK'!HQ153)</f>
        <v>-157</v>
      </c>
      <c r="AP152" s="7">
        <f>IF('Database MK'!HW153="","Belum",'Database MK'!HU153-'Database MK'!HW153)</f>
        <v>-159</v>
      </c>
    </row>
    <row r="153" spans="2:42" hidden="1" x14ac:dyDescent="0.25">
      <c r="B153" s="7">
        <f>SUBTOTAL(3,$C$4:C153)</f>
        <v>74</v>
      </c>
      <c r="C153" s="4" t="s">
        <v>629</v>
      </c>
      <c r="D153" s="4" t="s">
        <v>1101</v>
      </c>
      <c r="E153" s="4" t="s">
        <v>1102</v>
      </c>
      <c r="F153" s="270">
        <v>45931</v>
      </c>
      <c r="G153" s="4" t="s">
        <v>681</v>
      </c>
      <c r="H153" s="4" t="str">
        <f ca="1">'Database MK'!Q154</f>
        <v>DPPP</v>
      </c>
      <c r="I153" s="24">
        <f>'Database MK'!S154</f>
        <v>1</v>
      </c>
      <c r="J153" s="24">
        <f>'Database MK'!T154</f>
        <v>1</v>
      </c>
      <c r="K153" s="571">
        <f>'Database MK'!U154</f>
        <v>0</v>
      </c>
      <c r="L153" s="561">
        <f>'Database MK'!V154</f>
        <v>93</v>
      </c>
      <c r="M153" s="561">
        <f>'Database MK'!W154</f>
        <v>80</v>
      </c>
      <c r="N153" s="561">
        <f>Table3[[#This Row],[Total Panjang Pipa Aktual]]-Table3[[#This Row],[Volume
BA MC-0]]</f>
        <v>-13</v>
      </c>
      <c r="O153" s="7" t="str">
        <f ca="1">'Database MK'!DE154</f>
        <v>Sudah, OnSchedule</v>
      </c>
      <c r="P153" s="7" t="str">
        <f ca="1">'Database MK'!DI154</f>
        <v>Sudah, OnSchedule</v>
      </c>
      <c r="Q153" s="7" t="str">
        <f ca="1">'Database MK'!DN154</f>
        <v>Sudah, OnSchedule</v>
      </c>
      <c r="R153" s="7" t="str">
        <f ca="1">'Database MK'!DR154</f>
        <v>Sudah, Delay</v>
      </c>
      <c r="S153" s="7" t="str">
        <f ca="1">'Database MK'!EA154</f>
        <v>Sudah, OnSchedule</v>
      </c>
      <c r="T153" s="7" t="str">
        <f ca="1">'Database MK'!EI154</f>
        <v>Sudah, Delay</v>
      </c>
      <c r="U153" s="7" t="str">
        <f ca="1">'Database MK'!ET154</f>
        <v>Sudah, Delay</v>
      </c>
      <c r="V153" s="7" t="str">
        <f ca="1">'Database MK'!GA154</f>
        <v>Sudah, Delay</v>
      </c>
      <c r="W153" s="7" t="str">
        <f ca="1">'Database MK'!GD154</f>
        <v>Sudah, OnSchedule</v>
      </c>
      <c r="X153" s="7" t="str">
        <f ca="1">'Database MK'!GG154</f>
        <v>Sudah, OnSchedule</v>
      </c>
      <c r="Y153" s="7" t="str">
        <f ca="1">'Database MK'!GK154</f>
        <v>Sudah, OnSchedule</v>
      </c>
      <c r="Z153" s="7" t="str">
        <f ca="1">'Database MK'!HH154</f>
        <v>Sudah, Delay</v>
      </c>
      <c r="AA153" s="7" t="str">
        <f ca="1">'Database MK'!HR154</f>
        <v>Sudah, Delay</v>
      </c>
      <c r="AB153" s="7" t="str">
        <f ca="1">'Database MK'!HX154</f>
        <v>Sudah, Delay</v>
      </c>
      <c r="AC153" s="7">
        <f>'Database MK'!DA154-'Database MK'!DB154</f>
        <v>18</v>
      </c>
      <c r="AD153" s="7">
        <f>'Database MK'!DA154-'Database MK'!DF154</f>
        <v>3</v>
      </c>
      <c r="AE153" s="7">
        <f>'Database MK'!DK154-'Database MK'!DL154</f>
        <v>32</v>
      </c>
      <c r="AF153" s="7">
        <f>'Database MK'!DK154-'Database MK'!DO154</f>
        <v>-10</v>
      </c>
      <c r="AG153" s="7">
        <f>'Database MK'!DU154-'Database MK'!DW154</f>
        <v>4</v>
      </c>
      <c r="AH153" s="7">
        <f>IF('Database MK'!EB154="","Belum",'Database MK'!DU154-'Database MK'!EB154)</f>
        <v>-47</v>
      </c>
      <c r="AI153" s="7">
        <f>IF('Database MK'!EN154="","Belum",'Database MK'!EL154-'Database MK'!EN154)</f>
        <v>-201</v>
      </c>
      <c r="AJ153" s="7">
        <f>'Database MK'!FY154-'Database MK'!FZ154</f>
        <v>-45884</v>
      </c>
      <c r="AK153" s="7">
        <f>IF('Database MK'!GC154="","Belum",'Database MK'!GB154-'Database MK'!GC154)</f>
        <v>4</v>
      </c>
      <c r="AL153" s="7">
        <f>IF('Database MK'!GF154="","Belum",'Database MK'!GE154-'Database MK'!GF154)</f>
        <v>11</v>
      </c>
      <c r="AM153" s="279">
        <f>IF('Database MK'!GJ154="","Belum",'Database MK'!GI154-'Database MK'!GJ154)</f>
        <v>18</v>
      </c>
      <c r="AN153" s="7">
        <f>IF('Database MK'!HG154="","Belum",'Database MK'!HF154-'Database MK'!HG154)</f>
        <v>-5</v>
      </c>
      <c r="AO153" s="7">
        <f>IF('Database MK'!HQ154="","Belum",'Database MK'!HN154-'Database MK'!HQ154)</f>
        <v>-10</v>
      </c>
      <c r="AP153" s="7">
        <f>IF('Database MK'!HW154="","Belum",'Database MK'!HU154-'Database MK'!HW154)</f>
        <v>-7</v>
      </c>
    </row>
    <row r="154" spans="2:42" hidden="1" x14ac:dyDescent="0.25">
      <c r="B154" s="7">
        <f>SUBTOTAL(3,$C$4:C154)</f>
        <v>74</v>
      </c>
      <c r="C154" s="4" t="s">
        <v>629</v>
      </c>
      <c r="D154" s="4" t="s">
        <v>1109</v>
      </c>
      <c r="E154" s="4" t="s">
        <v>1110</v>
      </c>
      <c r="F154" s="270">
        <v>45931</v>
      </c>
      <c r="G154" s="4" t="s">
        <v>681</v>
      </c>
      <c r="H154" s="4" t="str">
        <f ca="1">'Database MK'!Q155</f>
        <v>DPPP</v>
      </c>
      <c r="I154" s="24">
        <f>'Database MK'!S155</f>
        <v>1</v>
      </c>
      <c r="J154" s="24">
        <f>'Database MK'!T155</f>
        <v>1</v>
      </c>
      <c r="K154" s="571">
        <f>'Database MK'!U155</f>
        <v>0</v>
      </c>
      <c r="L154" s="561">
        <f>'Database MK'!V155</f>
        <v>210</v>
      </c>
      <c r="M154" s="561">
        <f>'Database MK'!W155</f>
        <v>210</v>
      </c>
      <c r="N154" s="561">
        <f>Table3[[#This Row],[Total Panjang Pipa Aktual]]-Table3[[#This Row],[Volume
BA MC-0]]</f>
        <v>0</v>
      </c>
      <c r="O154" s="7" t="str">
        <f ca="1">'Database MK'!DE155</f>
        <v>Sudah, OnSchedule</v>
      </c>
      <c r="P154" s="7" t="str">
        <f ca="1">'Database MK'!DI155</f>
        <v>Sudah, Delay</v>
      </c>
      <c r="Q154" s="7" t="str">
        <f ca="1">'Database MK'!DN155</f>
        <v>Sudah, OnSchedule</v>
      </c>
      <c r="R154" s="7" t="str">
        <f ca="1">'Database MK'!DR155</f>
        <v>Sudah, Delay</v>
      </c>
      <c r="S154" s="7" t="str">
        <f ca="1">'Database MK'!EA155</f>
        <v>Sudah, OnSchedule</v>
      </c>
      <c r="T154" s="7" t="str">
        <f ca="1">'Database MK'!EI155</f>
        <v>Sudah, Delay</v>
      </c>
      <c r="U154" s="7" t="str">
        <f ca="1">'Database MK'!ET155</f>
        <v>Sudah, Delay</v>
      </c>
      <c r="V154" s="7" t="str">
        <f ca="1">'Database MK'!GA155</f>
        <v>Sudah, Delay</v>
      </c>
      <c r="W154" s="7" t="str">
        <f ca="1">'Database MK'!GD155</f>
        <v>Sudah, OnSchedule</v>
      </c>
      <c r="X154" s="7" t="str">
        <f ca="1">'Database MK'!GG155</f>
        <v>Sudah, OnSchedule</v>
      </c>
      <c r="Y154" s="7" t="str">
        <f ca="1">'Database MK'!GK155</f>
        <v>Sudah, OnSchedule</v>
      </c>
      <c r="Z154" s="7" t="str">
        <f ca="1">'Database MK'!HH155</f>
        <v>Sudah, Delay</v>
      </c>
      <c r="AA154" s="7" t="str">
        <f ca="1">'Database MK'!HR155</f>
        <v>Sudah, Delay</v>
      </c>
      <c r="AB154" s="7" t="str">
        <f ca="1">'Database MK'!HX155</f>
        <v>Sudah, Delay</v>
      </c>
      <c r="AC154" s="7">
        <f>'Database MK'!DA155-'Database MK'!DB155</f>
        <v>18</v>
      </c>
      <c r="AD154" s="7">
        <f>'Database MK'!DA155-'Database MK'!DF155</f>
        <v>-1</v>
      </c>
      <c r="AE154" s="7">
        <f>'Database MK'!DK155-'Database MK'!DL155</f>
        <v>33</v>
      </c>
      <c r="AF154" s="7">
        <f>'Database MK'!DK155-'Database MK'!DO155</f>
        <v>-10</v>
      </c>
      <c r="AG154" s="7">
        <f>'Database MK'!DU155-'Database MK'!DW155</f>
        <v>5</v>
      </c>
      <c r="AH154" s="7">
        <f>IF('Database MK'!EB155="","Belum",'Database MK'!DU155-'Database MK'!EB155)</f>
        <v>-47</v>
      </c>
      <c r="AI154" s="7">
        <f>IF('Database MK'!EN155="","Belum",'Database MK'!EL155-'Database MK'!EN155)</f>
        <v>-201</v>
      </c>
      <c r="AJ154" s="7">
        <f>'Database MK'!FY155-'Database MK'!FZ155</f>
        <v>-45884</v>
      </c>
      <c r="AK154" s="7">
        <f>IF('Database MK'!GC155="","Belum",'Database MK'!GB155-'Database MK'!GC155)</f>
        <v>4</v>
      </c>
      <c r="AL154" s="7">
        <f>IF('Database MK'!GF155="","Belum",'Database MK'!GE155-'Database MK'!GF155)</f>
        <v>11</v>
      </c>
      <c r="AM154" s="279">
        <f>IF('Database MK'!GJ155="","Belum",'Database MK'!GI155-'Database MK'!GJ155)</f>
        <v>19</v>
      </c>
      <c r="AN154" s="7">
        <f>IF('Database MK'!HG155="","Belum",'Database MK'!HF155-'Database MK'!HG155)</f>
        <v>-5</v>
      </c>
      <c r="AO154" s="7">
        <f>IF('Database MK'!HQ155="","Belum",'Database MK'!HN155-'Database MK'!HQ155)</f>
        <v>-10</v>
      </c>
      <c r="AP154" s="7">
        <f>IF('Database MK'!HW155="","Belum",'Database MK'!HU155-'Database MK'!HW155)</f>
        <v>-7</v>
      </c>
    </row>
    <row r="155" spans="2:42" hidden="1" x14ac:dyDescent="0.25">
      <c r="B155" s="7">
        <f>SUBTOTAL(3,$C$4:C155)</f>
        <v>74</v>
      </c>
      <c r="C155" s="4" t="s">
        <v>629</v>
      </c>
      <c r="D155" s="4" t="s">
        <v>1117</v>
      </c>
      <c r="E155" s="4" t="s">
        <v>1118</v>
      </c>
      <c r="F155" s="270">
        <v>45931</v>
      </c>
      <c r="G155" s="4" t="s">
        <v>681</v>
      </c>
      <c r="H155" s="4" t="str">
        <f ca="1">'Database MK'!Q156</f>
        <v>DPPP</v>
      </c>
      <c r="I155" s="24">
        <f>'Database MK'!S156</f>
        <v>1</v>
      </c>
      <c r="J155" s="24">
        <f>'Database MK'!T156</f>
        <v>1</v>
      </c>
      <c r="K155" s="571">
        <f>'Database MK'!U156</f>
        <v>0</v>
      </c>
      <c r="L155" s="561">
        <f>'Database MK'!V156</f>
        <v>254</v>
      </c>
      <c r="M155" s="561">
        <f>'Database MK'!W156</f>
        <v>263.2</v>
      </c>
      <c r="N155" s="561">
        <f>Table3[[#This Row],[Total Panjang Pipa Aktual]]-Table3[[#This Row],[Volume
BA MC-0]]</f>
        <v>9.1999999999999886</v>
      </c>
      <c r="O155" s="7" t="str">
        <f ca="1">'Database MK'!DE156</f>
        <v>Sudah, OnSchedule</v>
      </c>
      <c r="P155" s="7" t="str">
        <f ca="1">'Database MK'!DI156</f>
        <v>Sudah, Delay</v>
      </c>
      <c r="Q155" s="7" t="str">
        <f ca="1">'Database MK'!DN156</f>
        <v>Sudah, OnSchedule</v>
      </c>
      <c r="R155" s="7" t="str">
        <f ca="1">'Database MK'!DR156</f>
        <v>Sudah, Delay</v>
      </c>
      <c r="S155" s="7" t="str">
        <f ca="1">'Database MK'!EA156</f>
        <v>Sudah, OnSchedule</v>
      </c>
      <c r="T155" s="7" t="str">
        <f ca="1">'Database MK'!EI156</f>
        <v>Sudah, Delay</v>
      </c>
      <c r="U155" s="7" t="str">
        <f ca="1">'Database MK'!ET156</f>
        <v>Sudah, Delay</v>
      </c>
      <c r="V155" s="7" t="str">
        <f ca="1">'Database MK'!GA156</f>
        <v>Sudah, Delay</v>
      </c>
      <c r="W155" s="7" t="str">
        <f ca="1">'Database MK'!GD156</f>
        <v>Sudah, OnSchedule</v>
      </c>
      <c r="X155" s="7" t="str">
        <f ca="1">'Database MK'!GG156</f>
        <v>Sudah, OnSchedule</v>
      </c>
      <c r="Y155" s="7" t="str">
        <f ca="1">'Database MK'!GK156</f>
        <v>Sudah, OnSchedule</v>
      </c>
      <c r="Z155" s="7" t="str">
        <f ca="1">'Database MK'!HH156</f>
        <v>Sudah, Delay</v>
      </c>
      <c r="AA155" s="7" t="str">
        <f ca="1">'Database MK'!HR156</f>
        <v>Sudah, Delay</v>
      </c>
      <c r="AB155" s="7" t="str">
        <f ca="1">'Database MK'!HX156</f>
        <v>Sudah, Delay</v>
      </c>
      <c r="AC155" s="7">
        <f>'Database MK'!DA156-'Database MK'!DB156</f>
        <v>18</v>
      </c>
      <c r="AD155" s="7">
        <f>'Database MK'!DA156-'Database MK'!DF156</f>
        <v>-1</v>
      </c>
      <c r="AE155" s="7">
        <f>'Database MK'!DK156-'Database MK'!DL156</f>
        <v>32</v>
      </c>
      <c r="AF155" s="7">
        <f>'Database MK'!DK156-'Database MK'!DO156</f>
        <v>-10</v>
      </c>
      <c r="AG155" s="7">
        <f>'Database MK'!DU156-'Database MK'!DW156</f>
        <v>4</v>
      </c>
      <c r="AH155" s="7">
        <f>IF('Database MK'!EB156="","Belum",'Database MK'!DU156-'Database MK'!EB156)</f>
        <v>-47</v>
      </c>
      <c r="AI155" s="7">
        <f>IF('Database MK'!EN156="","Belum",'Database MK'!EL156-'Database MK'!EN156)</f>
        <v>-136</v>
      </c>
      <c r="AJ155" s="7">
        <f>'Database MK'!FY156-'Database MK'!FZ156</f>
        <v>-45884</v>
      </c>
      <c r="AK155" s="7">
        <f>IF('Database MK'!GC156="","Belum",'Database MK'!GB156-'Database MK'!GC156)</f>
        <v>4</v>
      </c>
      <c r="AL155" s="7">
        <f>IF('Database MK'!GF156="","Belum",'Database MK'!GE156-'Database MK'!GF156)</f>
        <v>11</v>
      </c>
      <c r="AM155" s="279">
        <f>IF('Database MK'!GJ156="","Belum",'Database MK'!GI156-'Database MK'!GJ156)</f>
        <v>16</v>
      </c>
      <c r="AN155" s="7">
        <f>IF('Database MK'!HG156="","Belum",'Database MK'!HF156-'Database MK'!HG156)</f>
        <v>-31</v>
      </c>
      <c r="AO155" s="7">
        <f>IF('Database MK'!HQ156="","Belum",'Database MK'!HN156-'Database MK'!HQ156)</f>
        <v>-39</v>
      </c>
      <c r="AP155" s="7">
        <f>IF('Database MK'!HW156="","Belum",'Database MK'!HU156-'Database MK'!HW156)</f>
        <v>-52</v>
      </c>
    </row>
    <row r="156" spans="2:42" hidden="1" x14ac:dyDescent="0.25">
      <c r="B156" s="7">
        <f>SUBTOTAL(3,$C$4:C156)</f>
        <v>74</v>
      </c>
      <c r="C156" s="4" t="s">
        <v>629</v>
      </c>
      <c r="D156" s="4" t="s">
        <v>1125</v>
      </c>
      <c r="E156" s="4" t="s">
        <v>1126</v>
      </c>
      <c r="F156" s="270">
        <v>45931</v>
      </c>
      <c r="G156" s="4" t="s">
        <v>681</v>
      </c>
      <c r="H156" s="4" t="str">
        <f ca="1">'Database MK'!Q157</f>
        <v>DPPP</v>
      </c>
      <c r="I156" s="24">
        <f>'Database MK'!S157</f>
        <v>1</v>
      </c>
      <c r="J156" s="24">
        <f>'Database MK'!T157</f>
        <v>1</v>
      </c>
      <c r="K156" s="571">
        <f>'Database MK'!U157</f>
        <v>0</v>
      </c>
      <c r="L156" s="561">
        <f>'Database MK'!V157</f>
        <v>338</v>
      </c>
      <c r="M156" s="561">
        <f>'Database MK'!W157</f>
        <v>343</v>
      </c>
      <c r="N156" s="561">
        <f>Table3[[#This Row],[Total Panjang Pipa Aktual]]-Table3[[#This Row],[Volume
BA MC-0]]</f>
        <v>5</v>
      </c>
      <c r="O156" s="7" t="str">
        <f ca="1">'Database MK'!DE157</f>
        <v>Sudah, OnSchedule</v>
      </c>
      <c r="P156" s="7" t="str">
        <f ca="1">'Database MK'!DI157</f>
        <v>Sudah, OnSchedule</v>
      </c>
      <c r="Q156" s="7" t="str">
        <f ca="1">'Database MK'!DN157</f>
        <v>Sudah, OnSchedule</v>
      </c>
      <c r="R156" s="7" t="str">
        <f ca="1">'Database MK'!DR157</f>
        <v>Sudah, Delay</v>
      </c>
      <c r="S156" s="7" t="str">
        <f ca="1">'Database MK'!EA157</f>
        <v>Sudah, OnSchedule</v>
      </c>
      <c r="T156" s="7" t="str">
        <f ca="1">'Database MK'!EI157</f>
        <v>Sudah, Delay</v>
      </c>
      <c r="U156" s="7" t="str">
        <f ca="1">'Database MK'!ET157</f>
        <v>Sudah, Delay</v>
      </c>
      <c r="V156" s="7" t="str">
        <f ca="1">'Database MK'!GA157</f>
        <v>Sudah, Delay</v>
      </c>
      <c r="W156" s="7" t="str">
        <f ca="1">'Database MK'!GD157</f>
        <v>Sudah, OnSchedule</v>
      </c>
      <c r="X156" s="7" t="str">
        <f ca="1">'Database MK'!GG157</f>
        <v>Sudah, OnSchedule</v>
      </c>
      <c r="Y156" s="7" t="str">
        <f ca="1">'Database MK'!GK157</f>
        <v>Sudah, OnSchedule</v>
      </c>
      <c r="Z156" s="7" t="str">
        <f ca="1">'Database MK'!HH157</f>
        <v>Sudah, Delay</v>
      </c>
      <c r="AA156" s="7" t="str">
        <f ca="1">'Database MK'!HR157</f>
        <v>Sudah, Delay</v>
      </c>
      <c r="AB156" s="7" t="str">
        <f ca="1">'Database MK'!HX157</f>
        <v>Sudah, Delay</v>
      </c>
      <c r="AC156" s="7">
        <f>'Database MK'!DA157-'Database MK'!DB157</f>
        <v>18</v>
      </c>
      <c r="AD156" s="7">
        <f>'Database MK'!DA157-'Database MK'!DF157</f>
        <v>3</v>
      </c>
      <c r="AE156" s="7">
        <f>'Database MK'!DK157-'Database MK'!DL157</f>
        <v>32</v>
      </c>
      <c r="AF156" s="7">
        <f>'Database MK'!DK157-'Database MK'!DO157</f>
        <v>-10</v>
      </c>
      <c r="AG156" s="7">
        <f>'Database MK'!DU157-'Database MK'!DW157</f>
        <v>4</v>
      </c>
      <c r="AH156" s="7">
        <f>IF('Database MK'!EB157="","Belum",'Database MK'!DU157-'Database MK'!EB157)</f>
        <v>-46</v>
      </c>
      <c r="AI156" s="7">
        <f>IF('Database MK'!EN157="","Belum",'Database MK'!EL157-'Database MK'!EN157)</f>
        <v>-138</v>
      </c>
      <c r="AJ156" s="7">
        <f>'Database MK'!FY157-'Database MK'!FZ157</f>
        <v>-45884</v>
      </c>
      <c r="AK156" s="7">
        <f>IF('Database MK'!GC157="","Belum",'Database MK'!GB157-'Database MK'!GC157)</f>
        <v>4</v>
      </c>
      <c r="AL156" s="7">
        <f>IF('Database MK'!GF157="","Belum",'Database MK'!GE157-'Database MK'!GF157)</f>
        <v>11</v>
      </c>
      <c r="AM156" s="279">
        <f>IF('Database MK'!GJ157="","Belum",'Database MK'!GI157-'Database MK'!GJ157)</f>
        <v>384</v>
      </c>
      <c r="AN156" s="7">
        <f>IF('Database MK'!HG157="","Belum",'Database MK'!HF157-'Database MK'!HG157)</f>
        <v>-31</v>
      </c>
      <c r="AO156" s="7">
        <f>IF('Database MK'!HQ157="","Belum",'Database MK'!HN157-'Database MK'!HQ157)</f>
        <v>-39</v>
      </c>
      <c r="AP156" s="7">
        <f>IF('Database MK'!HW157="","Belum",'Database MK'!HU157-'Database MK'!HW157)</f>
        <v>-52</v>
      </c>
    </row>
    <row r="157" spans="2:42" hidden="1" x14ac:dyDescent="0.25">
      <c r="B157" s="7">
        <f>SUBTOTAL(3,$C$4:C157)</f>
        <v>74</v>
      </c>
      <c r="C157" s="4" t="s">
        <v>629</v>
      </c>
      <c r="D157" s="4" t="s">
        <v>1133</v>
      </c>
      <c r="E157" s="4" t="s">
        <v>1134</v>
      </c>
      <c r="F157" s="270">
        <v>45931</v>
      </c>
      <c r="G157" s="4" t="s">
        <v>681</v>
      </c>
      <c r="H157" s="4" t="str">
        <f ca="1">'Database MK'!Q158</f>
        <v>DPPP</v>
      </c>
      <c r="I157" s="24">
        <f>'Database MK'!S158</f>
        <v>1</v>
      </c>
      <c r="J157" s="24">
        <f>'Database MK'!T158</f>
        <v>1</v>
      </c>
      <c r="K157" s="571">
        <f>'Database MK'!U158</f>
        <v>0</v>
      </c>
      <c r="L157" s="561">
        <f>'Database MK'!V158</f>
        <v>669</v>
      </c>
      <c r="M157" s="561">
        <f>'Database MK'!W158</f>
        <v>667.59999999999991</v>
      </c>
      <c r="N157" s="561">
        <f>Table3[[#This Row],[Total Panjang Pipa Aktual]]-Table3[[#This Row],[Volume
BA MC-0]]</f>
        <v>-1.4000000000000909</v>
      </c>
      <c r="O157" s="7" t="str">
        <f ca="1">'Database MK'!DE158</f>
        <v>Sudah, OnSchedule</v>
      </c>
      <c r="P157" s="7" t="str">
        <f ca="1">'Database MK'!DI158</f>
        <v>Sudah, OnSchedule</v>
      </c>
      <c r="Q157" s="7" t="str">
        <f ca="1">'Database MK'!DN158</f>
        <v>Sudah, OnSchedule</v>
      </c>
      <c r="R157" s="7" t="str">
        <f ca="1">'Database MK'!DR158</f>
        <v>Sudah, Delay</v>
      </c>
      <c r="S157" s="7" t="str">
        <f ca="1">'Database MK'!EA158</f>
        <v>Sudah, OnSchedule</v>
      </c>
      <c r="T157" s="7" t="str">
        <f ca="1">'Database MK'!EI158</f>
        <v>Sudah, Delay</v>
      </c>
      <c r="U157" s="7" t="str">
        <f ca="1">'Database MK'!ET158</f>
        <v>Sudah, Delay</v>
      </c>
      <c r="V157" s="7" t="str">
        <f ca="1">'Database MK'!GA158</f>
        <v>Sudah, Delay</v>
      </c>
      <c r="W157" s="7" t="str">
        <f ca="1">'Database MK'!GD158</f>
        <v>Sudah, Delay</v>
      </c>
      <c r="X157" s="7" t="str">
        <f ca="1">'Database MK'!GG158</f>
        <v>Sudah, Delay</v>
      </c>
      <c r="Y157" s="7" t="str">
        <f ca="1">'Database MK'!GK158</f>
        <v>Sudah, Delay</v>
      </c>
      <c r="Z157" s="7" t="str">
        <f ca="1">'Database MK'!HH158</f>
        <v>Sudah, Delay</v>
      </c>
      <c r="AA157" s="7" t="str">
        <f ca="1">'Database MK'!HR158</f>
        <v>Sudah, Delay</v>
      </c>
      <c r="AB157" s="7" t="str">
        <f ca="1">'Database MK'!HX158</f>
        <v>Sudah, Delay</v>
      </c>
      <c r="AC157" s="7">
        <f>'Database MK'!DA158-'Database MK'!DB158</f>
        <v>17</v>
      </c>
      <c r="AD157" s="7">
        <f>'Database MK'!DA158-'Database MK'!DF158</f>
        <v>11</v>
      </c>
      <c r="AE157" s="7">
        <f>'Database MK'!DK158-'Database MK'!DL158</f>
        <v>52</v>
      </c>
      <c r="AF157" s="7">
        <f>'Database MK'!DK158-'Database MK'!DO158</f>
        <v>-10</v>
      </c>
      <c r="AG157" s="7">
        <f>'Database MK'!DU158-'Database MK'!DW158</f>
        <v>31</v>
      </c>
      <c r="AH157" s="7">
        <f>IF('Database MK'!EB158="","Belum",'Database MK'!DU158-'Database MK'!EB158)</f>
        <v>-115</v>
      </c>
      <c r="AI157" s="7">
        <f>IF('Database MK'!EN158="","Belum",'Database MK'!EL158-'Database MK'!EN158)</f>
        <v>-157</v>
      </c>
      <c r="AJ157" s="7">
        <f>'Database MK'!FY158-'Database MK'!FZ158</f>
        <v>-45884</v>
      </c>
      <c r="AK157" s="7">
        <f>IF('Database MK'!GC158="","Belum",'Database MK'!GB158-'Database MK'!GC158)</f>
        <v>-31</v>
      </c>
      <c r="AL157" s="7">
        <f>IF('Database MK'!GF158="","Belum",'Database MK'!GE158-'Database MK'!GF158)</f>
        <v>-24</v>
      </c>
      <c r="AM157" s="279">
        <f>IF('Database MK'!GJ158="","Belum",'Database MK'!GI158-'Database MK'!GJ158)</f>
        <v>-16</v>
      </c>
      <c r="AN157" s="7">
        <f>IF('Database MK'!HG158="","Belum",'Database MK'!HF158-'Database MK'!HG158)</f>
        <v>-89</v>
      </c>
      <c r="AO157" s="7">
        <f>IF('Database MK'!HQ158="","Belum",'Database MK'!HN158-'Database MK'!HQ158)</f>
        <v>-82</v>
      </c>
      <c r="AP157" s="7">
        <f>IF('Database MK'!HW158="","Belum",'Database MK'!HU158-'Database MK'!HW158)</f>
        <v>-95</v>
      </c>
    </row>
    <row r="158" spans="2:42" hidden="1" x14ac:dyDescent="0.25">
      <c r="B158" s="7">
        <f>SUBTOTAL(3,$C$4:C158)</f>
        <v>74</v>
      </c>
      <c r="C158" s="4" t="s">
        <v>244</v>
      </c>
      <c r="D158" s="4" t="s">
        <v>1142</v>
      </c>
      <c r="E158" s="4" t="s">
        <v>1143</v>
      </c>
      <c r="F158" s="270">
        <v>45931</v>
      </c>
      <c r="G158" s="4" t="s">
        <v>247</v>
      </c>
      <c r="H158" s="4" t="str">
        <f ca="1">'Database MK'!Q159</f>
        <v>DPPP</v>
      </c>
      <c r="I158" s="24">
        <f>'Database MK'!S159</f>
        <v>1</v>
      </c>
      <c r="J158" s="24">
        <f>'Database MK'!T159</f>
        <v>1</v>
      </c>
      <c r="K158" s="571">
        <f>'Database MK'!U159</f>
        <v>0</v>
      </c>
      <c r="L158" s="561">
        <f>'Database MK'!V159</f>
        <v>5440</v>
      </c>
      <c r="M158" s="561">
        <f>'Database MK'!W159</f>
        <v>5649.0300000000007</v>
      </c>
      <c r="N158" s="561">
        <f>Table3[[#This Row],[Total Panjang Pipa Aktual]]-Table3[[#This Row],[Volume
BA MC-0]]</f>
        <v>209.03000000000065</v>
      </c>
      <c r="O158" s="7" t="str">
        <f ca="1">'Database MK'!DE159</f>
        <v>Sudah, OnSchedule</v>
      </c>
      <c r="P158" s="7" t="str">
        <f ca="1">'Database MK'!DI159</f>
        <v>Sudah, OnSchedule</v>
      </c>
      <c r="Q158" s="7" t="str">
        <f ca="1">'Database MK'!DN159</f>
        <v>Sudah, OnSchedule</v>
      </c>
      <c r="R158" s="7" t="str">
        <f ca="1">'Database MK'!DR159</f>
        <v>Sudah, Delay</v>
      </c>
      <c r="S158" s="7" t="str">
        <f ca="1">'Database MK'!EA159</f>
        <v>Sudah, Delay</v>
      </c>
      <c r="T158" s="7" t="str">
        <f ca="1">'Database MK'!EI159</f>
        <v>Sudah, Delay</v>
      </c>
      <c r="U158" s="7" t="str">
        <f ca="1">'Database MK'!ET159</f>
        <v>Sudah, Delay</v>
      </c>
      <c r="V158" s="7" t="str">
        <f ca="1">'Database MK'!GA159</f>
        <v>Belum, Delay</v>
      </c>
      <c r="W158" s="7" t="str">
        <f ca="1">'Database MK'!GD159</f>
        <v>Sudah, OnSchedule</v>
      </c>
      <c r="X158" s="7" t="str">
        <f ca="1">'Database MK'!GG159</f>
        <v>Sudah, OnSchedule</v>
      </c>
      <c r="Y158" s="7" t="str">
        <f ca="1">'Database MK'!GK159</f>
        <v>Sudah, Delay</v>
      </c>
      <c r="Z158" s="7" t="str">
        <f ca="1">'Database MK'!HH159</f>
        <v>Sudah, Delay</v>
      </c>
      <c r="AA158" s="7" t="str">
        <f ca="1">'Database MK'!HR159</f>
        <v>Sudah, Delay</v>
      </c>
      <c r="AB158" s="7" t="str">
        <f ca="1">'Database MK'!HX159</f>
        <v>Sudah, Delay</v>
      </c>
      <c r="AC158" s="7">
        <f>'Database MK'!DA159-'Database MK'!DB159</f>
        <v>142</v>
      </c>
      <c r="AD158" s="7">
        <f>'Database MK'!DA159-'Database MK'!DF159</f>
        <v>132</v>
      </c>
      <c r="AE158" s="7">
        <f>'Database MK'!DK159-'Database MK'!DL159</f>
        <v>16</v>
      </c>
      <c r="AF158" s="7">
        <f>'Database MK'!DK159-'Database MK'!DO159</f>
        <v>-121</v>
      </c>
      <c r="AG158" s="7">
        <f>'Database MK'!DU159-'Database MK'!DW159</f>
        <v>-543</v>
      </c>
      <c r="AH158" s="7">
        <f>IF('Database MK'!EB159="","Belum",'Database MK'!DU159-'Database MK'!EB159)</f>
        <v>-571</v>
      </c>
      <c r="AI158" s="7">
        <f>IF('Database MK'!EN159="","Belum",'Database MK'!EL159-'Database MK'!EN159)</f>
        <v>-529</v>
      </c>
      <c r="AJ158" s="7">
        <f>'Database MK'!FY159-'Database MK'!FZ159</f>
        <v>0</v>
      </c>
      <c r="AK158" s="7">
        <f>IF('Database MK'!GC159="","Belum",'Database MK'!GB159-'Database MK'!GC159)</f>
        <v>124</v>
      </c>
      <c r="AL158" s="7">
        <f>IF('Database MK'!GF159="","Belum",'Database MK'!GE159-'Database MK'!GF159)</f>
        <v>131</v>
      </c>
      <c r="AM158" s="279">
        <f>IF('Database MK'!GJ159="","Belum",'Database MK'!GI159-'Database MK'!GJ159)</f>
        <v>-8</v>
      </c>
      <c r="AN158" s="7">
        <f>IF('Database MK'!HG159="","Belum",'Database MK'!HF159-'Database MK'!HG159)</f>
        <v>-242</v>
      </c>
      <c r="AO158" s="7">
        <f>IF('Database MK'!HQ159="","Belum",'Database MK'!HN159-'Database MK'!HQ159)</f>
        <v>-227</v>
      </c>
      <c r="AP158" s="7">
        <f>IF('Database MK'!HW159="","Belum",'Database MK'!HU159-'Database MK'!HW159)</f>
        <v>-249</v>
      </c>
    </row>
    <row r="159" spans="2:42" hidden="1" x14ac:dyDescent="0.25">
      <c r="B159" s="7">
        <f>SUBTOTAL(3,$C$4:C159)</f>
        <v>74</v>
      </c>
      <c r="C159" s="4" t="s">
        <v>244</v>
      </c>
      <c r="D159" s="4" t="s">
        <v>1147</v>
      </c>
      <c r="E159" s="4" t="s">
        <v>1148</v>
      </c>
      <c r="F159" s="270">
        <v>45931</v>
      </c>
      <c r="G159" s="4" t="s">
        <v>247</v>
      </c>
      <c r="H159" s="4" t="str">
        <f ca="1">'Database MK'!Q160</f>
        <v>DPPP</v>
      </c>
      <c r="I159" s="24">
        <f>'Database MK'!S160</f>
        <v>1</v>
      </c>
      <c r="J159" s="24">
        <f>'Database MK'!T160</f>
        <v>1</v>
      </c>
      <c r="K159" s="571">
        <f>'Database MK'!U160</f>
        <v>0</v>
      </c>
      <c r="L159" s="561">
        <f>'Database MK'!V160</f>
        <v>2200</v>
      </c>
      <c r="M159" s="561">
        <f>'Database MK'!W160</f>
        <v>2315.4549999999999</v>
      </c>
      <c r="N159" s="561">
        <f>Table3[[#This Row],[Total Panjang Pipa Aktual]]-Table3[[#This Row],[Volume
BA MC-0]]</f>
        <v>115.45499999999993</v>
      </c>
      <c r="O159" s="7" t="str">
        <f ca="1">'Database MK'!DE160</f>
        <v>Sudah, OnSchedule</v>
      </c>
      <c r="P159" s="7" t="str">
        <f ca="1">'Database MK'!DI160</f>
        <v>Sudah, OnSchedule</v>
      </c>
      <c r="Q159" s="7" t="str">
        <f ca="1">'Database MK'!DN160</f>
        <v>Sudah, OnSchedule</v>
      </c>
      <c r="R159" s="7" t="str">
        <f ca="1">'Database MK'!DR160</f>
        <v>Sudah, OnSchedule</v>
      </c>
      <c r="S159" s="7" t="str">
        <f ca="1">'Database MK'!EA160</f>
        <v>Sudah, Delay</v>
      </c>
      <c r="T159" s="7" t="str">
        <f ca="1">'Database MK'!EI160</f>
        <v>Sudah, Delay</v>
      </c>
      <c r="U159" s="7" t="str">
        <f ca="1">'Database MK'!ET160</f>
        <v>Sudah, Delay</v>
      </c>
      <c r="V159" s="7" t="str">
        <f ca="1">'Database MK'!GA160</f>
        <v>Belum, Delay</v>
      </c>
      <c r="W159" s="7" t="str">
        <f ca="1">'Database MK'!GD160</f>
        <v>Sudah, OnSchedule</v>
      </c>
      <c r="X159" s="7" t="str">
        <f ca="1">'Database MK'!GG160</f>
        <v>Sudah, OnSchedule</v>
      </c>
      <c r="Y159" s="7" t="str">
        <f ca="1">'Database MK'!GK160</f>
        <v>Sudah, OnSchedule</v>
      </c>
      <c r="Z159" s="7" t="str">
        <f ca="1">'Database MK'!HH160</f>
        <v>Sudah, Delay</v>
      </c>
      <c r="AA159" s="7" t="str">
        <f ca="1">'Database MK'!HR160</f>
        <v>Sudah, Delay</v>
      </c>
      <c r="AB159" s="7" t="str">
        <f ca="1">'Database MK'!HX160</f>
        <v>Sudah, Delay</v>
      </c>
      <c r="AC159" s="7">
        <f>'Database MK'!DA160-'Database MK'!DB160</f>
        <v>359</v>
      </c>
      <c r="AD159" s="7">
        <f>'Database MK'!DA160-'Database MK'!DF160</f>
        <v>349</v>
      </c>
      <c r="AE159" s="7">
        <f>'Database MK'!DK160-'Database MK'!DL160</f>
        <v>331</v>
      </c>
      <c r="AF159" s="7">
        <f>'Database MK'!DK160-'Database MK'!DO160</f>
        <v>328</v>
      </c>
      <c r="AG159" s="7">
        <f>'Database MK'!DU160-'Database MK'!DW160</f>
        <v>-263</v>
      </c>
      <c r="AH159" s="7">
        <f>IF('Database MK'!EB160="","Belum",'Database MK'!DU160-'Database MK'!EB160)</f>
        <v>-255</v>
      </c>
      <c r="AI159" s="7">
        <f>IF('Database MK'!EN160="","Belum",'Database MK'!EL160-'Database MK'!EN160)</f>
        <v>-314</v>
      </c>
      <c r="AJ159" s="7">
        <f>'Database MK'!FY160-'Database MK'!FZ160</f>
        <v>0</v>
      </c>
      <c r="AK159" s="7">
        <f>IF('Database MK'!GC160="","Belum",'Database MK'!GB160-'Database MK'!GC160)</f>
        <v>107</v>
      </c>
      <c r="AL159" s="7">
        <f>IF('Database MK'!GF160="","Belum",'Database MK'!GE160-'Database MK'!GF160)</f>
        <v>86</v>
      </c>
      <c r="AM159" s="279">
        <f>IF('Database MK'!GJ160="","Belum",'Database MK'!GI160-'Database MK'!GJ160)</f>
        <v>96</v>
      </c>
      <c r="AN159" s="7">
        <f>IF('Database MK'!HG160="","Belum",'Database MK'!HF160-'Database MK'!HG160)</f>
        <v>-56</v>
      </c>
      <c r="AO159" s="7">
        <f>IF('Database MK'!HQ160="","Belum",'Database MK'!HN160-'Database MK'!HQ160)</f>
        <v>-45</v>
      </c>
      <c r="AP159" s="7">
        <f>IF('Database MK'!HW160="","Belum",'Database MK'!HU160-'Database MK'!HW160)</f>
        <v>-54</v>
      </c>
    </row>
    <row r="160" spans="2:42" hidden="1" x14ac:dyDescent="0.25">
      <c r="B160" s="7">
        <f>SUBTOTAL(3,$C$4:C160)</f>
        <v>74</v>
      </c>
      <c r="C160" s="4" t="s">
        <v>244</v>
      </c>
      <c r="D160" s="4" t="s">
        <v>1155</v>
      </c>
      <c r="E160" s="4" t="s">
        <v>1156</v>
      </c>
      <c r="F160" s="270">
        <v>45931</v>
      </c>
      <c r="G160" s="4" t="s">
        <v>247</v>
      </c>
      <c r="H160" s="4" t="str">
        <f ca="1">'Database MK'!Q161</f>
        <v>DPPP</v>
      </c>
      <c r="I160" s="24">
        <f>'Database MK'!S161</f>
        <v>1</v>
      </c>
      <c r="J160" s="24">
        <f>'Database MK'!T161</f>
        <v>1</v>
      </c>
      <c r="K160" s="571">
        <f>'Database MK'!U161</f>
        <v>0</v>
      </c>
      <c r="L160" s="561">
        <f>'Database MK'!V161</f>
        <v>3064.7</v>
      </c>
      <c r="M160" s="561">
        <f>'Database MK'!W161</f>
        <v>3213.5</v>
      </c>
      <c r="N160" s="561">
        <f>Table3[[#This Row],[Total Panjang Pipa Aktual]]-Table3[[#This Row],[Volume
BA MC-0]]</f>
        <v>148.80000000000018</v>
      </c>
      <c r="O160" s="7" t="str">
        <f ca="1">'Database MK'!DE161</f>
        <v>Sudah, OnSchedule</v>
      </c>
      <c r="P160" s="7" t="str">
        <f ca="1">'Database MK'!DI161</f>
        <v>Sudah, OnSchedule</v>
      </c>
      <c r="Q160" s="7" t="str">
        <f ca="1">'Database MK'!DN161</f>
        <v>Sudah, OnSchedule</v>
      </c>
      <c r="R160" s="7" t="str">
        <f ca="1">'Database MK'!DR161</f>
        <v>Sudah, OnSchedule</v>
      </c>
      <c r="S160" s="7" t="str">
        <f ca="1">'Database MK'!EA161</f>
        <v>Sudah, OnSchedule</v>
      </c>
      <c r="T160" s="7" t="str">
        <f ca="1">'Database MK'!EI161</f>
        <v>Sudah, Delay</v>
      </c>
      <c r="U160" s="7" t="str">
        <f ca="1">'Database MK'!ET161</f>
        <v>Sudah, Delay</v>
      </c>
      <c r="V160" s="7" t="str">
        <f ca="1">'Database MK'!GA161</f>
        <v>Belum, Delay</v>
      </c>
      <c r="W160" s="7" t="str">
        <f ca="1">'Database MK'!GD161</f>
        <v>Sudah, OnSchedule</v>
      </c>
      <c r="X160" s="7" t="str">
        <f ca="1">'Database MK'!GG161</f>
        <v>Sudah, OnSchedule</v>
      </c>
      <c r="Y160" s="7" t="str">
        <f ca="1">'Database MK'!GK161</f>
        <v>Sudah, OnSchedule</v>
      </c>
      <c r="Z160" s="7" t="str">
        <f ca="1">'Database MK'!HH161</f>
        <v>Sudah, Delay</v>
      </c>
      <c r="AA160" s="7" t="str">
        <f ca="1">'Database MK'!HR161</f>
        <v>Sudah, Delay</v>
      </c>
      <c r="AB160" s="7" t="str">
        <f ca="1">'Database MK'!HX161</f>
        <v>Sudah, Delay</v>
      </c>
      <c r="AC160" s="7">
        <f>'Database MK'!DA161-'Database MK'!DB161</f>
        <v>325</v>
      </c>
      <c r="AD160" s="7">
        <f>'Database MK'!DA161-'Database MK'!DF161</f>
        <v>318</v>
      </c>
      <c r="AE160" s="7">
        <f>'Database MK'!DK161-'Database MK'!DL161</f>
        <v>331</v>
      </c>
      <c r="AF160" s="7">
        <f>'Database MK'!DK161-'Database MK'!DO161</f>
        <v>328</v>
      </c>
      <c r="AG160" s="7">
        <f>'Database MK'!DU161-'Database MK'!DW161</f>
        <v>374</v>
      </c>
      <c r="AH160" s="7">
        <f>IF('Database MK'!EB161="","Belum",'Database MK'!DU161-'Database MK'!EB161)</f>
        <v>-289</v>
      </c>
      <c r="AI160" s="7">
        <f>IF('Database MK'!EN161="","Belum",'Database MK'!EL161-'Database MK'!EN161)</f>
        <v>-319</v>
      </c>
      <c r="AJ160" s="7">
        <f>'Database MK'!FY161-'Database MK'!FZ161</f>
        <v>0</v>
      </c>
      <c r="AK160" s="7">
        <f>IF('Database MK'!GC161="","Belum",'Database MK'!GB161-'Database MK'!GC161)</f>
        <v>107</v>
      </c>
      <c r="AL160" s="7">
        <f>IF('Database MK'!GF161="","Belum",'Database MK'!GE161-'Database MK'!GF161)</f>
        <v>86</v>
      </c>
      <c r="AM160" s="279">
        <f>IF('Database MK'!GJ161="","Belum",'Database MK'!GI161-'Database MK'!GJ161)</f>
        <v>96</v>
      </c>
      <c r="AN160" s="7">
        <f>IF('Database MK'!HG161="","Belum",'Database MK'!HF161-'Database MK'!HG161)</f>
        <v>-34</v>
      </c>
      <c r="AO160" s="7">
        <f>IF('Database MK'!HQ161="","Belum",'Database MK'!HN161-'Database MK'!HQ161)</f>
        <v>-24</v>
      </c>
      <c r="AP160" s="7">
        <f>IF('Database MK'!HW161="","Belum",'Database MK'!HU161-'Database MK'!HW161)</f>
        <v>-8</v>
      </c>
    </row>
    <row r="161" spans="2:42" hidden="1" x14ac:dyDescent="0.25">
      <c r="B161" s="7">
        <f>SUBTOTAL(3,$C$4:C161)</f>
        <v>74</v>
      </c>
      <c r="C161" s="4" t="s">
        <v>244</v>
      </c>
      <c r="D161" s="4" t="s">
        <v>1163</v>
      </c>
      <c r="E161" s="4" t="s">
        <v>1164</v>
      </c>
      <c r="F161" s="270">
        <v>45931</v>
      </c>
      <c r="G161" s="4" t="s">
        <v>247</v>
      </c>
      <c r="H161" s="4" t="str">
        <f ca="1">'Database MK'!Q162</f>
        <v>DPPP</v>
      </c>
      <c r="I161" s="24">
        <f>'Database MK'!S162</f>
        <v>1</v>
      </c>
      <c r="J161" s="24">
        <f>'Database MK'!T162</f>
        <v>1</v>
      </c>
      <c r="K161" s="571">
        <f>'Database MK'!U162</f>
        <v>0</v>
      </c>
      <c r="L161" s="561">
        <f>'Database MK'!V162</f>
        <v>260</v>
      </c>
      <c r="M161" s="561">
        <f>'Database MK'!W162</f>
        <v>255</v>
      </c>
      <c r="N161" s="561">
        <f>Table3[[#This Row],[Total Panjang Pipa Aktual]]-Table3[[#This Row],[Volume
BA MC-0]]</f>
        <v>-5</v>
      </c>
      <c r="O161" s="7" t="str">
        <f ca="1">'Database MK'!DE162</f>
        <v>Sudah, OnSchedule</v>
      </c>
      <c r="P161" s="7" t="str">
        <f ca="1">'Database MK'!DI162</f>
        <v>Sudah, OnSchedule</v>
      </c>
      <c r="Q161" s="7" t="str">
        <f ca="1">'Database MK'!DN162</f>
        <v>Sudah, OnSchedule</v>
      </c>
      <c r="R161" s="7" t="str">
        <f ca="1">'Database MK'!DR162</f>
        <v>Sudah, Delay</v>
      </c>
      <c r="S161" s="7" t="str">
        <f ca="1">'Database MK'!EA162</f>
        <v>Sudah, Delay</v>
      </c>
      <c r="T161" s="7" t="str">
        <f ca="1">'Database MK'!EI162</f>
        <v>Sudah, Delay</v>
      </c>
      <c r="U161" s="7" t="str">
        <f ca="1">'Database MK'!ET162</f>
        <v>Sudah, Delay</v>
      </c>
      <c r="V161" s="7" t="str">
        <f ca="1">'Database MK'!GA162</f>
        <v>Belum, Delay</v>
      </c>
      <c r="W161" s="7" t="str">
        <f ca="1">'Database MK'!GD162</f>
        <v>Sudah, Delay</v>
      </c>
      <c r="X161" s="7" t="str">
        <f ca="1">'Database MK'!GG162</f>
        <v>Sudah, Delay</v>
      </c>
      <c r="Y161" s="7" t="str">
        <f ca="1">'Database MK'!GK162</f>
        <v>Sudah, Delay</v>
      </c>
      <c r="Z161" s="7" t="str">
        <f ca="1">'Database MK'!HH162</f>
        <v>Sudah, Delay</v>
      </c>
      <c r="AA161" s="7" t="str">
        <f ca="1">'Database MK'!HR162</f>
        <v>Sudah, Delay</v>
      </c>
      <c r="AB161" s="7" t="str">
        <f ca="1">'Database MK'!HX162</f>
        <v>Sudah, Delay</v>
      </c>
      <c r="AC161" s="7">
        <f>'Database MK'!DA162-'Database MK'!DB162</f>
        <v>51</v>
      </c>
      <c r="AD161" s="7">
        <f>'Database MK'!DA162-'Database MK'!DF162</f>
        <v>17</v>
      </c>
      <c r="AE161" s="7">
        <f>'Database MK'!DK162-'Database MK'!DL162</f>
        <v>18</v>
      </c>
      <c r="AF161" s="7">
        <f>'Database MK'!DK162-'Database MK'!DO162</f>
        <v>-44</v>
      </c>
      <c r="AG161" s="7">
        <f>'Database MK'!DU162-'Database MK'!DW162</f>
        <v>-192</v>
      </c>
      <c r="AH161" s="7">
        <f>IF('Database MK'!EB162="","Belum",'Database MK'!DU162-'Database MK'!EB162)</f>
        <v>-198</v>
      </c>
      <c r="AI161" s="7">
        <f>IF('Database MK'!EN162="","Belum",'Database MK'!EL162-'Database MK'!EN162)</f>
        <v>-234</v>
      </c>
      <c r="AJ161" s="7">
        <f>'Database MK'!FY162-'Database MK'!FZ162</f>
        <v>0</v>
      </c>
      <c r="AK161" s="7">
        <f>IF('Database MK'!GC162="","Belum",'Database MK'!GB162-'Database MK'!GC162)</f>
        <v>-17</v>
      </c>
      <c r="AL161" s="7">
        <f>IF('Database MK'!GF162="","Belum",'Database MK'!GE162-'Database MK'!GF162)</f>
        <v>-8</v>
      </c>
      <c r="AM161" s="279">
        <f>IF('Database MK'!GJ162="","Belum",'Database MK'!GI162-'Database MK'!GJ162)</f>
        <v>-31</v>
      </c>
      <c r="AN161" s="7">
        <f>IF('Database MK'!HG162="","Belum",'Database MK'!HF162-'Database MK'!HG162)</f>
        <v>-75</v>
      </c>
      <c r="AO161" s="7">
        <f>IF('Database MK'!HQ162="","Belum",'Database MK'!HN162-'Database MK'!HQ162)</f>
        <v>-65</v>
      </c>
      <c r="AP161" s="7">
        <f>IF('Database MK'!HW162="","Belum",'Database MK'!HU162-'Database MK'!HW162)</f>
        <v>-88</v>
      </c>
    </row>
    <row r="162" spans="2:42" hidden="1" x14ac:dyDescent="0.25">
      <c r="B162" s="7">
        <f>SUBTOTAL(3,$C$4:C162)</f>
        <v>74</v>
      </c>
      <c r="C162" s="4" t="s">
        <v>244</v>
      </c>
      <c r="D162" s="4" t="s">
        <v>1174</v>
      </c>
      <c r="E162" s="4" t="s">
        <v>1175</v>
      </c>
      <c r="F162" s="270">
        <v>45931</v>
      </c>
      <c r="G162" s="4" t="s">
        <v>247</v>
      </c>
      <c r="H162" s="4" t="str">
        <f ca="1">'Database MK'!Q163</f>
        <v>DPPP</v>
      </c>
      <c r="I162" s="24">
        <f>'Database MK'!S163</f>
        <v>1</v>
      </c>
      <c r="J162" s="24">
        <f>'Database MK'!T163</f>
        <v>1</v>
      </c>
      <c r="K162" s="571">
        <f>'Database MK'!U163</f>
        <v>0</v>
      </c>
      <c r="L162" s="561">
        <f>'Database MK'!V163</f>
        <v>0</v>
      </c>
      <c r="M162" s="561">
        <f>'Database MK'!W163</f>
        <v>1</v>
      </c>
      <c r="N162" s="561">
        <f>Table3[[#This Row],[Total Panjang Pipa Aktual]]-Table3[[#This Row],[Volume
BA MC-0]]</f>
        <v>1</v>
      </c>
      <c r="O162" s="7" t="str">
        <f ca="1">'Database MK'!DE163</f>
        <v>Sudah, OnSchedule</v>
      </c>
      <c r="P162" s="7" t="str">
        <f ca="1">'Database MK'!DI163</f>
        <v>Sudah, OnSchedule</v>
      </c>
      <c r="Q162" s="7" t="str">
        <f ca="1">'Database MK'!DN163</f>
        <v>Sudah, OnSchedule</v>
      </c>
      <c r="R162" s="7" t="str">
        <f ca="1">'Database MK'!DR163</f>
        <v>Sudah, OnSchedule</v>
      </c>
      <c r="S162" s="7" t="str">
        <f ca="1">'Database MK'!EA163</f>
        <v>Sudah, Delay</v>
      </c>
      <c r="T162" s="7" t="str">
        <f ca="1">'Database MK'!EI163</f>
        <v>Sudah, Delay</v>
      </c>
      <c r="U162" s="7" t="str">
        <f ca="1">'Database MK'!ET163</f>
        <v>Sudah, Delay</v>
      </c>
      <c r="V162" s="7" t="str">
        <f ca="1">'Database MK'!GA163</f>
        <v>Belum, Delay</v>
      </c>
      <c r="W162" s="7" t="str">
        <f ca="1">'Database MK'!GD163</f>
        <v>Sudah, OnSchedule</v>
      </c>
      <c r="X162" s="7" t="str">
        <f ca="1">'Database MK'!GG163</f>
        <v>Sudah, Delay</v>
      </c>
      <c r="Y162" s="7" t="str">
        <f ca="1">'Database MK'!GK163</f>
        <v>Sudah, Delay</v>
      </c>
      <c r="Z162" s="7" t="str">
        <f ca="1">'Database MK'!HH163</f>
        <v>Sudah, Delay</v>
      </c>
      <c r="AA162" s="7" t="str">
        <f ca="1">'Database MK'!HR163</f>
        <v>Sudah, Delay</v>
      </c>
      <c r="AB162" s="7" t="str">
        <f ca="1">'Database MK'!HX163</f>
        <v>Sudah, Delay</v>
      </c>
      <c r="AC162" s="7">
        <f>'Database MK'!DA163-'Database MK'!DB163</f>
        <v>137</v>
      </c>
      <c r="AD162" s="7">
        <f>'Database MK'!DA163-'Database MK'!DF163</f>
        <v>128</v>
      </c>
      <c r="AE162" s="7">
        <f>'Database MK'!DK163-'Database MK'!DL163</f>
        <v>82</v>
      </c>
      <c r="AF162" s="7">
        <f>'Database MK'!DK163-'Database MK'!DO163</f>
        <v>93</v>
      </c>
      <c r="AG162" s="7">
        <f>'Database MK'!DU163-'Database MK'!DW163</f>
        <v>-415</v>
      </c>
      <c r="AH162" s="7">
        <f>IF('Database MK'!EB163="","Belum",'Database MK'!DU163-'Database MK'!EB163)</f>
        <v>-442</v>
      </c>
      <c r="AI162" s="7">
        <f>IF('Database MK'!EN163="","Belum",'Database MK'!EL163-'Database MK'!EN163)</f>
        <v>-520</v>
      </c>
      <c r="AJ162" s="7">
        <f>'Database MK'!FY163-'Database MK'!FZ163</f>
        <v>0</v>
      </c>
      <c r="AK162" s="7">
        <f>IF('Database MK'!GC163="","Belum",'Database MK'!GB163-'Database MK'!GC163)</f>
        <v>151</v>
      </c>
      <c r="AL162" s="7">
        <f>IF('Database MK'!GF163="","Belum",'Database MK'!GE163-'Database MK'!GF163)</f>
        <v>-8</v>
      </c>
      <c r="AM162" s="279">
        <f>IF('Database MK'!GJ163="","Belum",'Database MK'!GI163-'Database MK'!GJ163)</f>
        <v>-180</v>
      </c>
      <c r="AN162" s="7">
        <f>IF('Database MK'!HG163="","Belum",'Database MK'!HF163-'Database MK'!HG163)</f>
        <v>-163</v>
      </c>
      <c r="AO162" s="7">
        <f>IF('Database MK'!HQ163="","Belum",'Database MK'!HN163-'Database MK'!HQ163)</f>
        <v>-169</v>
      </c>
      <c r="AP162" s="7">
        <f>IF('Database MK'!HW163="","Belum",'Database MK'!HU163-'Database MK'!HW163)</f>
        <v>-162</v>
      </c>
    </row>
    <row r="163" spans="2:42" hidden="1" x14ac:dyDescent="0.25">
      <c r="B163" s="7">
        <f>SUBTOTAL(3,$C$4:C163)</f>
        <v>74</v>
      </c>
      <c r="C163" s="4" t="s">
        <v>244</v>
      </c>
      <c r="D163" s="4" t="s">
        <v>1184</v>
      </c>
      <c r="E163" s="4" t="s">
        <v>1185</v>
      </c>
      <c r="F163" s="270">
        <v>45931</v>
      </c>
      <c r="G163" s="4" t="s">
        <v>247</v>
      </c>
      <c r="H163" s="4" t="str">
        <f ca="1">'Database MK'!Q164</f>
        <v>DPPP</v>
      </c>
      <c r="I163" s="24">
        <f>'Database MK'!S164</f>
        <v>1</v>
      </c>
      <c r="J163" s="24">
        <f>'Database MK'!T164</f>
        <v>1</v>
      </c>
      <c r="K163" s="571">
        <f>'Database MK'!U164</f>
        <v>0</v>
      </c>
      <c r="L163" s="561">
        <f>'Database MK'!V164</f>
        <v>0</v>
      </c>
      <c r="M163" s="561">
        <f>'Database MK'!W164</f>
        <v>1</v>
      </c>
      <c r="N163" s="561">
        <f>Table3[[#This Row],[Total Panjang Pipa Aktual]]-Table3[[#This Row],[Volume
BA MC-0]]</f>
        <v>1</v>
      </c>
      <c r="O163" s="7" t="str">
        <f ca="1">'Database MK'!DE164</f>
        <v>Sudah, OnSchedule</v>
      </c>
      <c r="P163" s="7" t="str">
        <f ca="1">'Database MK'!DI164</f>
        <v>Sudah, OnSchedule</v>
      </c>
      <c r="Q163" s="7" t="str">
        <f ca="1">'Database MK'!DN164</f>
        <v>Sudah, Delay</v>
      </c>
      <c r="R163" s="7" t="str">
        <f ca="1">'Database MK'!DR164</f>
        <v>Sudah, Delay</v>
      </c>
      <c r="S163" s="7" t="str">
        <f ca="1">'Database MK'!EA164</f>
        <v>Sudah, Delay</v>
      </c>
      <c r="T163" s="7" t="str">
        <f ca="1">'Database MK'!EI164</f>
        <v>Sudah, Delay</v>
      </c>
      <c r="U163" s="7" t="str">
        <f ca="1">'Database MK'!ET164</f>
        <v>Sudah, Delay</v>
      </c>
      <c r="V163" s="7" t="str">
        <f ca="1">'Database MK'!GA164</f>
        <v>Belum, Delay</v>
      </c>
      <c r="W163" s="7" t="str">
        <f ca="1">'Database MK'!GD164</f>
        <v>Sudah, OnSchedule</v>
      </c>
      <c r="X163" s="7" t="str">
        <f ca="1">'Database MK'!GG164</f>
        <v>Sudah, Delay</v>
      </c>
      <c r="Y163" s="7" t="str">
        <f ca="1">'Database MK'!GK164</f>
        <v>Sudah, Delay</v>
      </c>
      <c r="Z163" s="7" t="str">
        <f ca="1">'Database MK'!HH164</f>
        <v>Sudah, Delay</v>
      </c>
      <c r="AA163" s="7" t="str">
        <f ca="1">'Database MK'!HR164</f>
        <v>Sudah, Delay</v>
      </c>
      <c r="AB163" s="7" t="str">
        <f ca="1">'Database MK'!HX164</f>
        <v>Sudah, Delay</v>
      </c>
      <c r="AC163" s="7">
        <f>'Database MK'!DA164-'Database MK'!DB164</f>
        <v>108</v>
      </c>
      <c r="AD163" s="7">
        <f>'Database MK'!DA164-'Database MK'!DF164</f>
        <v>101</v>
      </c>
      <c r="AE163" s="7">
        <f>'Database MK'!DK164-'Database MK'!DL164</f>
        <v>-386</v>
      </c>
      <c r="AF163" s="7">
        <f>'Database MK'!DK164-'Database MK'!DO164</f>
        <v>-422</v>
      </c>
      <c r="AG163" s="7">
        <f>'Database MK'!DU164-'Database MK'!DW164</f>
        <v>-278</v>
      </c>
      <c r="AH163" s="7">
        <f>IF('Database MK'!EB164="","Belum",'Database MK'!DU164-'Database MK'!EB164)</f>
        <v>-290</v>
      </c>
      <c r="AI163" s="7">
        <f>IF('Database MK'!EN164="","Belum",'Database MK'!EL164-'Database MK'!EN164)</f>
        <v>-446</v>
      </c>
      <c r="AJ163" s="7">
        <f>'Database MK'!FY164-'Database MK'!FZ164</f>
        <v>0</v>
      </c>
      <c r="AK163" s="7">
        <f>IF('Database MK'!GC164="","Belum",'Database MK'!GB164-'Database MK'!GC164)</f>
        <v>151</v>
      </c>
      <c r="AL163" s="7">
        <f>IF('Database MK'!GF164="","Belum",'Database MK'!GE164-'Database MK'!GF164)</f>
        <v>-8</v>
      </c>
      <c r="AM163" s="279">
        <f>IF('Database MK'!GJ164="","Belum",'Database MK'!GI164-'Database MK'!GJ164)</f>
        <v>-180</v>
      </c>
      <c r="AN163" s="7">
        <f>IF('Database MK'!HG164="","Belum",'Database MK'!HF164-'Database MK'!HG164)</f>
        <v>-163</v>
      </c>
      <c r="AO163" s="7">
        <f>IF('Database MK'!HQ164="","Belum",'Database MK'!HN164-'Database MK'!HQ164)</f>
        <v>-169</v>
      </c>
      <c r="AP163" s="7">
        <f>IF('Database MK'!HW164="","Belum",'Database MK'!HU164-'Database MK'!HW164)</f>
        <v>-162</v>
      </c>
    </row>
    <row r="164" spans="2:42" hidden="1" x14ac:dyDescent="0.25">
      <c r="B164" s="7">
        <f>SUBTOTAL(3,$C$4:C164)</f>
        <v>74</v>
      </c>
      <c r="C164" s="4" t="s">
        <v>244</v>
      </c>
      <c r="D164" s="4" t="s">
        <v>1194</v>
      </c>
      <c r="E164" s="4" t="s">
        <v>1195</v>
      </c>
      <c r="F164" s="270">
        <v>45931</v>
      </c>
      <c r="G164" s="4" t="s">
        <v>247</v>
      </c>
      <c r="H164" s="4" t="str">
        <f ca="1">'Database MK'!Q165</f>
        <v>DPPP</v>
      </c>
      <c r="I164" s="24">
        <f>'Database MK'!S165</f>
        <v>1</v>
      </c>
      <c r="J164" s="24">
        <f>'Database MK'!T165</f>
        <v>1</v>
      </c>
      <c r="K164" s="571">
        <f>'Database MK'!U165</f>
        <v>0</v>
      </c>
      <c r="L164" s="561">
        <f>'Database MK'!V165</f>
        <v>0</v>
      </c>
      <c r="M164" s="561">
        <f>'Database MK'!W165</f>
        <v>1</v>
      </c>
      <c r="N164" s="561">
        <f>Table3[[#This Row],[Total Panjang Pipa Aktual]]-Table3[[#This Row],[Volume
BA MC-0]]</f>
        <v>1</v>
      </c>
      <c r="O164" s="7" t="str">
        <f ca="1">'Database MK'!DE165</f>
        <v>Sudah, Delay</v>
      </c>
      <c r="P164" s="7" t="str">
        <f ca="1">'Database MK'!DI165</f>
        <v>Sudah, Delay</v>
      </c>
      <c r="Q164" s="7" t="str">
        <f ca="1">'Database MK'!DN165</f>
        <v>Sudah, Delay</v>
      </c>
      <c r="R164" s="7" t="str">
        <f ca="1">'Database MK'!DR165</f>
        <v>Sudah, Delay</v>
      </c>
      <c r="S164" s="7" t="str">
        <f ca="1">'Database MK'!EA165</f>
        <v>Sudah, Delay</v>
      </c>
      <c r="T164" s="7" t="str">
        <f ca="1">'Database MK'!EI165</f>
        <v>Sudah, Delay</v>
      </c>
      <c r="U164" s="7" t="str">
        <f ca="1">'Database MK'!ET165</f>
        <v>Sudah, Delay</v>
      </c>
      <c r="V164" s="7" t="str">
        <f ca="1">'Database MK'!GA165</f>
        <v>Belum, Delay</v>
      </c>
      <c r="W164" s="7" t="str">
        <f ca="1">'Database MK'!GD165</f>
        <v>Sudah, OnSchedule</v>
      </c>
      <c r="X164" s="7" t="str">
        <f ca="1">'Database MK'!GG165</f>
        <v>Sudah, Delay</v>
      </c>
      <c r="Y164" s="7" t="str">
        <f ca="1">'Database MK'!GK165</f>
        <v>Sudah, OnSchedule</v>
      </c>
      <c r="Z164" s="7" t="str">
        <f ca="1">'Database MK'!HH165</f>
        <v>Sudah, Delay</v>
      </c>
      <c r="AA164" s="7" t="str">
        <f ca="1">'Database MK'!HR165</f>
        <v>Sudah, Delay</v>
      </c>
      <c r="AB164" s="7" t="str">
        <f ca="1">'Database MK'!HX165</f>
        <v>Sudah, Delay</v>
      </c>
      <c r="AC164" s="7">
        <f>'Database MK'!DA165-'Database MK'!DB165</f>
        <v>-197</v>
      </c>
      <c r="AD164" s="7">
        <f>'Database MK'!DA165-'Database MK'!DF165</f>
        <v>-206</v>
      </c>
      <c r="AE164" s="7">
        <f>'Database MK'!DK165-'Database MK'!DL165</f>
        <v>-298</v>
      </c>
      <c r="AF164" s="7">
        <f>'Database MK'!DK165-'Database MK'!DO165</f>
        <v>-346</v>
      </c>
      <c r="AG164" s="7">
        <f>'Database MK'!DU165-'Database MK'!DW165</f>
        <v>-499</v>
      </c>
      <c r="AH164" s="7">
        <f>IF('Database MK'!EB165="","Belum",'Database MK'!DU165-'Database MK'!EB165)</f>
        <v>-540</v>
      </c>
      <c r="AI164" s="7">
        <f>IF('Database MK'!EN165="","Belum",'Database MK'!EL165-'Database MK'!EN165)</f>
        <v>-411</v>
      </c>
      <c r="AJ164" s="7">
        <f>'Database MK'!FY165-'Database MK'!FZ165</f>
        <v>0</v>
      </c>
      <c r="AK164" s="7">
        <f>IF('Database MK'!GC165="","Belum",'Database MK'!GB165-'Database MK'!GC165)</f>
        <v>151</v>
      </c>
      <c r="AL164" s="7">
        <f>IF('Database MK'!GF165="","Belum",'Database MK'!GE165-'Database MK'!GF165)</f>
        <v>-8</v>
      </c>
      <c r="AM164" s="279">
        <f>IF('Database MK'!GJ165="","Belum",'Database MK'!GI165-'Database MK'!GJ165)</f>
        <v>185</v>
      </c>
      <c r="AN164" s="7">
        <f>IF('Database MK'!HG165="","Belum",'Database MK'!HF165-'Database MK'!HG165)</f>
        <v>-171</v>
      </c>
      <c r="AO164" s="7">
        <f>IF('Database MK'!HQ165="","Belum",'Database MK'!HN165-'Database MK'!HQ165)</f>
        <v>-169</v>
      </c>
      <c r="AP164" s="7">
        <f>IF('Database MK'!HW165="","Belum",'Database MK'!HU165-'Database MK'!HW165)</f>
        <v>-162</v>
      </c>
    </row>
    <row r="165" spans="2:42" hidden="1" x14ac:dyDescent="0.25">
      <c r="B165" s="7">
        <f>SUBTOTAL(3,$C$4:C165)</f>
        <v>74</v>
      </c>
      <c r="C165" s="4" t="s">
        <v>244</v>
      </c>
      <c r="D165" s="4" t="s">
        <v>1203</v>
      </c>
      <c r="E165" s="223" t="s">
        <v>1204</v>
      </c>
      <c r="F165" s="270">
        <v>45931</v>
      </c>
      <c r="G165" s="4" t="s">
        <v>247</v>
      </c>
      <c r="H165" s="4" t="str">
        <f ca="1">'Database MK'!Q166</f>
        <v>DPPP</v>
      </c>
      <c r="I165" s="24">
        <f>'Database MK'!S166</f>
        <v>1</v>
      </c>
      <c r="J165" s="24">
        <f>'Database MK'!T166</f>
        <v>1</v>
      </c>
      <c r="K165" s="571">
        <f>'Database MK'!U166</f>
        <v>0</v>
      </c>
      <c r="L165" s="561">
        <f>'Database MK'!V166</f>
        <v>0</v>
      </c>
      <c r="M165" s="561">
        <f>'Database MK'!W166</f>
        <v>1</v>
      </c>
      <c r="N165" s="561">
        <f>Table3[[#This Row],[Total Panjang Pipa Aktual]]-Table3[[#This Row],[Volume
BA MC-0]]</f>
        <v>1</v>
      </c>
      <c r="O165" s="7" t="str">
        <f ca="1">'Database MK'!DE166</f>
        <v>Sudah, Delay</v>
      </c>
      <c r="P165" s="7" t="str">
        <f ca="1">'Database MK'!DI166</f>
        <v>Sudah, Delay</v>
      </c>
      <c r="Q165" s="7" t="str">
        <f ca="1">'Database MK'!DN166</f>
        <v>Sudah, Delay</v>
      </c>
      <c r="R165" s="7" t="str">
        <f ca="1">'Database MK'!DR166</f>
        <v>Sudah, Delay</v>
      </c>
      <c r="S165" s="7" t="str">
        <f ca="1">'Database MK'!EA166</f>
        <v>Sudah, Delay</v>
      </c>
      <c r="T165" s="7" t="str">
        <f ca="1">'Database MK'!EI166</f>
        <v>Sudah, Delay</v>
      </c>
      <c r="U165" s="7" t="str">
        <f ca="1">'Database MK'!ET166</f>
        <v>Sudah, Delay</v>
      </c>
      <c r="V165" s="7" t="str">
        <f ca="1">'Database MK'!GA166</f>
        <v>Belum, Delay</v>
      </c>
      <c r="W165" s="7" t="str">
        <f ca="1">'Database MK'!GD166</f>
        <v>Sudah, OnSchedule</v>
      </c>
      <c r="X165" s="7" t="str">
        <f ca="1">'Database MK'!GG166</f>
        <v>Sudah, Delay</v>
      </c>
      <c r="Y165" s="7" t="str">
        <f ca="1">'Database MK'!GK166</f>
        <v>Sudah, Delay</v>
      </c>
      <c r="Z165" s="7" t="str">
        <f ca="1">'Database MK'!HH166</f>
        <v>Sudah, Delay</v>
      </c>
      <c r="AA165" s="7" t="str">
        <f ca="1">'Database MK'!HR166</f>
        <v>Sudah, Delay</v>
      </c>
      <c r="AB165" s="7" t="str">
        <f ca="1">'Database MK'!HX166</f>
        <v>Sudah, Delay</v>
      </c>
      <c r="AC165" s="7">
        <f>'Database MK'!DA166-'Database MK'!DB166</f>
        <v>-227</v>
      </c>
      <c r="AD165" s="7">
        <f>'Database MK'!DA166-'Database MK'!DF166</f>
        <v>-235</v>
      </c>
      <c r="AE165" s="7">
        <f>'Database MK'!DK166-'Database MK'!DL166</f>
        <v>-130</v>
      </c>
      <c r="AF165" s="7">
        <f>'Database MK'!DK166-'Database MK'!DO166</f>
        <v>-141</v>
      </c>
      <c r="AG165" s="7">
        <f>'Database MK'!DU166-'Database MK'!DW166</f>
        <v>-235</v>
      </c>
      <c r="AH165" s="7">
        <f>IF('Database MK'!EB166="","Belum",'Database MK'!DU166-'Database MK'!EB166)</f>
        <v>-246</v>
      </c>
      <c r="AI165" s="7">
        <f>IF('Database MK'!EN166="","Belum",'Database MK'!EL166-'Database MK'!EN166)</f>
        <v>-411</v>
      </c>
      <c r="AJ165" s="7">
        <f>'Database MK'!FY166-'Database MK'!FZ166</f>
        <v>0</v>
      </c>
      <c r="AK165" s="7">
        <f>IF('Database MK'!GC166="","Belum",'Database MK'!GB166-'Database MK'!GC166)</f>
        <v>151</v>
      </c>
      <c r="AL165" s="7">
        <f>IF('Database MK'!GF166="","Belum",'Database MK'!GE166-'Database MK'!GF166)</f>
        <v>-8</v>
      </c>
      <c r="AM165" s="279">
        <f>IF('Database MK'!GJ166="","Belum",'Database MK'!GI166-'Database MK'!GJ166)</f>
        <v>-180</v>
      </c>
      <c r="AN165" s="7">
        <f>IF('Database MK'!HG166="","Belum",'Database MK'!HF166-'Database MK'!HG166)</f>
        <v>-171</v>
      </c>
      <c r="AO165" s="7">
        <f>IF('Database MK'!HQ166="","Belum",'Database MK'!HN166-'Database MK'!HQ166)</f>
        <v>-169</v>
      </c>
      <c r="AP165" s="7">
        <f>IF('Database MK'!HW166="","Belum",'Database MK'!HU166-'Database MK'!HW166)</f>
        <v>-162</v>
      </c>
    </row>
    <row r="166" spans="2:42" hidden="1" x14ac:dyDescent="0.25">
      <c r="B166" s="7">
        <f>SUBTOTAL(3,$C$4:C166)</f>
        <v>74</v>
      </c>
      <c r="C166" s="4" t="s">
        <v>244</v>
      </c>
      <c r="D166" s="4" t="s">
        <v>1210</v>
      </c>
      <c r="E166" s="4" t="s">
        <v>1211</v>
      </c>
      <c r="F166" s="270">
        <v>45931</v>
      </c>
      <c r="G166" s="4" t="s">
        <v>247</v>
      </c>
      <c r="H166" s="4" t="str">
        <f ca="1">'Database MK'!Q167</f>
        <v>MC-0</v>
      </c>
      <c r="I166" s="24">
        <f>'Database MK'!S167</f>
        <v>1</v>
      </c>
      <c r="J166" s="24">
        <f>'Database MK'!T167</f>
        <v>7.0695829589043019E-3</v>
      </c>
      <c r="K166" s="571">
        <f>'Database MK'!U167</f>
        <v>-0.99293041704109575</v>
      </c>
      <c r="L166" s="561">
        <f>'Database MK'!V167</f>
        <v>0</v>
      </c>
      <c r="M166" s="561">
        <f>'Database MK'!W167</f>
        <v>0</v>
      </c>
      <c r="N166" s="561">
        <f>Table3[[#This Row],[Total Panjang Pipa Aktual]]-Table3[[#This Row],[Volume
BA MC-0]]</f>
        <v>0</v>
      </c>
      <c r="O166" s="7" t="str">
        <f ca="1">'Database MK'!DE167</f>
        <v>Sudah, OnSchedule</v>
      </c>
      <c r="P166" s="7" t="str">
        <f ca="1">'Database MK'!DI167</f>
        <v>Sudah, OnSchedule</v>
      </c>
      <c r="Q166" s="7" t="str">
        <f ca="1">'Database MK'!DN167</f>
        <v>Sudah, OnSchedule</v>
      </c>
      <c r="R166" s="7" t="str">
        <f ca="1">'Database MK'!DR167</f>
        <v>Sudah, Delay</v>
      </c>
      <c r="S166" s="7" t="str">
        <f ca="1">'Database MK'!EA167</f>
        <v>Sudah, Delay</v>
      </c>
      <c r="T166" s="7" t="str">
        <f ca="1">'Database MK'!EI167</f>
        <v>Sudah, Delay</v>
      </c>
      <c r="U166" s="7" t="str">
        <f ca="1">'Database MK'!ET167</f>
        <v>Belum, Delay</v>
      </c>
      <c r="V166" s="7" t="str">
        <f ca="1">'Database MK'!GA167</f>
        <v>Belum, Delay</v>
      </c>
      <c r="W166" s="7" t="str">
        <f ca="1">'Database MK'!GD167</f>
        <v>Sudah, Delay</v>
      </c>
      <c r="X166" s="7" t="str">
        <f ca="1">'Database MK'!GG167</f>
        <v>Sudah, Delay</v>
      </c>
      <c r="Y166" s="7" t="str">
        <f ca="1">'Database MK'!GK167</f>
        <v>Sudah, Delay</v>
      </c>
      <c r="Z166" s="7" t="str">
        <f ca="1">'Database MK'!HH167</f>
        <v>Belum, Delay</v>
      </c>
      <c r="AA166" s="7" t="str">
        <f ca="1">'Database MK'!HR167</f>
        <v>Belum, Delay</v>
      </c>
      <c r="AB166" s="7" t="str">
        <f ca="1">'Database MK'!HX167</f>
        <v>Belum, Delay</v>
      </c>
      <c r="AC166" s="7">
        <f>'Database MK'!DA167-'Database MK'!DB167</f>
        <v>65</v>
      </c>
      <c r="AD166" s="7">
        <f>'Database MK'!DA167-'Database MK'!DF167</f>
        <v>4</v>
      </c>
      <c r="AE166" s="7">
        <f>'Database MK'!DK167-'Database MK'!DL167</f>
        <v>23</v>
      </c>
      <c r="AF166" s="7">
        <f>'Database MK'!DK167-'Database MK'!DO167</f>
        <v>-16</v>
      </c>
      <c r="AG166" s="7">
        <f>'Database MK'!DU167-'Database MK'!DW167</f>
        <v>-159</v>
      </c>
      <c r="AH166" s="7">
        <f>IF('Database MK'!EB167="","Belum",'Database MK'!DU167-'Database MK'!EB167)</f>
        <v>-179</v>
      </c>
      <c r="AI166" s="7" t="str">
        <f>IF('Database MK'!EN167="","Belum",'Database MK'!EL167-'Database MK'!EN167)</f>
        <v>Belum</v>
      </c>
      <c r="AJ166" s="7">
        <f>'Database MK'!FY167-'Database MK'!FZ167</f>
        <v>0</v>
      </c>
      <c r="AK166" s="7">
        <f>IF('Database MK'!GC167="","Belum",'Database MK'!GB167-'Database MK'!GC167)</f>
        <v>-5</v>
      </c>
      <c r="AL166" s="7">
        <f>IF('Database MK'!GF167="","Belum",'Database MK'!GE167-'Database MK'!GF167)</f>
        <v>-19</v>
      </c>
      <c r="AM166" s="279">
        <f>IF('Database MK'!GJ167="","Belum",'Database MK'!GI167-'Database MK'!GJ167)</f>
        <v>-11</v>
      </c>
      <c r="AN166" s="7" t="str">
        <f>IF('Database MK'!HG167="","Belum",'Database MK'!HF167-'Database MK'!HG167)</f>
        <v>Belum</v>
      </c>
      <c r="AO166" s="7" t="str">
        <f>IF('Database MK'!HQ167="","Belum",'Database MK'!HN167-'Database MK'!HQ167)</f>
        <v>Belum</v>
      </c>
      <c r="AP166" s="7" t="str">
        <f>IF('Database MK'!HW167="","Belum",'Database MK'!HU167-'Database MK'!HW167)</f>
        <v>Belum</v>
      </c>
    </row>
    <row r="167" spans="2:42" s="72" customFormat="1" hidden="1" x14ac:dyDescent="0.25">
      <c r="B167" s="7">
        <f>SUBTOTAL(3,$C$4:C167)</f>
        <v>74</v>
      </c>
      <c r="C167" s="72" t="s">
        <v>244</v>
      </c>
      <c r="D167" s="72" t="s">
        <v>1222</v>
      </c>
      <c r="E167" s="72" t="s">
        <v>1223</v>
      </c>
      <c r="F167" s="272">
        <v>45931</v>
      </c>
      <c r="G167" s="72" t="s">
        <v>247</v>
      </c>
      <c r="H167" s="72" t="str">
        <f>'Database MK'!Q168</f>
        <v>BATAL / CANCEL</v>
      </c>
      <c r="I167" s="572">
        <f>'Database MK'!S168</f>
        <v>1</v>
      </c>
      <c r="J167" s="572">
        <f>'Database MK'!T168</f>
        <v>6.9718635567824136E-2</v>
      </c>
      <c r="K167" s="573">
        <f>'Database MK'!U168</f>
        <v>-0.93028136443217591</v>
      </c>
      <c r="L167" s="562">
        <f>'Database MK'!V168</f>
        <v>0</v>
      </c>
      <c r="M167" s="562">
        <f>'Database MK'!W168</f>
        <v>0</v>
      </c>
      <c r="N167" s="562">
        <f>Table3[[#This Row],[Total Panjang Pipa Aktual]]-Table3[[#This Row],[Volume
BA MC-0]]</f>
        <v>0</v>
      </c>
      <c r="O167" s="277" t="str">
        <f ca="1">'Database MK'!DE168</f>
        <v>Sudah, OnSchedule</v>
      </c>
      <c r="P167" s="277" t="str">
        <f ca="1">'Database MK'!DI168</f>
        <v>Sudah, OnSchedule</v>
      </c>
      <c r="Q167" s="277" t="str">
        <f ca="1">'Database MK'!DN168</f>
        <v>Sudah, OnSchedule</v>
      </c>
      <c r="R167" s="277" t="str">
        <f ca="1">'Database MK'!DR168</f>
        <v>Sudah, Delay</v>
      </c>
      <c r="S167" s="277" t="str">
        <f ca="1">'Database MK'!EA168</f>
        <v>Sudah, Delay</v>
      </c>
      <c r="T167" s="277" t="str">
        <f ca="1">'Database MK'!EI168</f>
        <v>Sudah, Delay</v>
      </c>
      <c r="U167" s="277" t="str">
        <f ca="1">'Database MK'!ET168</f>
        <v>Belum, Delay</v>
      </c>
      <c r="V167" s="277" t="str">
        <f ca="1">'Database MK'!GA168</f>
        <v>Belum, Delay</v>
      </c>
      <c r="W167" s="277" t="str">
        <f ca="1">'Database MK'!GD168</f>
        <v>Sudah, Delay</v>
      </c>
      <c r="X167" s="277" t="str">
        <f ca="1">'Database MK'!GG168</f>
        <v>Sudah, Delay</v>
      </c>
      <c r="Y167" s="277" t="str">
        <f ca="1">'Database MK'!GK168</f>
        <v>Sudah, Delay</v>
      </c>
      <c r="Z167" s="277" t="str">
        <f ca="1">'Database MK'!HH168</f>
        <v>Belum, Delay</v>
      </c>
      <c r="AA167" s="277" t="str">
        <f ca="1">'Database MK'!HR168</f>
        <v>Belum, Delay</v>
      </c>
      <c r="AB167" s="277" t="str">
        <f ca="1">'Database MK'!HX168</f>
        <v>Belum, Delay</v>
      </c>
      <c r="AC167" s="277"/>
      <c r="AD167" s="277"/>
      <c r="AE167" s="277"/>
      <c r="AF167" s="277"/>
      <c r="AG167" s="277"/>
      <c r="AH167" s="277"/>
      <c r="AI167" s="277"/>
      <c r="AJ167" s="277">
        <f>'Database MK'!FY168-'Database MK'!FZ168</f>
        <v>0</v>
      </c>
      <c r="AK167" s="277"/>
      <c r="AL167" s="277"/>
      <c r="AM167" s="280"/>
      <c r="AN167" s="277"/>
      <c r="AO167" s="277"/>
      <c r="AP167" s="277"/>
    </row>
    <row r="168" spans="2:42" hidden="1" x14ac:dyDescent="0.25">
      <c r="B168" s="7">
        <f>SUBTOTAL(3,$C$4:C168)</f>
        <v>74</v>
      </c>
      <c r="C168" s="4" t="s">
        <v>244</v>
      </c>
      <c r="D168" s="4" t="s">
        <v>1231</v>
      </c>
      <c r="E168" s="4" t="s">
        <v>1232</v>
      </c>
      <c r="F168" s="270">
        <v>45931</v>
      </c>
      <c r="G168" s="4" t="s">
        <v>247</v>
      </c>
      <c r="H168" s="4" t="str">
        <f ca="1">'Database MK'!Q169</f>
        <v>Proses Konstruksi</v>
      </c>
      <c r="I168" s="24">
        <f>'Database MK'!S169</f>
        <v>1</v>
      </c>
      <c r="J168" s="24">
        <f>'Database MK'!T169</f>
        <v>7.215201302110584E-2</v>
      </c>
      <c r="K168" s="571">
        <f>'Database MK'!U169</f>
        <v>-0.92784798697889415</v>
      </c>
      <c r="L168" s="561">
        <f>'Database MK'!V169</f>
        <v>0</v>
      </c>
      <c r="M168" s="561">
        <f>'Database MK'!W169</f>
        <v>1</v>
      </c>
      <c r="N168" s="561">
        <f>Table3[[#This Row],[Total Panjang Pipa Aktual]]-Table3[[#This Row],[Volume
BA MC-0]]</f>
        <v>1</v>
      </c>
      <c r="O168" s="7" t="str">
        <f ca="1">'Database MK'!DE169</f>
        <v>Sudah, OnSchedule</v>
      </c>
      <c r="P168" s="7" t="str">
        <f ca="1">'Database MK'!DI169</f>
        <v>Sudah, OnSchedule</v>
      </c>
      <c r="Q168" s="7" t="str">
        <f ca="1">'Database MK'!DN169</f>
        <v>Sudah, OnSchedule</v>
      </c>
      <c r="R168" s="7" t="str">
        <f ca="1">'Database MK'!DR169</f>
        <v>Sudah, Delay</v>
      </c>
      <c r="S168" s="7" t="str">
        <f ca="1">'Database MK'!EA169</f>
        <v>Sudah, Delay</v>
      </c>
      <c r="T168" s="7" t="str">
        <f ca="1">'Database MK'!EI169</f>
        <v>Sudah, Delay</v>
      </c>
      <c r="U168" s="7" t="str">
        <f ca="1">'Database MK'!ET169</f>
        <v>Belum, Delay</v>
      </c>
      <c r="V168" s="7" t="str">
        <f ca="1">'Database MK'!GA169</f>
        <v>Belum, Delay</v>
      </c>
      <c r="W168" s="7" t="str">
        <f ca="1">'Database MK'!GD169</f>
        <v>Sudah, Delay</v>
      </c>
      <c r="X168" s="7" t="str">
        <f ca="1">'Database MK'!GG169</f>
        <v>Sudah, Delay</v>
      </c>
      <c r="Y168" s="7" t="str">
        <f ca="1">'Database MK'!GK169</f>
        <v>Sudah, Delay</v>
      </c>
      <c r="Z168" s="7" t="str">
        <f ca="1">'Database MK'!HH169</f>
        <v>Belum, Delay</v>
      </c>
      <c r="AA168" s="7" t="str">
        <f ca="1">'Database MK'!HR169</f>
        <v>Belum, Delay</v>
      </c>
      <c r="AB168" s="7" t="str">
        <f ca="1">'Database MK'!HX169</f>
        <v>Belum, Delay</v>
      </c>
      <c r="AC168" s="7">
        <f>'Database MK'!DA169-'Database MK'!DB169</f>
        <v>62</v>
      </c>
      <c r="AD168" s="7">
        <f>'Database MK'!DA169-'Database MK'!DF169</f>
        <v>40</v>
      </c>
      <c r="AE168" s="7">
        <f>'Database MK'!DK169-'Database MK'!DL169</f>
        <v>43</v>
      </c>
      <c r="AF168" s="7">
        <f>'Database MK'!DK169-'Database MK'!DO169</f>
        <v>-16</v>
      </c>
      <c r="AG168" s="7">
        <f>'Database MK'!DU169-'Database MK'!DW169</f>
        <v>-159</v>
      </c>
      <c r="AH168" s="7">
        <f>IF('Database MK'!EB169="","Belum",'Database MK'!DU169-'Database MK'!EB169)</f>
        <v>-177</v>
      </c>
      <c r="AI168" s="7" t="str">
        <f>IF('Database MK'!EN169="","Belum",'Database MK'!EL169-'Database MK'!EN169)</f>
        <v>Belum</v>
      </c>
      <c r="AJ168" s="7">
        <f>'Database MK'!FY169-'Database MK'!FZ169</f>
        <v>0</v>
      </c>
      <c r="AK168" s="7">
        <f>IF('Database MK'!GC169="","Belum",'Database MK'!GB169-'Database MK'!GC169)</f>
        <v>-5</v>
      </c>
      <c r="AL168" s="7">
        <f>IF('Database MK'!GF169="","Belum",'Database MK'!GE169-'Database MK'!GF169)</f>
        <v>-19</v>
      </c>
      <c r="AM168" s="279">
        <f>IF('Database MK'!GJ169="","Belum",'Database MK'!GI169-'Database MK'!GJ169)</f>
        <v>-11</v>
      </c>
      <c r="AN168" s="7" t="str">
        <f>IF('Database MK'!HG169="","Belum",'Database MK'!HF169-'Database MK'!HG169)</f>
        <v>Belum</v>
      </c>
      <c r="AO168" s="7" t="str">
        <f>IF('Database MK'!HQ169="","Belum",'Database MK'!HN169-'Database MK'!HQ169)</f>
        <v>Belum</v>
      </c>
      <c r="AP168" s="7" t="str">
        <f>IF('Database MK'!HW169="","Belum",'Database MK'!HU169-'Database MK'!HW169)</f>
        <v>Belum</v>
      </c>
    </row>
    <row r="169" spans="2:42" hidden="1" x14ac:dyDescent="0.25">
      <c r="B169" s="7">
        <f>SUBTOTAL(3,$C$4:C169)</f>
        <v>74</v>
      </c>
      <c r="C169" s="4" t="s">
        <v>244</v>
      </c>
      <c r="D169" s="4" t="s">
        <v>1240</v>
      </c>
      <c r="E169" s="4" t="s">
        <v>1241</v>
      </c>
      <c r="F169" s="270">
        <v>45931</v>
      </c>
      <c r="G169" s="4" t="s">
        <v>247</v>
      </c>
      <c r="H169" s="4" t="str">
        <f ca="1">'Database MK'!Q170</f>
        <v>Tes Com</v>
      </c>
      <c r="I169" s="24">
        <f>'Database MK'!S170</f>
        <v>1</v>
      </c>
      <c r="J169" s="24">
        <f>'Database MK'!T170</f>
        <v>0.39781027917939266</v>
      </c>
      <c r="K169" s="571">
        <f>'Database MK'!U170</f>
        <v>-0.60218972082060729</v>
      </c>
      <c r="L169" s="561">
        <f>'Database MK'!V170</f>
        <v>0</v>
      </c>
      <c r="M169" s="561">
        <f>'Database MK'!W170</f>
        <v>0</v>
      </c>
      <c r="N169" s="561">
        <f>Table3[[#This Row],[Total Panjang Pipa Aktual]]-Table3[[#This Row],[Volume
BA MC-0]]</f>
        <v>0</v>
      </c>
      <c r="O169" s="7" t="str">
        <f ca="1">'Database MK'!DE170</f>
        <v>Sudah, OnSchedule</v>
      </c>
      <c r="P169" s="7" t="str">
        <f ca="1">'Database MK'!DI170</f>
        <v>Sudah, OnSchedule</v>
      </c>
      <c r="Q169" s="7" t="str">
        <f ca="1">'Database MK'!DN170</f>
        <v>Sudah, OnSchedule</v>
      </c>
      <c r="R169" s="7" t="str">
        <f ca="1">'Database MK'!DR170</f>
        <v>Sudah, Delay</v>
      </c>
      <c r="S169" s="7" t="str">
        <f ca="1">'Database MK'!EA170</f>
        <v>Sudah, Delay</v>
      </c>
      <c r="T169" s="7" t="str">
        <f ca="1">'Database MK'!EI170</f>
        <v>Belum, Delay</v>
      </c>
      <c r="U169" s="7" t="str">
        <f ca="1">'Database MK'!ET170</f>
        <v>Belum, Delay</v>
      </c>
      <c r="V169" s="7" t="str">
        <f ca="1">'Database MK'!GA170</f>
        <v>Belum, Delay</v>
      </c>
      <c r="W169" s="7" t="str">
        <f ca="1">'Database MK'!GD170</f>
        <v>Sudah, Delay</v>
      </c>
      <c r="X169" s="7" t="str">
        <f ca="1">'Database MK'!GG170</f>
        <v>Sudah, Delay</v>
      </c>
      <c r="Y169" s="7" t="str">
        <f ca="1">'Database MK'!GK170</f>
        <v>Sudah, Delay</v>
      </c>
      <c r="Z169" s="7" t="str">
        <f ca="1">'Database MK'!HH170</f>
        <v>Sudah, Delay</v>
      </c>
      <c r="AA169" s="7" t="str">
        <f ca="1">'Database MK'!HR170</f>
        <v>Belum, Delay</v>
      </c>
      <c r="AB169" s="7" t="str">
        <f ca="1">'Database MK'!HX170</f>
        <v>Belum, Delay</v>
      </c>
      <c r="AC169" s="7">
        <f>'Database MK'!DA170-'Database MK'!DB170</f>
        <v>62</v>
      </c>
      <c r="AD169" s="7">
        <f>'Database MK'!DA170-'Database MK'!DF170</f>
        <v>4</v>
      </c>
      <c r="AE169" s="7">
        <f>'Database MK'!DK170-'Database MK'!DL170</f>
        <v>19</v>
      </c>
      <c r="AF169" s="7">
        <f>'Database MK'!DK170-'Database MK'!DO170</f>
        <v>-15</v>
      </c>
      <c r="AG169" s="7">
        <f>'Database MK'!DU170-'Database MK'!DW170</f>
        <v>-159</v>
      </c>
      <c r="AH169" s="7" t="str">
        <f>IF('Database MK'!EB170="","Belum",'Database MK'!DU170-'Database MK'!EB170)</f>
        <v>Belum</v>
      </c>
      <c r="AI169" s="7" t="str">
        <f>IF('Database MK'!EN170="","Belum",'Database MK'!EL170-'Database MK'!EN170)</f>
        <v>Belum</v>
      </c>
      <c r="AJ169" s="7">
        <f>'Database MK'!FY170-'Database MK'!FZ170</f>
        <v>0</v>
      </c>
      <c r="AK169" s="7">
        <f>IF('Database MK'!GC170="","Belum",'Database MK'!GB170-'Database MK'!GC170)</f>
        <v>-5</v>
      </c>
      <c r="AL169" s="7">
        <f>IF('Database MK'!GF170="","Belum",'Database MK'!GE170-'Database MK'!GF170)</f>
        <v>-19</v>
      </c>
      <c r="AM169" s="279">
        <f>IF('Database MK'!GJ170="","Belum",'Database MK'!GI170-'Database MK'!GJ170)</f>
        <v>-11</v>
      </c>
      <c r="AN169" s="7">
        <f>IF('Database MK'!HG170="","Belum",'Database MK'!HF170-'Database MK'!HG170)</f>
        <v>-257</v>
      </c>
      <c r="AO169" s="7" t="str">
        <f>IF('Database MK'!HQ170="","Belum",'Database MK'!HN170-'Database MK'!HQ170)</f>
        <v>Belum</v>
      </c>
      <c r="AP169" s="7" t="str">
        <f>IF('Database MK'!HW170="","Belum",'Database MK'!HU170-'Database MK'!HW170)</f>
        <v>Belum</v>
      </c>
    </row>
    <row r="170" spans="2:42" hidden="1" x14ac:dyDescent="0.25">
      <c r="B170" s="7">
        <f>SUBTOTAL(3,$C$4:C170)</f>
        <v>74</v>
      </c>
      <c r="C170" s="4" t="s">
        <v>244</v>
      </c>
      <c r="D170" s="4" t="s">
        <v>1249</v>
      </c>
      <c r="E170" s="4" t="s">
        <v>1250</v>
      </c>
      <c r="F170" s="270">
        <v>45931</v>
      </c>
      <c r="G170" s="4" t="s">
        <v>247</v>
      </c>
      <c r="H170" s="4" t="str">
        <f ca="1">'Database MK'!Q171</f>
        <v>Proses Konstruksi</v>
      </c>
      <c r="I170" s="24">
        <f>'Database MK'!S171</f>
        <v>1</v>
      </c>
      <c r="J170" s="24">
        <f>'Database MK'!T171</f>
        <v>5.8714849903138903E-2</v>
      </c>
      <c r="K170" s="571">
        <f>'Database MK'!U171</f>
        <v>-0.94128515009686109</v>
      </c>
      <c r="L170" s="561">
        <f>'Database MK'!V171</f>
        <v>0</v>
      </c>
      <c r="M170" s="561">
        <f>'Database MK'!W171</f>
        <v>1</v>
      </c>
      <c r="N170" s="561">
        <f>Table3[[#This Row],[Total Panjang Pipa Aktual]]-Table3[[#This Row],[Volume
BA MC-0]]</f>
        <v>1</v>
      </c>
      <c r="O170" s="7" t="str">
        <f ca="1">'Database MK'!DE171</f>
        <v>Sudah, OnSchedule</v>
      </c>
      <c r="P170" s="7" t="str">
        <f ca="1">'Database MK'!DI171</f>
        <v>Sudah, OnSchedule</v>
      </c>
      <c r="Q170" s="7" t="str">
        <f ca="1">'Database MK'!DN171</f>
        <v>Sudah, OnSchedule</v>
      </c>
      <c r="R170" s="7" t="str">
        <f ca="1">'Database MK'!DR171</f>
        <v>Sudah, Delay</v>
      </c>
      <c r="S170" s="7" t="str">
        <f ca="1">'Database MK'!EA171</f>
        <v>Sudah, Delay</v>
      </c>
      <c r="T170" s="7" t="str">
        <f ca="1">'Database MK'!EI171</f>
        <v>Belum, Delay</v>
      </c>
      <c r="U170" s="7" t="str">
        <f ca="1">'Database MK'!ET171</f>
        <v>Belum, Delay</v>
      </c>
      <c r="V170" s="7" t="str">
        <f ca="1">'Database MK'!GA171</f>
        <v>Belum, Delay</v>
      </c>
      <c r="W170" s="7" t="str">
        <f ca="1">'Database MK'!GD171</f>
        <v>Sudah, Delay</v>
      </c>
      <c r="X170" s="7" t="str">
        <f ca="1">'Database MK'!GG171</f>
        <v>Sudah, Delay</v>
      </c>
      <c r="Y170" s="7" t="str">
        <f ca="1">'Database MK'!GK171</f>
        <v>Sudah, Delay</v>
      </c>
      <c r="Z170" s="7" t="str">
        <f ca="1">'Database MK'!HH171</f>
        <v>Belum, Delay</v>
      </c>
      <c r="AA170" s="7" t="str">
        <f ca="1">'Database MK'!HR171</f>
        <v>Belum, Delay</v>
      </c>
      <c r="AB170" s="7" t="str">
        <f ca="1">'Database MK'!HX171</f>
        <v>Belum, Delay</v>
      </c>
      <c r="AC170" s="7">
        <f>'Database MK'!DA171-'Database MK'!DB171</f>
        <v>62</v>
      </c>
      <c r="AD170" s="7">
        <f>'Database MK'!DA171-'Database MK'!DF171</f>
        <v>40</v>
      </c>
      <c r="AE170" s="7">
        <f>'Database MK'!DK171-'Database MK'!DL171</f>
        <v>43</v>
      </c>
      <c r="AF170" s="7">
        <f>'Database MK'!DK171-'Database MK'!DO171</f>
        <v>-16</v>
      </c>
      <c r="AG170" s="7">
        <f>'Database MK'!DU171-'Database MK'!DW171</f>
        <v>-234</v>
      </c>
      <c r="AH170" s="7" t="str">
        <f>IF('Database MK'!EB171="","Belum",'Database MK'!DU171-'Database MK'!EB171)</f>
        <v>Belum</v>
      </c>
      <c r="AI170" s="7" t="str">
        <f>IF('Database MK'!EN171="","Belum",'Database MK'!EL171-'Database MK'!EN171)</f>
        <v>Belum</v>
      </c>
      <c r="AJ170" s="7">
        <f>'Database MK'!FY171-'Database MK'!FZ171</f>
        <v>0</v>
      </c>
      <c r="AK170" s="7">
        <f>IF('Database MK'!GC171="","Belum",'Database MK'!GB171-'Database MK'!GC171)</f>
        <v>-5</v>
      </c>
      <c r="AL170" s="7">
        <f>IF('Database MK'!GF171="","Belum",'Database MK'!GE171-'Database MK'!GF171)</f>
        <v>-19</v>
      </c>
      <c r="AM170" s="279">
        <f>IF('Database MK'!GJ171="","Belum",'Database MK'!GI171-'Database MK'!GJ171)</f>
        <v>-11</v>
      </c>
      <c r="AN170" s="7" t="str">
        <f>IF('Database MK'!HG171="","Belum",'Database MK'!HF171-'Database MK'!HG171)</f>
        <v>Belum</v>
      </c>
      <c r="AO170" s="7" t="str">
        <f>IF('Database MK'!HQ171="","Belum",'Database MK'!HN171-'Database MK'!HQ171)</f>
        <v>Belum</v>
      </c>
      <c r="AP170" s="7" t="str">
        <f>IF('Database MK'!HW171="","Belum",'Database MK'!HU171-'Database MK'!HW171)</f>
        <v>Belum</v>
      </c>
    </row>
    <row r="171" spans="2:42" hidden="1" x14ac:dyDescent="0.25">
      <c r="B171" s="7">
        <f>SUBTOTAL(3,$C$4:C171)</f>
        <v>74</v>
      </c>
      <c r="C171" s="4" t="s">
        <v>244</v>
      </c>
      <c r="D171" s="4" t="s">
        <v>1257</v>
      </c>
      <c r="E171" s="4" t="s">
        <v>1258</v>
      </c>
      <c r="F171" s="270">
        <v>45931</v>
      </c>
      <c r="G171" s="4" t="s">
        <v>247</v>
      </c>
      <c r="H171" s="4" t="str">
        <f ca="1">'Database MK'!Q172</f>
        <v>DPPP</v>
      </c>
      <c r="I171" s="24">
        <f>'Database MK'!S172</f>
        <v>1</v>
      </c>
      <c r="J171" s="24">
        <f>'Database MK'!T172</f>
        <v>1</v>
      </c>
      <c r="K171" s="571">
        <f>'Database MK'!U172</f>
        <v>0</v>
      </c>
      <c r="L171" s="561">
        <f>'Database MK'!V172</f>
        <v>0</v>
      </c>
      <c r="M171" s="561">
        <f>'Database MK'!W172</f>
        <v>0</v>
      </c>
      <c r="N171" s="561">
        <f>Table3[[#This Row],[Total Panjang Pipa Aktual]]-Table3[[#This Row],[Volume
BA MC-0]]</f>
        <v>0</v>
      </c>
      <c r="O171" s="7" t="str">
        <f ca="1">'Database MK'!DE172</f>
        <v>Sudah, OnSchedule</v>
      </c>
      <c r="P171" s="7" t="str">
        <f ca="1">'Database MK'!DI172</f>
        <v>Sudah, OnSchedule</v>
      </c>
      <c r="Q171" s="7" t="str">
        <f ca="1">'Database MK'!DN172</f>
        <v>Sudah, OnSchedule</v>
      </c>
      <c r="R171" s="7" t="str">
        <f ca="1">'Database MK'!DR172</f>
        <v>Sudah, Delay</v>
      </c>
      <c r="S171" s="7" t="str">
        <f ca="1">'Database MK'!EA172</f>
        <v>Sudah, OnSchedule</v>
      </c>
      <c r="T171" s="7" t="str">
        <f ca="1">'Database MK'!EI172</f>
        <v>Sudah, OnSchedule</v>
      </c>
      <c r="U171" s="7" t="str">
        <f ca="1">'Database MK'!ET172</f>
        <v>Sudah, Delay</v>
      </c>
      <c r="V171" s="7" t="str">
        <f ca="1">'Database MK'!GA172</f>
        <v>Belum, Delay</v>
      </c>
      <c r="W171" s="7" t="str">
        <f ca="1">'Database MK'!GD172</f>
        <v>Sudah, Delay</v>
      </c>
      <c r="X171" s="7" t="str">
        <f ca="1">'Database MK'!GG172</f>
        <v>Sudah, Delay</v>
      </c>
      <c r="Y171" s="7" t="str">
        <f ca="1">'Database MK'!GK172</f>
        <v>Sudah, Delay</v>
      </c>
      <c r="Z171" s="7" t="str">
        <f ca="1">'Database MK'!HH172</f>
        <v>Sudah, Delay</v>
      </c>
      <c r="AA171" s="7" t="str">
        <f ca="1">'Database MK'!HR172</f>
        <v>Sudah, Delay</v>
      </c>
      <c r="AB171" s="7" t="str">
        <f ca="1">'Database MK'!HX172</f>
        <v>Sudah, Delay</v>
      </c>
      <c r="AC171" s="7">
        <f>'Database MK'!DA172-'Database MK'!DB172</f>
        <v>62</v>
      </c>
      <c r="AD171" s="7">
        <f>'Database MK'!DA172-'Database MK'!DF172</f>
        <v>4</v>
      </c>
      <c r="AE171" s="7">
        <f>'Database MK'!DK172-'Database MK'!DL172</f>
        <v>22</v>
      </c>
      <c r="AF171" s="7">
        <f>'Database MK'!DK172-'Database MK'!DO172</f>
        <v>-16</v>
      </c>
      <c r="AG171" s="7">
        <f>'Database MK'!DU172-'Database MK'!DW172</f>
        <v>23</v>
      </c>
      <c r="AH171" s="7">
        <f>IF('Database MK'!EB172="","Belum",'Database MK'!DU172-'Database MK'!EB172)</f>
        <v>94</v>
      </c>
      <c r="AI171" s="7">
        <f>IF('Database MK'!EN172="","Belum",'Database MK'!EL172-'Database MK'!EN172)</f>
        <v>-235</v>
      </c>
      <c r="AJ171" s="7">
        <f>'Database MK'!FY172-'Database MK'!FZ172</f>
        <v>0</v>
      </c>
      <c r="AK171" s="7">
        <f>IF('Database MK'!GC172="","Belum",'Database MK'!GB172-'Database MK'!GC172)</f>
        <v>-5</v>
      </c>
      <c r="AL171" s="7">
        <f>IF('Database MK'!GF172="","Belum",'Database MK'!GE172-'Database MK'!GF172)</f>
        <v>-19</v>
      </c>
      <c r="AM171" s="279">
        <f>IF('Database MK'!GJ172="","Belum",'Database MK'!GI172-'Database MK'!GJ172)</f>
        <v>-11</v>
      </c>
      <c r="AN171" s="7">
        <f>IF('Database MK'!HG172="","Belum",'Database MK'!HF172-'Database MK'!HG172)</f>
        <v>-113</v>
      </c>
      <c r="AO171" s="7">
        <f>IF('Database MK'!HQ172="","Belum",'Database MK'!HN172-'Database MK'!HQ172)</f>
        <v>-103</v>
      </c>
      <c r="AP171" s="7">
        <f>IF('Database MK'!HW172="","Belum",'Database MK'!HU172-'Database MK'!HW172)</f>
        <v>-98</v>
      </c>
    </row>
    <row r="172" spans="2:42" hidden="1" x14ac:dyDescent="0.25">
      <c r="B172" s="7">
        <f>SUBTOTAL(3,$C$4:C172)</f>
        <v>74</v>
      </c>
      <c r="C172" s="4" t="s">
        <v>244</v>
      </c>
      <c r="D172" s="4" t="s">
        <v>1267</v>
      </c>
      <c r="E172" s="4" t="s">
        <v>1268</v>
      </c>
      <c r="F172" s="270">
        <v>45931</v>
      </c>
      <c r="G172" s="4" t="s">
        <v>247</v>
      </c>
      <c r="H172" s="4" t="str">
        <f ca="1">'Database MK'!Q173</f>
        <v>Proses Konstruksi</v>
      </c>
      <c r="I172" s="24">
        <f>'Database MK'!S173</f>
        <v>1</v>
      </c>
      <c r="J172" s="24">
        <f>'Database MK'!T173</f>
        <v>0.16530999368558288</v>
      </c>
      <c r="K172" s="571">
        <f>'Database MK'!U173</f>
        <v>-0.83469000631441714</v>
      </c>
      <c r="L172" s="561">
        <f>'Database MK'!V173</f>
        <v>0</v>
      </c>
      <c r="M172" s="561">
        <f>'Database MK'!W173</f>
        <v>1</v>
      </c>
      <c r="N172" s="561">
        <f>Table3[[#This Row],[Total Panjang Pipa Aktual]]-Table3[[#This Row],[Volume
BA MC-0]]</f>
        <v>1</v>
      </c>
      <c r="O172" s="7" t="str">
        <f ca="1">'Database MK'!DE173</f>
        <v>Sudah, OnSchedule</v>
      </c>
      <c r="P172" s="7" t="str">
        <f ca="1">'Database MK'!DI173</f>
        <v>Sudah, OnSchedule</v>
      </c>
      <c r="Q172" s="7" t="str">
        <f ca="1">'Database MK'!DN173</f>
        <v>Sudah, OnSchedule</v>
      </c>
      <c r="R172" s="7" t="str">
        <f ca="1">'Database MK'!DR173</f>
        <v>Sudah, Delay</v>
      </c>
      <c r="S172" s="7" t="str">
        <f ca="1">'Database MK'!EA173</f>
        <v>Sudah, Delay</v>
      </c>
      <c r="T172" s="7" t="str">
        <f ca="1">'Database MK'!EI173</f>
        <v>Belum, Delay</v>
      </c>
      <c r="U172" s="7" t="str">
        <f ca="1">'Database MK'!ET173</f>
        <v>Belum, Delay</v>
      </c>
      <c r="V172" s="7" t="str">
        <f ca="1">'Database MK'!GA173</f>
        <v>Belum, Delay</v>
      </c>
      <c r="W172" s="7" t="str">
        <f ca="1">'Database MK'!GD173</f>
        <v>Sudah, Delay</v>
      </c>
      <c r="X172" s="7" t="str">
        <f ca="1">'Database MK'!GG173</f>
        <v>Sudah, Delay</v>
      </c>
      <c r="Y172" s="7" t="str">
        <f ca="1">'Database MK'!GK173</f>
        <v>Sudah, Delay</v>
      </c>
      <c r="Z172" s="7" t="str">
        <f ca="1">'Database MK'!HH173</f>
        <v>Belum, Delay</v>
      </c>
      <c r="AA172" s="7" t="str">
        <f ca="1">'Database MK'!HR173</f>
        <v>Belum, Delay</v>
      </c>
      <c r="AB172" s="7" t="str">
        <f ca="1">'Database MK'!HX173</f>
        <v>Belum, Delay</v>
      </c>
      <c r="AC172" s="7">
        <f>'Database MK'!DA173-'Database MK'!DB173</f>
        <v>62</v>
      </c>
      <c r="AD172" s="7">
        <f>'Database MK'!DA173-'Database MK'!DF173</f>
        <v>39</v>
      </c>
      <c r="AE172" s="7">
        <f>'Database MK'!DK173-'Database MK'!DL173</f>
        <v>44</v>
      </c>
      <c r="AF172" s="7">
        <f>'Database MK'!DK173-'Database MK'!DO173</f>
        <v>-16</v>
      </c>
      <c r="AG172" s="7">
        <f>'Database MK'!DU173-'Database MK'!DW173</f>
        <v>-234</v>
      </c>
      <c r="AH172" s="7" t="str">
        <f>IF('Database MK'!EB173="","Belum",'Database MK'!DU173-'Database MK'!EB173)</f>
        <v>Belum</v>
      </c>
      <c r="AI172" s="7" t="str">
        <f>IF('Database MK'!EN173="","Belum",'Database MK'!EL173-'Database MK'!EN173)</f>
        <v>Belum</v>
      </c>
      <c r="AJ172" s="7">
        <f>'Database MK'!FY173-'Database MK'!FZ173</f>
        <v>0</v>
      </c>
      <c r="AK172" s="7">
        <f>IF('Database MK'!GC173="","Belum",'Database MK'!GB173-'Database MK'!GC173)</f>
        <v>-5</v>
      </c>
      <c r="AL172" s="7">
        <f>IF('Database MK'!GF173="","Belum",'Database MK'!GE173-'Database MK'!GF173)</f>
        <v>-19</v>
      </c>
      <c r="AM172" s="279">
        <f>IF('Database MK'!GJ173="","Belum",'Database MK'!GI173-'Database MK'!GJ173)</f>
        <v>-11</v>
      </c>
      <c r="AN172" s="7" t="str">
        <f>IF('Database MK'!HG173="","Belum",'Database MK'!HF173-'Database MK'!HG173)</f>
        <v>Belum</v>
      </c>
      <c r="AO172" s="7" t="str">
        <f>IF('Database MK'!HQ173="","Belum",'Database MK'!HN173-'Database MK'!HQ173)</f>
        <v>Belum</v>
      </c>
      <c r="AP172" s="7" t="str">
        <f>IF('Database MK'!HW173="","Belum",'Database MK'!HU173-'Database MK'!HW173)</f>
        <v>Belum</v>
      </c>
    </row>
    <row r="173" spans="2:42" hidden="1" x14ac:dyDescent="0.25">
      <c r="B173" s="7">
        <f>SUBTOTAL(3,$C$4:C173)</f>
        <v>74</v>
      </c>
      <c r="C173" s="4" t="s">
        <v>244</v>
      </c>
      <c r="D173" s="4" t="s">
        <v>1275</v>
      </c>
      <c r="E173" s="4" t="s">
        <v>1276</v>
      </c>
      <c r="F173" s="270">
        <v>45931</v>
      </c>
      <c r="G173" s="4" t="s">
        <v>247</v>
      </c>
      <c r="H173" s="4" t="str">
        <f ca="1">'Database MK'!Q174</f>
        <v>DPPP</v>
      </c>
      <c r="I173" s="24">
        <f>'Database MK'!S174</f>
        <v>1</v>
      </c>
      <c r="J173" s="24">
        <f>'Database MK'!T174</f>
        <v>1</v>
      </c>
      <c r="K173" s="571">
        <f>'Database MK'!U174</f>
        <v>0</v>
      </c>
      <c r="L173" s="561">
        <f>'Database MK'!V174</f>
        <v>3219</v>
      </c>
      <c r="M173" s="561">
        <f>'Database MK'!W174</f>
        <v>3221.6</v>
      </c>
      <c r="N173" s="561">
        <f>Table3[[#This Row],[Total Panjang Pipa Aktual]]-Table3[[#This Row],[Volume
BA MC-0]]</f>
        <v>2.5999999999999091</v>
      </c>
      <c r="O173" s="7" t="str">
        <f ca="1">'Database MK'!DE174</f>
        <v>Sudah, Delay</v>
      </c>
      <c r="P173" s="7" t="str">
        <f ca="1">'Database MK'!DI174</f>
        <v>Sudah, Delay</v>
      </c>
      <c r="Q173" s="7" t="str">
        <f ca="1">'Database MK'!DN174</f>
        <v>Sudah, Delay</v>
      </c>
      <c r="R173" s="7" t="str">
        <f ca="1">'Database MK'!DR174</f>
        <v>Sudah, Delay</v>
      </c>
      <c r="S173" s="7" t="str">
        <f ca="1">'Database MK'!EA174</f>
        <v>Sudah, Delay</v>
      </c>
      <c r="T173" s="7" t="str">
        <f ca="1">'Database MK'!EI174</f>
        <v>Sudah, Delay</v>
      </c>
      <c r="U173" s="7" t="str">
        <f ca="1">'Database MK'!ET174</f>
        <v>Sudah, Delay</v>
      </c>
      <c r="V173" s="7" t="str">
        <f ca="1">'Database MK'!GA174</f>
        <v>Belum, Delay</v>
      </c>
      <c r="W173" s="7" t="str">
        <f ca="1">'Database MK'!GD174</f>
        <v>Sudah, Delay</v>
      </c>
      <c r="X173" s="7" t="str">
        <f ca="1">'Database MK'!GG174</f>
        <v>Sudah, OnSchedule</v>
      </c>
      <c r="Y173" s="7" t="str">
        <f ca="1">'Database MK'!GK174</f>
        <v>Sudah, OnSchedule</v>
      </c>
      <c r="Z173" s="7" t="str">
        <f ca="1">'Database MK'!HH174</f>
        <v>Sudah, Delay</v>
      </c>
      <c r="AA173" s="7" t="str">
        <f ca="1">'Database MK'!HR174</f>
        <v>Sudah, Delay</v>
      </c>
      <c r="AB173" s="7" t="str">
        <f ca="1">'Database MK'!HX174</f>
        <v>Sudah, Delay</v>
      </c>
      <c r="AC173" s="7">
        <f>'Database MK'!DA174-'Database MK'!DB174</f>
        <v>-12</v>
      </c>
      <c r="AD173" s="7">
        <f>'Database MK'!DA174-'Database MK'!DF174</f>
        <v>-24</v>
      </c>
      <c r="AE173" s="7">
        <f>'Database MK'!DK174-'Database MK'!DL174</f>
        <v>-13</v>
      </c>
      <c r="AF173" s="7">
        <f>'Database MK'!DK174-'Database MK'!DO174</f>
        <v>-50</v>
      </c>
      <c r="AG173" s="7">
        <f>'Database MK'!DU174-'Database MK'!DW174</f>
        <v>-41</v>
      </c>
      <c r="AH173" s="7">
        <f>IF('Database MK'!EB174="","Belum",'Database MK'!DU174-'Database MK'!EB174)</f>
        <v>-193</v>
      </c>
      <c r="AI173" s="7">
        <f>IF('Database MK'!EN174="","Belum",'Database MK'!EL174-'Database MK'!EN174)</f>
        <v>-429</v>
      </c>
      <c r="AJ173" s="7">
        <f>'Database MK'!FY174-'Database MK'!FZ174</f>
        <v>0</v>
      </c>
      <c r="AK173" s="7">
        <f>IF('Database MK'!GC174="","Belum",'Database MK'!GB174-'Database MK'!GC174)</f>
        <v>-392</v>
      </c>
      <c r="AL173" s="7">
        <f>IF('Database MK'!GF174="","Belum",'Database MK'!GE174-'Database MK'!GF174)</f>
        <v>29</v>
      </c>
      <c r="AM173" s="279">
        <f>IF('Database MK'!GJ174="","Belum",'Database MK'!GI174-'Database MK'!GJ174)</f>
        <v>276</v>
      </c>
      <c r="AN173" s="7">
        <f>IF('Database MK'!HG174="","Belum",'Database MK'!HF174-'Database MK'!HG174)</f>
        <v>-54</v>
      </c>
      <c r="AO173" s="7">
        <f>IF('Database MK'!HQ174="","Belum",'Database MK'!HN174-'Database MK'!HQ174)</f>
        <v>-35</v>
      </c>
      <c r="AP173" s="7">
        <f>IF('Database MK'!HW174="","Belum",'Database MK'!HU174-'Database MK'!HW174)</f>
        <v>-158</v>
      </c>
    </row>
    <row r="174" spans="2:42" s="72" customFormat="1" hidden="1" x14ac:dyDescent="0.25">
      <c r="B174" s="7">
        <f>SUBTOTAL(3,$C$4:C174)</f>
        <v>74</v>
      </c>
      <c r="C174" s="72" t="s">
        <v>244</v>
      </c>
      <c r="D174" s="72" t="s">
        <v>1286</v>
      </c>
      <c r="E174" s="72" t="s">
        <v>1287</v>
      </c>
      <c r="F174" s="272">
        <v>45931</v>
      </c>
      <c r="G174" s="72" t="s">
        <v>681</v>
      </c>
      <c r="H174" s="72" t="str">
        <f>'Database MK'!Q175</f>
        <v>BATAL / CANCEL</v>
      </c>
      <c r="I174" s="572">
        <f>'Database MK'!S175</f>
        <v>1</v>
      </c>
      <c r="J174" s="572">
        <f>'Database MK'!T175</f>
        <v>0</v>
      </c>
      <c r="K174" s="573">
        <f>'Database MK'!U175</f>
        <v>-1</v>
      </c>
      <c r="L174" s="562">
        <f>'Database MK'!V175</f>
        <v>0</v>
      </c>
      <c r="M174" s="562">
        <f>'Database MK'!W175</f>
        <v>0</v>
      </c>
      <c r="N174" s="562">
        <f>Table3[[#This Row],[Total Panjang Pipa Aktual]]-Table3[[#This Row],[Volume
BA MC-0]]</f>
        <v>0</v>
      </c>
      <c r="O174" s="277" t="str">
        <f ca="1">'Database MK'!DE175</f>
        <v>Belum, Delay</v>
      </c>
      <c r="P174" s="277" t="str">
        <f ca="1">'Database MK'!DI175</f>
        <v>Belum, Delay</v>
      </c>
      <c r="Q174" s="277" t="str">
        <f ca="1">'Database MK'!DN175</f>
        <v>Sudah, OnSchedule</v>
      </c>
      <c r="R174" s="277" t="str">
        <f ca="1">'Database MK'!DR175</f>
        <v>Sudah, Delay</v>
      </c>
      <c r="S174" s="277" t="str">
        <f ca="1">'Database MK'!EA175</f>
        <v>Belum, Delay</v>
      </c>
      <c r="T174" s="277" t="str">
        <f ca="1">'Database MK'!EI175</f>
        <v>Belum, Delay</v>
      </c>
      <c r="U174" s="277" t="str">
        <f ca="1">'Database MK'!ET175</f>
        <v>Belum, Delay</v>
      </c>
      <c r="V174" s="277" t="str">
        <f ca="1">'Database MK'!GA175</f>
        <v>Belum, Delay</v>
      </c>
      <c r="W174" s="277" t="str">
        <f ca="1">'Database MK'!GD175</f>
        <v>Belum, Delay</v>
      </c>
      <c r="X174" s="277" t="str">
        <f ca="1">'Database MK'!GG175</f>
        <v>Belum, Delay</v>
      </c>
      <c r="Y174" s="277" t="str">
        <f ca="1">'Database MK'!GK175</f>
        <v>Sudah, Delay</v>
      </c>
      <c r="Z174" s="277" t="str">
        <f ca="1">'Database MK'!HH175</f>
        <v>Belum, Delay</v>
      </c>
      <c r="AA174" s="277" t="str">
        <f ca="1">'Database MK'!HR175</f>
        <v>Belum, Delay</v>
      </c>
      <c r="AB174" s="277" t="str">
        <f ca="1">'Database MK'!HX175</f>
        <v>Belum, Delay</v>
      </c>
      <c r="AC174" s="277"/>
      <c r="AD174" s="277"/>
      <c r="AE174" s="277"/>
      <c r="AF174" s="277"/>
      <c r="AG174" s="277"/>
      <c r="AH174" s="277"/>
      <c r="AI174" s="277"/>
      <c r="AJ174" s="277">
        <f>'Database MK'!FY175-'Database MK'!FZ175</f>
        <v>0</v>
      </c>
      <c r="AK174" s="277"/>
      <c r="AL174" s="277"/>
      <c r="AM174" s="280"/>
      <c r="AN174" s="277"/>
      <c r="AO174" s="277"/>
      <c r="AP174" s="277"/>
    </row>
    <row r="175" spans="2:42" s="72" customFormat="1" hidden="1" x14ac:dyDescent="0.25">
      <c r="B175" s="7">
        <f>SUBTOTAL(3,$C$4:C175)</f>
        <v>74</v>
      </c>
      <c r="C175" s="72" t="s">
        <v>244</v>
      </c>
      <c r="D175" s="72" t="s">
        <v>1292</v>
      </c>
      <c r="E175" s="72" t="s">
        <v>1293</v>
      </c>
      <c r="F175" s="272">
        <v>45931</v>
      </c>
      <c r="G175" s="72" t="s">
        <v>681</v>
      </c>
      <c r="H175" s="72" t="str">
        <f>'Database MK'!Q176</f>
        <v>BATAL / CANCEL</v>
      </c>
      <c r="I175" s="572">
        <f>'Database MK'!S176</f>
        <v>1</v>
      </c>
      <c r="J175" s="572">
        <f>'Database MK'!T176</f>
        <v>0</v>
      </c>
      <c r="K175" s="573">
        <f>'Database MK'!U176</f>
        <v>-1</v>
      </c>
      <c r="L175" s="562">
        <f>'Database MK'!V176</f>
        <v>0</v>
      </c>
      <c r="M175" s="562">
        <f>'Database MK'!W176</f>
        <v>0</v>
      </c>
      <c r="N175" s="562">
        <f>Table3[[#This Row],[Total Panjang Pipa Aktual]]-Table3[[#This Row],[Volume
BA MC-0]]</f>
        <v>0</v>
      </c>
      <c r="O175" s="277" t="str">
        <f ca="1">'Database MK'!DE176</f>
        <v>Belum, Delay</v>
      </c>
      <c r="P175" s="277" t="str">
        <f ca="1">'Database MK'!DI176</f>
        <v>Belum, Delay</v>
      </c>
      <c r="Q175" s="277" t="str">
        <f ca="1">'Database MK'!DN176</f>
        <v>Belum, Delay</v>
      </c>
      <c r="R175" s="277" t="str">
        <f ca="1">'Database MK'!DR176</f>
        <v>Belum, Delay</v>
      </c>
      <c r="S175" s="277" t="str">
        <f ca="1">'Database MK'!EA176</f>
        <v>Belum, Delay</v>
      </c>
      <c r="T175" s="277" t="str">
        <f ca="1">'Database MK'!EI176</f>
        <v>Belum, Delay</v>
      </c>
      <c r="U175" s="277" t="str">
        <f ca="1">'Database MK'!ET176</f>
        <v>Belum, Delay</v>
      </c>
      <c r="V175" s="277" t="str">
        <f ca="1">'Database MK'!GA176</f>
        <v>Belum, Delay</v>
      </c>
      <c r="W175" s="277" t="str">
        <f ca="1">'Database MK'!GD176</f>
        <v>Sudah, Delay</v>
      </c>
      <c r="X175" s="277" t="str">
        <f ca="1">'Database MK'!GG176</f>
        <v>Sudah, OnSchedule</v>
      </c>
      <c r="Y175" s="277" t="str">
        <f ca="1">'Database MK'!GK176</f>
        <v>Sudah, Delay</v>
      </c>
      <c r="Z175" s="277" t="str">
        <f ca="1">'Database MK'!HH176</f>
        <v>Belum, Delay</v>
      </c>
      <c r="AA175" s="277" t="str">
        <f ca="1">'Database MK'!HR176</f>
        <v>Belum, Delay</v>
      </c>
      <c r="AB175" s="277" t="str">
        <f ca="1">'Database MK'!HX176</f>
        <v>Belum, Delay</v>
      </c>
      <c r="AC175" s="277"/>
      <c r="AD175" s="277"/>
      <c r="AE175" s="277"/>
      <c r="AF175" s="277"/>
      <c r="AG175" s="277"/>
      <c r="AH175" s="277"/>
      <c r="AI175" s="277"/>
      <c r="AJ175" s="277">
        <f>'Database MK'!FY176-'Database MK'!FZ176</f>
        <v>0</v>
      </c>
      <c r="AK175" s="277"/>
      <c r="AL175" s="277"/>
      <c r="AM175" s="280"/>
      <c r="AN175" s="277"/>
      <c r="AO175" s="277"/>
      <c r="AP175" s="277"/>
    </row>
    <row r="176" spans="2:42" s="72" customFormat="1" hidden="1" x14ac:dyDescent="0.25">
      <c r="B176" s="7">
        <f>SUBTOTAL(3,$C$4:C176)</f>
        <v>74</v>
      </c>
      <c r="C176" s="72" t="s">
        <v>244</v>
      </c>
      <c r="D176" s="72" t="s">
        <v>1295</v>
      </c>
      <c r="E176" s="72" t="s">
        <v>1296</v>
      </c>
      <c r="F176" s="272">
        <v>45931</v>
      </c>
      <c r="G176" s="72" t="s">
        <v>681</v>
      </c>
      <c r="H176" s="72" t="str">
        <f>'Database MK'!Q177</f>
        <v>BATAL / CANCEL</v>
      </c>
      <c r="I176" s="572">
        <f>'Database MK'!S177</f>
        <v>1</v>
      </c>
      <c r="J176" s="572">
        <f>'Database MK'!T177</f>
        <v>0</v>
      </c>
      <c r="K176" s="573">
        <f>'Database MK'!U177</f>
        <v>-1</v>
      </c>
      <c r="L176" s="562">
        <f>'Database MK'!V177</f>
        <v>0</v>
      </c>
      <c r="M176" s="562">
        <f>'Database MK'!W177</f>
        <v>0</v>
      </c>
      <c r="N176" s="562">
        <f>Table3[[#This Row],[Total Panjang Pipa Aktual]]-Table3[[#This Row],[Volume
BA MC-0]]</f>
        <v>0</v>
      </c>
      <c r="O176" s="277" t="str">
        <f ca="1">'Database MK'!DE177</f>
        <v>Belum, Delay</v>
      </c>
      <c r="P176" s="277" t="str">
        <f ca="1">'Database MK'!DI177</f>
        <v>Belum, Delay</v>
      </c>
      <c r="Q176" s="277" t="str">
        <f ca="1">'Database MK'!DN177</f>
        <v>Belum, Delay</v>
      </c>
      <c r="R176" s="277" t="str">
        <f ca="1">'Database MK'!DR177</f>
        <v>Belum, Delay</v>
      </c>
      <c r="S176" s="277" t="str">
        <f ca="1">'Database MK'!EA177</f>
        <v>Belum, Delay</v>
      </c>
      <c r="T176" s="277" t="str">
        <f ca="1">'Database MK'!EI177</f>
        <v>Belum, Delay</v>
      </c>
      <c r="U176" s="277" t="str">
        <f ca="1">'Database MK'!ET177</f>
        <v>Belum, Delay</v>
      </c>
      <c r="V176" s="277" t="str">
        <f ca="1">'Database MK'!GA177</f>
        <v>Belum, Delay</v>
      </c>
      <c r="W176" s="277" t="str">
        <f ca="1">'Database MK'!GD177</f>
        <v>Belum, Delay</v>
      </c>
      <c r="X176" s="277" t="str">
        <f ca="1">'Database MK'!GG177</f>
        <v>Belum, Delay</v>
      </c>
      <c r="Y176" s="277" t="str">
        <f ca="1">'Database MK'!GK177</f>
        <v>Sudah, Delay</v>
      </c>
      <c r="Z176" s="277" t="str">
        <f ca="1">'Database MK'!HH177</f>
        <v>Belum, Delay</v>
      </c>
      <c r="AA176" s="277" t="str">
        <f ca="1">'Database MK'!HR177</f>
        <v>Belum, Delay</v>
      </c>
      <c r="AB176" s="277" t="str">
        <f ca="1">'Database MK'!HX177</f>
        <v>Belum, Delay</v>
      </c>
      <c r="AC176" s="277"/>
      <c r="AD176" s="277"/>
      <c r="AE176" s="277"/>
      <c r="AF176" s="277"/>
      <c r="AG176" s="277"/>
      <c r="AH176" s="277"/>
      <c r="AI176" s="277"/>
      <c r="AJ176" s="277">
        <f>'Database MK'!FY177-'Database MK'!FZ177</f>
        <v>0</v>
      </c>
      <c r="AK176" s="277"/>
      <c r="AL176" s="277"/>
      <c r="AM176" s="280"/>
      <c r="AN176" s="277"/>
      <c r="AO176" s="277"/>
      <c r="AP176" s="277"/>
    </row>
    <row r="177" spans="2:42" s="72" customFormat="1" hidden="1" x14ac:dyDescent="0.25">
      <c r="B177" s="7">
        <f>SUBTOTAL(3,$C$4:C177)</f>
        <v>74</v>
      </c>
      <c r="C177" s="72" t="s">
        <v>244</v>
      </c>
      <c r="D177" s="72" t="s">
        <v>1298</v>
      </c>
      <c r="E177" s="72" t="s">
        <v>1299</v>
      </c>
      <c r="F177" s="272">
        <v>45931</v>
      </c>
      <c r="G177" s="72" t="s">
        <v>681</v>
      </c>
      <c r="H177" s="72" t="str">
        <f>'Database MK'!Q178</f>
        <v>BATAL / CANCEL</v>
      </c>
      <c r="I177" s="572">
        <f>'Database MK'!S178</f>
        <v>1</v>
      </c>
      <c r="J177" s="572">
        <f>'Database MK'!T178</f>
        <v>0</v>
      </c>
      <c r="K177" s="573">
        <f>'Database MK'!U178</f>
        <v>-1</v>
      </c>
      <c r="L177" s="562">
        <f>'Database MK'!V178</f>
        <v>0</v>
      </c>
      <c r="M177" s="562">
        <f>'Database MK'!W178</f>
        <v>0</v>
      </c>
      <c r="N177" s="562">
        <f>Table3[[#This Row],[Total Panjang Pipa Aktual]]-Table3[[#This Row],[Volume
BA MC-0]]</f>
        <v>0</v>
      </c>
      <c r="O177" s="277" t="str">
        <f ca="1">'Database MK'!DE178</f>
        <v>Belum, Delay</v>
      </c>
      <c r="P177" s="277" t="str">
        <f ca="1">'Database MK'!DI178</f>
        <v>Belum, Delay</v>
      </c>
      <c r="Q177" s="277" t="str">
        <f ca="1">'Database MK'!DN178</f>
        <v>Belum, Delay</v>
      </c>
      <c r="R177" s="277" t="str">
        <f ca="1">'Database MK'!DR178</f>
        <v>Belum, Delay</v>
      </c>
      <c r="S177" s="277" t="str">
        <f ca="1">'Database MK'!EA178</f>
        <v>Belum, Delay</v>
      </c>
      <c r="T177" s="277" t="str">
        <f ca="1">'Database MK'!EI178</f>
        <v>Belum, Delay</v>
      </c>
      <c r="U177" s="277" t="str">
        <f ca="1">'Database MK'!ET178</f>
        <v>Belum, Delay</v>
      </c>
      <c r="V177" s="277" t="str">
        <f ca="1">'Database MK'!GA178</f>
        <v>Belum, Delay</v>
      </c>
      <c r="W177" s="277" t="str">
        <f ca="1">'Database MK'!GD178</f>
        <v>Belum, Delay</v>
      </c>
      <c r="X177" s="277" t="str">
        <f ca="1">'Database MK'!GG178</f>
        <v>Belum, Delay</v>
      </c>
      <c r="Y177" s="277" t="str">
        <f ca="1">'Database MK'!GK178</f>
        <v>Sudah, Delay</v>
      </c>
      <c r="Z177" s="277" t="str">
        <f ca="1">'Database MK'!HH178</f>
        <v>Belum, Delay</v>
      </c>
      <c r="AA177" s="277" t="str">
        <f ca="1">'Database MK'!HR178</f>
        <v>Belum, Delay</v>
      </c>
      <c r="AB177" s="277" t="str">
        <f ca="1">'Database MK'!HX178</f>
        <v>Belum, Delay</v>
      </c>
      <c r="AC177" s="277"/>
      <c r="AD177" s="277"/>
      <c r="AE177" s="277"/>
      <c r="AF177" s="277"/>
      <c r="AG177" s="277"/>
      <c r="AH177" s="277"/>
      <c r="AI177" s="277"/>
      <c r="AJ177" s="277">
        <f>'Database MK'!FY178-'Database MK'!FZ178</f>
        <v>0</v>
      </c>
      <c r="AK177" s="277"/>
      <c r="AL177" s="277"/>
      <c r="AM177" s="280"/>
      <c r="AN177" s="277"/>
      <c r="AO177" s="277"/>
      <c r="AP177" s="277"/>
    </row>
    <row r="178" spans="2:42" hidden="1" x14ac:dyDescent="0.25">
      <c r="B178" s="7">
        <f>SUBTOTAL(3,$C$4:C178)</f>
        <v>74</v>
      </c>
      <c r="C178" s="4" t="s">
        <v>244</v>
      </c>
      <c r="D178" s="4" t="s">
        <v>1301</v>
      </c>
      <c r="E178" s="4" t="s">
        <v>1302</v>
      </c>
      <c r="F178" s="270">
        <v>45931</v>
      </c>
      <c r="G178" s="4" t="s">
        <v>681</v>
      </c>
      <c r="H178" s="4" t="str">
        <f ca="1">'Database MK'!Q179</f>
        <v>DPPP</v>
      </c>
      <c r="I178" s="24">
        <f>'Database MK'!S179</f>
        <v>1</v>
      </c>
      <c r="J178" s="24">
        <f>'Database MK'!T179</f>
        <v>1</v>
      </c>
      <c r="K178" s="571">
        <f>'Database MK'!U179</f>
        <v>0</v>
      </c>
      <c r="L178" s="561">
        <f>'Database MK'!V179</f>
        <v>7</v>
      </c>
      <c r="M178" s="561">
        <f>'Database MK'!W179</f>
        <v>2</v>
      </c>
      <c r="N178" s="561">
        <f>Table3[[#This Row],[Total Panjang Pipa Aktual]]-Table3[[#This Row],[Volume
BA MC-0]]</f>
        <v>-5</v>
      </c>
      <c r="O178" s="7" t="str">
        <f ca="1">'Database MK'!DE179</f>
        <v>Sudah, OnSchedule</v>
      </c>
      <c r="P178" s="7" t="str">
        <f ca="1">'Database MK'!DI179</f>
        <v>Sudah, Delay</v>
      </c>
      <c r="Q178" s="7" t="str">
        <f ca="1">'Database MK'!DN179</f>
        <v>Sudah, OnSchedule</v>
      </c>
      <c r="R178" s="7" t="str">
        <f ca="1">'Database MK'!DR179</f>
        <v>Sudah, Delay</v>
      </c>
      <c r="S178" s="7" t="str">
        <f ca="1">'Database MK'!EA179</f>
        <v>Sudah, Delay</v>
      </c>
      <c r="T178" s="7" t="str">
        <f ca="1">'Database MK'!EI179</f>
        <v>Sudah, Delay</v>
      </c>
      <c r="U178" s="7" t="str">
        <f ca="1">'Database MK'!ET179</f>
        <v>Sudah, Delay</v>
      </c>
      <c r="V178" s="7" t="str">
        <f ca="1">'Database MK'!GA179</f>
        <v>Belum, Delay</v>
      </c>
      <c r="W178" s="7" t="str">
        <f ca="1">'Database MK'!GD179</f>
        <v>Sudah, Delay</v>
      </c>
      <c r="X178" s="7" t="str">
        <f ca="1">'Database MK'!GG179</f>
        <v>Sudah, Delay</v>
      </c>
      <c r="Y178" s="7" t="str">
        <f ca="1">'Database MK'!GK179</f>
        <v>Sudah, Delay</v>
      </c>
      <c r="Z178" s="7" t="str">
        <f ca="1">'Database MK'!HH179</f>
        <v>Sudah, Delay</v>
      </c>
      <c r="AA178" s="7" t="str">
        <f ca="1">'Database MK'!HR179</f>
        <v>Sudah, Delay</v>
      </c>
      <c r="AB178" s="7" t="str">
        <f ca="1">'Database MK'!HX179</f>
        <v>Sudah, Delay</v>
      </c>
      <c r="AC178" s="7">
        <f>'Database MK'!DA179-'Database MK'!DB179</f>
        <v>5</v>
      </c>
      <c r="AD178" s="7">
        <f>'Database MK'!DA179-'Database MK'!DF179</f>
        <v>-10</v>
      </c>
      <c r="AE178" s="7">
        <f>'Database MK'!DK179-'Database MK'!DL179</f>
        <v>18</v>
      </c>
      <c r="AF178" s="7">
        <f>'Database MK'!DK179-'Database MK'!DO179</f>
        <v>-18</v>
      </c>
      <c r="AG178" s="7">
        <f>'Database MK'!DU179-'Database MK'!DW179</f>
        <v>-3</v>
      </c>
      <c r="AH178" s="7">
        <f>IF('Database MK'!EB179="","Belum",'Database MK'!DU179-'Database MK'!EB179)</f>
        <v>-283</v>
      </c>
      <c r="AI178" s="7">
        <f>IF('Database MK'!EN179="","Belum",'Database MK'!EL179-'Database MK'!EN179)</f>
        <v>-457</v>
      </c>
      <c r="AJ178" s="7">
        <f>'Database MK'!FY179-'Database MK'!FZ179</f>
        <v>0</v>
      </c>
      <c r="AK178" s="7">
        <f>IF('Database MK'!GC179="","Belum",'Database MK'!GB179-'Database MK'!GC179)</f>
        <v>-27</v>
      </c>
      <c r="AL178" s="7">
        <f>IF('Database MK'!GF179="","Belum",'Database MK'!GE179-'Database MK'!GF179)</f>
        <v>-20</v>
      </c>
      <c r="AM178" s="279">
        <f>IF('Database MK'!GJ179="","Belum",'Database MK'!GI179-'Database MK'!GJ179)</f>
        <v>-2</v>
      </c>
      <c r="AN178" s="7">
        <f>IF('Database MK'!HG179="","Belum",'Database MK'!HF179-'Database MK'!HG179)</f>
        <v>-61</v>
      </c>
      <c r="AO178" s="7">
        <f>IF('Database MK'!HQ179="","Belum",'Database MK'!HN179-'Database MK'!HQ179)</f>
        <v>-49</v>
      </c>
      <c r="AP178" s="7">
        <f>IF('Database MK'!HW179="","Belum",'Database MK'!HU179-'Database MK'!HW179)</f>
        <v>-237</v>
      </c>
    </row>
    <row r="179" spans="2:42" hidden="1" x14ac:dyDescent="0.25">
      <c r="B179" s="7">
        <f>SUBTOTAL(3,$C$4:C179)</f>
        <v>74</v>
      </c>
      <c r="C179" s="4" t="s">
        <v>244</v>
      </c>
      <c r="D179" s="4" t="s">
        <v>1310</v>
      </c>
      <c r="E179" s="4" t="s">
        <v>1311</v>
      </c>
      <c r="F179" s="270">
        <v>45931</v>
      </c>
      <c r="G179" s="4" t="s">
        <v>681</v>
      </c>
      <c r="H179" s="4" t="str">
        <f ca="1">'Database MK'!Q180</f>
        <v>DPPP</v>
      </c>
      <c r="I179" s="24">
        <f>'Database MK'!S180</f>
        <v>1</v>
      </c>
      <c r="J179" s="24">
        <f>'Database MK'!T180</f>
        <v>1</v>
      </c>
      <c r="K179" s="571">
        <f>'Database MK'!U180</f>
        <v>0</v>
      </c>
      <c r="L179" s="561">
        <f>'Database MK'!V180</f>
        <v>586</v>
      </c>
      <c r="M179" s="561">
        <f>'Database MK'!W180</f>
        <v>571</v>
      </c>
      <c r="N179" s="561">
        <f>Table3[[#This Row],[Total Panjang Pipa Aktual]]-Table3[[#This Row],[Volume
BA MC-0]]</f>
        <v>-15</v>
      </c>
      <c r="O179" s="7" t="str">
        <f ca="1">'Database MK'!DE180</f>
        <v>Sudah, OnSchedule</v>
      </c>
      <c r="P179" s="7" t="str">
        <f ca="1">'Database MK'!DI180</f>
        <v>Sudah, OnSchedule</v>
      </c>
      <c r="Q179" s="7" t="str">
        <f ca="1">'Database MK'!DN180</f>
        <v>Sudah, OnSchedule</v>
      </c>
      <c r="R179" s="7" t="str">
        <f ca="1">'Database MK'!DR180</f>
        <v>Sudah, OnSchedule</v>
      </c>
      <c r="S179" s="7" t="str">
        <f ca="1">'Database MK'!EA180</f>
        <v>Sudah, OnSchedule</v>
      </c>
      <c r="T179" s="7" t="str">
        <f ca="1">'Database MK'!EI180</f>
        <v>Sudah, Delay</v>
      </c>
      <c r="U179" s="7" t="str">
        <f ca="1">'Database MK'!ET180</f>
        <v>Sudah, Delay</v>
      </c>
      <c r="V179" s="7" t="str">
        <f ca="1">'Database MK'!GA180</f>
        <v>Belum, Delay</v>
      </c>
      <c r="W179" s="7" t="str">
        <f ca="1">'Database MK'!GD180</f>
        <v>Sudah, OnSchedule</v>
      </c>
      <c r="X179" s="7" t="str">
        <f ca="1">'Database MK'!GG180</f>
        <v>Sudah, OnSchedule</v>
      </c>
      <c r="Y179" s="7" t="str">
        <f ca="1">'Database MK'!GK180</f>
        <v>Sudah, OnSchedule</v>
      </c>
      <c r="Z179" s="7" t="str">
        <f ca="1">'Database MK'!HH180</f>
        <v>Sudah, OnSchedule</v>
      </c>
      <c r="AA179" s="7" t="str">
        <f ca="1">'Database MK'!HR180</f>
        <v>Sudah, OnSchedule</v>
      </c>
      <c r="AB179" s="7" t="str">
        <f ca="1">'Database MK'!HX180</f>
        <v>Sudah, Delay</v>
      </c>
      <c r="AC179" s="7">
        <f>'Database MK'!DA180-'Database MK'!DB180</f>
        <v>76</v>
      </c>
      <c r="AD179" s="7">
        <f>'Database MK'!DA180-'Database MK'!DF180</f>
        <v>74</v>
      </c>
      <c r="AE179" s="7">
        <f>'Database MK'!DK180-'Database MK'!DL180</f>
        <v>115</v>
      </c>
      <c r="AF179" s="7">
        <f>'Database MK'!DK180-'Database MK'!DO180</f>
        <v>107</v>
      </c>
      <c r="AG179" s="7">
        <f>'Database MK'!DU180-'Database MK'!DW180</f>
        <v>185</v>
      </c>
      <c r="AH179" s="7">
        <f>IF('Database MK'!EB180="","Belum",'Database MK'!DU180-'Database MK'!EB180)</f>
        <v>-277</v>
      </c>
      <c r="AI179" s="7">
        <f>IF('Database MK'!EN180="","Belum",'Database MK'!EL180-'Database MK'!EN180)</f>
        <v>-282</v>
      </c>
      <c r="AJ179" s="7">
        <f>'Database MK'!FY180-'Database MK'!FZ180</f>
        <v>0</v>
      </c>
      <c r="AK179" s="7">
        <f>IF('Database MK'!GC180="","Belum",'Database MK'!GB180-'Database MK'!GC180)</f>
        <v>92</v>
      </c>
      <c r="AL179" s="7">
        <f>IF('Database MK'!GF180="","Belum",'Database MK'!GE180-'Database MK'!GF180)</f>
        <v>99</v>
      </c>
      <c r="AM179" s="279">
        <f>IF('Database MK'!GJ180="","Belum",'Database MK'!GI180-'Database MK'!GJ180)</f>
        <v>167</v>
      </c>
      <c r="AN179" s="7">
        <f>IF('Database MK'!HG180="","Belum",'Database MK'!HF180-'Database MK'!HG180)</f>
        <v>88</v>
      </c>
      <c r="AO179" s="7">
        <f>IF('Database MK'!HQ180="","Belum",'Database MK'!HN180-'Database MK'!HQ180)</f>
        <v>100</v>
      </c>
      <c r="AP179" s="7">
        <f>IF('Database MK'!HW180="","Belum",'Database MK'!HU180-'Database MK'!HW180)</f>
        <v>-123</v>
      </c>
    </row>
    <row r="180" spans="2:42" hidden="1" x14ac:dyDescent="0.25">
      <c r="B180" s="7">
        <f>SUBTOTAL(3,$C$4:C180)</f>
        <v>74</v>
      </c>
      <c r="C180" s="4" t="s">
        <v>244</v>
      </c>
      <c r="D180" s="4" t="s">
        <v>1319</v>
      </c>
      <c r="E180" s="4" t="s">
        <v>1320</v>
      </c>
      <c r="F180" s="270">
        <v>45931</v>
      </c>
      <c r="G180" s="4" t="s">
        <v>681</v>
      </c>
      <c r="H180" s="4" t="str">
        <f ca="1">'Database MK'!Q181</f>
        <v>DPPP</v>
      </c>
      <c r="I180" s="24">
        <f>'Database MK'!S181</f>
        <v>1</v>
      </c>
      <c r="J180" s="24">
        <f>'Database MK'!T181</f>
        <v>1</v>
      </c>
      <c r="K180" s="571">
        <f>'Database MK'!U181</f>
        <v>0</v>
      </c>
      <c r="L180" s="561">
        <f>'Database MK'!V181</f>
        <v>52</v>
      </c>
      <c r="M180" s="561">
        <f>'Database MK'!W181</f>
        <v>50</v>
      </c>
      <c r="N180" s="561">
        <f>Table3[[#This Row],[Total Panjang Pipa Aktual]]-Table3[[#This Row],[Volume
BA MC-0]]</f>
        <v>-2</v>
      </c>
      <c r="O180" s="7" t="str">
        <f ca="1">'Database MK'!DE181</f>
        <v>Sudah, OnSchedule</v>
      </c>
      <c r="P180" s="7" t="str">
        <f ca="1">'Database MK'!DI181</f>
        <v>Sudah, Delay</v>
      </c>
      <c r="Q180" s="7" t="str">
        <f ca="1">'Database MK'!DN181</f>
        <v>Sudah, OnSchedule</v>
      </c>
      <c r="R180" s="7" t="str">
        <f ca="1">'Database MK'!DR181</f>
        <v>Sudah, OnSchedule</v>
      </c>
      <c r="S180" s="7" t="str">
        <f ca="1">'Database MK'!EA181</f>
        <v>Sudah, Delay</v>
      </c>
      <c r="T180" s="7" t="str">
        <f ca="1">'Database MK'!EI181</f>
        <v>Sudah, Delay</v>
      </c>
      <c r="U180" s="7" t="str">
        <f ca="1">'Database MK'!ET181</f>
        <v>Sudah, Delay</v>
      </c>
      <c r="V180" s="7" t="str">
        <f ca="1">'Database MK'!GA181</f>
        <v>Belum, Delay</v>
      </c>
      <c r="W180" s="7" t="str">
        <f ca="1">'Database MK'!GD181</f>
        <v>Belum, Delay</v>
      </c>
      <c r="X180" s="7" t="str">
        <f ca="1">'Database MK'!GG181</f>
        <v>Belum, Delay</v>
      </c>
      <c r="Y180" s="7" t="str">
        <f ca="1">'Database MK'!GK181</f>
        <v>Sudah, OnSchedule</v>
      </c>
      <c r="Z180" s="7" t="str">
        <f ca="1">'Database MK'!HH181</f>
        <v>Sudah, Delay</v>
      </c>
      <c r="AA180" s="7" t="str">
        <f ca="1">'Database MK'!HR181</f>
        <v>Sudah, Delay</v>
      </c>
      <c r="AB180" s="7" t="str">
        <f ca="1">'Database MK'!HX181</f>
        <v>Sudah, Delay</v>
      </c>
      <c r="AC180" s="7">
        <f>'Database MK'!DA181-'Database MK'!DB181</f>
        <v>13</v>
      </c>
      <c r="AD180" s="7">
        <f>'Database MK'!DA181-'Database MK'!DF181</f>
        <v>-4</v>
      </c>
      <c r="AE180" s="7">
        <f>'Database MK'!DK181-'Database MK'!DL181</f>
        <v>23</v>
      </c>
      <c r="AF180" s="7">
        <f>'Database MK'!DK181-'Database MK'!DO181</f>
        <v>10</v>
      </c>
      <c r="AG180" s="7">
        <f>'Database MK'!DU181-'Database MK'!DW181</f>
        <v>-30</v>
      </c>
      <c r="AH180" s="7">
        <f>IF('Database MK'!EB181="","Belum",'Database MK'!DU181-'Database MK'!EB181)</f>
        <v>-342</v>
      </c>
      <c r="AI180" s="7">
        <f>IF('Database MK'!EN181="","Belum",'Database MK'!EL181-'Database MK'!EN181)</f>
        <v>-345</v>
      </c>
      <c r="AJ180" s="7">
        <f>'Database MK'!FY181-'Database MK'!FZ181</f>
        <v>0</v>
      </c>
      <c r="AK180" s="7" t="str">
        <f>IF('Database MK'!GC181="","Belum",'Database MK'!GB181-'Database MK'!GC181)</f>
        <v>Belum</v>
      </c>
      <c r="AL180" s="7" t="str">
        <f>IF('Database MK'!GF181="","Belum",'Database MK'!GE181-'Database MK'!GF181)</f>
        <v>Belum</v>
      </c>
      <c r="AM180" s="279">
        <f>IF('Database MK'!GJ181="","Belum",'Database MK'!GI181-'Database MK'!GJ181)</f>
        <v>44</v>
      </c>
      <c r="AN180" s="7">
        <f>IF('Database MK'!HG181="","Belum",'Database MK'!HF181-'Database MK'!HG181)</f>
        <v>-45</v>
      </c>
      <c r="AO180" s="7">
        <f>IF('Database MK'!HQ181="","Belum",'Database MK'!HN181-'Database MK'!HQ181)</f>
        <v>-33</v>
      </c>
      <c r="AP180" s="7">
        <f>IF('Database MK'!HW181="","Belum",'Database MK'!HU181-'Database MK'!HW181)</f>
        <v>-151</v>
      </c>
    </row>
    <row r="181" spans="2:42" hidden="1" x14ac:dyDescent="0.25">
      <c r="B181" s="7">
        <f>SUBTOTAL(3,$C$4:C181)</f>
        <v>74</v>
      </c>
      <c r="C181" s="4" t="s">
        <v>244</v>
      </c>
      <c r="D181" s="4" t="s">
        <v>1328</v>
      </c>
      <c r="E181" s="4" t="s">
        <v>1329</v>
      </c>
      <c r="F181" s="270">
        <v>45931</v>
      </c>
      <c r="G181" s="4" t="s">
        <v>681</v>
      </c>
      <c r="H181" s="4" t="str">
        <f ca="1">'Database MK'!Q182</f>
        <v>DPPP</v>
      </c>
      <c r="I181" s="24">
        <f>'Database MK'!S182</f>
        <v>1</v>
      </c>
      <c r="J181" s="24">
        <f>'Database MK'!T182</f>
        <v>1</v>
      </c>
      <c r="K181" s="571" t="str">
        <f>'Database MK'!U182</f>
        <v xml:space="preserve"> </v>
      </c>
      <c r="L181" s="561">
        <f>'Database MK'!V182</f>
        <v>5859</v>
      </c>
      <c r="M181" s="561">
        <f>'Database MK'!W182</f>
        <v>5720</v>
      </c>
      <c r="N181" s="561">
        <f>Table3[[#This Row],[Total Panjang Pipa Aktual]]-Table3[[#This Row],[Volume
BA MC-0]]</f>
        <v>-139</v>
      </c>
      <c r="O181" s="7" t="str">
        <f ca="1">'Database MK'!DE182</f>
        <v>Sudah, OnSchedule</v>
      </c>
      <c r="P181" s="7" t="str">
        <f ca="1">'Database MK'!DI182</f>
        <v>Sudah, OnSchedule</v>
      </c>
      <c r="Q181" s="7" t="str">
        <f ca="1">'Database MK'!DN182</f>
        <v>Sudah, Delay</v>
      </c>
      <c r="R181" s="7" t="str">
        <f ca="1">'Database MK'!DR182</f>
        <v>Sudah, Delay</v>
      </c>
      <c r="S181" s="7" t="str">
        <f ca="1">'Database MK'!EA182</f>
        <v>Sudah, Delay</v>
      </c>
      <c r="T181" s="7" t="str">
        <f ca="1">'Database MK'!EI182</f>
        <v>Sudah, Delay</v>
      </c>
      <c r="U181" s="7" t="str">
        <f ca="1">'Database MK'!ET182</f>
        <v>Sudah, Delay</v>
      </c>
      <c r="V181" s="7" t="str">
        <f ca="1">'Database MK'!GA182</f>
        <v>Belum, Delay</v>
      </c>
      <c r="W181" s="7" t="str">
        <f ca="1">'Database MK'!GD182</f>
        <v>Sudah, OnSchedule</v>
      </c>
      <c r="X181" s="7" t="str">
        <f ca="1">'Database MK'!GG182</f>
        <v>Sudah, Delay</v>
      </c>
      <c r="Y181" s="7" t="str">
        <f ca="1">'Database MK'!GK182</f>
        <v>Sudah, OnSchedule</v>
      </c>
      <c r="Z181" s="7" t="str">
        <f ca="1">'Database MK'!HH182</f>
        <v>Sudah, Delay</v>
      </c>
      <c r="AA181" s="7" t="str">
        <f ca="1">'Database MK'!HR182</f>
        <v>Sudah, Delay</v>
      </c>
      <c r="AB181" s="7" t="str">
        <f ca="1">'Database MK'!HX182</f>
        <v>Sudah, Delay</v>
      </c>
      <c r="AC181" s="7">
        <f>'Database MK'!DA182-'Database MK'!DB182</f>
        <v>495</v>
      </c>
      <c r="AD181" s="7">
        <f>'Database MK'!DA182-'Database MK'!DF182</f>
        <v>489</v>
      </c>
      <c r="AE181" s="7">
        <f>'Database MK'!DK182-'Database MK'!DL182</f>
        <v>-59</v>
      </c>
      <c r="AF181" s="7">
        <f>'Database MK'!DK182-'Database MK'!DO182</f>
        <v>-143</v>
      </c>
      <c r="AG181" s="7">
        <f>'Database MK'!DU182-'Database MK'!DW182</f>
        <v>-60</v>
      </c>
      <c r="AH181" s="7">
        <f>IF('Database MK'!EB182="","Belum",'Database MK'!DU182-'Database MK'!EB182)</f>
        <v>-285</v>
      </c>
      <c r="AI181" s="7">
        <f>IF('Database MK'!EN182="","Belum",'Database MK'!EL182-'Database MK'!EN182)</f>
        <v>-286</v>
      </c>
      <c r="AJ181" s="7">
        <f>'Database MK'!FY182-'Database MK'!FZ182</f>
        <v>0</v>
      </c>
      <c r="AK181" s="7">
        <f>IF('Database MK'!GC182="","Belum",'Database MK'!GB182-'Database MK'!GC182)</f>
        <v>15</v>
      </c>
      <c r="AL181" s="7">
        <f>IF('Database MK'!GF182="","Belum",'Database MK'!GE182-'Database MK'!GF182)</f>
        <v>-8</v>
      </c>
      <c r="AM181" s="279">
        <f>IF('Database MK'!GJ182="","Belum",'Database MK'!GI182-'Database MK'!GJ182)</f>
        <v>27</v>
      </c>
      <c r="AN181" s="7">
        <f>IF('Database MK'!HG182="","Belum",'Database MK'!HF182-'Database MK'!HG182)</f>
        <v>-10</v>
      </c>
      <c r="AO181" s="7">
        <f>IF('Database MK'!HQ182="","Belum",'Database MK'!HN182-'Database MK'!HQ182)</f>
        <v>-5</v>
      </c>
      <c r="AP181" s="7">
        <f>IF('Database MK'!HW182="","Belum",'Database MK'!HU182-'Database MK'!HW182)</f>
        <v>-7</v>
      </c>
    </row>
    <row r="182" spans="2:42" s="72" customFormat="1" hidden="1" x14ac:dyDescent="0.25">
      <c r="B182" s="7">
        <f>SUBTOTAL(3,$C$4:C182)</f>
        <v>74</v>
      </c>
      <c r="C182" s="72" t="s">
        <v>244</v>
      </c>
      <c r="D182" s="72" t="s">
        <v>1338</v>
      </c>
      <c r="E182" s="72" t="s">
        <v>1339</v>
      </c>
      <c r="F182" s="272">
        <v>45931</v>
      </c>
      <c r="G182" s="72" t="s">
        <v>681</v>
      </c>
      <c r="H182" s="72" t="str">
        <f>'Database MK'!Q183</f>
        <v>BATAL / CANCEL</v>
      </c>
      <c r="I182" s="572">
        <f>'Database MK'!S183</f>
        <v>1</v>
      </c>
      <c r="J182" s="572">
        <f>'Database MK'!T183</f>
        <v>0</v>
      </c>
      <c r="K182" s="573">
        <f>'Database MK'!U183</f>
        <v>-1</v>
      </c>
      <c r="L182" s="562">
        <f>'Database MK'!V183</f>
        <v>70</v>
      </c>
      <c r="M182" s="562">
        <f>'Database MK'!W183</f>
        <v>0</v>
      </c>
      <c r="N182" s="562">
        <f>Table3[[#This Row],[Total Panjang Pipa Aktual]]-Table3[[#This Row],[Volume
BA MC-0]]</f>
        <v>-70</v>
      </c>
      <c r="O182" s="277" t="str">
        <f ca="1">'Database MK'!DE183</f>
        <v>Sudah, OnSchedule</v>
      </c>
      <c r="P182" s="277" t="str">
        <f ca="1">'Database MK'!DI183</f>
        <v>Sudah, OnSchedule</v>
      </c>
      <c r="Q182" s="277" t="str">
        <f ca="1">'Database MK'!DN183</f>
        <v>Belum, Delay</v>
      </c>
      <c r="R182" s="277" t="str">
        <f ca="1">'Database MK'!DR183</f>
        <v>Belum, Delay</v>
      </c>
      <c r="S182" s="277" t="str">
        <f ca="1">'Database MK'!EA183</f>
        <v>Belum, Delay</v>
      </c>
      <c r="T182" s="277" t="str">
        <f ca="1">'Database MK'!EI183</f>
        <v>Belum, Delay</v>
      </c>
      <c r="U182" s="277" t="str">
        <f ca="1">'Database MK'!ET183</f>
        <v>Belum, Delay</v>
      </c>
      <c r="V182" s="277" t="str">
        <f ca="1">'Database MK'!GA183</f>
        <v>Belum, Delay</v>
      </c>
      <c r="W182" s="277" t="str">
        <f ca="1">'Database MK'!GD183</f>
        <v>Belum, Delay</v>
      </c>
      <c r="X182" s="277" t="str">
        <f ca="1">'Database MK'!GG183</f>
        <v>Belum, Delay</v>
      </c>
      <c r="Y182" s="277" t="str">
        <f ca="1">'Database MK'!GK183</f>
        <v>Belum, Delay</v>
      </c>
      <c r="Z182" s="277" t="str">
        <f ca="1">'Database MK'!HH183</f>
        <v>Belum, Delay</v>
      </c>
      <c r="AA182" s="277" t="str">
        <f ca="1">'Database MK'!HR183</f>
        <v>Belum, Delay</v>
      </c>
      <c r="AB182" s="277" t="str">
        <f ca="1">'Database MK'!HX183</f>
        <v>Belum, Delay</v>
      </c>
      <c r="AC182" s="277"/>
      <c r="AD182" s="277"/>
      <c r="AE182" s="277"/>
      <c r="AF182" s="277"/>
      <c r="AG182" s="277"/>
      <c r="AH182" s="277"/>
      <c r="AI182" s="277"/>
      <c r="AJ182" s="277">
        <f>'Database MK'!FY183-'Database MK'!FZ183</f>
        <v>0</v>
      </c>
      <c r="AK182" s="277"/>
      <c r="AL182" s="277"/>
      <c r="AM182" s="280"/>
      <c r="AN182" s="277"/>
      <c r="AO182" s="277"/>
      <c r="AP182" s="277"/>
    </row>
    <row r="183" spans="2:42" hidden="1" x14ac:dyDescent="0.25">
      <c r="B183" s="7">
        <f>SUBTOTAL(3,$C$4:C183)</f>
        <v>74</v>
      </c>
      <c r="C183" s="4" t="s">
        <v>244</v>
      </c>
      <c r="D183" s="4" t="s">
        <v>1343</v>
      </c>
      <c r="E183" s="4" t="s">
        <v>1344</v>
      </c>
      <c r="F183" s="270">
        <v>45931</v>
      </c>
      <c r="G183" s="4" t="s">
        <v>681</v>
      </c>
      <c r="H183" s="4" t="str">
        <f ca="1">'Database MK'!Q184</f>
        <v>DPPP</v>
      </c>
      <c r="I183" s="24">
        <f>'Database MK'!S184</f>
        <v>1</v>
      </c>
      <c r="J183" s="24">
        <f>'Database MK'!T184</f>
        <v>1</v>
      </c>
      <c r="K183" s="571">
        <f>'Database MK'!U184</f>
        <v>0</v>
      </c>
      <c r="L183" s="561">
        <f>'Database MK'!V184</f>
        <v>0</v>
      </c>
      <c r="M183" s="561">
        <f>'Database MK'!W184</f>
        <v>0</v>
      </c>
      <c r="N183" s="561">
        <f>Table3[[#This Row],[Total Panjang Pipa Aktual]]-Table3[[#This Row],[Volume
BA MC-0]]</f>
        <v>0</v>
      </c>
      <c r="O183" s="7" t="str">
        <f ca="1">'Database MK'!DE184</f>
        <v>Sudah, OnSchedule</v>
      </c>
      <c r="P183" s="7" t="str">
        <f ca="1">'Database MK'!DI184</f>
        <v>Sudah, OnSchedule</v>
      </c>
      <c r="Q183" s="7" t="str">
        <f ca="1">'Database MK'!DN184</f>
        <v>Sudah, Delay</v>
      </c>
      <c r="R183" s="7" t="str">
        <f ca="1">'Database MK'!DR184</f>
        <v>Sudah, Delay</v>
      </c>
      <c r="S183" s="7" t="str">
        <f ca="1">'Database MK'!EA184</f>
        <v>Sudah, Delay</v>
      </c>
      <c r="T183" s="7" t="str">
        <f ca="1">'Database MK'!EI184</f>
        <v>Sudah, Delay</v>
      </c>
      <c r="U183" s="7" t="str">
        <f ca="1">'Database MK'!ET184</f>
        <v>Sudah, Delay</v>
      </c>
      <c r="V183" s="7" t="str">
        <f ca="1">'Database MK'!GA184</f>
        <v>Belum, Delay</v>
      </c>
      <c r="W183" s="7" t="str">
        <f ca="1">'Database MK'!GD184</f>
        <v>Sudah, Delay</v>
      </c>
      <c r="X183" s="7" t="str">
        <f ca="1">'Database MK'!GG184</f>
        <v>Sudah, Delay</v>
      </c>
      <c r="Y183" s="7" t="str">
        <f ca="1">'Database MK'!GK184</f>
        <v>Sudah, Delay</v>
      </c>
      <c r="Z183" s="7" t="str">
        <f ca="1">'Database MK'!HH184</f>
        <v>Sudah, Delay</v>
      </c>
      <c r="AA183" s="7" t="str">
        <f ca="1">'Database MK'!HR184</f>
        <v>Sudah, Delay</v>
      </c>
      <c r="AB183" s="7" t="str">
        <f ca="1">'Database MK'!HX184</f>
        <v>Sudah, Delay</v>
      </c>
      <c r="AC183" s="7">
        <f>'Database MK'!DA184-'Database MK'!DB184</f>
        <v>72</v>
      </c>
      <c r="AD183" s="7">
        <f>'Database MK'!DA184-'Database MK'!DF184</f>
        <v>59</v>
      </c>
      <c r="AE183" s="7">
        <f>'Database MK'!DK184-'Database MK'!DL184</f>
        <v>-33</v>
      </c>
      <c r="AF183" s="7">
        <f>'Database MK'!DK184-'Database MK'!DO184</f>
        <v>-61</v>
      </c>
      <c r="AG183" s="7">
        <f>'Database MK'!DU184-'Database MK'!DW184</f>
        <v>-33</v>
      </c>
      <c r="AH183" s="7">
        <f>IF('Database MK'!EB184="","Belum",'Database MK'!DU184-'Database MK'!EB184)</f>
        <v>-373</v>
      </c>
      <c r="AI183" s="7">
        <f>IF('Database MK'!EN184="","Belum",'Database MK'!EL184-'Database MK'!EN184)</f>
        <v>-274</v>
      </c>
      <c r="AJ183" s="7">
        <f>'Database MK'!FY184-'Database MK'!FZ184</f>
        <v>0</v>
      </c>
      <c r="AK183" s="7">
        <f>IF('Database MK'!GC184="","Belum",'Database MK'!GB184-'Database MK'!GC184)</f>
        <v>-43</v>
      </c>
      <c r="AL183" s="7">
        <f>IF('Database MK'!GF184="","Belum",'Database MK'!GE184-'Database MK'!GF184)</f>
        <v>-48</v>
      </c>
      <c r="AM183" s="279">
        <f>IF('Database MK'!GJ184="","Belum",'Database MK'!GI184-'Database MK'!GJ184)</f>
        <v>-29</v>
      </c>
      <c r="AN183" s="7">
        <f>IF('Database MK'!HG184="","Belum",'Database MK'!HF184-'Database MK'!HG184)</f>
        <v>-108</v>
      </c>
      <c r="AO183" s="7">
        <f>IF('Database MK'!HQ184="","Belum",'Database MK'!HN184-'Database MK'!HQ184)</f>
        <v>-94</v>
      </c>
      <c r="AP183" s="7">
        <f>IF('Database MK'!HW184="","Belum",'Database MK'!HU184-'Database MK'!HW184)</f>
        <v>-98</v>
      </c>
    </row>
    <row r="184" spans="2:42" hidden="1" x14ac:dyDescent="0.25">
      <c r="B184" s="7">
        <f>SUBTOTAL(3,$C$4:C184)</f>
        <v>74</v>
      </c>
      <c r="C184" s="4" t="s">
        <v>244</v>
      </c>
      <c r="D184" s="4" t="s">
        <v>1355</v>
      </c>
      <c r="E184" s="4" t="s">
        <v>1356</v>
      </c>
      <c r="F184" s="270">
        <v>45931</v>
      </c>
      <c r="G184" s="4" t="s">
        <v>681</v>
      </c>
      <c r="H184" s="4" t="str">
        <f ca="1">'Database MK'!Q185</f>
        <v>DPPP</v>
      </c>
      <c r="I184" s="24">
        <f>'Database MK'!S185</f>
        <v>1</v>
      </c>
      <c r="J184" s="24">
        <f>'Database MK'!T185</f>
        <v>1</v>
      </c>
      <c r="K184" s="571">
        <f>'Database MK'!U185</f>
        <v>0</v>
      </c>
      <c r="L184" s="561">
        <f>'Database MK'!V185</f>
        <v>265</v>
      </c>
      <c r="M184" s="561">
        <f>'Database MK'!W185</f>
        <v>214</v>
      </c>
      <c r="N184" s="561">
        <f>Table3[[#This Row],[Total Panjang Pipa Aktual]]-Table3[[#This Row],[Volume
BA MC-0]]</f>
        <v>-51</v>
      </c>
      <c r="O184" s="7" t="str">
        <f ca="1">'Database MK'!DE185</f>
        <v>Sudah, OnSchedule</v>
      </c>
      <c r="P184" s="7" t="str">
        <f ca="1">'Database MK'!DI185</f>
        <v>Sudah, OnSchedule</v>
      </c>
      <c r="Q184" s="7" t="str">
        <f ca="1">'Database MK'!DN185</f>
        <v>Sudah, OnSchedule</v>
      </c>
      <c r="R184" s="7" t="str">
        <f ca="1">'Database MK'!DR185</f>
        <v>Sudah, OnSchedule</v>
      </c>
      <c r="S184" s="7" t="str">
        <f ca="1">'Database MK'!EA185</f>
        <v>Sudah, OnSchedule</v>
      </c>
      <c r="T184" s="7" t="str">
        <f ca="1">'Database MK'!EI185</f>
        <v>Sudah, Delay</v>
      </c>
      <c r="U184" s="7" t="str">
        <f ca="1">'Database MK'!ET185</f>
        <v>Sudah, Delay</v>
      </c>
      <c r="V184" s="7" t="str">
        <f ca="1">'Database MK'!GA185</f>
        <v>Belum, Delay</v>
      </c>
      <c r="W184" s="7" t="str">
        <f ca="1">'Database MK'!GD185</f>
        <v>Belum, Delay</v>
      </c>
      <c r="X184" s="7" t="str">
        <f ca="1">'Database MK'!GG185</f>
        <v>Belum, Delay</v>
      </c>
      <c r="Y184" s="7" t="str">
        <f ca="1">'Database MK'!GK185</f>
        <v>Sudah, OnSchedule</v>
      </c>
      <c r="Z184" s="7" t="str">
        <f ca="1">'Database MK'!HH185</f>
        <v>Sudah, OnSchedule</v>
      </c>
      <c r="AA184" s="7" t="str">
        <f ca="1">'Database MK'!HR185</f>
        <v>Sudah, OnSchedule</v>
      </c>
      <c r="AB184" s="7" t="str">
        <f ca="1">'Database MK'!HX185</f>
        <v>Sudah, Delay</v>
      </c>
      <c r="AC184" s="7">
        <f>'Database MK'!DA185-'Database MK'!DB185</f>
        <v>29</v>
      </c>
      <c r="AD184" s="7">
        <f>'Database MK'!DA185-'Database MK'!DF185</f>
        <v>20</v>
      </c>
      <c r="AE184" s="7">
        <f>'Database MK'!DK185-'Database MK'!DL185</f>
        <v>17</v>
      </c>
      <c r="AF184" s="7">
        <f>'Database MK'!DK185-'Database MK'!DO185</f>
        <v>12</v>
      </c>
      <c r="AG184" s="7">
        <f>'Database MK'!DU185-'Database MK'!DW185</f>
        <v>17</v>
      </c>
      <c r="AH184" s="7">
        <f>IF('Database MK'!EB185="","Belum",'Database MK'!DU185-'Database MK'!EB185)</f>
        <v>-249</v>
      </c>
      <c r="AI184" s="7">
        <f>IF('Database MK'!EN185="","Belum",'Database MK'!EL185-'Database MK'!EN185)</f>
        <v>-340</v>
      </c>
      <c r="AJ184" s="7">
        <f>'Database MK'!FY185-'Database MK'!FZ185</f>
        <v>0</v>
      </c>
      <c r="AK184" s="7" t="str">
        <f>IF('Database MK'!GC185="","Belum",'Database MK'!GB185-'Database MK'!GC185)</f>
        <v>Belum</v>
      </c>
      <c r="AL184" s="7" t="str">
        <f>IF('Database MK'!GF185="","Belum",'Database MK'!GE185-'Database MK'!GF185)</f>
        <v>Belum</v>
      </c>
      <c r="AM184" s="279">
        <f>IF('Database MK'!GJ185="","Belum",'Database MK'!GI185-'Database MK'!GJ185)</f>
        <v>69</v>
      </c>
      <c r="AN184" s="7">
        <f>IF('Database MK'!HG185="","Belum",'Database MK'!HF185-'Database MK'!HG185)</f>
        <v>30</v>
      </c>
      <c r="AO184" s="7">
        <f>IF('Database MK'!HQ185="","Belum",'Database MK'!HN185-'Database MK'!HQ185)</f>
        <v>35</v>
      </c>
      <c r="AP184" s="7">
        <f>IF('Database MK'!HW185="","Belum",'Database MK'!HU185-'Database MK'!HW185)</f>
        <v>-88</v>
      </c>
    </row>
    <row r="185" spans="2:42" hidden="1" x14ac:dyDescent="0.25">
      <c r="B185" s="7">
        <f>SUBTOTAL(3,$C$4:C185)</f>
        <v>74</v>
      </c>
      <c r="C185" s="4" t="s">
        <v>244</v>
      </c>
      <c r="D185" s="4" t="s">
        <v>1366</v>
      </c>
      <c r="E185" s="4" t="s">
        <v>1367</v>
      </c>
      <c r="F185" s="270">
        <v>45931</v>
      </c>
      <c r="G185" s="4" t="s">
        <v>681</v>
      </c>
      <c r="H185" s="4" t="str">
        <f ca="1">'Database MK'!Q186</f>
        <v>DPPP</v>
      </c>
      <c r="I185" s="24">
        <f>'Database MK'!S186</f>
        <v>1</v>
      </c>
      <c r="J185" s="24">
        <f>'Database MK'!T186</f>
        <v>1</v>
      </c>
      <c r="K185" s="571">
        <f>'Database MK'!U186</f>
        <v>0</v>
      </c>
      <c r="L185" s="561">
        <f>'Database MK'!V186</f>
        <v>97</v>
      </c>
      <c r="M185" s="561">
        <f>'Database MK'!W186</f>
        <v>92</v>
      </c>
      <c r="N185" s="561">
        <f>Table3[[#This Row],[Total Panjang Pipa Aktual]]-Table3[[#This Row],[Volume
BA MC-0]]</f>
        <v>-5</v>
      </c>
      <c r="O185" s="7" t="str">
        <f ca="1">'Database MK'!DE186</f>
        <v>Sudah, OnSchedule</v>
      </c>
      <c r="P185" s="7" t="str">
        <f ca="1">'Database MK'!DI186</f>
        <v>Sudah, OnSchedule</v>
      </c>
      <c r="Q185" s="7" t="str">
        <f ca="1">'Database MK'!DN186</f>
        <v>Sudah, Delay</v>
      </c>
      <c r="R185" s="7" t="str">
        <f ca="1">'Database MK'!DR186</f>
        <v>Sudah, Delay</v>
      </c>
      <c r="S185" s="7" t="str">
        <f ca="1">'Database MK'!EA186</f>
        <v>Sudah, OnSchedule</v>
      </c>
      <c r="T185" s="7" t="str">
        <f ca="1">'Database MK'!EI186</f>
        <v>Sudah, Delay</v>
      </c>
      <c r="U185" s="7" t="str">
        <f ca="1">'Database MK'!ET186</f>
        <v>Sudah, Delay</v>
      </c>
      <c r="V185" s="7" t="str">
        <f ca="1">'Database MK'!GA186</f>
        <v>Belum, Delay</v>
      </c>
      <c r="W185" s="7" t="str">
        <f ca="1">'Database MK'!GD186</f>
        <v>Belum, Delay</v>
      </c>
      <c r="X185" s="7" t="str">
        <f ca="1">'Database MK'!GG186</f>
        <v>Belum, Delay</v>
      </c>
      <c r="Y185" s="7" t="str">
        <f ca="1">'Database MK'!GK186</f>
        <v>Sudah, OnSchedule</v>
      </c>
      <c r="Z185" s="7" t="str">
        <f ca="1">'Database MK'!HH186</f>
        <v>Sudah, OnSchedule</v>
      </c>
      <c r="AA185" s="7" t="str">
        <f ca="1">'Database MK'!HR186</f>
        <v>Sudah, OnSchedule</v>
      </c>
      <c r="AB185" s="7" t="str">
        <f ca="1">'Database MK'!HX186</f>
        <v>Sudah, Delay</v>
      </c>
      <c r="AC185" s="7">
        <f>'Database MK'!DA186-'Database MK'!DB186</f>
        <v>27</v>
      </c>
      <c r="AD185" s="7">
        <f>'Database MK'!DA186-'Database MK'!DF186</f>
        <v>20</v>
      </c>
      <c r="AE185" s="7">
        <f>'Database MK'!DK186-'Database MK'!DL186</f>
        <v>-36</v>
      </c>
      <c r="AF185" s="7">
        <f>'Database MK'!DK186-'Database MK'!DO186</f>
        <v>-88</v>
      </c>
      <c r="AG185" s="7">
        <f>'Database MK'!DU186-'Database MK'!DW186</f>
        <v>51</v>
      </c>
      <c r="AH185" s="7">
        <f>IF('Database MK'!EB186="","Belum",'Database MK'!DU186-'Database MK'!EB186)</f>
        <v>-220</v>
      </c>
      <c r="AI185" s="7">
        <f>IF('Database MK'!EN186="","Belum",'Database MK'!EL186-'Database MK'!EN186)</f>
        <v>-228</v>
      </c>
      <c r="AJ185" s="7">
        <f>'Database MK'!FY186-'Database MK'!FZ186</f>
        <v>0</v>
      </c>
      <c r="AK185" s="7" t="str">
        <f>IF('Database MK'!GC186="","Belum",'Database MK'!GB186-'Database MK'!GC186)</f>
        <v>Belum</v>
      </c>
      <c r="AL185" s="7" t="str">
        <f>IF('Database MK'!GF186="","Belum",'Database MK'!GE186-'Database MK'!GF186)</f>
        <v>Belum</v>
      </c>
      <c r="AM185" s="279">
        <f>IF('Database MK'!GJ186="","Belum",'Database MK'!GI186-'Database MK'!GJ186)</f>
        <v>66</v>
      </c>
      <c r="AN185" s="7">
        <f>IF('Database MK'!HG186="","Belum",'Database MK'!HF186-'Database MK'!HG186)</f>
        <v>30</v>
      </c>
      <c r="AO185" s="7">
        <f>IF('Database MK'!HQ186="","Belum",'Database MK'!HN186-'Database MK'!HQ186)</f>
        <v>35</v>
      </c>
      <c r="AP185" s="7">
        <f>IF('Database MK'!HW186="","Belum",'Database MK'!HU186-'Database MK'!HW186)</f>
        <v>-89</v>
      </c>
    </row>
    <row r="186" spans="2:42" hidden="1" x14ac:dyDescent="0.25">
      <c r="B186" s="7">
        <f>SUBTOTAL(3,$C$4:C186)</f>
        <v>74</v>
      </c>
      <c r="C186" s="4" t="s">
        <v>244</v>
      </c>
      <c r="D186" s="4" t="s">
        <v>1376</v>
      </c>
      <c r="E186" s="4" t="s">
        <v>1377</v>
      </c>
      <c r="F186" s="270">
        <v>45931</v>
      </c>
      <c r="G186" s="4" t="s">
        <v>681</v>
      </c>
      <c r="H186" s="4" t="str">
        <f ca="1">'Database MK'!Q187</f>
        <v>DPPP</v>
      </c>
      <c r="I186" s="24">
        <f>'Database MK'!S187</f>
        <v>1</v>
      </c>
      <c r="J186" s="24">
        <f>'Database MK'!T187</f>
        <v>1</v>
      </c>
      <c r="K186" s="571">
        <f>'Database MK'!U187</f>
        <v>0</v>
      </c>
      <c r="L186" s="561">
        <f>'Database MK'!V187</f>
        <v>91</v>
      </c>
      <c r="M186" s="561">
        <f>'Database MK'!W187</f>
        <v>76.099999999999994</v>
      </c>
      <c r="N186" s="561">
        <f>Table3[[#This Row],[Total Panjang Pipa Aktual]]-Table3[[#This Row],[Volume
BA MC-0]]</f>
        <v>-14.900000000000006</v>
      </c>
      <c r="O186" s="7" t="str">
        <f ca="1">'Database MK'!DE187</f>
        <v>Sudah, OnSchedule</v>
      </c>
      <c r="P186" s="7" t="str">
        <f ca="1">'Database MK'!DI187</f>
        <v>Sudah, OnSchedule</v>
      </c>
      <c r="Q186" s="7" t="str">
        <f ca="1">'Database MK'!DN187</f>
        <v>Sudah, OnSchedule</v>
      </c>
      <c r="R186" s="7" t="str">
        <f ca="1">'Database MK'!DR187</f>
        <v>Sudah, Delay</v>
      </c>
      <c r="S186" s="7" t="str">
        <f ca="1">'Database MK'!EA187</f>
        <v>Sudah, OnSchedule</v>
      </c>
      <c r="T186" s="7" t="str">
        <f ca="1">'Database MK'!EI187</f>
        <v>Sudah, Delay</v>
      </c>
      <c r="U186" s="7" t="str">
        <f ca="1">'Database MK'!ET187</f>
        <v>Sudah, Delay</v>
      </c>
      <c r="V186" s="7" t="str">
        <f ca="1">'Database MK'!GA187</f>
        <v>Belum, Delay</v>
      </c>
      <c r="W186" s="7" t="str">
        <f ca="1">'Database MK'!GD187</f>
        <v>Sudah, Delay</v>
      </c>
      <c r="X186" s="7" t="str">
        <f ca="1">'Database MK'!GG187</f>
        <v>Sudah, Delay</v>
      </c>
      <c r="Y186" s="7" t="str">
        <f ca="1">'Database MK'!GK187</f>
        <v>Sudah, OnSchedule</v>
      </c>
      <c r="Z186" s="7" t="str">
        <f ca="1">'Database MK'!HH187</f>
        <v>Sudah, Delay</v>
      </c>
      <c r="AA186" s="7" t="str">
        <f ca="1">'Database MK'!HR187</f>
        <v>Sudah, Delay</v>
      </c>
      <c r="AB186" s="7" t="str">
        <f ca="1">'Database MK'!HX187</f>
        <v>Sudah, Delay</v>
      </c>
      <c r="AC186" s="7">
        <f>'Database MK'!DA187-'Database MK'!DB187</f>
        <v>19</v>
      </c>
      <c r="AD186" s="7">
        <f>'Database MK'!DA187-'Database MK'!DF187</f>
        <v>11</v>
      </c>
      <c r="AE186" s="7">
        <f>'Database MK'!DK187-'Database MK'!DL187</f>
        <v>32</v>
      </c>
      <c r="AF186" s="7">
        <f>'Database MK'!DK187-'Database MK'!DO187</f>
        <v>-60</v>
      </c>
      <c r="AG186" s="7">
        <f>'Database MK'!DU187-'Database MK'!DW187</f>
        <v>32</v>
      </c>
      <c r="AH186" s="7">
        <f>IF('Database MK'!EB187="","Belum",'Database MK'!DU187-'Database MK'!EB187)</f>
        <v>-344</v>
      </c>
      <c r="AI186" s="7">
        <f>IF('Database MK'!EN187="","Belum",'Database MK'!EL187-'Database MK'!EN187)</f>
        <v>-226</v>
      </c>
      <c r="AJ186" s="7">
        <f>'Database MK'!FY187-'Database MK'!FZ187</f>
        <v>0</v>
      </c>
      <c r="AK186" s="7">
        <f>IF('Database MK'!GC187="","Belum",'Database MK'!GB187-'Database MK'!GC187)</f>
        <v>-8</v>
      </c>
      <c r="AL186" s="7" t="e">
        <f>IF('Database MK'!GF187="","Belum",'Database MK'!GE187-'Database MK'!GF187)</f>
        <v>#VALUE!</v>
      </c>
      <c r="AM186" s="279">
        <f>IF('Database MK'!GJ187="","Belum",'Database MK'!GI187-'Database MK'!GJ187)</f>
        <v>5</v>
      </c>
      <c r="AN186" s="7">
        <f>IF('Database MK'!HG187="","Belum",'Database MK'!HF187-'Database MK'!HG187)</f>
        <v>-66</v>
      </c>
      <c r="AO186" s="7">
        <f>IF('Database MK'!HQ187="","Belum",'Database MK'!HN187-'Database MK'!HQ187)</f>
        <v>-59</v>
      </c>
      <c r="AP186" s="7">
        <f>IF('Database MK'!HW187="","Belum",'Database MK'!HU187-'Database MK'!HW187)</f>
        <v>-82</v>
      </c>
    </row>
    <row r="187" spans="2:42" s="72" customFormat="1" hidden="1" x14ac:dyDescent="0.25">
      <c r="B187" s="7">
        <f>SUBTOTAL(3,$C$4:C187)</f>
        <v>74</v>
      </c>
      <c r="C187" s="72" t="s">
        <v>244</v>
      </c>
      <c r="D187" s="72" t="s">
        <v>1386</v>
      </c>
      <c r="E187" s="72" t="s">
        <v>1387</v>
      </c>
      <c r="F187" s="272">
        <v>45931</v>
      </c>
      <c r="G187" s="72" t="s">
        <v>681</v>
      </c>
      <c r="H187" s="72" t="str">
        <f>'Database MK'!Q188</f>
        <v>BATAL / CANCEL</v>
      </c>
      <c r="I187" s="572">
        <f>'Database MK'!S188</f>
        <v>1</v>
      </c>
      <c r="J187" s="572">
        <f>'Database MK'!T188</f>
        <v>6.4062256248597543E-2</v>
      </c>
      <c r="K187" s="573">
        <f>'Database MK'!U188</f>
        <v>-0.93593774375140248</v>
      </c>
      <c r="L187" s="562">
        <f>'Database MK'!V188</f>
        <v>472</v>
      </c>
      <c r="M187" s="562">
        <f>'Database MK'!W188</f>
        <v>0</v>
      </c>
      <c r="N187" s="562">
        <f>Table3[[#This Row],[Total Panjang Pipa Aktual]]-Table3[[#This Row],[Volume
BA MC-0]]</f>
        <v>-472</v>
      </c>
      <c r="O187" s="277" t="str">
        <f ca="1">'Database MK'!DE188</f>
        <v>Sudah, OnSchedule</v>
      </c>
      <c r="P187" s="277" t="str">
        <f ca="1">'Database MK'!DI188</f>
        <v>Sudah, OnSchedule</v>
      </c>
      <c r="Q187" s="277" t="str">
        <f ca="1">'Database MK'!DN188</f>
        <v>Sudah, OnSchedule</v>
      </c>
      <c r="R187" s="277" t="str">
        <f ca="1">'Database MK'!DR188</f>
        <v>Sudah, Delay</v>
      </c>
      <c r="S187" s="277" t="str">
        <f ca="1">'Database MK'!EA188</f>
        <v>Sudah, Delay</v>
      </c>
      <c r="T187" s="277" t="str">
        <f ca="1">'Database MK'!EI188</f>
        <v>Belum, Delay</v>
      </c>
      <c r="U187" s="277" t="str">
        <f ca="1">'Database MK'!ET188</f>
        <v>Belum, Delay</v>
      </c>
      <c r="V187" s="277" t="str">
        <f ca="1">'Database MK'!GA188</f>
        <v>Belum, Delay</v>
      </c>
      <c r="W187" s="277" t="str">
        <f ca="1">'Database MK'!GD188</f>
        <v>Sudah, Delay</v>
      </c>
      <c r="X187" s="277" t="str">
        <f ca="1">'Database MK'!GG188</f>
        <v>Sudah, Delay</v>
      </c>
      <c r="Y187" s="277" t="b">
        <f ca="1">'Database MK'!GK188</f>
        <v>0</v>
      </c>
      <c r="Z187" s="277" t="str">
        <f ca="1">'Database MK'!HH188</f>
        <v>Belum, Delay</v>
      </c>
      <c r="AA187" s="277" t="str">
        <f ca="1">'Database MK'!HR188</f>
        <v>Belum, Delay</v>
      </c>
      <c r="AB187" s="277" t="str">
        <f ca="1">'Database MK'!HX188</f>
        <v>Belum, Delay</v>
      </c>
      <c r="AC187" s="277"/>
      <c r="AD187" s="277"/>
      <c r="AE187" s="277"/>
      <c r="AF187" s="277"/>
      <c r="AG187" s="277"/>
      <c r="AH187" s="277"/>
      <c r="AI187" s="277"/>
      <c r="AJ187" s="277">
        <f>'Database MK'!FY188-'Database MK'!FZ188</f>
        <v>0</v>
      </c>
      <c r="AK187" s="277"/>
      <c r="AL187" s="277"/>
      <c r="AM187" s="280"/>
      <c r="AN187" s="277"/>
      <c r="AO187" s="277"/>
      <c r="AP187" s="277"/>
    </row>
    <row r="188" spans="2:42" hidden="1" x14ac:dyDescent="0.25">
      <c r="B188" s="7">
        <f>SUBTOTAL(3,$C$4:C188)</f>
        <v>74</v>
      </c>
      <c r="C188" s="4" t="s">
        <v>244</v>
      </c>
      <c r="D188" s="4" t="s">
        <v>1394</v>
      </c>
      <c r="E188" s="4" t="s">
        <v>1395</v>
      </c>
      <c r="F188" s="270">
        <v>45931</v>
      </c>
      <c r="G188" s="4" t="s">
        <v>681</v>
      </c>
      <c r="H188" s="4" t="str">
        <f ca="1">'Database MK'!Q189</f>
        <v>DPPP</v>
      </c>
      <c r="I188" s="24">
        <f>'Database MK'!S189</f>
        <v>1</v>
      </c>
      <c r="J188" s="24">
        <f>'Database MK'!T189</f>
        <v>1</v>
      </c>
      <c r="K188" s="571">
        <f>'Database MK'!U189</f>
        <v>0</v>
      </c>
      <c r="L188" s="561">
        <f>'Database MK'!V189</f>
        <v>584</v>
      </c>
      <c r="M188" s="561">
        <f>'Database MK'!W189</f>
        <v>438</v>
      </c>
      <c r="N188" s="561">
        <f>Table3[[#This Row],[Total Panjang Pipa Aktual]]-Table3[[#This Row],[Volume
BA MC-0]]</f>
        <v>-146</v>
      </c>
      <c r="O188" s="7" t="str">
        <f ca="1">'Database MK'!DE189</f>
        <v>Sudah, OnSchedule</v>
      </c>
      <c r="P188" s="7" t="str">
        <f ca="1">'Database MK'!DI189</f>
        <v>Sudah, OnSchedule</v>
      </c>
      <c r="Q188" s="7" t="str">
        <f ca="1">'Database MK'!DN189</f>
        <v>Sudah, OnSchedule</v>
      </c>
      <c r="R188" s="7" t="str">
        <f ca="1">'Database MK'!DR189</f>
        <v>Sudah, Delay</v>
      </c>
      <c r="S188" s="7" t="str">
        <f ca="1">'Database MK'!EA189</f>
        <v>Sudah, OnSchedule</v>
      </c>
      <c r="T188" s="7" t="str">
        <f ca="1">'Database MK'!EI189</f>
        <v>Sudah, Delay</v>
      </c>
      <c r="U188" s="7" t="str">
        <f ca="1">'Database MK'!ET189</f>
        <v>Sudah, Delay</v>
      </c>
      <c r="V188" s="7" t="str">
        <f ca="1">'Database MK'!GA189</f>
        <v>Belum, Delay</v>
      </c>
      <c r="W188" s="7" t="str">
        <f ca="1">'Database MK'!GD189</f>
        <v>Sudah, Delay</v>
      </c>
      <c r="X188" s="7" t="str">
        <f ca="1">'Database MK'!GG189</f>
        <v>Sudah, Delay</v>
      </c>
      <c r="Y188" s="7" t="b">
        <f ca="1">'Database MK'!GK189</f>
        <v>0</v>
      </c>
      <c r="Z188" s="7" t="str">
        <f ca="1">'Database MK'!HH189</f>
        <v>Sudah, OnSchedule</v>
      </c>
      <c r="AA188" s="7" t="str">
        <f ca="1">'Database MK'!HR189</f>
        <v>Sudah, OnSchedule</v>
      </c>
      <c r="AB188" s="7" t="str">
        <f ca="1">'Database MK'!HX189</f>
        <v>Sudah, Delay</v>
      </c>
      <c r="AC188" s="7">
        <f>'Database MK'!DA189-'Database MK'!DB189</f>
        <v>13</v>
      </c>
      <c r="AD188" s="7">
        <f>'Database MK'!DA189-'Database MK'!DF189</f>
        <v>3</v>
      </c>
      <c r="AE188" s="7">
        <f>'Database MK'!DK189-'Database MK'!DL189</f>
        <v>32</v>
      </c>
      <c r="AF188" s="7">
        <f>'Database MK'!DK189-'Database MK'!DO189</f>
        <v>-15</v>
      </c>
      <c r="AG188" s="7">
        <f>'Database MK'!DU189-'Database MK'!DW189</f>
        <v>33</v>
      </c>
      <c r="AH188" s="7">
        <f>IF('Database MK'!EB189="","Belum",'Database MK'!DU189-'Database MK'!EB189)</f>
        <v>-344</v>
      </c>
      <c r="AI188" s="7">
        <f>IF('Database MK'!EN189="","Belum",'Database MK'!EL189-'Database MK'!EN189)</f>
        <v>-226</v>
      </c>
      <c r="AJ188" s="7">
        <f>'Database MK'!FY189-'Database MK'!FZ189</f>
        <v>0</v>
      </c>
      <c r="AK188" s="7">
        <f>IF('Database MK'!GC189="","Belum",'Database MK'!GB189-'Database MK'!GC189)</f>
        <v>-8</v>
      </c>
      <c r="AL188" s="7" t="e">
        <f>IF('Database MK'!GF189="","Belum",'Database MK'!GE189-'Database MK'!GF189)</f>
        <v>#VALUE!</v>
      </c>
      <c r="AM188" s="279">
        <f>IF('Database MK'!GJ189="","Belum",'Database MK'!GI189-'Database MK'!GJ189)</f>
        <v>0</v>
      </c>
      <c r="AN188" s="7">
        <f>IF('Database MK'!HG189="","Belum",'Database MK'!HF189-'Database MK'!HG189)</f>
        <v>40</v>
      </c>
      <c r="AO188" s="7">
        <f>IF('Database MK'!HQ189="","Belum",'Database MK'!HN189-'Database MK'!HQ189)</f>
        <v>49</v>
      </c>
      <c r="AP188" s="7">
        <f>IF('Database MK'!HW189="","Belum",'Database MK'!HU189-'Database MK'!HW189)</f>
        <v>-5</v>
      </c>
    </row>
    <row r="189" spans="2:42" s="72" customFormat="1" hidden="1" x14ac:dyDescent="0.25">
      <c r="B189" s="7">
        <f>SUBTOTAL(3,$C$4:C189)</f>
        <v>74</v>
      </c>
      <c r="C189" s="72" t="s">
        <v>244</v>
      </c>
      <c r="D189" s="72" t="s">
        <v>1404</v>
      </c>
      <c r="E189" s="72" t="s">
        <v>1405</v>
      </c>
      <c r="F189" s="272">
        <v>45931</v>
      </c>
      <c r="G189" s="72" t="s">
        <v>681</v>
      </c>
      <c r="H189" s="72" t="str">
        <f>'Database MK'!Q190</f>
        <v>BATAL / CANCEL</v>
      </c>
      <c r="I189" s="572">
        <f>'Database MK'!S190</f>
        <v>1</v>
      </c>
      <c r="J189" s="572">
        <f>'Database MK'!T190</f>
        <v>0</v>
      </c>
      <c r="K189" s="573">
        <f>'Database MK'!U190</f>
        <v>-1</v>
      </c>
      <c r="L189" s="562">
        <f>'Database MK'!V190</f>
        <v>815</v>
      </c>
      <c r="M189" s="562">
        <f>'Database MK'!W190</f>
        <v>0</v>
      </c>
      <c r="N189" s="562">
        <f>Table3[[#This Row],[Total Panjang Pipa Aktual]]-Table3[[#This Row],[Volume
BA MC-0]]</f>
        <v>-815</v>
      </c>
      <c r="O189" s="277" t="str">
        <f ca="1">'Database MK'!DE190</f>
        <v>Sudah, OnSchedule</v>
      </c>
      <c r="P189" s="277" t="str">
        <f ca="1">'Database MK'!DI190</f>
        <v>Sudah, OnSchedule</v>
      </c>
      <c r="Q189" s="277" t="str">
        <f ca="1">'Database MK'!DN190</f>
        <v>Sudah, OnSchedule</v>
      </c>
      <c r="R189" s="277" t="str">
        <f ca="1">'Database MK'!DR190</f>
        <v>Sudah, Delay</v>
      </c>
      <c r="S189" s="277" t="str">
        <f ca="1">'Database MK'!EA190</f>
        <v>Sudah, Delay</v>
      </c>
      <c r="T189" s="277" t="str">
        <f ca="1">'Database MK'!EI190</f>
        <v>Belum, Delay</v>
      </c>
      <c r="U189" s="277" t="str">
        <f ca="1">'Database MK'!ET190</f>
        <v>Belum, Delay</v>
      </c>
      <c r="V189" s="277" t="str">
        <f ca="1">'Database MK'!GA190</f>
        <v>Belum, Delay</v>
      </c>
      <c r="W189" s="277" t="str">
        <f ca="1">'Database MK'!GD190</f>
        <v>Sudah, Delay</v>
      </c>
      <c r="X189" s="277" t="str">
        <f ca="1">'Database MK'!GG190</f>
        <v>Sudah, Delay</v>
      </c>
      <c r="Y189" s="277" t="str">
        <f ca="1">'Database MK'!GK190</f>
        <v>Sudah, OnSchedule</v>
      </c>
      <c r="Z189" s="277" t="str">
        <f ca="1">'Database MK'!HH190</f>
        <v>Belum, Delay</v>
      </c>
      <c r="AA189" s="277" t="str">
        <f ca="1">'Database MK'!HR190</f>
        <v>Belum, Delay</v>
      </c>
      <c r="AB189" s="277" t="str">
        <f ca="1">'Database MK'!HX190</f>
        <v>Belum, Delay</v>
      </c>
      <c r="AC189" s="277"/>
      <c r="AD189" s="277"/>
      <c r="AE189" s="277"/>
      <c r="AF189" s="277"/>
      <c r="AG189" s="277"/>
      <c r="AH189" s="277"/>
      <c r="AI189" s="277"/>
      <c r="AJ189" s="277">
        <f>'Database MK'!FY190-'Database MK'!FZ190</f>
        <v>0</v>
      </c>
      <c r="AK189" s="277"/>
      <c r="AL189" s="277"/>
      <c r="AM189" s="280"/>
      <c r="AN189" s="277"/>
      <c r="AO189" s="277"/>
      <c r="AP189" s="277"/>
    </row>
    <row r="190" spans="2:42" hidden="1" x14ac:dyDescent="0.25">
      <c r="B190" s="7">
        <f>SUBTOTAL(3,$C$4:C190)</f>
        <v>74</v>
      </c>
      <c r="C190" s="4" t="s">
        <v>244</v>
      </c>
      <c r="D190" s="4" t="s">
        <v>1412</v>
      </c>
      <c r="E190" s="4" t="s">
        <v>1413</v>
      </c>
      <c r="F190" s="270">
        <v>45931</v>
      </c>
      <c r="G190" s="4" t="s">
        <v>681</v>
      </c>
      <c r="H190" s="4" t="str">
        <f ca="1">'Database MK'!Q191</f>
        <v>DPPP</v>
      </c>
      <c r="I190" s="24">
        <f>'Database MK'!S191</f>
        <v>1</v>
      </c>
      <c r="J190" s="24">
        <f>'Database MK'!T191</f>
        <v>1</v>
      </c>
      <c r="K190" s="571">
        <f>'Database MK'!U191</f>
        <v>0</v>
      </c>
      <c r="L190" s="561">
        <f>'Database MK'!V191</f>
        <v>1096</v>
      </c>
      <c r="M190" s="561">
        <f>'Database MK'!W191</f>
        <v>1075.4000000000001</v>
      </c>
      <c r="N190" s="561">
        <f>Table3[[#This Row],[Total Panjang Pipa Aktual]]-Table3[[#This Row],[Volume
BA MC-0]]</f>
        <v>-20.599999999999909</v>
      </c>
      <c r="O190" s="7" t="str">
        <f ca="1">'Database MK'!DE191</f>
        <v>Sudah, OnSchedule</v>
      </c>
      <c r="P190" s="7" t="str">
        <f ca="1">'Database MK'!DI191</f>
        <v>Sudah, Delay</v>
      </c>
      <c r="Q190" s="7" t="str">
        <f ca="1">'Database MK'!DN191</f>
        <v>Sudah, OnSchedule</v>
      </c>
      <c r="R190" s="7" t="str">
        <f ca="1">'Database MK'!DR191</f>
        <v>Sudah, Delay</v>
      </c>
      <c r="S190" s="7" t="str">
        <f ca="1">'Database MK'!EA191</f>
        <v>Sudah, OnSchedule</v>
      </c>
      <c r="T190" s="7" t="str">
        <f ca="1">'Database MK'!EI191</f>
        <v>Sudah, Delay</v>
      </c>
      <c r="U190" s="7" t="str">
        <f ca="1">'Database MK'!ET191</f>
        <v>Sudah, Delay</v>
      </c>
      <c r="V190" s="7" t="str">
        <f ca="1">'Database MK'!GA191</f>
        <v>Belum, Delay</v>
      </c>
      <c r="W190" s="7" t="str">
        <f ca="1">'Database MK'!GD191</f>
        <v>Sudah, Delay</v>
      </c>
      <c r="X190" s="7" t="str">
        <f ca="1">'Database MK'!GG191</f>
        <v>Sudah, Delay</v>
      </c>
      <c r="Y190" s="7" t="b">
        <f ca="1">'Database MK'!GK191</f>
        <v>0</v>
      </c>
      <c r="Z190" s="7" t="str">
        <f ca="1">'Database MK'!HH191</f>
        <v>Sudah, OnSchedule</v>
      </c>
      <c r="AA190" s="7" t="str">
        <f ca="1">'Database MK'!HR191</f>
        <v>Sudah, OnSchedule</v>
      </c>
      <c r="AB190" s="7" t="str">
        <f ca="1">'Database MK'!HX191</f>
        <v>Sudah, Delay</v>
      </c>
      <c r="AC190" s="7">
        <f>'Database MK'!DA191-'Database MK'!DB191</f>
        <v>17</v>
      </c>
      <c r="AD190" s="7">
        <f>'Database MK'!DA191-'Database MK'!DF191</f>
        <v>-9</v>
      </c>
      <c r="AE190" s="7">
        <f>'Database MK'!DK191-'Database MK'!DL191</f>
        <v>19</v>
      </c>
      <c r="AF190" s="7">
        <f>'Database MK'!DK191-'Database MK'!DO191</f>
        <v>-15</v>
      </c>
      <c r="AG190" s="7">
        <f>'Database MK'!DU191-'Database MK'!DW191</f>
        <v>19</v>
      </c>
      <c r="AH190" s="7">
        <f>IF('Database MK'!EB191="","Belum",'Database MK'!DU191-'Database MK'!EB191)</f>
        <v>-222</v>
      </c>
      <c r="AI190" s="7">
        <f>IF('Database MK'!EN191="","Belum",'Database MK'!EL191-'Database MK'!EN191)</f>
        <v>-286</v>
      </c>
      <c r="AJ190" s="7">
        <f>'Database MK'!FY191-'Database MK'!FZ191</f>
        <v>0</v>
      </c>
      <c r="AK190" s="7">
        <f>IF('Database MK'!GC191="","Belum",'Database MK'!GB191-'Database MK'!GC191)</f>
        <v>-8</v>
      </c>
      <c r="AL190" s="7" t="e">
        <f>IF('Database MK'!GF191="","Belum",'Database MK'!GE191-'Database MK'!GF191)</f>
        <v>#VALUE!</v>
      </c>
      <c r="AM190" s="279">
        <f>IF('Database MK'!GJ191="","Belum",'Database MK'!GI191-'Database MK'!GJ191)</f>
        <v>0</v>
      </c>
      <c r="AN190" s="7">
        <f>IF('Database MK'!HG191="","Belum",'Database MK'!HF191-'Database MK'!HG191)</f>
        <v>16</v>
      </c>
      <c r="AO190" s="7">
        <f>IF('Database MK'!HQ191="","Belum",'Database MK'!HN191-'Database MK'!HQ191)</f>
        <v>25</v>
      </c>
      <c r="AP190" s="7">
        <f>IF('Database MK'!HW191="","Belum",'Database MK'!HU191-'Database MK'!HW191)</f>
        <v>-5</v>
      </c>
    </row>
    <row r="191" spans="2:42" s="72" customFormat="1" hidden="1" x14ac:dyDescent="0.25">
      <c r="B191" s="7">
        <f>SUBTOTAL(3,$C$4:C191)</f>
        <v>74</v>
      </c>
      <c r="C191" s="72" t="s">
        <v>244</v>
      </c>
      <c r="D191" s="72" t="s">
        <v>1421</v>
      </c>
      <c r="E191" s="72" t="s">
        <v>1422</v>
      </c>
      <c r="F191" s="272">
        <v>45931</v>
      </c>
      <c r="G191" s="72" t="s">
        <v>681</v>
      </c>
      <c r="H191" s="72" t="str">
        <f>'Database MK'!Q192</f>
        <v>BATAL / CANCEL</v>
      </c>
      <c r="I191" s="572">
        <f>'Database MK'!S192</f>
        <v>1</v>
      </c>
      <c r="J191" s="572">
        <f>'Database MK'!T192</f>
        <v>0</v>
      </c>
      <c r="K191" s="573">
        <f>'Database MK'!U192</f>
        <v>-1</v>
      </c>
      <c r="L191" s="562">
        <f>'Database MK'!V192</f>
        <v>18</v>
      </c>
      <c r="M191" s="562">
        <f>'Database MK'!W192</f>
        <v>0</v>
      </c>
      <c r="N191" s="562">
        <f>Table3[[#This Row],[Total Panjang Pipa Aktual]]-Table3[[#This Row],[Volume
BA MC-0]]</f>
        <v>-18</v>
      </c>
      <c r="O191" s="277" t="str">
        <f ca="1">'Database MK'!DE192</f>
        <v>Sudah, OnSchedule</v>
      </c>
      <c r="P191" s="277" t="str">
        <f ca="1">'Database MK'!DI192</f>
        <v>Sudah, OnSchedule</v>
      </c>
      <c r="Q191" s="277" t="str">
        <f ca="1">'Database MK'!DN192</f>
        <v>Sudah, OnSchedule</v>
      </c>
      <c r="R191" s="277" t="str">
        <f ca="1">'Database MK'!DR192</f>
        <v>Sudah, Delay</v>
      </c>
      <c r="S191" s="277" t="str">
        <f ca="1">'Database MK'!EA192</f>
        <v>Belum, Delay</v>
      </c>
      <c r="T191" s="277" t="str">
        <f ca="1">'Database MK'!EI192</f>
        <v>Belum, Delay</v>
      </c>
      <c r="U191" s="277" t="str">
        <f ca="1">'Database MK'!ET192</f>
        <v>Belum, Delay</v>
      </c>
      <c r="V191" s="277" t="str">
        <f ca="1">'Database MK'!GA192</f>
        <v>Belum, Delay</v>
      </c>
      <c r="W191" s="277" t="str">
        <f ca="1">'Database MK'!GD192</f>
        <v>Sudah, Delay</v>
      </c>
      <c r="X191" s="277" t="str">
        <f ca="1">'Database MK'!GG192</f>
        <v>Sudah, Delay</v>
      </c>
      <c r="Y191" s="277" t="str">
        <f ca="1">'Database MK'!GK192</f>
        <v>Sudah, OnSchedule</v>
      </c>
      <c r="Z191" s="277" t="str">
        <f ca="1">'Database MK'!HH192</f>
        <v>Belum, Delay</v>
      </c>
      <c r="AA191" s="277" t="str">
        <f ca="1">'Database MK'!HR192</f>
        <v>Belum, Delay</v>
      </c>
      <c r="AB191" s="277" t="str">
        <f ca="1">'Database MK'!HX192</f>
        <v>Belum, Delay</v>
      </c>
      <c r="AC191" s="277"/>
      <c r="AD191" s="277"/>
      <c r="AE191" s="277"/>
      <c r="AF191" s="277"/>
      <c r="AG191" s="277"/>
      <c r="AH191" s="277"/>
      <c r="AI191" s="277"/>
      <c r="AJ191" s="277">
        <f>'Database MK'!FY192-'Database MK'!FZ192</f>
        <v>0</v>
      </c>
      <c r="AK191" s="277"/>
      <c r="AL191" s="277"/>
      <c r="AM191" s="280"/>
      <c r="AN191" s="277"/>
      <c r="AO191" s="277"/>
      <c r="AP191" s="277"/>
    </row>
    <row r="192" spans="2:42" hidden="1" x14ac:dyDescent="0.25">
      <c r="B192" s="7">
        <f>SUBTOTAL(3,$C$4:C192)</f>
        <v>74</v>
      </c>
      <c r="C192" s="4" t="s">
        <v>244</v>
      </c>
      <c r="D192" s="4" t="s">
        <v>1428</v>
      </c>
      <c r="E192" s="4" t="s">
        <v>1429</v>
      </c>
      <c r="F192" s="270">
        <v>45931</v>
      </c>
      <c r="G192" s="4" t="s">
        <v>681</v>
      </c>
      <c r="H192" s="4" t="str">
        <f ca="1">'Database MK'!Q193</f>
        <v>DPPP</v>
      </c>
      <c r="I192" s="24">
        <f>'Database MK'!S193</f>
        <v>1</v>
      </c>
      <c r="J192" s="24">
        <f>'Database MK'!T193</f>
        <v>1</v>
      </c>
      <c r="K192" s="571">
        <f>'Database MK'!U193</f>
        <v>0</v>
      </c>
      <c r="L192" s="561">
        <f>'Database MK'!V193</f>
        <v>978</v>
      </c>
      <c r="M192" s="561">
        <f>'Database MK'!W193</f>
        <v>889</v>
      </c>
      <c r="N192" s="561">
        <f>Table3[[#This Row],[Total Panjang Pipa Aktual]]-Table3[[#This Row],[Volume
BA MC-0]]</f>
        <v>-89</v>
      </c>
      <c r="O192" s="7" t="str">
        <f ca="1">'Database MK'!DE193</f>
        <v>Sudah, OnSchedule</v>
      </c>
      <c r="P192" s="7" t="str">
        <f ca="1">'Database MK'!DI193</f>
        <v>Sudah, OnSchedule</v>
      </c>
      <c r="Q192" s="7" t="str">
        <f ca="1">'Database MK'!DN193</f>
        <v>Sudah, OnSchedule</v>
      </c>
      <c r="R192" s="7" t="str">
        <f ca="1">'Database MK'!DR193</f>
        <v>Sudah, Delay</v>
      </c>
      <c r="S192" s="7" t="str">
        <f ca="1">'Database MK'!EA193</f>
        <v>Sudah, OnSchedule</v>
      </c>
      <c r="T192" s="7" t="str">
        <f ca="1">'Database MK'!EI193</f>
        <v>Sudah, Delay</v>
      </c>
      <c r="U192" s="7" t="str">
        <f ca="1">'Database MK'!ET193</f>
        <v>Sudah, Delay</v>
      </c>
      <c r="V192" s="7" t="str">
        <f ca="1">'Database MK'!GA193</f>
        <v>Belum, Delay</v>
      </c>
      <c r="W192" s="7" t="str">
        <f ca="1">'Database MK'!GD193</f>
        <v>Sudah, Delay</v>
      </c>
      <c r="X192" s="7" t="str">
        <f ca="1">'Database MK'!GG193</f>
        <v>Sudah, Delay</v>
      </c>
      <c r="Y192" s="7" t="str">
        <f ca="1">'Database MK'!GK193</f>
        <v>Sudah, Delay</v>
      </c>
      <c r="Z192" s="7" t="str">
        <f ca="1">'Database MK'!HH193</f>
        <v>Sudah, Delay</v>
      </c>
      <c r="AA192" s="7" t="str">
        <f ca="1">'Database MK'!HR193</f>
        <v>Sudah, Delay</v>
      </c>
      <c r="AB192" s="7" t="str">
        <f ca="1">'Database MK'!HX193</f>
        <v>Sudah, Delay</v>
      </c>
      <c r="AC192" s="7">
        <f>'Database MK'!DA193-'Database MK'!DB193</f>
        <v>16</v>
      </c>
      <c r="AD192" s="7">
        <f>'Database MK'!DA193-'Database MK'!DF193</f>
        <v>3</v>
      </c>
      <c r="AE192" s="7">
        <f>'Database MK'!DK193-'Database MK'!DL193</f>
        <v>24</v>
      </c>
      <c r="AF192" s="7">
        <f>'Database MK'!DK193-'Database MK'!DO193</f>
        <v>-9</v>
      </c>
      <c r="AG192" s="7">
        <f>'Database MK'!DU193-'Database MK'!DW193</f>
        <v>24</v>
      </c>
      <c r="AH192" s="7">
        <f>IF('Database MK'!EB193="","Belum",'Database MK'!DU193-'Database MK'!EB193)</f>
        <v>-296</v>
      </c>
      <c r="AI192" s="7">
        <f>IF('Database MK'!EN193="","Belum",'Database MK'!EL193-'Database MK'!EN193)</f>
        <v>-286</v>
      </c>
      <c r="AJ192" s="7">
        <f>'Database MK'!FY193-'Database MK'!FZ193</f>
        <v>0</v>
      </c>
      <c r="AK192" s="7">
        <f>IF('Database MK'!GC193="","Belum",'Database MK'!GB193-'Database MK'!GC193)</f>
        <v>-8</v>
      </c>
      <c r="AL192" s="7" t="e">
        <f>IF('Database MK'!GF193="","Belum",'Database MK'!GE193-'Database MK'!GF193)</f>
        <v>#VALUE!</v>
      </c>
      <c r="AM192" s="279">
        <f>IF('Database MK'!GJ193="","Belum",'Database MK'!GI193-'Database MK'!GJ193)</f>
        <v>-1</v>
      </c>
      <c r="AN192" s="7">
        <f>IF('Database MK'!HG193="","Belum",'Database MK'!HF193-'Database MK'!HG193)</f>
        <v>-100</v>
      </c>
      <c r="AO192" s="7">
        <f>IF('Database MK'!HQ193="","Belum",'Database MK'!HN193-'Database MK'!HQ193)</f>
        <v>-96</v>
      </c>
      <c r="AP192" s="7">
        <f>IF('Database MK'!HW193="","Belum",'Database MK'!HU193-'Database MK'!HW193)</f>
        <v>-98</v>
      </c>
    </row>
    <row r="193" spans="2:42" hidden="1" x14ac:dyDescent="0.25">
      <c r="B193" s="7">
        <f>SUBTOTAL(3,$C$4:C193)</f>
        <v>74</v>
      </c>
      <c r="C193" s="4" t="s">
        <v>244</v>
      </c>
      <c r="D193" s="4" t="s">
        <v>1437</v>
      </c>
      <c r="E193" s="4" t="s">
        <v>1438</v>
      </c>
      <c r="F193" s="270">
        <v>45931</v>
      </c>
      <c r="G193" s="4" t="s">
        <v>681</v>
      </c>
      <c r="H193" s="4" t="str">
        <f ca="1">'Database MK'!Q194</f>
        <v>DPPP</v>
      </c>
      <c r="I193" s="24">
        <f>'Database MK'!S194</f>
        <v>1</v>
      </c>
      <c r="J193" s="24">
        <f>'Database MK'!T194</f>
        <v>1</v>
      </c>
      <c r="K193" s="571">
        <f>'Database MK'!U194</f>
        <v>0</v>
      </c>
      <c r="L193" s="561">
        <f>'Database MK'!V194</f>
        <v>284.8</v>
      </c>
      <c r="M193" s="561">
        <f>'Database MK'!W194</f>
        <v>273.7</v>
      </c>
      <c r="N193" s="561">
        <f>Table3[[#This Row],[Total Panjang Pipa Aktual]]-Table3[[#This Row],[Volume
BA MC-0]]</f>
        <v>-11.100000000000023</v>
      </c>
      <c r="O193" s="7" t="str">
        <f ca="1">'Database MK'!DE194</f>
        <v>Sudah, OnSchedule</v>
      </c>
      <c r="P193" s="7" t="str">
        <f ca="1">'Database MK'!DI194</f>
        <v>Sudah, OnSchedule</v>
      </c>
      <c r="Q193" s="7" t="str">
        <f ca="1">'Database MK'!DN194</f>
        <v>Sudah, OnSchedule</v>
      </c>
      <c r="R193" s="7" t="str">
        <f ca="1">'Database MK'!DR194</f>
        <v>Sudah, Delay</v>
      </c>
      <c r="S193" s="7" t="str">
        <f ca="1">'Database MK'!EA194</f>
        <v>Sudah, OnSchedule</v>
      </c>
      <c r="T193" s="7" t="str">
        <f ca="1">'Database MK'!EI194</f>
        <v>Sudah, Delay</v>
      </c>
      <c r="U193" s="7" t="str">
        <f ca="1">'Database MK'!ET194</f>
        <v>Sudah, Delay</v>
      </c>
      <c r="V193" s="7" t="str">
        <f ca="1">'Database MK'!GA194</f>
        <v>Belum, Delay</v>
      </c>
      <c r="W193" s="7" t="str">
        <f ca="1">'Database MK'!GD194</f>
        <v>Sudah, Delay</v>
      </c>
      <c r="X193" s="7" t="str">
        <f ca="1">'Database MK'!GG194</f>
        <v>Sudah, Delay</v>
      </c>
      <c r="Y193" s="7" t="str">
        <f ca="1">'Database MK'!GK194</f>
        <v>Sudah, Delay</v>
      </c>
      <c r="Z193" s="7" t="str">
        <f ca="1">'Database MK'!HH194</f>
        <v>Sudah, Delay</v>
      </c>
      <c r="AA193" s="7" t="str">
        <f ca="1">'Database MK'!HR194</f>
        <v>Sudah, Delay</v>
      </c>
      <c r="AB193" s="7" t="str">
        <f ca="1">'Database MK'!HX194</f>
        <v>Sudah, Delay</v>
      </c>
      <c r="AC193" s="7">
        <f>'Database MK'!DA194-'Database MK'!DB194</f>
        <v>13</v>
      </c>
      <c r="AD193" s="7">
        <f>'Database MK'!DA194-'Database MK'!DF194</f>
        <v>3</v>
      </c>
      <c r="AE193" s="7">
        <f>'Database MK'!DK194-'Database MK'!DL194</f>
        <v>32</v>
      </c>
      <c r="AF193" s="7">
        <f>'Database MK'!DK194-'Database MK'!DO194</f>
        <v>-9</v>
      </c>
      <c r="AG193" s="7">
        <f>'Database MK'!DU194-'Database MK'!DW194</f>
        <v>32</v>
      </c>
      <c r="AH193" s="7">
        <f>IF('Database MK'!EB194="","Belum",'Database MK'!DU194-'Database MK'!EB194)</f>
        <v>-344</v>
      </c>
      <c r="AI193" s="7">
        <f>IF('Database MK'!EN194="","Belum",'Database MK'!EL194-'Database MK'!EN194)</f>
        <v>-196</v>
      </c>
      <c r="AJ193" s="7">
        <f>'Database MK'!FY194-'Database MK'!FZ194</f>
        <v>0</v>
      </c>
      <c r="AK193" s="7">
        <f>IF('Database MK'!GC194="","Belum",'Database MK'!GB194-'Database MK'!GC194)</f>
        <v>-8</v>
      </c>
      <c r="AL193" s="7" t="e">
        <f>IF('Database MK'!GF194="","Belum",'Database MK'!GE194-'Database MK'!GF194)</f>
        <v>#VALUE!</v>
      </c>
      <c r="AM193" s="279">
        <f>IF('Database MK'!GJ194="","Belum",'Database MK'!GI194-'Database MK'!GJ194)</f>
        <v>-1</v>
      </c>
      <c r="AN193" s="7">
        <f>IF('Database MK'!HG194="","Belum",'Database MK'!HF194-'Database MK'!HG194)</f>
        <v>-12</v>
      </c>
      <c r="AO193" s="7">
        <f>IF('Database MK'!HQ194="","Belum",'Database MK'!HN194-'Database MK'!HQ194)</f>
        <v>-3</v>
      </c>
      <c r="AP193" s="7">
        <f>IF('Database MK'!HW194="","Belum",'Database MK'!HU194-'Database MK'!HW194)</f>
        <v>-33</v>
      </c>
    </row>
    <row r="194" spans="2:42" hidden="1" x14ac:dyDescent="0.25">
      <c r="B194" s="7">
        <f>SUBTOTAL(3,$C$4:C194)</f>
        <v>74</v>
      </c>
      <c r="C194" s="4" t="s">
        <v>244</v>
      </c>
      <c r="D194" s="4" t="s">
        <v>1446</v>
      </c>
      <c r="E194" s="4" t="s">
        <v>1447</v>
      </c>
      <c r="F194" s="270">
        <v>45931</v>
      </c>
      <c r="G194" s="4" t="s">
        <v>681</v>
      </c>
      <c r="H194" s="4" t="str">
        <f ca="1">'Database MK'!Q195</f>
        <v>DPPP</v>
      </c>
      <c r="I194" s="24">
        <f>'Database MK'!S195</f>
        <v>1</v>
      </c>
      <c r="J194" s="24">
        <f>'Database MK'!T195</f>
        <v>1</v>
      </c>
      <c r="K194" s="571">
        <f>'Database MK'!U195</f>
        <v>0</v>
      </c>
      <c r="L194" s="561">
        <f>'Database MK'!V195</f>
        <v>112</v>
      </c>
      <c r="M194" s="561">
        <f>'Database MK'!W195</f>
        <v>149.69999999999999</v>
      </c>
      <c r="N194" s="561">
        <f>Table3[[#This Row],[Total Panjang Pipa Aktual]]-Table3[[#This Row],[Volume
BA MC-0]]</f>
        <v>37.699999999999989</v>
      </c>
      <c r="O194" s="7" t="str">
        <f ca="1">'Database MK'!DE195</f>
        <v>Sudah, OnSchedule</v>
      </c>
      <c r="P194" s="7" t="str">
        <f ca="1">'Database MK'!DI195</f>
        <v>Sudah, Delay</v>
      </c>
      <c r="Q194" s="7" t="str">
        <f ca="1">'Database MK'!DN195</f>
        <v>Sudah, OnSchedule</v>
      </c>
      <c r="R194" s="7" t="str">
        <f ca="1">'Database MK'!DR195</f>
        <v>Sudah, Delay</v>
      </c>
      <c r="S194" s="7" t="str">
        <f ca="1">'Database MK'!EA195</f>
        <v>Sudah, OnSchedule</v>
      </c>
      <c r="T194" s="7" t="str">
        <f ca="1">'Database MK'!EI195</f>
        <v>Sudah, Delay</v>
      </c>
      <c r="U194" s="7" t="str">
        <f ca="1">'Database MK'!ET195</f>
        <v>Sudah, Delay</v>
      </c>
      <c r="V194" s="7" t="str">
        <f ca="1">'Database MK'!GA195</f>
        <v>Belum, Delay</v>
      </c>
      <c r="W194" s="7" t="str">
        <f ca="1">'Database MK'!GD195</f>
        <v>Sudah, Delay</v>
      </c>
      <c r="X194" s="7" t="str">
        <f ca="1">'Database MK'!GG195</f>
        <v>Sudah, Delay</v>
      </c>
      <c r="Y194" s="7" t="b">
        <f ca="1">'Database MK'!GK195</f>
        <v>0</v>
      </c>
      <c r="Z194" s="7" t="str">
        <f ca="1">'Database MK'!HH195</f>
        <v>Sudah, Delay</v>
      </c>
      <c r="AA194" s="7" t="str">
        <f ca="1">'Database MK'!HR195</f>
        <v>Sudah, Delay</v>
      </c>
      <c r="AB194" s="7" t="str">
        <f ca="1">'Database MK'!HX195</f>
        <v>Sudah, Delay</v>
      </c>
      <c r="AC194" s="7">
        <f>'Database MK'!DA195-'Database MK'!DB195</f>
        <v>17</v>
      </c>
      <c r="AD194" s="7">
        <f>'Database MK'!DA195-'Database MK'!DF195</f>
        <v>-18</v>
      </c>
      <c r="AE194" s="7">
        <f>'Database MK'!DK195-'Database MK'!DL195</f>
        <v>6</v>
      </c>
      <c r="AF194" s="7">
        <f>'Database MK'!DK195-'Database MK'!DO195</f>
        <v>-60</v>
      </c>
      <c r="AG194" s="7">
        <f>'Database MK'!DU195-'Database MK'!DW195</f>
        <v>6</v>
      </c>
      <c r="AH194" s="7">
        <f>IF('Database MK'!EB195="","Belum",'Database MK'!DU195-'Database MK'!EB195)</f>
        <v>-344</v>
      </c>
      <c r="AI194" s="7">
        <f>IF('Database MK'!EN195="","Belum",'Database MK'!EL195-'Database MK'!EN195)</f>
        <v>-226</v>
      </c>
      <c r="AJ194" s="7">
        <f>'Database MK'!FY195-'Database MK'!FZ195</f>
        <v>0</v>
      </c>
      <c r="AK194" s="7">
        <f>IF('Database MK'!GC195="","Belum",'Database MK'!GB195-'Database MK'!GC195)</f>
        <v>-8</v>
      </c>
      <c r="AL194" s="7" t="e">
        <f>IF('Database MK'!GF195="","Belum",'Database MK'!GE195-'Database MK'!GF195)</f>
        <v>#VALUE!</v>
      </c>
      <c r="AM194" s="279">
        <f>IF('Database MK'!GJ195="","Belum",'Database MK'!GI195-'Database MK'!GJ195)</f>
        <v>0</v>
      </c>
      <c r="AN194" s="7">
        <f>IF('Database MK'!HG195="","Belum",'Database MK'!HF195-'Database MK'!HG195)</f>
        <v>-42</v>
      </c>
      <c r="AO194" s="7">
        <f>IF('Database MK'!HQ195="","Belum",'Database MK'!HN195-'Database MK'!HQ195)</f>
        <v>-38</v>
      </c>
      <c r="AP194" s="7">
        <f>IF('Database MK'!HW195="","Belum",'Database MK'!HU195-'Database MK'!HW195)</f>
        <v>-36</v>
      </c>
    </row>
    <row r="195" spans="2:42" hidden="1" x14ac:dyDescent="0.25">
      <c r="B195" s="7">
        <f>SUBTOTAL(3,$C$4:C195)</f>
        <v>74</v>
      </c>
      <c r="C195" s="4" t="s">
        <v>244</v>
      </c>
      <c r="D195" s="4" t="s">
        <v>1454</v>
      </c>
      <c r="E195" s="4" t="s">
        <v>1455</v>
      </c>
      <c r="F195" s="270">
        <v>45931</v>
      </c>
      <c r="G195" s="4" t="s">
        <v>681</v>
      </c>
      <c r="H195" s="4" t="str">
        <f ca="1">'Database MK'!Q196</f>
        <v>DPPP</v>
      </c>
      <c r="I195" s="24">
        <f>'Database MK'!S196</f>
        <v>1</v>
      </c>
      <c r="J195" s="24">
        <f>'Database MK'!T196</f>
        <v>1</v>
      </c>
      <c r="K195" s="571">
        <f>'Database MK'!U196</f>
        <v>0</v>
      </c>
      <c r="L195" s="561">
        <f>'Database MK'!V196</f>
        <v>333</v>
      </c>
      <c r="M195" s="561">
        <f>'Database MK'!W196</f>
        <v>456</v>
      </c>
      <c r="N195" s="561">
        <f>Table3[[#This Row],[Total Panjang Pipa Aktual]]-Table3[[#This Row],[Volume
BA MC-0]]</f>
        <v>123</v>
      </c>
      <c r="O195" s="7" t="str">
        <f ca="1">'Database MK'!DE196</f>
        <v>Sudah, OnSchedule</v>
      </c>
      <c r="P195" s="7" t="str">
        <f ca="1">'Database MK'!DI196</f>
        <v>Sudah, OnSchedule</v>
      </c>
      <c r="Q195" s="7" t="str">
        <f ca="1">'Database MK'!DN196</f>
        <v>Sudah, OnSchedule</v>
      </c>
      <c r="R195" s="7" t="str">
        <f ca="1">'Database MK'!DR196</f>
        <v>Sudah, Delay</v>
      </c>
      <c r="S195" s="7" t="str">
        <f ca="1">'Database MK'!EA196</f>
        <v>Sudah, OnSchedule</v>
      </c>
      <c r="T195" s="7" t="str">
        <f ca="1">'Database MK'!EI196</f>
        <v>Sudah, Delay</v>
      </c>
      <c r="U195" s="7" t="str">
        <f ca="1">'Database MK'!ET196</f>
        <v>Sudah, Delay</v>
      </c>
      <c r="V195" s="7" t="str">
        <f ca="1">'Database MK'!GA196</f>
        <v>Belum, Delay</v>
      </c>
      <c r="W195" s="7" t="str">
        <f ca="1">'Database MK'!GD196</f>
        <v>Sudah, Delay</v>
      </c>
      <c r="X195" s="7" t="str">
        <f ca="1">'Database MK'!GG196</f>
        <v>Sudah, Delay</v>
      </c>
      <c r="Y195" s="7" t="str">
        <f ca="1">'Database MK'!GK196</f>
        <v>Sudah, OnSchedule</v>
      </c>
      <c r="Z195" s="7" t="str">
        <f ca="1">'Database MK'!HH196</f>
        <v>Sudah, Delay</v>
      </c>
      <c r="AA195" s="7" t="str">
        <f ca="1">'Database MK'!HR196</f>
        <v>Sudah, Delay</v>
      </c>
      <c r="AB195" s="7" t="str">
        <f ca="1">'Database MK'!HX196</f>
        <v>Sudah, Delay</v>
      </c>
      <c r="AC195" s="7">
        <f>'Database MK'!DA196-'Database MK'!DB196</f>
        <v>17</v>
      </c>
      <c r="AD195" s="7">
        <f>'Database MK'!DA196-'Database MK'!DF196</f>
        <v>3</v>
      </c>
      <c r="AE195" s="7">
        <f>'Database MK'!DK196-'Database MK'!DL196</f>
        <v>24</v>
      </c>
      <c r="AF195" s="7">
        <f>'Database MK'!DK196-'Database MK'!DO196</f>
        <v>-51</v>
      </c>
      <c r="AG195" s="7">
        <f>'Database MK'!DU196-'Database MK'!DW196</f>
        <v>24</v>
      </c>
      <c r="AH195" s="7">
        <f>IF('Database MK'!EB196="","Belum",'Database MK'!DU196-'Database MK'!EB196)</f>
        <v>-344</v>
      </c>
      <c r="AI195" s="7">
        <f>IF('Database MK'!EN196="","Belum",'Database MK'!EL196-'Database MK'!EN196)</f>
        <v>-226</v>
      </c>
      <c r="AJ195" s="7">
        <f>'Database MK'!FY196-'Database MK'!FZ196</f>
        <v>0</v>
      </c>
      <c r="AK195" s="7">
        <f>IF('Database MK'!GC196="","Belum",'Database MK'!GB196-'Database MK'!GC196)</f>
        <v>-8</v>
      </c>
      <c r="AL195" s="7" t="e">
        <f>IF('Database MK'!GF196="","Belum",'Database MK'!GE196-'Database MK'!GF196)</f>
        <v>#VALUE!</v>
      </c>
      <c r="AM195" s="279">
        <f>IF('Database MK'!GJ196="","Belum",'Database MK'!GI196-'Database MK'!GJ196)</f>
        <v>5</v>
      </c>
      <c r="AN195" s="7">
        <f>IF('Database MK'!HG196="","Belum",'Database MK'!HF196-'Database MK'!HG196)</f>
        <v>-98</v>
      </c>
      <c r="AO195" s="7">
        <f>IF('Database MK'!HQ196="","Belum",'Database MK'!HN196-'Database MK'!HQ196)</f>
        <v>-117</v>
      </c>
      <c r="AP195" s="7">
        <f>IF('Database MK'!HW196="","Belum",'Database MK'!HU196-'Database MK'!HW196)</f>
        <v>-126</v>
      </c>
    </row>
    <row r="196" spans="2:42" hidden="1" x14ac:dyDescent="0.25">
      <c r="B196" s="7">
        <f>SUBTOTAL(3,$C$4:C196)</f>
        <v>74</v>
      </c>
      <c r="C196" s="4" t="s">
        <v>244</v>
      </c>
      <c r="D196" s="4" t="s">
        <v>1462</v>
      </c>
      <c r="E196" s="4" t="s">
        <v>1463</v>
      </c>
      <c r="F196" s="270">
        <v>45931</v>
      </c>
      <c r="G196" s="4" t="s">
        <v>681</v>
      </c>
      <c r="H196" s="4" t="str">
        <f ca="1">'Database MK'!Q197</f>
        <v>DPPP</v>
      </c>
      <c r="I196" s="24">
        <f>'Database MK'!S197</f>
        <v>1</v>
      </c>
      <c r="J196" s="24">
        <f>'Database MK'!T197</f>
        <v>1</v>
      </c>
      <c r="K196" s="571">
        <f>'Database MK'!U197</f>
        <v>0</v>
      </c>
      <c r="L196" s="561">
        <f>'Database MK'!V197</f>
        <v>130</v>
      </c>
      <c r="M196" s="561">
        <f>'Database MK'!W197</f>
        <v>123.89999999999999</v>
      </c>
      <c r="N196" s="561">
        <f>Table3[[#This Row],[Total Panjang Pipa Aktual]]-Table3[[#This Row],[Volume
BA MC-0]]</f>
        <v>-6.1000000000000085</v>
      </c>
      <c r="O196" s="7" t="str">
        <f ca="1">'Database MK'!DE197</f>
        <v>Sudah, OnSchedule</v>
      </c>
      <c r="P196" s="7" t="str">
        <f ca="1">'Database MK'!DI197</f>
        <v>Sudah, OnSchedule</v>
      </c>
      <c r="Q196" s="7" t="str">
        <f ca="1">'Database MK'!DN197</f>
        <v>Sudah, OnSchedule</v>
      </c>
      <c r="R196" s="7" t="str">
        <f ca="1">'Database MK'!DR197</f>
        <v>Sudah, OnSchedule</v>
      </c>
      <c r="S196" s="7" t="str">
        <f ca="1">'Database MK'!EA197</f>
        <v>Sudah, OnSchedule</v>
      </c>
      <c r="T196" s="7" t="str">
        <f ca="1">'Database MK'!EI197</f>
        <v>Sudah, Delay</v>
      </c>
      <c r="U196" s="7" t="str">
        <f ca="1">'Database MK'!ET197</f>
        <v>Sudah, Delay</v>
      </c>
      <c r="V196" s="7" t="str">
        <f ca="1">'Database MK'!GA197</f>
        <v>Belum, Delay</v>
      </c>
      <c r="W196" s="7" t="str">
        <f ca="1">'Database MK'!GD197</f>
        <v>Sudah, OnSchedule</v>
      </c>
      <c r="X196" s="7" t="str">
        <f ca="1">'Database MK'!GG197</f>
        <v>Sudah, Delay</v>
      </c>
      <c r="Y196" s="7" t="str">
        <f ca="1">'Database MK'!GK197</f>
        <v>Sudah, OnSchedule</v>
      </c>
      <c r="Z196" s="7" t="str">
        <f ca="1">'Database MK'!HH197</f>
        <v>Sudah, Delay</v>
      </c>
      <c r="AA196" s="7" t="str">
        <f ca="1">'Database MK'!HR197</f>
        <v>Sudah, Delay</v>
      </c>
      <c r="AB196" s="7" t="str">
        <f ca="1">'Database MK'!HX197</f>
        <v>Sudah, Delay</v>
      </c>
      <c r="AC196" s="7">
        <f>'Database MK'!DA197-'Database MK'!DB197</f>
        <v>23</v>
      </c>
      <c r="AD196" s="7">
        <f>'Database MK'!DA197-'Database MK'!DF197</f>
        <v>12</v>
      </c>
      <c r="AE196" s="7">
        <f>'Database MK'!DK197-'Database MK'!DL197</f>
        <v>61</v>
      </c>
      <c r="AF196" s="7">
        <f>'Database MK'!DK197-'Database MK'!DO197</f>
        <v>38</v>
      </c>
      <c r="AG196" s="7">
        <f>'Database MK'!DU197-'Database MK'!DW197</f>
        <v>33</v>
      </c>
      <c r="AH196" s="7">
        <f>IF('Database MK'!EB197="","Belum",'Database MK'!DU197-'Database MK'!EB197)</f>
        <v>-163</v>
      </c>
      <c r="AI196" s="7">
        <f>IF('Database MK'!EN197="","Belum",'Database MK'!EL197-'Database MK'!EN197)</f>
        <v>-256</v>
      </c>
      <c r="AJ196" s="7">
        <f>'Database MK'!FY197-'Database MK'!FZ197</f>
        <v>0</v>
      </c>
      <c r="AK196" s="7">
        <f>IF('Database MK'!GC197="","Belum",'Database MK'!GB197-'Database MK'!GC197)</f>
        <v>34</v>
      </c>
      <c r="AL196" s="7" t="e">
        <f>IF('Database MK'!GF197="","Belum",'Database MK'!GE197-'Database MK'!GF197)</f>
        <v>#VALUE!</v>
      </c>
      <c r="AM196" s="279">
        <f>IF('Database MK'!GJ197="","Belum",'Database MK'!GI197-'Database MK'!GJ197)</f>
        <v>48</v>
      </c>
      <c r="AN196" s="7">
        <f>IF('Database MK'!HG197="","Belum",'Database MK'!HF197-'Database MK'!HG197)</f>
        <v>-8</v>
      </c>
      <c r="AO196" s="7">
        <f>IF('Database MK'!HQ197="","Belum",'Database MK'!HN197-'Database MK'!HQ197)</f>
        <v>-7</v>
      </c>
      <c r="AP196" s="7">
        <f>IF('Database MK'!HW197="","Belum",'Database MK'!HU197-'Database MK'!HW197)</f>
        <v>-7</v>
      </c>
    </row>
    <row r="197" spans="2:42" s="72" customFormat="1" hidden="1" x14ac:dyDescent="0.25">
      <c r="B197" s="7">
        <f>SUBTOTAL(3,$C$4:C197)</f>
        <v>74</v>
      </c>
      <c r="C197" s="72" t="s">
        <v>244</v>
      </c>
      <c r="D197" s="72" t="s">
        <v>1471</v>
      </c>
      <c r="E197" s="72" t="s">
        <v>1472</v>
      </c>
      <c r="F197" s="272">
        <v>45931</v>
      </c>
      <c r="G197" s="72" t="s">
        <v>681</v>
      </c>
      <c r="H197" s="72" t="str">
        <f>'Database MK'!Q198</f>
        <v>BATAL / CANCEL</v>
      </c>
      <c r="I197" s="572">
        <f>'Database MK'!S198</f>
        <v>1</v>
      </c>
      <c r="J197" s="572">
        <f>'Database MK'!T198</f>
        <v>0</v>
      </c>
      <c r="K197" s="573">
        <f>'Database MK'!U198</f>
        <v>-1</v>
      </c>
      <c r="L197" s="562">
        <f>'Database MK'!V198</f>
        <v>0</v>
      </c>
      <c r="M197" s="562">
        <f>'Database MK'!W198</f>
        <v>0</v>
      </c>
      <c r="N197" s="562">
        <f>Table3[[#This Row],[Total Panjang Pipa Aktual]]-Table3[[#This Row],[Volume
BA MC-0]]</f>
        <v>0</v>
      </c>
      <c r="O197" s="277" t="str">
        <f ca="1">'Database MK'!DE198</f>
        <v>Sudah, OnSchedule</v>
      </c>
      <c r="P197" s="277" t="str">
        <f ca="1">'Database MK'!DI198</f>
        <v>Sudah, Delay</v>
      </c>
      <c r="Q197" s="277" t="str">
        <f ca="1">'Database MK'!DN198</f>
        <v>Sudah, OnSchedule</v>
      </c>
      <c r="R197" s="277" t="str">
        <f ca="1">'Database MK'!DR198</f>
        <v>Sudah, Delay</v>
      </c>
      <c r="S197" s="277" t="str">
        <f ca="1">'Database MK'!EA198</f>
        <v>Belum, Delay</v>
      </c>
      <c r="T197" s="277" t="str">
        <f ca="1">'Database MK'!EI198</f>
        <v>Belum, Delay</v>
      </c>
      <c r="U197" s="277" t="str">
        <f ca="1">'Database MK'!ET198</f>
        <v>Belum, Delay</v>
      </c>
      <c r="V197" s="277" t="str">
        <f ca="1">'Database MK'!GA198</f>
        <v>Belum, Delay</v>
      </c>
      <c r="W197" s="277" t="str">
        <f ca="1">'Database MK'!GD198</f>
        <v>Sudah, OnSchedule</v>
      </c>
      <c r="X197" s="277" t="str">
        <f ca="1">'Database MK'!GG198</f>
        <v>Sudah, Delay</v>
      </c>
      <c r="Y197" s="277" t="str">
        <f ca="1">'Database MK'!GK198</f>
        <v>Sudah, OnSchedule</v>
      </c>
      <c r="Z197" s="277" t="str">
        <f ca="1">'Database MK'!HH198</f>
        <v>Belum, Delay</v>
      </c>
      <c r="AA197" s="277" t="str">
        <f ca="1">'Database MK'!HR198</f>
        <v>Belum, Delay</v>
      </c>
      <c r="AB197" s="277" t="str">
        <f ca="1">'Database MK'!HX198</f>
        <v>Belum, Delay</v>
      </c>
      <c r="AC197" s="277"/>
      <c r="AD197" s="277"/>
      <c r="AE197" s="277"/>
      <c r="AF197" s="277"/>
      <c r="AG197" s="277"/>
      <c r="AH197" s="277"/>
      <c r="AI197" s="277"/>
      <c r="AJ197" s="277">
        <f>'Database MK'!FY198-'Database MK'!FZ198</f>
        <v>0</v>
      </c>
      <c r="AK197" s="277"/>
      <c r="AL197" s="277"/>
      <c r="AM197" s="280"/>
      <c r="AN197" s="277"/>
      <c r="AO197" s="277"/>
      <c r="AP197" s="277"/>
    </row>
    <row r="198" spans="2:42" hidden="1" x14ac:dyDescent="0.25">
      <c r="B198" s="7">
        <f>SUBTOTAL(3,$C$4:C198)</f>
        <v>74</v>
      </c>
      <c r="C198" s="4" t="s">
        <v>244</v>
      </c>
      <c r="D198" s="4" t="s">
        <v>1478</v>
      </c>
      <c r="E198" s="4" t="s">
        <v>1479</v>
      </c>
      <c r="F198" s="270">
        <v>45931</v>
      </c>
      <c r="G198" s="4" t="s">
        <v>681</v>
      </c>
      <c r="H198" s="4" t="str">
        <f ca="1">'Database MK'!Q199</f>
        <v>DPPP</v>
      </c>
      <c r="I198" s="24">
        <f>'Database MK'!S199</f>
        <v>1</v>
      </c>
      <c r="J198" s="24">
        <f>'Database MK'!T199</f>
        <v>1</v>
      </c>
      <c r="K198" s="571">
        <f>'Database MK'!U199</f>
        <v>0</v>
      </c>
      <c r="L198" s="561">
        <f>'Database MK'!V199</f>
        <v>32</v>
      </c>
      <c r="M198" s="561">
        <f>'Database MK'!W199</f>
        <v>26</v>
      </c>
      <c r="N198" s="561">
        <f>Table3[[#This Row],[Total Panjang Pipa Aktual]]-Table3[[#This Row],[Volume
BA MC-0]]</f>
        <v>-6</v>
      </c>
      <c r="O198" s="7" t="str">
        <f ca="1">'Database MK'!DE199</f>
        <v>Sudah, OnSchedule</v>
      </c>
      <c r="P198" s="7" t="str">
        <f ca="1">'Database MK'!DI199</f>
        <v>Sudah, OnSchedule</v>
      </c>
      <c r="Q198" s="7" t="str">
        <f ca="1">'Database MK'!DN199</f>
        <v>Sudah, OnSchedule</v>
      </c>
      <c r="R198" s="7" t="str">
        <f ca="1">'Database MK'!DR199</f>
        <v>Sudah, Delay</v>
      </c>
      <c r="S198" s="7" t="str">
        <f ca="1">'Database MK'!EA199</f>
        <v>Sudah, OnSchedule</v>
      </c>
      <c r="T198" s="7" t="str">
        <f ca="1">'Database MK'!EI199</f>
        <v>Sudah, Delay</v>
      </c>
      <c r="U198" s="7" t="str">
        <f ca="1">'Database MK'!ET199</f>
        <v>Sudah, Delay</v>
      </c>
      <c r="V198" s="7" t="str">
        <f ca="1">'Database MK'!GA199</f>
        <v>Belum, Delay</v>
      </c>
      <c r="W198" s="7" t="str">
        <f ca="1">'Database MK'!GD199</f>
        <v>Sudah, OnSchedule</v>
      </c>
      <c r="X198" s="7" t="str">
        <f ca="1">'Database MK'!GG199</f>
        <v>Sudah, Delay</v>
      </c>
      <c r="Y198" s="7" t="str">
        <f ca="1">'Database MK'!GK199</f>
        <v>Sudah, OnSchedule</v>
      </c>
      <c r="Z198" s="7" t="str">
        <f ca="1">'Database MK'!HH199</f>
        <v>Sudah, Delay</v>
      </c>
      <c r="AA198" s="7" t="str">
        <f ca="1">'Database MK'!HR199</f>
        <v>Sudah, Delay</v>
      </c>
      <c r="AB198" s="7" t="str">
        <f ca="1">'Database MK'!HX199</f>
        <v>Sudah, Delay</v>
      </c>
      <c r="AC198" s="7">
        <f>'Database MK'!DA199-'Database MK'!DB199</f>
        <v>20</v>
      </c>
      <c r="AD198" s="7">
        <f>'Database MK'!DA199-'Database MK'!DF199</f>
        <v>4</v>
      </c>
      <c r="AE198" s="7">
        <f>'Database MK'!DK199-'Database MK'!DL199</f>
        <v>44</v>
      </c>
      <c r="AF198" s="7">
        <f>'Database MK'!DK199-'Database MK'!DO199</f>
        <v>-4</v>
      </c>
      <c r="AG198" s="7">
        <f>'Database MK'!DU199-'Database MK'!DW199</f>
        <v>16</v>
      </c>
      <c r="AH198" s="7">
        <f>IF('Database MK'!EB199="","Belum",'Database MK'!DU199-'Database MK'!EB199)</f>
        <v>-163</v>
      </c>
      <c r="AI198" s="7">
        <f>IF('Database MK'!EN199="","Belum",'Database MK'!EL199-'Database MK'!EN199)</f>
        <v>-191</v>
      </c>
      <c r="AJ198" s="7">
        <f>'Database MK'!FY199-'Database MK'!FZ199</f>
        <v>0</v>
      </c>
      <c r="AK198" s="7">
        <f>IF('Database MK'!GC199="","Belum",'Database MK'!GB199-'Database MK'!GC199)</f>
        <v>34</v>
      </c>
      <c r="AL198" s="7" t="e">
        <f>IF('Database MK'!GF199="","Belum",'Database MK'!GE199-'Database MK'!GF199)</f>
        <v>#VALUE!</v>
      </c>
      <c r="AM198" s="279">
        <f>IF('Database MK'!GJ199="","Belum",'Database MK'!GI199-'Database MK'!GJ199)</f>
        <v>48</v>
      </c>
      <c r="AN198" s="7">
        <f>IF('Database MK'!HG199="","Belum",'Database MK'!HF199-'Database MK'!HG199)</f>
        <v>-8</v>
      </c>
      <c r="AO198" s="7">
        <f>IF('Database MK'!HQ199="","Belum",'Database MK'!HN199-'Database MK'!HQ199)</f>
        <v>-7</v>
      </c>
      <c r="AP198" s="7">
        <f>IF('Database MK'!HW199="","Belum",'Database MK'!HU199-'Database MK'!HW199)</f>
        <v>-7</v>
      </c>
    </row>
    <row r="199" spans="2:42" hidden="1" x14ac:dyDescent="0.25">
      <c r="B199" s="7">
        <f>SUBTOTAL(3,$C$4:C199)</f>
        <v>74</v>
      </c>
      <c r="C199" s="4" t="s">
        <v>244</v>
      </c>
      <c r="D199" s="4" t="s">
        <v>1487</v>
      </c>
      <c r="E199" s="4" t="s">
        <v>1488</v>
      </c>
      <c r="F199" s="270">
        <v>45931</v>
      </c>
      <c r="G199" s="4" t="s">
        <v>681</v>
      </c>
      <c r="H199" s="4" t="str">
        <f ca="1">'Database MK'!Q200</f>
        <v>DPPP</v>
      </c>
      <c r="I199" s="24">
        <f>'Database MK'!S200</f>
        <v>1</v>
      </c>
      <c r="J199" s="24">
        <f>'Database MK'!T200</f>
        <v>1</v>
      </c>
      <c r="K199" s="571">
        <f>'Database MK'!U200</f>
        <v>0</v>
      </c>
      <c r="L199" s="561">
        <f>'Database MK'!V200</f>
        <v>152</v>
      </c>
      <c r="M199" s="561">
        <f>'Database MK'!W200</f>
        <v>128</v>
      </c>
      <c r="N199" s="561">
        <f>Table3[[#This Row],[Total Panjang Pipa Aktual]]-Table3[[#This Row],[Volume
BA MC-0]]</f>
        <v>-24</v>
      </c>
      <c r="O199" s="7" t="str">
        <f ca="1">'Database MK'!DE200</f>
        <v>Sudah, OnSchedule</v>
      </c>
      <c r="P199" s="7" t="str">
        <f ca="1">'Database MK'!DI200</f>
        <v>Sudah, OnSchedule</v>
      </c>
      <c r="Q199" s="7" t="str">
        <f ca="1">'Database MK'!DN200</f>
        <v>Sudah, OnSchedule</v>
      </c>
      <c r="R199" s="7" t="str">
        <f ca="1">'Database MK'!DR200</f>
        <v>Sudah, Delay</v>
      </c>
      <c r="S199" s="7" t="str">
        <f ca="1">'Database MK'!EA200</f>
        <v>Sudah, OnSchedule</v>
      </c>
      <c r="T199" s="7" t="str">
        <f ca="1">'Database MK'!EI200</f>
        <v>Sudah, Delay</v>
      </c>
      <c r="U199" s="7" t="str">
        <f ca="1">'Database MK'!ET200</f>
        <v>Sudah, Delay</v>
      </c>
      <c r="V199" s="7" t="str">
        <f ca="1">'Database MK'!GA200</f>
        <v>Belum, Delay</v>
      </c>
      <c r="W199" s="7" t="str">
        <f ca="1">'Database MK'!GD200</f>
        <v>Sudah, OnSchedule</v>
      </c>
      <c r="X199" s="7" t="str">
        <f ca="1">'Database MK'!GG200</f>
        <v>Sudah, Delay</v>
      </c>
      <c r="Y199" s="7" t="str">
        <f ca="1">'Database MK'!GK200</f>
        <v>Sudah, OnSchedule</v>
      </c>
      <c r="Z199" s="7" t="str">
        <f ca="1">'Database MK'!HH200</f>
        <v>Sudah, Delay</v>
      </c>
      <c r="AA199" s="7" t="str">
        <f ca="1">'Database MK'!HR200</f>
        <v>Sudah, Delay</v>
      </c>
      <c r="AB199" s="7" t="str">
        <f ca="1">'Database MK'!HX200</f>
        <v>Sudah, Delay</v>
      </c>
      <c r="AC199" s="7">
        <f>'Database MK'!DA200-'Database MK'!DB200</f>
        <v>20</v>
      </c>
      <c r="AD199" s="7">
        <f>'Database MK'!DA200-'Database MK'!DF200</f>
        <v>3</v>
      </c>
      <c r="AE199" s="7">
        <f>'Database MK'!DK200-'Database MK'!DL200</f>
        <v>50</v>
      </c>
      <c r="AF199" s="7">
        <f>'Database MK'!DK200-'Database MK'!DO200</f>
        <v>-4</v>
      </c>
      <c r="AG199" s="7">
        <f>'Database MK'!DU200-'Database MK'!DW200</f>
        <v>23</v>
      </c>
      <c r="AH199" s="7">
        <f>IF('Database MK'!EB200="","Belum",'Database MK'!DU200-'Database MK'!EB200)</f>
        <v>-316</v>
      </c>
      <c r="AI199" s="7">
        <f>IF('Database MK'!EN200="","Belum",'Database MK'!EL200-'Database MK'!EN200)</f>
        <v>-191</v>
      </c>
      <c r="AJ199" s="7">
        <f>'Database MK'!FY200-'Database MK'!FZ200</f>
        <v>0</v>
      </c>
      <c r="AK199" s="7">
        <f>IF('Database MK'!GC200="","Belum",'Database MK'!GB200-'Database MK'!GC200)</f>
        <v>34</v>
      </c>
      <c r="AL199" s="7" t="e">
        <f>IF('Database MK'!GF200="","Belum",'Database MK'!GE200-'Database MK'!GF200)</f>
        <v>#VALUE!</v>
      </c>
      <c r="AM199" s="279">
        <f>IF('Database MK'!GJ200="","Belum",'Database MK'!GI200-'Database MK'!GJ200)</f>
        <v>48</v>
      </c>
      <c r="AN199" s="7">
        <f>IF('Database MK'!HG200="","Belum",'Database MK'!HF200-'Database MK'!HG200)</f>
        <v>-8</v>
      </c>
      <c r="AO199" s="7">
        <f>IF('Database MK'!HQ200="","Belum",'Database MK'!HN200-'Database MK'!HQ200)</f>
        <v>-7</v>
      </c>
      <c r="AP199" s="7">
        <f>IF('Database MK'!HW200="","Belum",'Database MK'!HU200-'Database MK'!HW200)</f>
        <v>-7</v>
      </c>
    </row>
    <row r="200" spans="2:42" hidden="1" x14ac:dyDescent="0.25">
      <c r="B200" s="7">
        <f>SUBTOTAL(3,$C$4:C200)</f>
        <v>74</v>
      </c>
      <c r="C200" s="4" t="s">
        <v>244</v>
      </c>
      <c r="D200" s="4" t="s">
        <v>1497</v>
      </c>
      <c r="E200" s="4" t="s">
        <v>1498</v>
      </c>
      <c r="F200" s="270">
        <v>45931</v>
      </c>
      <c r="G200" s="4" t="s">
        <v>681</v>
      </c>
      <c r="H200" s="4" t="str">
        <f ca="1">'Database MK'!Q201</f>
        <v>DPPP</v>
      </c>
      <c r="I200" s="24">
        <f>'Database MK'!S201</f>
        <v>1</v>
      </c>
      <c r="J200" s="24">
        <f>'Database MK'!T201</f>
        <v>1</v>
      </c>
      <c r="K200" s="571">
        <f>'Database MK'!U201</f>
        <v>0</v>
      </c>
      <c r="L200" s="561">
        <f>'Database MK'!V201</f>
        <v>84</v>
      </c>
      <c r="M200" s="561">
        <f>'Database MK'!W201</f>
        <v>84</v>
      </c>
      <c r="N200" s="561">
        <f>Table3[[#This Row],[Total Panjang Pipa Aktual]]-Table3[[#This Row],[Volume
BA MC-0]]</f>
        <v>0</v>
      </c>
      <c r="O200" s="7" t="str">
        <f ca="1">'Database MK'!DE201</f>
        <v>Sudah, OnSchedule</v>
      </c>
      <c r="P200" s="7" t="str">
        <f ca="1">'Database MK'!DI201</f>
        <v>Sudah, OnSchedule</v>
      </c>
      <c r="Q200" s="7" t="str">
        <f ca="1">'Database MK'!DN201</f>
        <v>Sudah, OnSchedule</v>
      </c>
      <c r="R200" s="7" t="str">
        <f ca="1">'Database MK'!DR201</f>
        <v>Sudah, Delay</v>
      </c>
      <c r="S200" s="7" t="str">
        <f ca="1">'Database MK'!EA201</f>
        <v>Sudah, OnSchedule</v>
      </c>
      <c r="T200" s="7" t="str">
        <f ca="1">'Database MK'!EI201</f>
        <v>Sudah, Delay</v>
      </c>
      <c r="U200" s="7" t="str">
        <f ca="1">'Database MK'!ET201</f>
        <v>Sudah, Delay</v>
      </c>
      <c r="V200" s="7" t="str">
        <f ca="1">'Database MK'!GA201</f>
        <v>Belum, Delay</v>
      </c>
      <c r="W200" s="7" t="str">
        <f ca="1">'Database MK'!GD201</f>
        <v>Sudah, OnSchedule</v>
      </c>
      <c r="X200" s="7" t="str">
        <f ca="1">'Database MK'!GG201</f>
        <v>Sudah, Delay</v>
      </c>
      <c r="Y200" s="7" t="str">
        <f ca="1">'Database MK'!GK201</f>
        <v>Sudah, OnSchedule</v>
      </c>
      <c r="Z200" s="7" t="str">
        <f ca="1">'Database MK'!HH201</f>
        <v>Sudah, Delay</v>
      </c>
      <c r="AA200" s="7" t="str">
        <f ca="1">'Database MK'!HR201</f>
        <v>Sudah, Delay</v>
      </c>
      <c r="AB200" s="7" t="str">
        <f ca="1">'Database MK'!HX201</f>
        <v>Sudah, Delay</v>
      </c>
      <c r="AC200" s="7">
        <f>'Database MK'!DA201-'Database MK'!DB201</f>
        <v>23</v>
      </c>
      <c r="AD200" s="7">
        <f>'Database MK'!DA201-'Database MK'!DF201</f>
        <v>3</v>
      </c>
      <c r="AE200" s="7">
        <f>'Database MK'!DK201-'Database MK'!DL201</f>
        <v>34</v>
      </c>
      <c r="AF200" s="7">
        <f>'Database MK'!DK201-'Database MK'!DO201</f>
        <v>-23</v>
      </c>
      <c r="AG200" s="7">
        <f>'Database MK'!DU201-'Database MK'!DW201</f>
        <v>13</v>
      </c>
      <c r="AH200" s="7">
        <f>IF('Database MK'!EB201="","Belum",'Database MK'!DU201-'Database MK'!EB201)</f>
        <v>-194</v>
      </c>
      <c r="AI200" s="7">
        <f>IF('Database MK'!EN201="","Belum",'Database MK'!EL201-'Database MK'!EN201)</f>
        <v>-198</v>
      </c>
      <c r="AJ200" s="7">
        <f>'Database MK'!FY201-'Database MK'!FZ201</f>
        <v>0</v>
      </c>
      <c r="AK200" s="7">
        <f>IF('Database MK'!GC201="","Belum",'Database MK'!GB201-'Database MK'!GC201)</f>
        <v>27</v>
      </c>
      <c r="AL200" s="7" t="e">
        <f>IF('Database MK'!GF201="","Belum",'Database MK'!GE201-'Database MK'!GF201)</f>
        <v>#VALUE!</v>
      </c>
      <c r="AM200" s="279">
        <f>IF('Database MK'!GJ201="","Belum",'Database MK'!GI201-'Database MK'!GJ201)</f>
        <v>45</v>
      </c>
      <c r="AN200" s="7">
        <f>IF('Database MK'!HG201="","Belum",'Database MK'!HF201-'Database MK'!HG201)</f>
        <v>-3</v>
      </c>
      <c r="AO200" s="7">
        <f>IF('Database MK'!HQ201="","Belum",'Database MK'!HN201-'Database MK'!HQ201)</f>
        <v>-8</v>
      </c>
      <c r="AP200" s="7">
        <f>IF('Database MK'!HW201="","Belum",'Database MK'!HU201-'Database MK'!HW201)</f>
        <v>-7</v>
      </c>
    </row>
    <row r="201" spans="2:42" hidden="1" x14ac:dyDescent="0.25">
      <c r="B201" s="7">
        <f>SUBTOTAL(3,$C$4:C201)</f>
        <v>74</v>
      </c>
      <c r="C201" s="4" t="s">
        <v>244</v>
      </c>
      <c r="D201" s="4" t="s">
        <v>1506</v>
      </c>
      <c r="E201" s="4" t="s">
        <v>1507</v>
      </c>
      <c r="F201" s="270">
        <v>45931</v>
      </c>
      <c r="G201" s="4" t="s">
        <v>681</v>
      </c>
      <c r="H201" s="4" t="str">
        <f ca="1">'Database MK'!Q202</f>
        <v>DPPP</v>
      </c>
      <c r="I201" s="24">
        <f>'Database MK'!S202</f>
        <v>1</v>
      </c>
      <c r="J201" s="24">
        <f>'Database MK'!T202</f>
        <v>1</v>
      </c>
      <c r="K201" s="571">
        <f>'Database MK'!U202</f>
        <v>0</v>
      </c>
      <c r="L201" s="561">
        <f>'Database MK'!V202</f>
        <v>51</v>
      </c>
      <c r="M201" s="561">
        <f>'Database MK'!W202</f>
        <v>48</v>
      </c>
      <c r="N201" s="561">
        <f>Table3[[#This Row],[Total Panjang Pipa Aktual]]-Table3[[#This Row],[Volume
BA MC-0]]</f>
        <v>-3</v>
      </c>
      <c r="O201" s="7" t="str">
        <f ca="1">'Database MK'!DE202</f>
        <v>Sudah, OnSchedule</v>
      </c>
      <c r="P201" s="7" t="str">
        <f ca="1">'Database MK'!DI202</f>
        <v>Sudah, OnSchedule</v>
      </c>
      <c r="Q201" s="7" t="str">
        <f ca="1">'Database MK'!DN202</f>
        <v>Sudah, OnSchedule</v>
      </c>
      <c r="R201" s="7" t="str">
        <f ca="1">'Database MK'!DR202</f>
        <v>Sudah, Delay</v>
      </c>
      <c r="S201" s="7" t="str">
        <f ca="1">'Database MK'!EA202</f>
        <v>Sudah, OnSchedule</v>
      </c>
      <c r="T201" s="7" t="str">
        <f ca="1">'Database MK'!EI202</f>
        <v>Sudah, Delay</v>
      </c>
      <c r="U201" s="7" t="str">
        <f ca="1">'Database MK'!ET202</f>
        <v>Sudah, Delay</v>
      </c>
      <c r="V201" s="7" t="str">
        <f ca="1">'Database MK'!GA202</f>
        <v>Belum, Delay</v>
      </c>
      <c r="W201" s="7" t="str">
        <f ca="1">'Database MK'!GD202</f>
        <v>Sudah, OnSchedule</v>
      </c>
      <c r="X201" s="7" t="str">
        <f ca="1">'Database MK'!GG202</f>
        <v>Sudah, Delay</v>
      </c>
      <c r="Y201" s="7" t="str">
        <f ca="1">'Database MK'!GK202</f>
        <v>Sudah, OnSchedule</v>
      </c>
      <c r="Z201" s="7" t="str">
        <f ca="1">'Database MK'!HH202</f>
        <v>Sudah, Delay</v>
      </c>
      <c r="AA201" s="7" t="str">
        <f ca="1">'Database MK'!HR202</f>
        <v>Sudah, Delay</v>
      </c>
      <c r="AB201" s="7" t="str">
        <f ca="1">'Database MK'!HX202</f>
        <v>Sudah, Delay</v>
      </c>
      <c r="AC201" s="7">
        <f>'Database MK'!DA202-'Database MK'!DB202</f>
        <v>19</v>
      </c>
      <c r="AD201" s="7">
        <f>'Database MK'!DA202-'Database MK'!DF202</f>
        <v>3</v>
      </c>
      <c r="AE201" s="7">
        <f>'Database MK'!DK202-'Database MK'!DL202</f>
        <v>41</v>
      </c>
      <c r="AF201" s="7">
        <f>'Database MK'!DK202-'Database MK'!DO202</f>
        <v>-4</v>
      </c>
      <c r="AG201" s="7">
        <f>'Database MK'!DU202-'Database MK'!DW202</f>
        <v>13</v>
      </c>
      <c r="AH201" s="7">
        <f>IF('Database MK'!EB202="","Belum",'Database MK'!DU202-'Database MK'!EB202)</f>
        <v>-195</v>
      </c>
      <c r="AI201" s="7">
        <f>IF('Database MK'!EN202="","Belum",'Database MK'!EL202-'Database MK'!EN202)</f>
        <v>-191</v>
      </c>
      <c r="AJ201" s="7">
        <f>'Database MK'!FY202-'Database MK'!FZ202</f>
        <v>0</v>
      </c>
      <c r="AK201" s="7">
        <f>IF('Database MK'!GC202="","Belum",'Database MK'!GB202-'Database MK'!GC202)</f>
        <v>34</v>
      </c>
      <c r="AL201" s="7" t="e">
        <f>IF('Database MK'!GF202="","Belum",'Database MK'!GE202-'Database MK'!GF202)</f>
        <v>#VALUE!</v>
      </c>
      <c r="AM201" s="279">
        <f>IF('Database MK'!GJ202="","Belum",'Database MK'!GI202-'Database MK'!GJ202)</f>
        <v>51</v>
      </c>
      <c r="AN201" s="7">
        <f>IF('Database MK'!HG202="","Belum",'Database MK'!HF202-'Database MK'!HG202)</f>
        <v>-13</v>
      </c>
      <c r="AO201" s="7">
        <f>IF('Database MK'!HQ202="","Belum",'Database MK'!HN202-'Database MK'!HQ202)</f>
        <v>-11</v>
      </c>
      <c r="AP201" s="7">
        <f>IF('Database MK'!HW202="","Belum",'Database MK'!HU202-'Database MK'!HW202)</f>
        <v>-7</v>
      </c>
    </row>
    <row r="202" spans="2:42" hidden="1" x14ac:dyDescent="0.25">
      <c r="B202" s="7">
        <f>SUBTOTAL(3,$C$4:C202)</f>
        <v>74</v>
      </c>
      <c r="C202" s="269" t="s">
        <v>673</v>
      </c>
      <c r="D202" s="4" t="s">
        <v>1515</v>
      </c>
      <c r="E202" s="4" t="s">
        <v>1516</v>
      </c>
      <c r="F202" s="270">
        <v>45931</v>
      </c>
      <c r="G202" s="4" t="s">
        <v>247</v>
      </c>
      <c r="H202" s="4" t="str">
        <f ca="1">'Database MK'!Q203</f>
        <v>DPPP</v>
      </c>
      <c r="I202" s="24">
        <f>'Database MK'!S203</f>
        <v>1</v>
      </c>
      <c r="J202" s="24">
        <f>'Database MK'!T203</f>
        <v>1</v>
      </c>
      <c r="K202" s="571">
        <f>'Database MK'!U203</f>
        <v>0</v>
      </c>
      <c r="L202" s="561">
        <f>'Database MK'!V203</f>
        <v>3460</v>
      </c>
      <c r="M202" s="561">
        <f>'Database MK'!W203</f>
        <v>3738.5</v>
      </c>
      <c r="N202" s="561">
        <f>Table3[[#This Row],[Total Panjang Pipa Aktual]]-Table3[[#This Row],[Volume
BA MC-0]]</f>
        <v>278.5</v>
      </c>
      <c r="O202" s="7" t="str">
        <f ca="1">'Database MK'!DE203</f>
        <v>Sudah, OnSchedule</v>
      </c>
      <c r="P202" s="7" t="str">
        <f ca="1">'Database MK'!DI203</f>
        <v>Sudah, OnSchedule</v>
      </c>
      <c r="Q202" s="7" t="str">
        <f ca="1">'Database MK'!DN203</f>
        <v>Sudah, Delay</v>
      </c>
      <c r="R202" s="7" t="str">
        <f ca="1">'Database MK'!DR203</f>
        <v>Sudah, Delay</v>
      </c>
      <c r="S202" s="7" t="str">
        <f ca="1">'Database MK'!EA203</f>
        <v>Sudah, Delay</v>
      </c>
      <c r="T202" s="7" t="str">
        <f ca="1">'Database MK'!EI203</f>
        <v>Sudah, Delay</v>
      </c>
      <c r="U202" s="7" t="str">
        <f ca="1">'Database MK'!ET203</f>
        <v>Sudah, Delay</v>
      </c>
      <c r="V202" s="7" t="str">
        <f ca="1">'Database MK'!GA203</f>
        <v>Belum, Delay</v>
      </c>
      <c r="W202" s="7" t="str">
        <f ca="1">'Database MK'!GD203</f>
        <v>Sudah, Delay</v>
      </c>
      <c r="X202" s="7" t="str">
        <f ca="1">'Database MK'!GG203</f>
        <v>Sudah, Delay</v>
      </c>
      <c r="Y202" s="7" t="str">
        <f ca="1">'Database MK'!GK203</f>
        <v>Sudah, Delay</v>
      </c>
      <c r="Z202" s="7" t="str">
        <f ca="1">'Database MK'!HH203</f>
        <v>Sudah, Delay</v>
      </c>
      <c r="AA202" s="7" t="str">
        <f ca="1">'Database MK'!HR203</f>
        <v>Sudah, Delay</v>
      </c>
      <c r="AB202" s="7" t="str">
        <f ca="1">'Database MK'!HX203</f>
        <v>Sudah, Delay</v>
      </c>
      <c r="AC202" s="7">
        <f>'Database MK'!DA203-'Database MK'!DB203</f>
        <v>110</v>
      </c>
      <c r="AD202" s="7">
        <f>'Database MK'!DA203-'Database MK'!DF203</f>
        <v>95</v>
      </c>
      <c r="AE202" s="7">
        <f>'Database MK'!DK203-'Database MK'!DL203</f>
        <v>-48</v>
      </c>
      <c r="AF202" s="7">
        <f>'Database MK'!DK203-'Database MK'!DO203</f>
        <v>-85</v>
      </c>
      <c r="AG202" s="7">
        <f>'Database MK'!DU203-'Database MK'!DW203</f>
        <v>-248</v>
      </c>
      <c r="AH202" s="7">
        <f>IF('Database MK'!EB203="","Belum",'Database MK'!DU203-'Database MK'!EB203)</f>
        <v>-260</v>
      </c>
      <c r="AI202" s="7">
        <f>IF('Database MK'!EN203="","Belum",'Database MK'!EL203-'Database MK'!EN203)</f>
        <v>-262</v>
      </c>
      <c r="AJ202" s="7">
        <f>'Database MK'!FY203-'Database MK'!FZ203</f>
        <v>0</v>
      </c>
      <c r="AK202" s="7">
        <f>IF('Database MK'!GC203="","Belum",'Database MK'!GB203-'Database MK'!GC203)</f>
        <v>-78</v>
      </c>
      <c r="AL202" s="7">
        <f>IF('Database MK'!GF203="","Belum",'Database MK'!GE203-'Database MK'!GF203)</f>
        <v>-89</v>
      </c>
      <c r="AM202" s="279">
        <f>IF('Database MK'!GJ203="","Belum",'Database MK'!GI203-'Database MK'!GJ203)</f>
        <v>-99</v>
      </c>
      <c r="AN202" s="7">
        <f>IF('Database MK'!HG203="","Belum",'Database MK'!HF203-'Database MK'!HG203)</f>
        <v>-219</v>
      </c>
      <c r="AO202" s="7">
        <f>IF('Database MK'!HQ203="","Belum",'Database MK'!HN203-'Database MK'!HQ203)</f>
        <v>-203</v>
      </c>
      <c r="AP202" s="7">
        <f>IF('Database MK'!HW203="","Belum",'Database MK'!HU203-'Database MK'!HW203)</f>
        <v>-203</v>
      </c>
    </row>
    <row r="203" spans="2:42" hidden="1" x14ac:dyDescent="0.25">
      <c r="B203" s="7">
        <f>SUBTOTAL(3,$C$4:C203)</f>
        <v>74</v>
      </c>
      <c r="C203" s="269" t="s">
        <v>673</v>
      </c>
      <c r="D203" s="4" t="s">
        <v>1526</v>
      </c>
      <c r="E203" s="4" t="s">
        <v>1527</v>
      </c>
      <c r="F203" s="270">
        <v>45931</v>
      </c>
      <c r="G203" s="4" t="s">
        <v>247</v>
      </c>
      <c r="H203" s="4" t="str">
        <f ca="1">'Database MK'!Q204</f>
        <v>Proses Konstruksi</v>
      </c>
      <c r="I203" s="24">
        <f>'Database MK'!S204</f>
        <v>1</v>
      </c>
      <c r="J203" s="24">
        <f>'Database MK'!T204</f>
        <v>0.88416428721733498</v>
      </c>
      <c r="K203" s="571">
        <f>'Database MK'!U204</f>
        <v>-0.11583571278266502</v>
      </c>
      <c r="L203" s="561">
        <f>'Database MK'!V204</f>
        <v>2000</v>
      </c>
      <c r="M203" s="561">
        <f>'Database MK'!W204</f>
        <v>1868.7</v>
      </c>
      <c r="N203" s="561">
        <f>Table3[[#This Row],[Total Panjang Pipa Aktual]]-Table3[[#This Row],[Volume
BA MC-0]]</f>
        <v>-131.29999999999995</v>
      </c>
      <c r="O203" s="7" t="str">
        <f ca="1">'Database MK'!DE204</f>
        <v>Sudah, OnSchedule</v>
      </c>
      <c r="P203" s="7" t="str">
        <f ca="1">'Database MK'!DI204</f>
        <v>Sudah, Delay</v>
      </c>
      <c r="Q203" s="7" t="str">
        <f ca="1">'Database MK'!DN204</f>
        <v>Sudah, Delay</v>
      </c>
      <c r="R203" s="7" t="str">
        <f ca="1">'Database MK'!DR204</f>
        <v>Sudah, Delay</v>
      </c>
      <c r="S203" s="7" t="str">
        <f ca="1">'Database MK'!EA204</f>
        <v>Sudah, Delay</v>
      </c>
      <c r="T203" s="7" t="str">
        <f ca="1">'Database MK'!EI204</f>
        <v>Sudah, Delay</v>
      </c>
      <c r="U203" s="7" t="str">
        <f ca="1">'Database MK'!ET204</f>
        <v>Belum, Delay</v>
      </c>
      <c r="V203" s="7" t="str">
        <f ca="1">'Database MK'!GA204</f>
        <v>Belum, Delay</v>
      </c>
      <c r="W203" s="7" t="str">
        <f ca="1">'Database MK'!GD204</f>
        <v>Sudah, Delay</v>
      </c>
      <c r="X203" s="7" t="str">
        <f ca="1">'Database MK'!GG204</f>
        <v>Sudah, Delay</v>
      </c>
      <c r="Y203" s="7" t="str">
        <f ca="1">'Database MK'!GK204</f>
        <v>Sudah, Delay</v>
      </c>
      <c r="Z203" s="7" t="str">
        <f ca="1">'Database MK'!HH204</f>
        <v>Belum, Delay</v>
      </c>
      <c r="AA203" s="7" t="str">
        <f ca="1">'Database MK'!HR204</f>
        <v>Belum, Delay</v>
      </c>
      <c r="AB203" s="7" t="str">
        <f ca="1">'Database MK'!HX204</f>
        <v>Belum, Delay</v>
      </c>
      <c r="AC203" s="7">
        <f>'Database MK'!DA204-'Database MK'!DB204</f>
        <v>110</v>
      </c>
      <c r="AD203" s="7">
        <f>'Database MK'!DA204-'Database MK'!DF204</f>
        <v>-115</v>
      </c>
      <c r="AE203" s="7">
        <f>'Database MK'!DK204-'Database MK'!DL204</f>
        <v>-304</v>
      </c>
      <c r="AF203" s="7">
        <f>'Database MK'!DK204-'Database MK'!DO204</f>
        <v>-346</v>
      </c>
      <c r="AG203" s="7">
        <f>'Database MK'!DU204-'Database MK'!DW204</f>
        <v>-297</v>
      </c>
      <c r="AH203" s="7">
        <f>IF('Database MK'!EB204="","Belum",'Database MK'!DU204-'Database MK'!EB204)</f>
        <v>-324</v>
      </c>
      <c r="AI203" s="7" t="str">
        <f>IF('Database MK'!EN204="","Belum",'Database MK'!EL204-'Database MK'!EN204)</f>
        <v>Belum</v>
      </c>
      <c r="AJ203" s="7">
        <f>'Database MK'!FY204-'Database MK'!FZ204</f>
        <v>0</v>
      </c>
      <c r="AK203" s="7">
        <f>IF('Database MK'!GC204="","Belum",'Database MK'!GB204-'Database MK'!GC204)</f>
        <v>-101</v>
      </c>
      <c r="AL203" s="7">
        <f>IF('Database MK'!GF204="","Belum",'Database MK'!GE204-'Database MK'!GF204)</f>
        <v>-110</v>
      </c>
      <c r="AM203" s="279">
        <f>IF('Database MK'!GJ204="","Belum",'Database MK'!GI204-'Database MK'!GJ204)</f>
        <v>-113</v>
      </c>
      <c r="AN203" s="7" t="str">
        <f>IF('Database MK'!HG204="","Belum",'Database MK'!HF204-'Database MK'!HG204)</f>
        <v>Belum</v>
      </c>
      <c r="AO203" s="7" t="str">
        <f>IF('Database MK'!HQ204="","Belum",'Database MK'!HN204-'Database MK'!HQ204)</f>
        <v>Belum</v>
      </c>
      <c r="AP203" s="7" t="str">
        <f>IF('Database MK'!HW204="","Belum",'Database MK'!HU204-'Database MK'!HW204)</f>
        <v>Belum</v>
      </c>
    </row>
    <row r="204" spans="2:42" hidden="1" x14ac:dyDescent="0.25">
      <c r="B204" s="7">
        <f>SUBTOTAL(3,$C$4:C204)</f>
        <v>74</v>
      </c>
      <c r="C204" s="269" t="s">
        <v>673</v>
      </c>
      <c r="D204" s="4" t="s">
        <v>1535</v>
      </c>
      <c r="E204" s="4" t="s">
        <v>1536</v>
      </c>
      <c r="F204" s="270">
        <v>45931</v>
      </c>
      <c r="G204" s="4" t="s">
        <v>247</v>
      </c>
      <c r="H204" s="4" t="str">
        <f ca="1">'Database MK'!Q205</f>
        <v>DPPP</v>
      </c>
      <c r="I204" s="24">
        <f>'Database MK'!S205</f>
        <v>1</v>
      </c>
      <c r="J204" s="24">
        <f>'Database MK'!T205</f>
        <v>1</v>
      </c>
      <c r="K204" s="571">
        <f>'Database MK'!U205</f>
        <v>0</v>
      </c>
      <c r="L204" s="561">
        <f>'Database MK'!V205</f>
        <v>764</v>
      </c>
      <c r="M204" s="561">
        <f>'Database MK'!W205</f>
        <v>780</v>
      </c>
      <c r="N204" s="561">
        <f>Table3[[#This Row],[Total Panjang Pipa Aktual]]-Table3[[#This Row],[Volume
BA MC-0]]</f>
        <v>16</v>
      </c>
      <c r="O204" s="7" t="str">
        <f ca="1">'Database MK'!DE205</f>
        <v>Sudah, OnSchedule</v>
      </c>
      <c r="P204" s="7" t="str">
        <f ca="1">'Database MK'!DI205</f>
        <v>Sudah, OnSchedule</v>
      </c>
      <c r="Q204" s="7" t="str">
        <f ca="1">'Database MK'!DN205</f>
        <v>Sudah, Delay</v>
      </c>
      <c r="R204" s="7" t="str">
        <f ca="1">'Database MK'!DR205</f>
        <v>Sudah, Delay</v>
      </c>
      <c r="S204" s="7" t="str">
        <f ca="1">'Database MK'!EA205</f>
        <v>Sudah, Delay</v>
      </c>
      <c r="T204" s="7" t="str">
        <f ca="1">'Database MK'!EI205</f>
        <v>Sudah, Delay</v>
      </c>
      <c r="U204" s="7" t="str">
        <f ca="1">'Database MK'!ET205</f>
        <v>Sudah, Delay</v>
      </c>
      <c r="V204" s="7" t="str">
        <f ca="1">'Database MK'!GA205</f>
        <v>Belum, Delay</v>
      </c>
      <c r="W204" s="7" t="str">
        <f ca="1">'Database MK'!GD205</f>
        <v>Sudah, Delay</v>
      </c>
      <c r="X204" s="7" t="str">
        <f ca="1">'Database MK'!GG205</f>
        <v>Sudah, Delay</v>
      </c>
      <c r="Y204" s="7" t="str">
        <f ca="1">'Database MK'!GK205</f>
        <v>Sudah, Delay</v>
      </c>
      <c r="Z204" s="7" t="str">
        <f ca="1">'Database MK'!HH205</f>
        <v>Sudah, Delay</v>
      </c>
      <c r="AA204" s="7" t="str">
        <f ca="1">'Database MK'!HR205</f>
        <v>Sudah, Delay</v>
      </c>
      <c r="AB204" s="7" t="str">
        <f ca="1">'Database MK'!HX205</f>
        <v>Sudah, Delay</v>
      </c>
      <c r="AC204" s="7">
        <f>'Database MK'!DA205-'Database MK'!DB205</f>
        <v>110</v>
      </c>
      <c r="AD204" s="7">
        <f>'Database MK'!DA205-'Database MK'!DF205</f>
        <v>97</v>
      </c>
      <c r="AE204" s="7">
        <f>'Database MK'!DK205-'Database MK'!DL205</f>
        <v>-47</v>
      </c>
      <c r="AF204" s="7">
        <f>'Database MK'!DK205-'Database MK'!DO205</f>
        <v>-285</v>
      </c>
      <c r="AG204" s="7">
        <f>'Database MK'!DU205-'Database MK'!DW205</f>
        <v>-47</v>
      </c>
      <c r="AH204" s="7">
        <f>IF('Database MK'!EB205="","Belum",'Database MK'!DU205-'Database MK'!EB205)</f>
        <v>-436</v>
      </c>
      <c r="AI204" s="7">
        <f>IF('Database MK'!EN205="","Belum",'Database MK'!EL205-'Database MK'!EN205)</f>
        <v>-176</v>
      </c>
      <c r="AJ204" s="7">
        <f>'Database MK'!FY205-'Database MK'!FZ205</f>
        <v>0</v>
      </c>
      <c r="AK204" s="7">
        <f>IF('Database MK'!GC205="","Belum",'Database MK'!GB205-'Database MK'!GC205)</f>
        <v>-57</v>
      </c>
      <c r="AL204" s="7">
        <f>IF('Database MK'!GF205="","Belum",'Database MK'!GE205-'Database MK'!GF205)</f>
        <v>-82</v>
      </c>
      <c r="AM204" s="279">
        <f>IF('Database MK'!GJ205="","Belum",'Database MK'!GI205-'Database MK'!GJ205)</f>
        <v>-92</v>
      </c>
      <c r="AN204" s="7">
        <f>IF('Database MK'!HG205="","Belum",'Database MK'!HF205-'Database MK'!HG205)</f>
        <v>-113</v>
      </c>
      <c r="AO204" s="7">
        <f>IF('Database MK'!HQ205="","Belum",'Database MK'!HN205-'Database MK'!HQ205)</f>
        <v>-96</v>
      </c>
      <c r="AP204" s="7">
        <f>IF('Database MK'!HW205="","Belum",'Database MK'!HU205-'Database MK'!HW205)</f>
        <v>-96</v>
      </c>
    </row>
    <row r="205" spans="2:42" hidden="1" x14ac:dyDescent="0.25">
      <c r="B205" s="7">
        <f>SUBTOTAL(3,$C$4:C205)</f>
        <v>74</v>
      </c>
      <c r="C205" s="269" t="s">
        <v>673</v>
      </c>
      <c r="D205" s="4" t="s">
        <v>1545</v>
      </c>
      <c r="E205" s="4" t="s">
        <v>1546</v>
      </c>
      <c r="F205" s="270">
        <v>45931</v>
      </c>
      <c r="G205" s="4" t="s">
        <v>247</v>
      </c>
      <c r="H205" s="4" t="str">
        <f ca="1">'Database MK'!Q206</f>
        <v>Proses Konstruksi</v>
      </c>
      <c r="I205" s="24">
        <f>'Database MK'!S206</f>
        <v>1</v>
      </c>
      <c r="J205" s="24">
        <f>'Database MK'!T206</f>
        <v>0.71090639360271468</v>
      </c>
      <c r="K205" s="571">
        <f>'Database MK'!U206</f>
        <v>-0.28909360639728532</v>
      </c>
      <c r="L205" s="561">
        <f>'Database MK'!V206</f>
        <v>4922</v>
      </c>
      <c r="M205" s="561">
        <f>'Database MK'!W206</f>
        <v>3874.1</v>
      </c>
      <c r="N205" s="561">
        <f>Table3[[#This Row],[Total Panjang Pipa Aktual]]-Table3[[#This Row],[Volume
BA MC-0]]</f>
        <v>-1047.9000000000001</v>
      </c>
      <c r="O205" s="7" t="str">
        <f ca="1">'Database MK'!DE206</f>
        <v>Sudah, OnSchedule</v>
      </c>
      <c r="P205" s="7" t="str">
        <f ca="1">'Database MK'!DI206</f>
        <v>Sudah, Delay</v>
      </c>
      <c r="Q205" s="7" t="str">
        <f ca="1">'Database MK'!DN206</f>
        <v>Sudah, Delay</v>
      </c>
      <c r="R205" s="7" t="str">
        <f ca="1">'Database MK'!DR206</f>
        <v>Sudah, Delay</v>
      </c>
      <c r="S205" s="7" t="str">
        <f ca="1">'Database MK'!EA206</f>
        <v>Sudah, Delay</v>
      </c>
      <c r="T205" s="7" t="str">
        <f ca="1">'Database MK'!EI206</f>
        <v>Belum, Delay</v>
      </c>
      <c r="U205" s="7" t="str">
        <f ca="1">'Database MK'!ET206</f>
        <v>Belum, Delay</v>
      </c>
      <c r="V205" s="7" t="str">
        <f ca="1">'Database MK'!GA206</f>
        <v>Belum, Delay</v>
      </c>
      <c r="W205" s="7" t="str">
        <f ca="1">'Database MK'!GD206</f>
        <v>Sudah, Delay</v>
      </c>
      <c r="X205" s="7" t="str">
        <f ca="1">'Database MK'!GG206</f>
        <v>Sudah, Delay</v>
      </c>
      <c r="Y205" s="7" t="str">
        <f ca="1">'Database MK'!GK206</f>
        <v>Sudah, Delay</v>
      </c>
      <c r="Z205" s="7" t="str">
        <f ca="1">'Database MK'!HH206</f>
        <v>Belum, Delay</v>
      </c>
      <c r="AA205" s="7" t="str">
        <f ca="1">'Database MK'!HR206</f>
        <v>Belum, Delay</v>
      </c>
      <c r="AB205" s="7" t="str">
        <f ca="1">'Database MK'!HX206</f>
        <v>Belum, Delay</v>
      </c>
      <c r="AC205" s="7">
        <f>'Database MK'!DA206-'Database MK'!DB206</f>
        <v>110</v>
      </c>
      <c r="AD205" s="7">
        <f>'Database MK'!DA206-'Database MK'!DF206</f>
        <v>-115</v>
      </c>
      <c r="AE205" s="7">
        <f>'Database MK'!DK206-'Database MK'!DL206</f>
        <v>-75</v>
      </c>
      <c r="AF205" s="7">
        <f>'Database MK'!DK206-'Database MK'!DO206</f>
        <v>-107</v>
      </c>
      <c r="AG205" s="7">
        <f>'Database MK'!DU206-'Database MK'!DW206</f>
        <v>-297</v>
      </c>
      <c r="AH205" s="7" t="str">
        <f>IF('Database MK'!EB206="","Belum",'Database MK'!DU206-'Database MK'!EB206)</f>
        <v>Belum</v>
      </c>
      <c r="AI205" s="7" t="str">
        <f>IF('Database MK'!EN206="","Belum",'Database MK'!EL206-'Database MK'!EN206)</f>
        <v>Belum</v>
      </c>
      <c r="AJ205" s="7">
        <f>'Database MK'!FY206-'Database MK'!FZ206</f>
        <v>0</v>
      </c>
      <c r="AK205" s="7">
        <f>IF('Database MK'!GC206="","Belum",'Database MK'!GB206-'Database MK'!GC206)</f>
        <v>-101</v>
      </c>
      <c r="AL205" s="7">
        <f>IF('Database MK'!GF206="","Belum",'Database MK'!GE206-'Database MK'!GF206)</f>
        <v>-110</v>
      </c>
      <c r="AM205" s="279">
        <f>IF('Database MK'!GJ206="","Belum",'Database MK'!GI206-'Database MK'!GJ206)</f>
        <v>-114</v>
      </c>
      <c r="AN205" s="7" t="str">
        <f>IF('Database MK'!HG206="","Belum",'Database MK'!HF206-'Database MK'!HG206)</f>
        <v>Belum</v>
      </c>
      <c r="AO205" s="7" t="str">
        <f>IF('Database MK'!HQ206="","Belum",'Database MK'!HN206-'Database MK'!HQ206)</f>
        <v>Belum</v>
      </c>
      <c r="AP205" s="7" t="str">
        <f>IF('Database MK'!HW206="","Belum",'Database MK'!HU206-'Database MK'!HW206)</f>
        <v>Belum</v>
      </c>
    </row>
    <row r="206" spans="2:42" hidden="1" x14ac:dyDescent="0.25">
      <c r="B206" s="7">
        <f>SUBTOTAL(3,$C$4:C206)</f>
        <v>74</v>
      </c>
      <c r="C206" s="269" t="s">
        <v>673</v>
      </c>
      <c r="D206" s="4" t="s">
        <v>1553</v>
      </c>
      <c r="E206" s="4" t="s">
        <v>1554</v>
      </c>
      <c r="F206" s="270">
        <v>45931</v>
      </c>
      <c r="G206" s="4" t="s">
        <v>247</v>
      </c>
      <c r="H206" s="4" t="str">
        <f ca="1">'Database MK'!Q207</f>
        <v>DPPP</v>
      </c>
      <c r="I206" s="24">
        <f>'Database MK'!S207</f>
        <v>1</v>
      </c>
      <c r="J206" s="24">
        <f>'Database MK'!T207</f>
        <v>1</v>
      </c>
      <c r="K206" s="571">
        <f>'Database MK'!U207</f>
        <v>0</v>
      </c>
      <c r="L206" s="561">
        <f>'Database MK'!V207</f>
        <v>2150</v>
      </c>
      <c r="M206" s="561">
        <f>'Database MK'!W207</f>
        <v>2162.6999999999998</v>
      </c>
      <c r="N206" s="561">
        <f>Table3[[#This Row],[Total Panjang Pipa Aktual]]-Table3[[#This Row],[Volume
BA MC-0]]</f>
        <v>12.699999999999818</v>
      </c>
      <c r="O206" s="7" t="str">
        <f ca="1">'Database MK'!DE207</f>
        <v>Sudah, OnSchedule</v>
      </c>
      <c r="P206" s="7" t="str">
        <f ca="1">'Database MK'!DI207</f>
        <v>Sudah, Delay</v>
      </c>
      <c r="Q206" s="7" t="str">
        <f ca="1">'Database MK'!DN207</f>
        <v>Sudah, Delay</v>
      </c>
      <c r="R206" s="7" t="str">
        <f ca="1">'Database MK'!DR207</f>
        <v>Sudah, Delay</v>
      </c>
      <c r="S206" s="7" t="str">
        <f ca="1">'Database MK'!EA207</f>
        <v>Sudah, Delay</v>
      </c>
      <c r="T206" s="7" t="str">
        <f ca="1">'Database MK'!EI207</f>
        <v>Sudah, Delay</v>
      </c>
      <c r="U206" s="7" t="str">
        <f ca="1">'Database MK'!ET207</f>
        <v>Sudah, Delay</v>
      </c>
      <c r="V206" s="7" t="str">
        <f ca="1">'Database MK'!GA207</f>
        <v>Belum, Delay</v>
      </c>
      <c r="W206" s="7" t="str">
        <f ca="1">'Database MK'!GD207</f>
        <v>Sudah, Delay</v>
      </c>
      <c r="X206" s="7" t="str">
        <f ca="1">'Database MK'!GG207</f>
        <v>Sudah, Delay</v>
      </c>
      <c r="Y206" s="7" t="str">
        <f ca="1">'Database MK'!GK207</f>
        <v>Sudah, Delay</v>
      </c>
      <c r="Z206" s="7" t="str">
        <f ca="1">'Database MK'!HH207</f>
        <v>Sudah, Delay</v>
      </c>
      <c r="AA206" s="7" t="str">
        <f ca="1">'Database MK'!HR207</f>
        <v>Sudah, Delay</v>
      </c>
      <c r="AB206" s="7" t="str">
        <f ca="1">'Database MK'!HX207</f>
        <v>Sudah, Delay</v>
      </c>
      <c r="AC206" s="7">
        <f>'Database MK'!DA207-'Database MK'!DB207</f>
        <v>110</v>
      </c>
      <c r="AD206" s="7">
        <f>'Database MK'!DA207-'Database MK'!DF207</f>
        <v>-115</v>
      </c>
      <c r="AE206" s="7">
        <f>'Database MK'!DK207-'Database MK'!DL207</f>
        <v>-304</v>
      </c>
      <c r="AF206" s="7">
        <f>'Database MK'!DK207-'Database MK'!DO207</f>
        <v>-346</v>
      </c>
      <c r="AG206" s="7">
        <f>'Database MK'!DU207-'Database MK'!DW207</f>
        <v>-317</v>
      </c>
      <c r="AH206" s="7">
        <f>IF('Database MK'!EB207="","Belum",'Database MK'!DU207-'Database MK'!EB207)</f>
        <v>-312</v>
      </c>
      <c r="AI206" s="7">
        <f>IF('Database MK'!EN207="","Belum",'Database MK'!EL207-'Database MK'!EN207)</f>
        <v>-335</v>
      </c>
      <c r="AJ206" s="7">
        <f>'Database MK'!FY207-'Database MK'!FZ207</f>
        <v>0</v>
      </c>
      <c r="AK206" s="7">
        <f>IF('Database MK'!GC207="","Belum",'Database MK'!GB207-'Database MK'!GC207)</f>
        <v>-101</v>
      </c>
      <c r="AL206" s="7">
        <f>IF('Database MK'!GF207="","Belum",'Database MK'!GE207-'Database MK'!GF207)</f>
        <v>-110</v>
      </c>
      <c r="AM206" s="279">
        <f>IF('Database MK'!GJ207="","Belum",'Database MK'!GI207-'Database MK'!GJ207)</f>
        <v>-113</v>
      </c>
      <c r="AN206" s="7">
        <f>IF('Database MK'!HG207="","Belum",'Database MK'!HF207-'Database MK'!HG207)</f>
        <v>-229</v>
      </c>
      <c r="AO206" s="7">
        <f>IF('Database MK'!HQ207="","Belum",'Database MK'!HN207-'Database MK'!HQ207)</f>
        <v>-215</v>
      </c>
      <c r="AP206" s="7">
        <f>IF('Database MK'!HW207="","Belum",'Database MK'!HU207-'Database MK'!HW207)</f>
        <v>-215</v>
      </c>
    </row>
    <row r="207" spans="2:42" hidden="1" x14ac:dyDescent="0.25">
      <c r="B207" s="7">
        <f>SUBTOTAL(3,$C$4:C207)</f>
        <v>74</v>
      </c>
      <c r="C207" s="269" t="s">
        <v>673</v>
      </c>
      <c r="D207" s="4" t="s">
        <v>1562</v>
      </c>
      <c r="E207" s="4" t="s">
        <v>1563</v>
      </c>
      <c r="F207" s="270">
        <v>45931</v>
      </c>
      <c r="G207" s="4" t="s">
        <v>247</v>
      </c>
      <c r="H207" s="4" t="str">
        <f ca="1">'Database MK'!Q208</f>
        <v>Proses Konstruksi</v>
      </c>
      <c r="I207" s="24">
        <f>'Database MK'!S208</f>
        <v>1</v>
      </c>
      <c r="J207" s="24">
        <f>'Database MK'!T208</f>
        <v>0.65119875276563988</v>
      </c>
      <c r="K207" s="571">
        <f>'Database MK'!U208</f>
        <v>-0.34880124723436012</v>
      </c>
      <c r="L207" s="561">
        <f>'Database MK'!V208</f>
        <v>12190</v>
      </c>
      <c r="M207" s="561">
        <f>'Database MK'!W208</f>
        <v>7422</v>
      </c>
      <c r="N207" s="561">
        <f>Table3[[#This Row],[Total Panjang Pipa Aktual]]-Table3[[#This Row],[Volume
BA MC-0]]</f>
        <v>-4768</v>
      </c>
      <c r="O207" s="7" t="str">
        <f ca="1">'Database MK'!DE208</f>
        <v>Sudah, OnSchedule</v>
      </c>
      <c r="P207" s="7" t="str">
        <f ca="1">'Database MK'!DI208</f>
        <v>Sudah, OnSchedule</v>
      </c>
      <c r="Q207" s="7" t="str">
        <f ca="1">'Database MK'!DN208</f>
        <v>Sudah, Delay</v>
      </c>
      <c r="R207" s="7" t="str">
        <f ca="1">'Database MK'!DR208</f>
        <v>Sudah, Delay</v>
      </c>
      <c r="S207" s="7" t="str">
        <f ca="1">'Database MK'!EA208</f>
        <v>Sudah, Delay</v>
      </c>
      <c r="T207" s="7" t="str">
        <f ca="1">'Database MK'!EI208</f>
        <v>Sudah, Delay</v>
      </c>
      <c r="U207" s="7" t="str">
        <f ca="1">'Database MK'!ET208</f>
        <v>Belum, Delay</v>
      </c>
      <c r="V207" s="7" t="str">
        <f ca="1">'Database MK'!GA208</f>
        <v>Belum, Delay</v>
      </c>
      <c r="W207" s="7" t="str">
        <f ca="1">'Database MK'!GD208</f>
        <v>Sudah, OnSchedule</v>
      </c>
      <c r="X207" s="7" t="str">
        <f ca="1">'Database MK'!GG208</f>
        <v>Sudah, OnSchedule</v>
      </c>
      <c r="Y207" s="7" t="str">
        <f ca="1">'Database MK'!GK208</f>
        <v>Sudah, OnSchedule</v>
      </c>
      <c r="Z207" s="7" t="str">
        <f ca="1">'Database MK'!HH208</f>
        <v>Belum, Delay</v>
      </c>
      <c r="AA207" s="7" t="str">
        <f ca="1">'Database MK'!HR208</f>
        <v>Belum, Delay</v>
      </c>
      <c r="AB207" s="7" t="str">
        <f ca="1">'Database MK'!HX208</f>
        <v>Belum, Delay</v>
      </c>
      <c r="AC207" s="7">
        <f>'Database MK'!DA208-'Database MK'!DB208</f>
        <v>144</v>
      </c>
      <c r="AD207" s="7">
        <f>'Database MK'!DA208-'Database MK'!DF208</f>
        <v>31</v>
      </c>
      <c r="AE207" s="7">
        <f>'Database MK'!DK208-'Database MK'!DL208</f>
        <v>-60</v>
      </c>
      <c r="AF207" s="7">
        <f>'Database MK'!DK208-'Database MK'!DO208</f>
        <v>-66</v>
      </c>
      <c r="AG207" s="7">
        <f>'Database MK'!DU208-'Database MK'!DW208</f>
        <v>-510</v>
      </c>
      <c r="AH207" s="7">
        <f>IF('Database MK'!EB208="","Belum",'Database MK'!DU208-'Database MK'!EB208)</f>
        <v>-506</v>
      </c>
      <c r="AI207" s="7" t="str">
        <f>IF('Database MK'!EN208="","Belum",'Database MK'!EL208-'Database MK'!EN208)</f>
        <v>Belum</v>
      </c>
      <c r="AJ207" s="7">
        <f>'Database MK'!FY208-'Database MK'!FZ208</f>
        <v>0</v>
      </c>
      <c r="AK207" s="7">
        <f>IF('Database MK'!GC208="","Belum",'Database MK'!GB208-'Database MK'!GC208)</f>
        <v>231</v>
      </c>
      <c r="AL207" s="7">
        <f>IF('Database MK'!GF208="","Belum",'Database MK'!GE208-'Database MK'!GF208)</f>
        <v>238</v>
      </c>
      <c r="AM207" s="279">
        <f>IF('Database MK'!GJ208="","Belum",'Database MK'!GI208-'Database MK'!GJ208)</f>
        <v>93</v>
      </c>
      <c r="AN207" s="7" t="str">
        <f>IF('Database MK'!HG208="","Belum",'Database MK'!HF208-'Database MK'!HG208)</f>
        <v>Belum</v>
      </c>
      <c r="AO207" s="7" t="str">
        <f>IF('Database MK'!HQ208="","Belum",'Database MK'!HN208-'Database MK'!HQ208)</f>
        <v>Belum</v>
      </c>
      <c r="AP207" s="7" t="str">
        <f>IF('Database MK'!HW208="","Belum",'Database MK'!HU208-'Database MK'!HW208)</f>
        <v>Belum</v>
      </c>
    </row>
    <row r="208" spans="2:42" hidden="1" x14ac:dyDescent="0.25">
      <c r="B208" s="7">
        <f>SUBTOTAL(3,$C$4:C208)</f>
        <v>74</v>
      </c>
      <c r="C208" s="269" t="s">
        <v>673</v>
      </c>
      <c r="D208" s="4" t="s">
        <v>1570</v>
      </c>
      <c r="E208" s="4" t="s">
        <v>1571</v>
      </c>
      <c r="F208" s="270">
        <v>45931</v>
      </c>
      <c r="G208" s="4" t="s">
        <v>247</v>
      </c>
      <c r="H208" s="4" t="str">
        <f ca="1">'Database MK'!Q209</f>
        <v>Proses Konstruksi</v>
      </c>
      <c r="I208" s="24">
        <f>'Database MK'!S209</f>
        <v>1</v>
      </c>
      <c r="J208" s="24">
        <f>'Database MK'!T209</f>
        <v>0.85562308552364053</v>
      </c>
      <c r="K208" s="571">
        <f>'Database MK'!U209</f>
        <v>-0.14437691447635947</v>
      </c>
      <c r="L208" s="561">
        <f>'Database MK'!V209</f>
        <v>18591</v>
      </c>
      <c r="M208" s="561">
        <f>'Database MK'!W209</f>
        <v>18446</v>
      </c>
      <c r="N208" s="561">
        <f>Table3[[#This Row],[Total Panjang Pipa Aktual]]-Table3[[#This Row],[Volume
BA MC-0]]</f>
        <v>-145</v>
      </c>
      <c r="O208" s="7" t="str">
        <f ca="1">'Database MK'!DE209</f>
        <v>Sudah, OnSchedule</v>
      </c>
      <c r="P208" s="7" t="str">
        <f ca="1">'Database MK'!DI209</f>
        <v>Sudah, OnSchedule</v>
      </c>
      <c r="Q208" s="7" t="str">
        <f ca="1">'Database MK'!DN209</f>
        <v>Sudah, OnSchedule</v>
      </c>
      <c r="R208" s="7" t="str">
        <f ca="1">'Database MK'!DR209</f>
        <v>Sudah, Delay</v>
      </c>
      <c r="S208" s="7" t="str">
        <f ca="1">'Database MK'!EA209</f>
        <v>Sudah, Delay</v>
      </c>
      <c r="T208" s="7" t="str">
        <f ca="1">'Database MK'!EI209</f>
        <v>Belum, Delay</v>
      </c>
      <c r="U208" s="7" t="str">
        <f ca="1">'Database MK'!ET209</f>
        <v>Belum, Delay</v>
      </c>
      <c r="V208" s="7" t="str">
        <f ca="1">'Database MK'!GA209</f>
        <v>Belum, Delay</v>
      </c>
      <c r="W208" s="7" t="str">
        <f ca="1">'Database MK'!GD209</f>
        <v>Sudah, OnSchedule</v>
      </c>
      <c r="X208" s="7" t="str">
        <f ca="1">'Database MK'!GG209</f>
        <v>Sudah, OnSchedule</v>
      </c>
      <c r="Y208" s="7" t="str">
        <f ca="1">'Database MK'!GK209</f>
        <v>Sudah, OnSchedule</v>
      </c>
      <c r="Z208" s="7" t="str">
        <f ca="1">'Database MK'!HH209</f>
        <v>Belum, Delay</v>
      </c>
      <c r="AA208" s="7" t="str">
        <f ca="1">'Database MK'!HR209</f>
        <v>Belum, Delay</v>
      </c>
      <c r="AB208" s="7" t="str">
        <f ca="1">'Database MK'!HX209</f>
        <v>Belum, Delay</v>
      </c>
      <c r="AC208" s="7">
        <f>'Database MK'!DA209-'Database MK'!DB209</f>
        <v>404</v>
      </c>
      <c r="AD208" s="7">
        <f>'Database MK'!DA209-'Database MK'!DF209</f>
        <v>397</v>
      </c>
      <c r="AE208" s="7">
        <f>'Database MK'!DK209-'Database MK'!DL209</f>
        <v>78</v>
      </c>
      <c r="AF208" s="7">
        <f>'Database MK'!DK209-'Database MK'!DO209</f>
        <v>-50</v>
      </c>
      <c r="AG208" s="7">
        <f>'Database MK'!DU209-'Database MK'!DW209</f>
        <v>-417</v>
      </c>
      <c r="AH208" s="7" t="str">
        <f>IF('Database MK'!EB209="","Belum",'Database MK'!DU209-'Database MK'!EB209)</f>
        <v>Belum</v>
      </c>
      <c r="AI208" s="7" t="str">
        <f>IF('Database MK'!EN209="","Belum",'Database MK'!EL209-'Database MK'!EN209)</f>
        <v>Belum</v>
      </c>
      <c r="AJ208" s="7">
        <f>'Database MK'!FY209-'Database MK'!FZ209</f>
        <v>0</v>
      </c>
      <c r="AK208" s="7">
        <f>IF('Database MK'!GC209="","Belum",'Database MK'!GB209-'Database MK'!GC209)</f>
        <v>19</v>
      </c>
      <c r="AL208" s="7">
        <f>IF('Database MK'!GF209="","Belum",'Database MK'!GE209-'Database MK'!GF209)</f>
        <v>26</v>
      </c>
      <c r="AM208" s="279">
        <f>IF('Database MK'!GJ209="","Belum",'Database MK'!GI209-'Database MK'!GJ209)</f>
        <v>24</v>
      </c>
      <c r="AN208" s="7" t="str">
        <f>IF('Database MK'!HG209="","Belum",'Database MK'!HF209-'Database MK'!HG209)</f>
        <v>Belum</v>
      </c>
      <c r="AO208" s="7" t="str">
        <f>IF('Database MK'!HQ209="","Belum",'Database MK'!HN209-'Database MK'!HQ209)</f>
        <v>Belum</v>
      </c>
      <c r="AP208" s="7" t="str">
        <f>IF('Database MK'!HW209="","Belum",'Database MK'!HU209-'Database MK'!HW209)</f>
        <v>Belum</v>
      </c>
    </row>
    <row r="209" spans="2:42" hidden="1" x14ac:dyDescent="0.25">
      <c r="B209" s="7">
        <f>SUBTOTAL(3,$C$4:C209)</f>
        <v>74</v>
      </c>
      <c r="C209" s="269" t="s">
        <v>673</v>
      </c>
      <c r="D209" s="4" t="s">
        <v>1578</v>
      </c>
      <c r="E209" s="4" t="s">
        <v>1579</v>
      </c>
      <c r="F209" s="270">
        <v>45931</v>
      </c>
      <c r="G209" s="4" t="s">
        <v>247</v>
      </c>
      <c r="H209" s="4" t="str">
        <f ca="1">'Database MK'!Q210</f>
        <v>Proses Konstruksi</v>
      </c>
      <c r="I209" s="24">
        <f>'Database MK'!S210</f>
        <v>1</v>
      </c>
      <c r="J209" s="24">
        <f>'Database MK'!T210</f>
        <v>0.90327936950739918</v>
      </c>
      <c r="K209" s="571">
        <f>'Database MK'!U210</f>
        <v>-9.6720630492600823E-2</v>
      </c>
      <c r="L209" s="561">
        <f>'Database MK'!V210</f>
        <v>28242</v>
      </c>
      <c r="M209" s="561">
        <f>'Database MK'!W210</f>
        <v>28540</v>
      </c>
      <c r="N209" s="561">
        <f>Table3[[#This Row],[Total Panjang Pipa Aktual]]-Table3[[#This Row],[Volume
BA MC-0]]</f>
        <v>298</v>
      </c>
      <c r="O209" s="7" t="str">
        <f ca="1">'Database MK'!DE210</f>
        <v>Sudah, OnSchedule</v>
      </c>
      <c r="P209" s="7" t="str">
        <f ca="1">'Database MK'!DI210</f>
        <v>Sudah, OnSchedule</v>
      </c>
      <c r="Q209" s="7" t="str">
        <f ca="1">'Database MK'!DN210</f>
        <v>Sudah, OnSchedule</v>
      </c>
      <c r="R209" s="7" t="str">
        <f ca="1">'Database MK'!DR210</f>
        <v>Sudah, Delay</v>
      </c>
      <c r="S209" s="7" t="str">
        <f ca="1">'Database MK'!EA210</f>
        <v>Sudah, Delay</v>
      </c>
      <c r="T209" s="7" t="str">
        <f ca="1">'Database MK'!EI210</f>
        <v>Belum, Delay</v>
      </c>
      <c r="U209" s="7" t="str">
        <f ca="1">'Database MK'!ET210</f>
        <v>Belum, Delay</v>
      </c>
      <c r="V209" s="7" t="str">
        <f ca="1">'Database MK'!GA210</f>
        <v>Belum, Delay</v>
      </c>
      <c r="W209" s="7" t="str">
        <f ca="1">'Database MK'!GD210</f>
        <v>Sudah, OnSchedule</v>
      </c>
      <c r="X209" s="7" t="str">
        <f ca="1">'Database MK'!GG210</f>
        <v>Sudah, OnSchedule</v>
      </c>
      <c r="Y209" s="7" t="str">
        <f ca="1">'Database MK'!GK210</f>
        <v>Sudah, OnSchedule</v>
      </c>
      <c r="Z209" s="7" t="str">
        <f ca="1">'Database MK'!HH210</f>
        <v>Belum, Delay</v>
      </c>
      <c r="AA209" s="7" t="str">
        <f ca="1">'Database MK'!HR210</f>
        <v>Belum, Delay</v>
      </c>
      <c r="AB209" s="7" t="str">
        <f ca="1">'Database MK'!HX210</f>
        <v>Belum, Delay</v>
      </c>
      <c r="AC209" s="7">
        <f>'Database MK'!DA210-'Database MK'!DB210</f>
        <v>404</v>
      </c>
      <c r="AD209" s="7">
        <f>'Database MK'!DA210-'Database MK'!DF210</f>
        <v>395</v>
      </c>
      <c r="AE209" s="7">
        <f>'Database MK'!DK210-'Database MK'!DL210</f>
        <v>78</v>
      </c>
      <c r="AF209" s="7">
        <f>'Database MK'!DK210-'Database MK'!DO210</f>
        <v>-3</v>
      </c>
      <c r="AG209" s="7">
        <f>'Database MK'!DU210-'Database MK'!DW210</f>
        <v>-428</v>
      </c>
      <c r="AH209" s="7" t="str">
        <f>IF('Database MK'!EB210="","Belum",'Database MK'!DU210-'Database MK'!EB210)</f>
        <v>Belum</v>
      </c>
      <c r="AI209" s="7" t="str">
        <f>IF('Database MK'!EN210="","Belum",'Database MK'!EL210-'Database MK'!EN210)</f>
        <v>Belum</v>
      </c>
      <c r="AJ209" s="7">
        <f>'Database MK'!FY210-'Database MK'!FZ210</f>
        <v>0</v>
      </c>
      <c r="AK209" s="7">
        <f>IF('Database MK'!GC210="","Belum",'Database MK'!GB210-'Database MK'!GC210)</f>
        <v>19</v>
      </c>
      <c r="AL209" s="7">
        <f>IF('Database MK'!GF210="","Belum",'Database MK'!GE210-'Database MK'!GF210)</f>
        <v>26</v>
      </c>
      <c r="AM209" s="279">
        <f>IF('Database MK'!GJ210="","Belum",'Database MK'!GI210-'Database MK'!GJ210)</f>
        <v>27</v>
      </c>
      <c r="AN209" s="7" t="str">
        <f>IF('Database MK'!HG210="","Belum",'Database MK'!HF210-'Database MK'!HG210)</f>
        <v>Belum</v>
      </c>
      <c r="AO209" s="7" t="str">
        <f>IF('Database MK'!HQ210="","Belum",'Database MK'!HN210-'Database MK'!HQ210)</f>
        <v>Belum</v>
      </c>
      <c r="AP209" s="7" t="str">
        <f>IF('Database MK'!HW210="","Belum",'Database MK'!HU210-'Database MK'!HW210)</f>
        <v>Belum</v>
      </c>
    </row>
    <row r="210" spans="2:42" s="72" customFormat="1" hidden="1" x14ac:dyDescent="0.25">
      <c r="B210" s="277">
        <f>SUBTOTAL(3,$C$4:C210)</f>
        <v>74</v>
      </c>
      <c r="C210" s="72" t="s">
        <v>673</v>
      </c>
      <c r="D210" s="72" t="s">
        <v>1587</v>
      </c>
      <c r="E210" s="72" t="s">
        <v>1588</v>
      </c>
      <c r="F210" s="272">
        <v>45931</v>
      </c>
      <c r="G210" s="72" t="s">
        <v>247</v>
      </c>
      <c r="H210" s="72" t="str">
        <f>'Database MK'!Q211</f>
        <v>BATAL / CANCEL</v>
      </c>
      <c r="I210" s="572">
        <f>'Database MK'!S211</f>
        <v>1</v>
      </c>
      <c r="J210" s="572">
        <f>'Database MK'!T211</f>
        <v>0</v>
      </c>
      <c r="K210" s="573">
        <f>'Database MK'!U211</f>
        <v>-1</v>
      </c>
      <c r="L210" s="562">
        <f>'Database MK'!V211</f>
        <v>0</v>
      </c>
      <c r="M210" s="562">
        <f>'Database MK'!W211</f>
        <v>0</v>
      </c>
      <c r="N210" s="562">
        <f>Table3[[#This Row],[Total Panjang Pipa Aktual]]-Table3[[#This Row],[Volume
BA MC-0]]</f>
        <v>0</v>
      </c>
      <c r="O210" s="277" t="str">
        <f ca="1">'Database MK'!DE211</f>
        <v>Sudah, OnSchedule</v>
      </c>
      <c r="P210" s="277" t="str">
        <f ca="1">'Database MK'!DI211</f>
        <v>Sudah, OnSchedule</v>
      </c>
      <c r="Q210" s="277" t="str">
        <f ca="1">'Database MK'!DN211</f>
        <v>Belum, Delay</v>
      </c>
      <c r="R210" s="277" t="str">
        <f ca="1">'Database MK'!DR211</f>
        <v>Belum, Delay</v>
      </c>
      <c r="S210" s="277" t="str">
        <f ca="1">'Database MK'!EA211</f>
        <v>Belum, Delay</v>
      </c>
      <c r="T210" s="277" t="str">
        <f ca="1">'Database MK'!EI211</f>
        <v>Belum, Delay</v>
      </c>
      <c r="U210" s="277" t="str">
        <f ca="1">'Database MK'!ET211</f>
        <v>Belum, Delay</v>
      </c>
      <c r="V210" s="277" t="str">
        <f ca="1">'Database MK'!GA211</f>
        <v>Belum, Delay</v>
      </c>
      <c r="W210" s="277" t="str">
        <f ca="1">'Database MK'!GD211</f>
        <v>Sudah, OnSchedule</v>
      </c>
      <c r="X210" s="277" t="str">
        <f ca="1">'Database MK'!GG211</f>
        <v>Sudah, OnSchedule</v>
      </c>
      <c r="Y210" s="277" t="str">
        <f ca="1">'Database MK'!GK211</f>
        <v>Sudah, OnSchedule</v>
      </c>
      <c r="Z210" s="277" t="str">
        <f ca="1">'Database MK'!HH211</f>
        <v>Belum, Delay</v>
      </c>
      <c r="AA210" s="277" t="str">
        <f ca="1">'Database MK'!HR211</f>
        <v>Belum, Delay</v>
      </c>
      <c r="AB210" s="277" t="str">
        <f ca="1">'Database MK'!HX211</f>
        <v>Belum, Delay</v>
      </c>
      <c r="AC210" s="277"/>
      <c r="AD210" s="277"/>
      <c r="AE210" s="277"/>
      <c r="AF210" s="277"/>
      <c r="AG210" s="277"/>
      <c r="AH210" s="277"/>
      <c r="AI210" s="277"/>
      <c r="AJ210" s="277">
        <f>'Database MK'!FY211-'Database MK'!FZ211</f>
        <v>0</v>
      </c>
      <c r="AK210" s="277"/>
      <c r="AL210" s="277"/>
      <c r="AM210" s="280"/>
      <c r="AN210" s="277"/>
      <c r="AO210" s="277"/>
      <c r="AP210" s="277"/>
    </row>
    <row r="211" spans="2:42" hidden="1" x14ac:dyDescent="0.25">
      <c r="B211" s="7">
        <f>SUBTOTAL(3,$C$4:C211)</f>
        <v>74</v>
      </c>
      <c r="C211" s="269" t="s">
        <v>673</v>
      </c>
      <c r="D211" s="4" t="s">
        <v>1593</v>
      </c>
      <c r="E211" s="4" t="s">
        <v>1594</v>
      </c>
      <c r="F211" s="270">
        <v>45931</v>
      </c>
      <c r="G211" s="4" t="s">
        <v>247</v>
      </c>
      <c r="H211" s="4" t="str">
        <f ca="1">'Database MK'!Q212</f>
        <v>DPPP</v>
      </c>
      <c r="I211" s="24">
        <f>'Database MK'!S212</f>
        <v>1</v>
      </c>
      <c r="J211" s="24">
        <f>'Database MK'!T212</f>
        <v>1</v>
      </c>
      <c r="K211" s="571">
        <f>'Database MK'!U212</f>
        <v>0</v>
      </c>
      <c r="L211" s="561">
        <f>'Database MK'!V212</f>
        <v>2867</v>
      </c>
      <c r="M211" s="561">
        <f>'Database MK'!W212</f>
        <v>2259</v>
      </c>
      <c r="N211" s="561">
        <f>Table3[[#This Row],[Total Panjang Pipa Aktual]]-Table3[[#This Row],[Volume
BA MC-0]]</f>
        <v>-608</v>
      </c>
      <c r="O211" s="7" t="str">
        <f ca="1">'Database MK'!DE212</f>
        <v>Sudah, OnSchedule</v>
      </c>
      <c r="P211" s="7" t="str">
        <f ca="1">'Database MK'!DI212</f>
        <v>Sudah, Delay</v>
      </c>
      <c r="Q211" s="7" t="str">
        <f ca="1">'Database MK'!DN212</f>
        <v>Sudah, Delay</v>
      </c>
      <c r="R211" s="7" t="str">
        <f ca="1">'Database MK'!DR212</f>
        <v>Sudah, Delay</v>
      </c>
      <c r="S211" s="7" t="str">
        <f ca="1">'Database MK'!EA212</f>
        <v>Sudah, Delay</v>
      </c>
      <c r="T211" s="7" t="str">
        <f ca="1">'Database MK'!EI212</f>
        <v>Sudah, Delay</v>
      </c>
      <c r="U211" s="7" t="str">
        <f ca="1">'Database MK'!ET212</f>
        <v>Sudah, Delay</v>
      </c>
      <c r="V211" s="7" t="str">
        <f ca="1">'Database MK'!GA212</f>
        <v>Belum, Delay</v>
      </c>
      <c r="W211" s="7" t="str">
        <f ca="1">'Database MK'!GD212</f>
        <v>Sudah, OnSchedule</v>
      </c>
      <c r="X211" s="7" t="str">
        <f ca="1">'Database MK'!GG212</f>
        <v>Sudah, OnSchedule</v>
      </c>
      <c r="Y211" s="7" t="str">
        <f ca="1">'Database MK'!GK212</f>
        <v>Sudah, Delay</v>
      </c>
      <c r="Z211" s="7" t="str">
        <f ca="1">'Database MK'!HH212</f>
        <v>Sudah, Delay</v>
      </c>
      <c r="AA211" s="7" t="str">
        <f ca="1">'Database MK'!HR212</f>
        <v>Sudah, Delay</v>
      </c>
      <c r="AB211" s="7" t="str">
        <f ca="1">'Database MK'!HX212</f>
        <v>Sudah, Delay</v>
      </c>
      <c r="AC211" s="7">
        <f>'Database MK'!DA212-'Database MK'!DB212</f>
        <v>6</v>
      </c>
      <c r="AD211" s="7">
        <f>'Database MK'!DA212-'Database MK'!DF212</f>
        <v>-7</v>
      </c>
      <c r="AE211" s="7">
        <f>'Database MK'!DK212-'Database MK'!DL212</f>
        <v>-18</v>
      </c>
      <c r="AF211" s="7">
        <f>'Database MK'!DK212-'Database MK'!DO212</f>
        <v>-31</v>
      </c>
      <c r="AG211" s="7">
        <f>'Database MK'!DU212-'Database MK'!DW212</f>
        <v>-39</v>
      </c>
      <c r="AH211" s="7">
        <f>IF('Database MK'!EB212="","Belum",'Database MK'!DU212-'Database MK'!EB212)</f>
        <v>-177</v>
      </c>
      <c r="AI211" s="7">
        <f>IF('Database MK'!EN212="","Belum",'Database MK'!EL212-'Database MK'!EN212)</f>
        <v>-405</v>
      </c>
      <c r="AJ211" s="7">
        <f>'Database MK'!FY212-'Database MK'!FZ212</f>
        <v>0</v>
      </c>
      <c r="AK211" s="7">
        <f>IF('Database MK'!GC212="","Belum",'Database MK'!GB212-'Database MK'!GC212)</f>
        <v>138</v>
      </c>
      <c r="AL211" s="7">
        <f>IF('Database MK'!GF212="","Belum",'Database MK'!GE212-'Database MK'!GF212)</f>
        <v>145</v>
      </c>
      <c r="AM211" s="279">
        <f>IF('Database MK'!GJ212="","Belum",'Database MK'!GI212-'Database MK'!GJ212)</f>
        <v>-1</v>
      </c>
      <c r="AN211" s="7">
        <f>IF('Database MK'!HG212="","Belum",'Database MK'!HF212-'Database MK'!HG212)</f>
        <v>-148</v>
      </c>
      <c r="AO211" s="7">
        <f>IF('Database MK'!HQ212="","Belum",'Database MK'!HN212-'Database MK'!HQ212)</f>
        <v>-164</v>
      </c>
      <c r="AP211" s="7">
        <f>IF('Database MK'!HW212="","Belum",'Database MK'!HU212-'Database MK'!HW212)</f>
        <v>-174</v>
      </c>
    </row>
    <row r="212" spans="2:42" s="72" customFormat="1" hidden="1" x14ac:dyDescent="0.25">
      <c r="B212" s="277">
        <f>SUBTOTAL(3,$C$4:C212)</f>
        <v>74</v>
      </c>
      <c r="C212" s="72" t="s">
        <v>673</v>
      </c>
      <c r="D212" s="72" t="s">
        <v>1603</v>
      </c>
      <c r="E212" s="72" t="s">
        <v>1604</v>
      </c>
      <c r="F212" s="272">
        <v>45931</v>
      </c>
      <c r="G212" s="72" t="s">
        <v>247</v>
      </c>
      <c r="H212" s="72" t="str">
        <f>'Database MK'!Q213</f>
        <v>BATAL / CANCEL</v>
      </c>
      <c r="I212" s="572">
        <f>'Database MK'!S213</f>
        <v>1</v>
      </c>
      <c r="J212" s="572">
        <f>'Database MK'!T213</f>
        <v>0</v>
      </c>
      <c r="K212" s="573">
        <f>'Database MK'!U213</f>
        <v>-1</v>
      </c>
      <c r="L212" s="562">
        <f>'Database MK'!V213</f>
        <v>0</v>
      </c>
      <c r="M212" s="562">
        <f>'Database MK'!W213</f>
        <v>0</v>
      </c>
      <c r="N212" s="562">
        <f>Table3[[#This Row],[Total Panjang Pipa Aktual]]-Table3[[#This Row],[Volume
BA MC-0]]</f>
        <v>0</v>
      </c>
      <c r="O212" s="277" t="str">
        <f ca="1">'Database MK'!DE213</f>
        <v>Sudah, OnSchedule</v>
      </c>
      <c r="P212" s="277" t="str">
        <f ca="1">'Database MK'!DI213</f>
        <v>Sudah, Delay</v>
      </c>
      <c r="Q212" s="277" t="str">
        <f ca="1">'Database MK'!DN213</f>
        <v>Belum, Delay</v>
      </c>
      <c r="R212" s="277" t="str">
        <f ca="1">'Database MK'!DR213</f>
        <v>Belum, Delay</v>
      </c>
      <c r="S212" s="277" t="str">
        <f ca="1">'Database MK'!EA213</f>
        <v>Belum, Delay</v>
      </c>
      <c r="T212" s="277" t="str">
        <f ca="1">'Database MK'!EI213</f>
        <v>Belum, Delay</v>
      </c>
      <c r="U212" s="277" t="str">
        <f ca="1">'Database MK'!ET213</f>
        <v>Belum, Delay</v>
      </c>
      <c r="V212" s="277" t="str">
        <f ca="1">'Database MK'!GA213</f>
        <v>Belum, Delay</v>
      </c>
      <c r="W212" s="277" t="str">
        <f ca="1">'Database MK'!GD213</f>
        <v>Sudah, OnSchedule</v>
      </c>
      <c r="X212" s="277" t="str">
        <f ca="1">'Database MK'!GG213</f>
        <v>Sudah, OnSchedule</v>
      </c>
      <c r="Y212" s="277" t="str">
        <f ca="1">'Database MK'!GK213</f>
        <v>Sudah, OnSchedule</v>
      </c>
      <c r="Z212" s="277" t="str">
        <f ca="1">'Database MK'!HH213</f>
        <v>Belum, Delay</v>
      </c>
      <c r="AA212" s="277" t="str">
        <f ca="1">'Database MK'!HR213</f>
        <v>Belum, Delay</v>
      </c>
      <c r="AB212" s="277" t="str">
        <f ca="1">'Database MK'!HX213</f>
        <v>Belum, Delay</v>
      </c>
      <c r="AC212" s="277"/>
      <c r="AD212" s="277"/>
      <c r="AE212" s="277"/>
      <c r="AF212" s="277"/>
      <c r="AG212" s="277"/>
      <c r="AH212" s="277"/>
      <c r="AI212" s="277"/>
      <c r="AJ212" s="277">
        <f>'Database MK'!FY213-'Database MK'!FZ213</f>
        <v>0</v>
      </c>
      <c r="AK212" s="277"/>
      <c r="AL212" s="277"/>
      <c r="AM212" s="280"/>
      <c r="AN212" s="277"/>
      <c r="AO212" s="277"/>
      <c r="AP212" s="277"/>
    </row>
    <row r="213" spans="2:42" hidden="1" x14ac:dyDescent="0.25">
      <c r="B213" s="7">
        <f>SUBTOTAL(3,$C$4:C213)</f>
        <v>74</v>
      </c>
      <c r="C213" s="269" t="s">
        <v>673</v>
      </c>
      <c r="D213" s="4" t="s">
        <v>1608</v>
      </c>
      <c r="E213" s="4" t="s">
        <v>1609</v>
      </c>
      <c r="F213" s="270">
        <v>45931</v>
      </c>
      <c r="G213" s="4" t="s">
        <v>247</v>
      </c>
      <c r="H213" s="4" t="str">
        <f ca="1">'Database MK'!Q214</f>
        <v>DPPP</v>
      </c>
      <c r="I213" s="24">
        <f>'Database MK'!S214</f>
        <v>1</v>
      </c>
      <c r="J213" s="24">
        <f>'Database MK'!T214</f>
        <v>1</v>
      </c>
      <c r="K213" s="571">
        <f>'Database MK'!U214</f>
        <v>0</v>
      </c>
      <c r="L213" s="561">
        <f>'Database MK'!V214</f>
        <v>1608</v>
      </c>
      <c r="M213" s="561">
        <f>'Database MK'!W214</f>
        <v>1608</v>
      </c>
      <c r="N213" s="561">
        <f>Table3[[#This Row],[Total Panjang Pipa Aktual]]-Table3[[#This Row],[Volume
BA MC-0]]</f>
        <v>0</v>
      </c>
      <c r="O213" s="7" t="str">
        <f ca="1">'Database MK'!DE214</f>
        <v>Sudah, OnSchedule</v>
      </c>
      <c r="P213" s="7" t="str">
        <f ca="1">'Database MK'!DI214</f>
        <v>Sudah, OnSchedule</v>
      </c>
      <c r="Q213" s="7" t="str">
        <f ca="1">'Database MK'!DN214</f>
        <v>Sudah, OnSchedule</v>
      </c>
      <c r="R213" s="7" t="str">
        <f ca="1">'Database MK'!DR214</f>
        <v>Sudah, Delay</v>
      </c>
      <c r="S213" s="7" t="str">
        <f ca="1">'Database MK'!EA214</f>
        <v>Sudah, OnSchedule</v>
      </c>
      <c r="T213" s="7" t="str">
        <f ca="1">'Database MK'!EI214</f>
        <v>Sudah, Delay</v>
      </c>
      <c r="U213" s="7" t="str">
        <f ca="1">'Database MK'!ET214</f>
        <v>Sudah, Delay</v>
      </c>
      <c r="V213" s="7" t="str">
        <f ca="1">'Database MK'!GA214</f>
        <v>Belum, Delay</v>
      </c>
      <c r="W213" s="7" t="str">
        <f ca="1">'Database MK'!GD214</f>
        <v>Sudah, OnSchedule</v>
      </c>
      <c r="X213" s="7" t="str">
        <f ca="1">'Database MK'!GG214</f>
        <v>Sudah, OnSchedule</v>
      </c>
      <c r="Y213" s="7" t="str">
        <f ca="1">'Database MK'!GK214</f>
        <v>Sudah, OnSchedule</v>
      </c>
      <c r="Z213" s="7" t="str">
        <f ca="1">'Database MK'!HH214</f>
        <v>Sudah, Delay</v>
      </c>
      <c r="AA213" s="7" t="str">
        <f ca="1">'Database MK'!HR214</f>
        <v>Sudah, Delay</v>
      </c>
      <c r="AB213" s="7" t="str">
        <f ca="1">'Database MK'!HX214</f>
        <v>Sudah, Delay</v>
      </c>
      <c r="AC213" s="7">
        <f>'Database MK'!DA214-'Database MK'!DB214</f>
        <v>17</v>
      </c>
      <c r="AD213" s="7">
        <f>'Database MK'!DA214-'Database MK'!DF214</f>
        <v>9</v>
      </c>
      <c r="AE213" s="7">
        <f>'Database MK'!DK214-'Database MK'!DL214</f>
        <v>23</v>
      </c>
      <c r="AF213" s="7">
        <f>'Database MK'!DK214-'Database MK'!DO214</f>
        <v>-16</v>
      </c>
      <c r="AG213" s="7">
        <f>'Database MK'!DU214-'Database MK'!DW214</f>
        <v>12</v>
      </c>
      <c r="AH213" s="7">
        <f>IF('Database MK'!EB214="","Belum",'Database MK'!DU214-'Database MK'!EB214)</f>
        <v>-178</v>
      </c>
      <c r="AI213" s="7">
        <f>IF('Database MK'!EN214="","Belum",'Database MK'!EL214-'Database MK'!EN214)</f>
        <v>-213</v>
      </c>
      <c r="AJ213" s="7">
        <f>'Database MK'!FY214-'Database MK'!FZ214</f>
        <v>0</v>
      </c>
      <c r="AK213" s="7">
        <f>IF('Database MK'!GC214="","Belum",'Database MK'!GB214-'Database MK'!GC214)</f>
        <v>0</v>
      </c>
      <c r="AL213" s="7">
        <f>IF('Database MK'!GF214="","Belum",'Database MK'!GE214-'Database MK'!GF214)</f>
        <v>7</v>
      </c>
      <c r="AM213" s="279">
        <f>IF('Database MK'!GJ214="","Belum",'Database MK'!GI214-'Database MK'!GJ214)</f>
        <v>12</v>
      </c>
      <c r="AN213" s="7">
        <f>IF('Database MK'!HG214="","Belum",'Database MK'!HF214-'Database MK'!HG214)</f>
        <v>-78</v>
      </c>
      <c r="AO213" s="7">
        <f>IF('Database MK'!HQ214="","Belum",'Database MK'!HN214-'Database MK'!HQ214)</f>
        <v>-161</v>
      </c>
      <c r="AP213" s="7">
        <f>IF('Database MK'!HW214="","Belum",'Database MK'!HU214-'Database MK'!HW214)</f>
        <v>-162</v>
      </c>
    </row>
    <row r="214" spans="2:42" hidden="1" x14ac:dyDescent="0.25">
      <c r="B214" s="7">
        <f>SUBTOTAL(3,$C$4:C214)</f>
        <v>74</v>
      </c>
      <c r="C214" s="269" t="s">
        <v>673</v>
      </c>
      <c r="D214" s="4" t="s">
        <v>1618</v>
      </c>
      <c r="E214" s="4" t="s">
        <v>1619</v>
      </c>
      <c r="F214" s="270">
        <v>45931</v>
      </c>
      <c r="G214" s="4" t="s">
        <v>247</v>
      </c>
      <c r="H214" s="4" t="str">
        <f ca="1">'Database MK'!Q215</f>
        <v>DPPP</v>
      </c>
      <c r="I214" s="24">
        <f>'Database MK'!S215</f>
        <v>1</v>
      </c>
      <c r="J214" s="24">
        <f>'Database MK'!T215</f>
        <v>1</v>
      </c>
      <c r="K214" s="571">
        <f>'Database MK'!U215</f>
        <v>0</v>
      </c>
      <c r="L214" s="561">
        <f>'Database MK'!V215</f>
        <v>2409</v>
      </c>
      <c r="M214" s="561">
        <f>'Database MK'!W215</f>
        <v>2499</v>
      </c>
      <c r="N214" s="561">
        <f>Table3[[#This Row],[Total Panjang Pipa Aktual]]-Table3[[#This Row],[Volume
BA MC-0]]</f>
        <v>90</v>
      </c>
      <c r="O214" s="7" t="str">
        <f ca="1">'Database MK'!DE215</f>
        <v>Sudah, OnSchedule</v>
      </c>
      <c r="P214" s="7" t="str">
        <f ca="1">'Database MK'!DI215</f>
        <v>Sudah, Delay</v>
      </c>
      <c r="Q214" s="7" t="str">
        <f ca="1">'Database MK'!DN215</f>
        <v>Sudah, Delay</v>
      </c>
      <c r="R214" s="7" t="str">
        <f ca="1">'Database MK'!DR215</f>
        <v>Sudah, Delay</v>
      </c>
      <c r="S214" s="7" t="str">
        <f ca="1">'Database MK'!EA215</f>
        <v>Sudah, Delay</v>
      </c>
      <c r="T214" s="7" t="str">
        <f ca="1">'Database MK'!EI215</f>
        <v>Sudah, Delay</v>
      </c>
      <c r="U214" s="7" t="str">
        <f ca="1">'Database MK'!ET215</f>
        <v>Sudah, Delay</v>
      </c>
      <c r="V214" s="7" t="str">
        <f ca="1">'Database MK'!GA215</f>
        <v>Belum, Delay</v>
      </c>
      <c r="W214" s="7" t="str">
        <f ca="1">'Database MK'!GD215</f>
        <v>Sudah, OnSchedule</v>
      </c>
      <c r="X214" s="7" t="str">
        <f ca="1">'Database MK'!GG215</f>
        <v>Sudah, OnSchedule</v>
      </c>
      <c r="Y214" s="7" t="str">
        <f ca="1">'Database MK'!GK215</f>
        <v>Sudah, Delay</v>
      </c>
      <c r="Z214" s="7" t="str">
        <f ca="1">'Database MK'!HH215</f>
        <v>Sudah, Delay</v>
      </c>
      <c r="AA214" s="7" t="str">
        <f ca="1">'Database MK'!HR215</f>
        <v>Sudah, Delay</v>
      </c>
      <c r="AB214" s="7" t="str">
        <f ca="1">'Database MK'!HX215</f>
        <v>Sudah, Delay</v>
      </c>
      <c r="AC214" s="7">
        <f>'Database MK'!DA215-'Database MK'!DB215</f>
        <v>5</v>
      </c>
      <c r="AD214" s="7">
        <f>'Database MK'!DA215-'Database MK'!DF215</f>
        <v>-4</v>
      </c>
      <c r="AE214" s="7">
        <f>'Database MK'!DK215-'Database MK'!DL215</f>
        <v>-46</v>
      </c>
      <c r="AF214" s="7">
        <f>'Database MK'!DK215-'Database MK'!DO215</f>
        <v>-64</v>
      </c>
      <c r="AG214" s="7">
        <f>'Database MK'!DU215-'Database MK'!DW215</f>
        <v>-67</v>
      </c>
      <c r="AH214" s="7">
        <f>IF('Database MK'!EB215="","Belum",'Database MK'!DU215-'Database MK'!EB215)</f>
        <v>-526</v>
      </c>
      <c r="AI214" s="7">
        <f>IF('Database MK'!EN215="","Belum",'Database MK'!EL215-'Database MK'!EN215)</f>
        <v>-440</v>
      </c>
      <c r="AJ214" s="7">
        <f>'Database MK'!FY215-'Database MK'!FZ215</f>
        <v>0</v>
      </c>
      <c r="AK214" s="7">
        <f>IF('Database MK'!GC215="","Belum",'Database MK'!GB215-'Database MK'!GC215)</f>
        <v>110</v>
      </c>
      <c r="AL214" s="7">
        <f>IF('Database MK'!GF215="","Belum",'Database MK'!GE215-'Database MK'!GF215)</f>
        <v>117</v>
      </c>
      <c r="AM214" s="279">
        <f>IF('Database MK'!GJ215="","Belum",'Database MK'!GI215-'Database MK'!GJ215)</f>
        <v>-31</v>
      </c>
      <c r="AN214" s="7">
        <f>IF('Database MK'!HG215="","Belum",'Database MK'!HF215-'Database MK'!HG215)</f>
        <v>-180</v>
      </c>
      <c r="AO214" s="7">
        <f>IF('Database MK'!HQ215="","Belum",'Database MK'!HN215-'Database MK'!HQ215)</f>
        <v>-173</v>
      </c>
      <c r="AP214" s="7">
        <f>IF('Database MK'!HW215="","Belum",'Database MK'!HU215-'Database MK'!HW215)</f>
        <v>-208</v>
      </c>
    </row>
    <row r="215" spans="2:42" hidden="1" x14ac:dyDescent="0.25">
      <c r="B215" s="7">
        <f>SUBTOTAL(3,$C$4:C215)</f>
        <v>74</v>
      </c>
      <c r="C215" s="269" t="s">
        <v>673</v>
      </c>
      <c r="D215" s="4" t="s">
        <v>1629</v>
      </c>
      <c r="E215" s="4" t="s">
        <v>1630</v>
      </c>
      <c r="F215" s="270">
        <v>45931</v>
      </c>
      <c r="G215" s="4" t="s">
        <v>247</v>
      </c>
      <c r="H215" s="4" t="str">
        <f ca="1">'Database MK'!Q216</f>
        <v>DPPP</v>
      </c>
      <c r="I215" s="24">
        <f>'Database MK'!S216</f>
        <v>1</v>
      </c>
      <c r="J215" s="24">
        <f>'Database MK'!T216</f>
        <v>1</v>
      </c>
      <c r="K215" s="571">
        <f>'Database MK'!U216</f>
        <v>0</v>
      </c>
      <c r="L215" s="561">
        <f>'Database MK'!V216</f>
        <v>3458</v>
      </c>
      <c r="M215" s="561">
        <f>'Database MK'!W216</f>
        <v>3364</v>
      </c>
      <c r="N215" s="561">
        <f>Table3[[#This Row],[Total Panjang Pipa Aktual]]-Table3[[#This Row],[Volume
BA MC-0]]</f>
        <v>-94</v>
      </c>
      <c r="O215" s="7" t="str">
        <f ca="1">'Database MK'!DE216</f>
        <v>Sudah, OnSchedule</v>
      </c>
      <c r="P215" s="7" t="str">
        <f ca="1">'Database MK'!DI216</f>
        <v>Sudah, Delay</v>
      </c>
      <c r="Q215" s="7" t="str">
        <f ca="1">'Database MK'!DN216</f>
        <v>Sudah, Delay</v>
      </c>
      <c r="R215" s="7" t="str">
        <f ca="1">'Database MK'!DR216</f>
        <v>Sudah, Delay</v>
      </c>
      <c r="S215" s="7" t="str">
        <f ca="1">'Database MK'!EA216</f>
        <v>Sudah, Delay</v>
      </c>
      <c r="T215" s="7" t="str">
        <f ca="1">'Database MK'!EI216</f>
        <v>Sudah, Delay</v>
      </c>
      <c r="U215" s="7" t="str">
        <f ca="1">'Database MK'!ET216</f>
        <v>Sudah, Delay</v>
      </c>
      <c r="V215" s="7" t="str">
        <f ca="1">'Database MK'!GA216</f>
        <v>Belum, Delay</v>
      </c>
      <c r="W215" s="7" t="str">
        <f ca="1">'Database MK'!GD216</f>
        <v>Sudah, OnSchedule</v>
      </c>
      <c r="X215" s="7" t="str">
        <f ca="1">'Database MK'!GG216</f>
        <v>Sudah, OnSchedule</v>
      </c>
      <c r="Y215" s="7" t="str">
        <f ca="1">'Database MK'!GK216</f>
        <v>Sudah, Delay</v>
      </c>
      <c r="Z215" s="7" t="str">
        <f ca="1">'Database MK'!HH216</f>
        <v>Sudah, Delay</v>
      </c>
      <c r="AA215" s="7" t="str">
        <f ca="1">'Database MK'!HR216</f>
        <v>Sudah, Delay</v>
      </c>
      <c r="AB215" s="7" t="str">
        <f ca="1">'Database MK'!HX216</f>
        <v>Sudah, Delay</v>
      </c>
      <c r="AC215" s="7">
        <f>'Database MK'!DA216-'Database MK'!DB216</f>
        <v>0</v>
      </c>
      <c r="AD215" s="7">
        <f>'Database MK'!DA216-'Database MK'!DF216</f>
        <v>-8</v>
      </c>
      <c r="AE215" s="7">
        <f>'Database MK'!DK216-'Database MK'!DL216</f>
        <v>-18</v>
      </c>
      <c r="AF215" s="7">
        <f>'Database MK'!DK216-'Database MK'!DO216</f>
        <v>-29</v>
      </c>
      <c r="AG215" s="7">
        <f>'Database MK'!DU216-'Database MK'!DW216</f>
        <v>-39</v>
      </c>
      <c r="AH215" s="7">
        <f>IF('Database MK'!EB216="","Belum",'Database MK'!DU216-'Database MK'!EB216)</f>
        <v>-121</v>
      </c>
      <c r="AI215" s="7">
        <f>IF('Database MK'!EN216="","Belum",'Database MK'!EL216-'Database MK'!EN216)</f>
        <v>-342</v>
      </c>
      <c r="AJ215" s="7">
        <f>'Database MK'!FY216-'Database MK'!FZ216</f>
        <v>0</v>
      </c>
      <c r="AK215" s="7">
        <f>IF('Database MK'!GC216="","Belum",'Database MK'!GB216-'Database MK'!GC216)</f>
        <v>138</v>
      </c>
      <c r="AL215" s="7">
        <f>IF('Database MK'!GF216="","Belum",'Database MK'!GE216-'Database MK'!GF216)</f>
        <v>145</v>
      </c>
      <c r="AM215" s="279">
        <f>IF('Database MK'!GJ216="","Belum",'Database MK'!GI216-'Database MK'!GJ216)</f>
        <v>-2</v>
      </c>
      <c r="AN215" s="7">
        <f>IF('Database MK'!HG216="","Belum",'Database MK'!HF216-'Database MK'!HG216)</f>
        <v>-80</v>
      </c>
      <c r="AO215" s="7">
        <f>IF('Database MK'!HQ216="","Belum",'Database MK'!HN216-'Database MK'!HQ216)</f>
        <v>-73</v>
      </c>
      <c r="AP215" s="7">
        <f>IF('Database MK'!HW216="","Belum",'Database MK'!HU216-'Database MK'!HW216)</f>
        <v>-71</v>
      </c>
    </row>
    <row r="216" spans="2:42" hidden="1" x14ac:dyDescent="0.25">
      <c r="B216" s="7">
        <f>SUBTOTAL(3,$C$4:C216)</f>
        <v>74</v>
      </c>
      <c r="C216" s="269" t="s">
        <v>673</v>
      </c>
      <c r="D216" s="4" t="s">
        <v>1640</v>
      </c>
      <c r="E216" s="4" t="s">
        <v>1641</v>
      </c>
      <c r="F216" s="270">
        <v>45931</v>
      </c>
      <c r="G216" s="4" t="s">
        <v>247</v>
      </c>
      <c r="H216" s="4" t="str">
        <f ca="1">'Database MK'!Q217</f>
        <v>DPPP</v>
      </c>
      <c r="I216" s="24">
        <f>'Database MK'!S217</f>
        <v>1</v>
      </c>
      <c r="J216" s="24">
        <f>'Database MK'!T217</f>
        <v>1</v>
      </c>
      <c r="K216" s="571">
        <f>'Database MK'!U217</f>
        <v>0</v>
      </c>
      <c r="L216" s="561">
        <f>'Database MK'!V217</f>
        <v>375</v>
      </c>
      <c r="M216" s="561">
        <f>'Database MK'!W217</f>
        <v>387</v>
      </c>
      <c r="N216" s="561">
        <f>Table3[[#This Row],[Total Panjang Pipa Aktual]]-Table3[[#This Row],[Volume
BA MC-0]]</f>
        <v>12</v>
      </c>
      <c r="O216" s="7" t="str">
        <f ca="1">'Database MK'!DE217</f>
        <v>Sudah, OnSchedule</v>
      </c>
      <c r="P216" s="7" t="str">
        <f ca="1">'Database MK'!DI217</f>
        <v>Sudah, Delay</v>
      </c>
      <c r="Q216" s="7" t="str">
        <f ca="1">'Database MK'!DN217</f>
        <v>Sudah, Delay</v>
      </c>
      <c r="R216" s="7" t="str">
        <f ca="1">'Database MK'!DR217</f>
        <v>Sudah, Delay</v>
      </c>
      <c r="S216" s="7" t="str">
        <f ca="1">'Database MK'!EA217</f>
        <v>Sudah, Delay</v>
      </c>
      <c r="T216" s="7" t="str">
        <f ca="1">'Database MK'!EI217</f>
        <v>Sudah, Delay</v>
      </c>
      <c r="U216" s="7" t="str">
        <f ca="1">'Database MK'!ET217</f>
        <v>Sudah, Delay</v>
      </c>
      <c r="V216" s="7" t="str">
        <f ca="1">'Database MK'!GA217</f>
        <v>Belum, Delay</v>
      </c>
      <c r="W216" s="7" t="str">
        <f ca="1">'Database MK'!GD217</f>
        <v>Sudah, OnSchedule</v>
      </c>
      <c r="X216" s="7" t="str">
        <f ca="1">'Database MK'!GG217</f>
        <v>Sudah, OnSchedule</v>
      </c>
      <c r="Y216" s="7" t="str">
        <f ca="1">'Database MK'!GK217</f>
        <v>Sudah, Delay</v>
      </c>
      <c r="Z216" s="7" t="str">
        <f ca="1">'Database MK'!HH217</f>
        <v>Sudah, Delay</v>
      </c>
      <c r="AA216" s="7" t="str">
        <f ca="1">'Database MK'!HR217</f>
        <v>Sudah, Delay</v>
      </c>
      <c r="AB216" s="7" t="str">
        <f ca="1">'Database MK'!HX217</f>
        <v>Sudah, Delay</v>
      </c>
      <c r="AC216" s="7">
        <f>'Database MK'!DA217-'Database MK'!DB217</f>
        <v>6</v>
      </c>
      <c r="AD216" s="7">
        <f>'Database MK'!DA217-'Database MK'!DF217</f>
        <v>-5</v>
      </c>
      <c r="AE216" s="7">
        <f>'Database MK'!DK217-'Database MK'!DL217</f>
        <v>-5</v>
      </c>
      <c r="AF216" s="7">
        <f>'Database MK'!DK217-'Database MK'!DO217</f>
        <v>-36</v>
      </c>
      <c r="AG216" s="7">
        <f>'Database MK'!DU217-'Database MK'!DW217</f>
        <v>-26</v>
      </c>
      <c r="AH216" s="7">
        <f>IF('Database MK'!EB217="","Belum",'Database MK'!DU217-'Database MK'!EB217)</f>
        <v>-190</v>
      </c>
      <c r="AI216" s="7">
        <f>IF('Database MK'!EN217="","Belum",'Database MK'!EL217-'Database MK'!EN217)</f>
        <v>-405</v>
      </c>
      <c r="AJ216" s="7">
        <f>'Database MK'!FY217-'Database MK'!FZ217</f>
        <v>0</v>
      </c>
      <c r="AK216" s="7">
        <f>IF('Database MK'!GC217="","Belum",'Database MK'!GB217-'Database MK'!GC217)</f>
        <v>138</v>
      </c>
      <c r="AL216" s="7">
        <f>IF('Database MK'!GF217="","Belum",'Database MK'!GE217-'Database MK'!GF217)</f>
        <v>145</v>
      </c>
      <c r="AM216" s="279">
        <f>IF('Database MK'!GJ217="","Belum",'Database MK'!GI217-'Database MK'!GJ217)</f>
        <v>-2</v>
      </c>
      <c r="AN216" s="7">
        <f>IF('Database MK'!HG217="","Belum",'Database MK'!HF217-'Database MK'!HG217)</f>
        <v>-150</v>
      </c>
      <c r="AO216" s="7">
        <f>IF('Database MK'!HQ217="","Belum",'Database MK'!HN217-'Database MK'!HQ217)</f>
        <v>-136</v>
      </c>
      <c r="AP216" s="7">
        <f>IF('Database MK'!HW217="","Belum",'Database MK'!HU217-'Database MK'!HW217)</f>
        <v>-134</v>
      </c>
    </row>
    <row r="217" spans="2:42" hidden="1" x14ac:dyDescent="0.25">
      <c r="B217" s="7">
        <f>SUBTOTAL(3,$C$4:C217)</f>
        <v>74</v>
      </c>
      <c r="C217" s="269" t="s">
        <v>673</v>
      </c>
      <c r="D217" s="4" t="s">
        <v>1648</v>
      </c>
      <c r="E217" s="4" t="s">
        <v>1649</v>
      </c>
      <c r="F217" s="270">
        <v>45931</v>
      </c>
      <c r="G217" s="4" t="s">
        <v>247</v>
      </c>
      <c r="H217" s="4" t="str">
        <f ca="1">'Database MK'!Q218</f>
        <v>DPPP</v>
      </c>
      <c r="I217" s="24">
        <f>'Database MK'!S218</f>
        <v>1</v>
      </c>
      <c r="J217" s="24">
        <f>'Database MK'!T218</f>
        <v>1</v>
      </c>
      <c r="K217" s="571">
        <f>'Database MK'!U218</f>
        <v>0</v>
      </c>
      <c r="L217" s="561">
        <f>'Database MK'!V218</f>
        <v>1595</v>
      </c>
      <c r="M217" s="561">
        <f>'Database MK'!W218</f>
        <v>1647</v>
      </c>
      <c r="N217" s="561">
        <f>Table3[[#This Row],[Total Panjang Pipa Aktual]]-Table3[[#This Row],[Volume
BA MC-0]]</f>
        <v>52</v>
      </c>
      <c r="O217" s="7" t="str">
        <f ca="1">'Database MK'!DE218</f>
        <v>Sudah, OnSchedule</v>
      </c>
      <c r="P217" s="7" t="str">
        <f ca="1">'Database MK'!DI218</f>
        <v>Sudah, OnSchedule</v>
      </c>
      <c r="Q217" s="7" t="str">
        <f ca="1">'Database MK'!DN218</f>
        <v>Sudah, OnSchedule</v>
      </c>
      <c r="R217" s="7" t="str">
        <f ca="1">'Database MK'!DR218</f>
        <v>Sudah, Delay</v>
      </c>
      <c r="S217" s="7" t="str">
        <f ca="1">'Database MK'!EA218</f>
        <v>Sudah, OnSchedule</v>
      </c>
      <c r="T217" s="7" t="str">
        <f ca="1">'Database MK'!EI218</f>
        <v>Sudah, Delay</v>
      </c>
      <c r="U217" s="7" t="str">
        <f ca="1">'Database MK'!ET218</f>
        <v>Sudah, Delay</v>
      </c>
      <c r="V217" s="7" t="str">
        <f ca="1">'Database MK'!GA218</f>
        <v>Belum, Delay</v>
      </c>
      <c r="W217" s="7" t="str">
        <f ca="1">'Database MK'!GD218</f>
        <v>Sudah, OnSchedule</v>
      </c>
      <c r="X217" s="7" t="str">
        <f ca="1">'Database MK'!GG218</f>
        <v>Sudah, OnSchedule</v>
      </c>
      <c r="Y217" s="7" t="str">
        <f ca="1">'Database MK'!GK218</f>
        <v>Sudah, OnSchedule</v>
      </c>
      <c r="Z217" s="7" t="str">
        <f ca="1">'Database MK'!HH218</f>
        <v>Sudah, Delay</v>
      </c>
      <c r="AA217" s="7" t="str">
        <f ca="1">'Database MK'!HR218</f>
        <v>Sudah, Delay</v>
      </c>
      <c r="AB217" s="7" t="str">
        <f ca="1">'Database MK'!HX218</f>
        <v>Sudah, Delay</v>
      </c>
      <c r="AC217" s="7">
        <f>'Database MK'!DA218-'Database MK'!DB218</f>
        <v>17</v>
      </c>
      <c r="AD217" s="7">
        <f>'Database MK'!DA218-'Database MK'!DF218</f>
        <v>9</v>
      </c>
      <c r="AE217" s="7">
        <f>'Database MK'!DK218-'Database MK'!DL218</f>
        <v>25</v>
      </c>
      <c r="AF217" s="7">
        <f>'Database MK'!DK218-'Database MK'!DO218</f>
        <v>-29</v>
      </c>
      <c r="AG217" s="7">
        <f>'Database MK'!DU218-'Database MK'!DW218</f>
        <v>18</v>
      </c>
      <c r="AH217" s="7">
        <f>IF('Database MK'!EB218="","Belum",'Database MK'!DU218-'Database MK'!EB218)</f>
        <v>-269</v>
      </c>
      <c r="AI217" s="7">
        <f>IF('Database MK'!EN218="","Belum",'Database MK'!EL218-'Database MK'!EN218)</f>
        <v>-277</v>
      </c>
      <c r="AJ217" s="7">
        <f>'Database MK'!FY218-'Database MK'!FZ218</f>
        <v>0</v>
      </c>
      <c r="AK217" s="7">
        <f>IF('Database MK'!GC218="","Belum",'Database MK'!GB218-'Database MK'!GC218)</f>
        <v>0</v>
      </c>
      <c r="AL217" s="7">
        <f>IF('Database MK'!GF218="","Belum",'Database MK'!GE218-'Database MK'!GF218)</f>
        <v>7</v>
      </c>
      <c r="AM217" s="279">
        <f>IF('Database MK'!GJ218="","Belum",'Database MK'!GI218-'Database MK'!GJ218)</f>
        <v>12</v>
      </c>
      <c r="AN217" s="7">
        <f>IF('Database MK'!HG218="","Belum",'Database MK'!HF218-'Database MK'!HG218)</f>
        <v>-79</v>
      </c>
      <c r="AO217" s="7">
        <f>IF('Database MK'!HQ218="","Belum",'Database MK'!HN218-'Database MK'!HQ218)</f>
        <v>-161</v>
      </c>
      <c r="AP217" s="7">
        <f>IF('Database MK'!HW218="","Belum",'Database MK'!HU218-'Database MK'!HW218)</f>
        <v>-162</v>
      </c>
    </row>
    <row r="218" spans="2:42" hidden="1" x14ac:dyDescent="0.25">
      <c r="B218" s="7">
        <f>SUBTOTAL(3,$C$4:C218)</f>
        <v>74</v>
      </c>
      <c r="C218" s="269" t="s">
        <v>673</v>
      </c>
      <c r="D218" s="4" t="s">
        <v>1655</v>
      </c>
      <c r="E218" s="4" t="s">
        <v>1656</v>
      </c>
      <c r="F218" s="270">
        <v>45931</v>
      </c>
      <c r="G218" s="4" t="s">
        <v>247</v>
      </c>
      <c r="H218" s="4" t="str">
        <f ca="1">'Database MK'!Q219</f>
        <v>Proses Konstruksi</v>
      </c>
      <c r="I218" s="24">
        <f>'Database MK'!S219</f>
        <v>1</v>
      </c>
      <c r="J218" s="24">
        <f>'Database MK'!T219</f>
        <v>0.90117315102742679</v>
      </c>
      <c r="K218" s="571">
        <f>'Database MK'!U219</f>
        <v>-9.8826848972573211E-2</v>
      </c>
      <c r="L218" s="561">
        <f>'Database MK'!V219</f>
        <v>220</v>
      </c>
      <c r="M218" s="561">
        <f>'Database MK'!W219</f>
        <v>220</v>
      </c>
      <c r="N218" s="561">
        <f>Table3[[#This Row],[Total Panjang Pipa Aktual]]-Table3[[#This Row],[Volume
BA MC-0]]</f>
        <v>0</v>
      </c>
      <c r="O218" s="7" t="str">
        <f ca="1">'Database MK'!DE219</f>
        <v>Sudah, Delay</v>
      </c>
      <c r="P218" s="7" t="str">
        <f ca="1">'Database MK'!DI219</f>
        <v>Sudah, Delay</v>
      </c>
      <c r="Q218" s="7" t="str">
        <f ca="1">'Database MK'!DN219</f>
        <v>Sudah, Delay</v>
      </c>
      <c r="R218" s="7" t="str">
        <f ca="1">'Database MK'!DR219</f>
        <v>Sudah, Delay</v>
      </c>
      <c r="S218" s="7" t="str">
        <f ca="1">'Database MK'!EA219</f>
        <v>Sudah, Delay</v>
      </c>
      <c r="T218" s="7" t="str">
        <f ca="1">'Database MK'!EI219</f>
        <v>Sudah, Delay</v>
      </c>
      <c r="U218" s="7" t="str">
        <f ca="1">'Database MK'!ET219</f>
        <v>Belum, Delay</v>
      </c>
      <c r="V218" s="7" t="str">
        <f ca="1">'Database MK'!GA219</f>
        <v>Belum, Delay</v>
      </c>
      <c r="W218" s="7" t="str">
        <f ca="1">'Database MK'!GD219</f>
        <v>Sudah, OnSchedule</v>
      </c>
      <c r="X218" s="7" t="str">
        <f ca="1">'Database MK'!GG219</f>
        <v>Sudah, OnSchedule</v>
      </c>
      <c r="Y218" s="7" t="str">
        <f ca="1">'Database MK'!GK219</f>
        <v>Sudah, Delay</v>
      </c>
      <c r="Z218" s="7" t="str">
        <f ca="1">'Database MK'!HH219</f>
        <v>Belum, Delay</v>
      </c>
      <c r="AA218" s="7" t="str">
        <f ca="1">'Database MK'!HR219</f>
        <v>Belum, Delay</v>
      </c>
      <c r="AB218" s="7" t="str">
        <f ca="1">'Database MK'!HX219</f>
        <v>Belum, Delay</v>
      </c>
      <c r="AC218" s="7">
        <f>'Database MK'!DA219-'Database MK'!DB219</f>
        <v>-46</v>
      </c>
      <c r="AD218" s="7">
        <f>'Database MK'!DA219-'Database MK'!DF219</f>
        <v>-57</v>
      </c>
      <c r="AE218" s="7">
        <f>'Database MK'!DK219-'Database MK'!DL219</f>
        <v>-46</v>
      </c>
      <c r="AF218" s="7">
        <f>'Database MK'!DK219-'Database MK'!DO219</f>
        <v>-79</v>
      </c>
      <c r="AG218" s="7">
        <f>'Database MK'!DU219-'Database MK'!DW219</f>
        <v>-67</v>
      </c>
      <c r="AH218" s="7">
        <f>IF('Database MK'!EB219="","Belum",'Database MK'!DU219-'Database MK'!EB219)</f>
        <v>-106</v>
      </c>
      <c r="AI218" s="7" t="str">
        <f>IF('Database MK'!EN219="","Belum",'Database MK'!EL219-'Database MK'!EN219)</f>
        <v>Belum</v>
      </c>
      <c r="AJ218" s="7">
        <f>'Database MK'!FY219-'Database MK'!FZ219</f>
        <v>0</v>
      </c>
      <c r="AK218" s="7">
        <f>IF('Database MK'!GC219="","Belum",'Database MK'!GB219-'Database MK'!GC219)</f>
        <v>110</v>
      </c>
      <c r="AL218" s="7">
        <f>IF('Database MK'!GF219="","Belum",'Database MK'!GE219-'Database MK'!GF219)</f>
        <v>117</v>
      </c>
      <c r="AM218" s="279">
        <f>IF('Database MK'!GJ219="","Belum",'Database MK'!GI219-'Database MK'!GJ219)</f>
        <v>-29</v>
      </c>
      <c r="AN218" s="7" t="str">
        <f>IF('Database MK'!HG219="","Belum",'Database MK'!HF219-'Database MK'!HG219)</f>
        <v>Belum</v>
      </c>
      <c r="AO218" s="7" t="str">
        <f>IF('Database MK'!HQ219="","Belum",'Database MK'!HN219-'Database MK'!HQ219)</f>
        <v>Belum</v>
      </c>
      <c r="AP218" s="7" t="str">
        <f>IF('Database MK'!HW219="","Belum",'Database MK'!HU219-'Database MK'!HW219)</f>
        <v>Belum</v>
      </c>
    </row>
    <row r="219" spans="2:42" hidden="1" x14ac:dyDescent="0.25">
      <c r="B219" s="7">
        <f>SUBTOTAL(3,$C$4:C219)</f>
        <v>74</v>
      </c>
      <c r="C219" s="269" t="s">
        <v>673</v>
      </c>
      <c r="D219" s="4" t="s">
        <v>1664</v>
      </c>
      <c r="E219" s="4" t="s">
        <v>1665</v>
      </c>
      <c r="F219" s="270">
        <v>45931</v>
      </c>
      <c r="G219" s="4" t="s">
        <v>247</v>
      </c>
      <c r="H219" s="4" t="str">
        <f ca="1">'Database MK'!Q220</f>
        <v>DPPP</v>
      </c>
      <c r="I219" s="24">
        <f>'Database MK'!S220</f>
        <v>1</v>
      </c>
      <c r="J219" s="24">
        <f>'Database MK'!T220</f>
        <v>1</v>
      </c>
      <c r="K219" s="571">
        <f>'Database MK'!U220</f>
        <v>0</v>
      </c>
      <c r="L219" s="561">
        <f>'Database MK'!V220</f>
        <v>541</v>
      </c>
      <c r="M219" s="561">
        <f>'Database MK'!W220</f>
        <v>540</v>
      </c>
      <c r="N219" s="561">
        <f>Table3[[#This Row],[Total Panjang Pipa Aktual]]-Table3[[#This Row],[Volume
BA MC-0]]</f>
        <v>-1</v>
      </c>
      <c r="O219" s="7" t="str">
        <f ca="1">'Database MK'!DE220</f>
        <v>Sudah, OnSchedule</v>
      </c>
      <c r="P219" s="7" t="str">
        <f ca="1">'Database MK'!DI220</f>
        <v>Sudah, Delay</v>
      </c>
      <c r="Q219" s="7" t="str">
        <f ca="1">'Database MK'!DN220</f>
        <v>Sudah, Delay</v>
      </c>
      <c r="R219" s="7" t="str">
        <f ca="1">'Database MK'!DR220</f>
        <v>Sudah, Delay</v>
      </c>
      <c r="S219" s="7" t="str">
        <f ca="1">'Database MK'!EA220</f>
        <v>Sudah, Delay</v>
      </c>
      <c r="T219" s="7" t="str">
        <f ca="1">'Database MK'!EI220</f>
        <v>Sudah, Delay</v>
      </c>
      <c r="U219" s="7" t="str">
        <f ca="1">'Database MK'!ET220</f>
        <v>Sudah, Delay</v>
      </c>
      <c r="V219" s="7" t="str">
        <f ca="1">'Database MK'!GA220</f>
        <v>Belum, Delay</v>
      </c>
      <c r="W219" s="7" t="str">
        <f ca="1">'Database MK'!GD220</f>
        <v>Sudah, OnSchedule</v>
      </c>
      <c r="X219" s="7" t="str">
        <f ca="1">'Database MK'!GG220</f>
        <v>Sudah, OnSchedule</v>
      </c>
      <c r="Y219" s="7" t="str">
        <f ca="1">'Database MK'!GK220</f>
        <v>Sudah, Delay</v>
      </c>
      <c r="Z219" s="7" t="str">
        <f ca="1">'Database MK'!HH220</f>
        <v>Sudah, Delay</v>
      </c>
      <c r="AA219" s="7" t="str">
        <f ca="1">'Database MK'!HR220</f>
        <v>Sudah, Delay</v>
      </c>
      <c r="AB219" s="7" t="str">
        <f ca="1">'Database MK'!HX220</f>
        <v>Sudah, Delay</v>
      </c>
      <c r="AC219" s="7">
        <f>'Database MK'!DA220-'Database MK'!DB220</f>
        <v>6</v>
      </c>
      <c r="AD219" s="7">
        <f>'Database MK'!DA220-'Database MK'!DF220</f>
        <v>-5</v>
      </c>
      <c r="AE219" s="7">
        <f>'Database MK'!DK220-'Database MK'!DL220</f>
        <v>-18</v>
      </c>
      <c r="AF219" s="7">
        <f>'Database MK'!DK220-'Database MK'!DO220</f>
        <v>-38</v>
      </c>
      <c r="AG219" s="7">
        <f>'Database MK'!DU220-'Database MK'!DW220</f>
        <v>-39</v>
      </c>
      <c r="AH219" s="7">
        <f>IF('Database MK'!EB220="","Belum",'Database MK'!DU220-'Database MK'!EB220)</f>
        <v>-47</v>
      </c>
      <c r="AI219" s="7">
        <f>IF('Database MK'!EN220="","Belum",'Database MK'!EL220-'Database MK'!EN220)</f>
        <v>-405</v>
      </c>
      <c r="AJ219" s="7">
        <f>'Database MK'!FY220-'Database MK'!FZ220</f>
        <v>0</v>
      </c>
      <c r="AK219" s="7">
        <f>IF('Database MK'!GC220="","Belum",'Database MK'!GB220-'Database MK'!GC220)</f>
        <v>138</v>
      </c>
      <c r="AL219" s="7">
        <f>IF('Database MK'!GF220="","Belum",'Database MK'!GE220-'Database MK'!GF220)</f>
        <v>145</v>
      </c>
      <c r="AM219" s="279">
        <f>IF('Database MK'!GJ220="","Belum",'Database MK'!GI220-'Database MK'!GJ220)</f>
        <v>-2</v>
      </c>
      <c r="AN219" s="7">
        <f>IF('Database MK'!HG220="","Belum",'Database MK'!HF220-'Database MK'!HG220)</f>
        <v>-50</v>
      </c>
      <c r="AO219" s="7">
        <f>IF('Database MK'!HQ220="","Belum",'Database MK'!HN220-'Database MK'!HQ220)</f>
        <v>-133</v>
      </c>
      <c r="AP219" s="7">
        <f>IF('Database MK'!HW220="","Belum",'Database MK'!HU220-'Database MK'!HW220)</f>
        <v>-134</v>
      </c>
    </row>
    <row r="220" spans="2:42" s="72" customFormat="1" hidden="1" x14ac:dyDescent="0.25">
      <c r="B220" s="277">
        <f>SUBTOTAL(3,$C$4:C220)</f>
        <v>74</v>
      </c>
      <c r="C220" s="72" t="s">
        <v>673</v>
      </c>
      <c r="D220" s="72" t="s">
        <v>1674</v>
      </c>
      <c r="E220" s="72" t="s">
        <v>1675</v>
      </c>
      <c r="F220" s="272">
        <v>45931</v>
      </c>
      <c r="G220" s="72" t="s">
        <v>247</v>
      </c>
      <c r="H220" s="72" t="str">
        <f>'Database MK'!Q221</f>
        <v>BATAL / CANCEL</v>
      </c>
      <c r="I220" s="572">
        <f>'Database MK'!S221</f>
        <v>1</v>
      </c>
      <c r="J220" s="572">
        <f>'Database MK'!T221</f>
        <v>0</v>
      </c>
      <c r="K220" s="573">
        <f>'Database MK'!U221</f>
        <v>-1</v>
      </c>
      <c r="L220" s="562">
        <f>'Database MK'!V221</f>
        <v>200</v>
      </c>
      <c r="M220" s="562">
        <f>'Database MK'!W221</f>
        <v>0</v>
      </c>
      <c r="N220" s="562">
        <f>Table3[[#This Row],[Total Panjang Pipa Aktual]]-Table3[[#This Row],[Volume
BA MC-0]]</f>
        <v>-200</v>
      </c>
      <c r="O220" s="277" t="str">
        <f ca="1">'Database MK'!DE221</f>
        <v>Sudah, Delay</v>
      </c>
      <c r="P220" s="277" t="str">
        <f ca="1">'Database MK'!DI221</f>
        <v>Sudah, Delay</v>
      </c>
      <c r="Q220" s="277" t="str">
        <f ca="1">'Database MK'!DN221</f>
        <v>Belum, Delay</v>
      </c>
      <c r="R220" s="277" t="str">
        <f ca="1">'Database MK'!DR221</f>
        <v>Belum, Delay</v>
      </c>
      <c r="S220" s="277" t="str">
        <f ca="1">'Database MK'!EA221</f>
        <v>Belum, Delay</v>
      </c>
      <c r="T220" s="277" t="str">
        <f ca="1">'Database MK'!EI221</f>
        <v>Belum, Delay</v>
      </c>
      <c r="U220" s="277" t="str">
        <f ca="1">'Database MK'!ET221</f>
        <v>Belum, Delay</v>
      </c>
      <c r="V220" s="277" t="str">
        <f ca="1">'Database MK'!GA221</f>
        <v>Belum, Delay</v>
      </c>
      <c r="W220" s="277" t="str">
        <f ca="1">'Database MK'!GD221</f>
        <v>Sudah, OnSchedule</v>
      </c>
      <c r="X220" s="277" t="str">
        <f ca="1">'Database MK'!GG221</f>
        <v>Sudah, OnSchedule</v>
      </c>
      <c r="Y220" s="277" t="str">
        <f ca="1">'Database MK'!GK221</f>
        <v>Sudah, OnSchedule</v>
      </c>
      <c r="Z220" s="277" t="str">
        <f ca="1">'Database MK'!HH221</f>
        <v>Belum, Delay</v>
      </c>
      <c r="AA220" s="277" t="str">
        <f ca="1">'Database MK'!HR221</f>
        <v>Belum, Delay</v>
      </c>
      <c r="AB220" s="277" t="str">
        <f ca="1">'Database MK'!HX221</f>
        <v>Belum, Delay</v>
      </c>
      <c r="AC220" s="277"/>
      <c r="AD220" s="277"/>
      <c r="AE220" s="277"/>
      <c r="AF220" s="277"/>
      <c r="AG220" s="277"/>
      <c r="AH220" s="277"/>
      <c r="AI220" s="277"/>
      <c r="AJ220" s="277">
        <f>'Database MK'!FY221-'Database MK'!FZ221</f>
        <v>0</v>
      </c>
      <c r="AK220" s="277"/>
      <c r="AL220" s="277"/>
      <c r="AM220" s="280"/>
      <c r="AN220" s="277"/>
      <c r="AO220" s="277"/>
      <c r="AP220" s="277"/>
    </row>
    <row r="221" spans="2:42" hidden="1" x14ac:dyDescent="0.25">
      <c r="B221" s="7">
        <f>SUBTOTAL(3,$C$4:C221)</f>
        <v>74</v>
      </c>
      <c r="C221" s="269" t="s">
        <v>673</v>
      </c>
      <c r="D221" s="4" t="s">
        <v>1679</v>
      </c>
      <c r="E221" s="4" t="s">
        <v>1680</v>
      </c>
      <c r="F221" s="270">
        <v>45931</v>
      </c>
      <c r="G221" s="4" t="s">
        <v>247</v>
      </c>
      <c r="H221" s="4" t="str">
        <f ca="1">'Database MK'!Q222</f>
        <v>DPPP</v>
      </c>
      <c r="I221" s="24">
        <f>'Database MK'!S222</f>
        <v>1</v>
      </c>
      <c r="J221" s="24">
        <f>'Database MK'!T222</f>
        <v>1</v>
      </c>
      <c r="K221" s="571">
        <f>'Database MK'!U222</f>
        <v>0</v>
      </c>
      <c r="L221" s="561">
        <f>'Database MK'!V222</f>
        <v>6849</v>
      </c>
      <c r="M221" s="561">
        <f>'Database MK'!W222</f>
        <v>6830</v>
      </c>
      <c r="N221" s="561">
        <f>Table3[[#This Row],[Total Panjang Pipa Aktual]]-Table3[[#This Row],[Volume
BA MC-0]]</f>
        <v>-19</v>
      </c>
      <c r="O221" s="7" t="str">
        <f ca="1">'Database MK'!DE222</f>
        <v>Sudah, OnSchedule</v>
      </c>
      <c r="P221" s="7" t="str">
        <f ca="1">'Database MK'!DI222</f>
        <v>Sudah, Delay</v>
      </c>
      <c r="Q221" s="7" t="str">
        <f ca="1">'Database MK'!DN222</f>
        <v>Sudah, OnSchedule</v>
      </c>
      <c r="R221" s="7" t="str">
        <f ca="1">'Database MK'!DR222</f>
        <v>Sudah, Delay</v>
      </c>
      <c r="S221" s="7" t="str">
        <f ca="1">'Database MK'!EA222</f>
        <v>Sudah, OnSchedule</v>
      </c>
      <c r="T221" s="7" t="str">
        <f ca="1">'Database MK'!EI222</f>
        <v>Sudah, Delay</v>
      </c>
      <c r="U221" s="7" t="str">
        <f ca="1">'Database MK'!ET222</f>
        <v>Sudah, Delay</v>
      </c>
      <c r="V221" s="7" t="str">
        <f ca="1">'Database MK'!GA222</f>
        <v>Belum, Delay</v>
      </c>
      <c r="W221" s="7" t="str">
        <f ca="1">'Database MK'!GD222</f>
        <v>Sudah, OnSchedule</v>
      </c>
      <c r="X221" s="7" t="str">
        <f ca="1">'Database MK'!GG222</f>
        <v>Sudah, OnSchedule</v>
      </c>
      <c r="Y221" s="7" t="str">
        <f ca="1">'Database MK'!GK222</f>
        <v>Sudah, OnSchedule</v>
      </c>
      <c r="Z221" s="7" t="str">
        <f ca="1">'Database MK'!HH222</f>
        <v>Sudah, Delay</v>
      </c>
      <c r="AA221" s="7" t="str">
        <f ca="1">'Database MK'!HR222</f>
        <v>Sudah, Delay</v>
      </c>
      <c r="AB221" s="7" t="str">
        <f ca="1">'Database MK'!HX222</f>
        <v>Sudah, Delay</v>
      </c>
      <c r="AC221" s="7">
        <f>'Database MK'!DA222-'Database MK'!DB222</f>
        <v>27</v>
      </c>
      <c r="AD221" s="7">
        <f>'Database MK'!DA222-'Database MK'!DF222</f>
        <v>-141</v>
      </c>
      <c r="AE221" s="7">
        <f>'Database MK'!DK222-'Database MK'!DL222</f>
        <v>25</v>
      </c>
      <c r="AF221" s="7">
        <f>'Database MK'!DK222-'Database MK'!DO222</f>
        <v>-64</v>
      </c>
      <c r="AG221" s="7">
        <f>'Database MK'!DU222-'Database MK'!DW222</f>
        <v>18</v>
      </c>
      <c r="AH221" s="7">
        <f>IF('Database MK'!EB222="","Belum",'Database MK'!DU222-'Database MK'!EB222)</f>
        <v>-269</v>
      </c>
      <c r="AI221" s="7">
        <f>IF('Database MK'!EN222="","Belum",'Database MK'!EL222-'Database MK'!EN222)</f>
        <v>-408</v>
      </c>
      <c r="AJ221" s="7">
        <f>'Database MK'!FY222-'Database MK'!FZ222</f>
        <v>0</v>
      </c>
      <c r="AK221" s="7">
        <f>IF('Database MK'!GC222="","Belum",'Database MK'!GB222-'Database MK'!GC222)</f>
        <v>0</v>
      </c>
      <c r="AL221" s="7">
        <f>IF('Database MK'!GF222="","Belum",'Database MK'!GE222-'Database MK'!GF222)</f>
        <v>7</v>
      </c>
      <c r="AM221" s="279">
        <f>IF('Database MK'!GJ222="","Belum",'Database MK'!GI222-'Database MK'!GJ222)</f>
        <v>12</v>
      </c>
      <c r="AN221" s="7">
        <f>IF('Database MK'!HG222="","Belum",'Database MK'!HF222-'Database MK'!HG222)</f>
        <v>-173</v>
      </c>
      <c r="AO221" s="7">
        <f>IF('Database MK'!HQ222="","Belum",'Database MK'!HN222-'Database MK'!HQ222)</f>
        <v>-161</v>
      </c>
      <c r="AP221" s="7">
        <f>IF('Database MK'!HW222="","Belum",'Database MK'!HU222-'Database MK'!HW222)</f>
        <v>-162</v>
      </c>
    </row>
    <row r="222" spans="2:42" hidden="1" x14ac:dyDescent="0.25">
      <c r="B222" s="7">
        <f>SUBTOTAL(3,$C$4:C222)</f>
        <v>74</v>
      </c>
      <c r="C222" s="269" t="s">
        <v>673</v>
      </c>
      <c r="D222" s="4" t="s">
        <v>1687</v>
      </c>
      <c r="E222" s="4" t="s">
        <v>1688</v>
      </c>
      <c r="F222" s="270">
        <v>45931</v>
      </c>
      <c r="G222" s="4" t="s">
        <v>247</v>
      </c>
      <c r="H222" s="4" t="str">
        <f ca="1">'Database MK'!Q223</f>
        <v>Flushing</v>
      </c>
      <c r="I222" s="24">
        <f>'Database MK'!S223</f>
        <v>1</v>
      </c>
      <c r="J222" s="24">
        <f>'Database MK'!T223</f>
        <v>0.94206072134420127</v>
      </c>
      <c r="K222" s="571">
        <f>'Database MK'!U223</f>
        <v>-5.7939278655798732E-2</v>
      </c>
      <c r="L222" s="561">
        <f>'Database MK'!V223</f>
        <v>15593</v>
      </c>
      <c r="M222" s="561">
        <f>'Database MK'!W223</f>
        <v>14577</v>
      </c>
      <c r="N222" s="561">
        <f>Table3[[#This Row],[Total Panjang Pipa Aktual]]-Table3[[#This Row],[Volume
BA MC-0]]</f>
        <v>-1016</v>
      </c>
      <c r="O222" s="7" t="str">
        <f ca="1">'Database MK'!DE223</f>
        <v>Sudah, OnSchedule</v>
      </c>
      <c r="P222" s="7" t="str">
        <f ca="1">'Database MK'!DI223</f>
        <v>Sudah, OnSchedule</v>
      </c>
      <c r="Q222" s="7" t="str">
        <f ca="1">'Database MK'!DN223</f>
        <v>Sudah, OnSchedule</v>
      </c>
      <c r="R222" s="7" t="str">
        <f ca="1">'Database MK'!DR223</f>
        <v>Sudah, Delay</v>
      </c>
      <c r="S222" s="7" t="str">
        <f ca="1">'Database MK'!EA223</f>
        <v>Sudah, Delay</v>
      </c>
      <c r="T222" s="7" t="str">
        <f ca="1">'Database MK'!EI223</f>
        <v>Belum, Delay</v>
      </c>
      <c r="U222" s="7" t="str">
        <f ca="1">'Database MK'!ET223</f>
        <v>Belum, Delay</v>
      </c>
      <c r="V222" s="7" t="str">
        <f ca="1">'Database MK'!GA223</f>
        <v>Belum, Delay</v>
      </c>
      <c r="W222" s="7" t="str">
        <f ca="1">'Database MK'!GD223</f>
        <v>Sudah, Delay</v>
      </c>
      <c r="X222" s="7" t="str">
        <f ca="1">'Database MK'!GG223</f>
        <v>Sudah, Delay</v>
      </c>
      <c r="Y222" s="7" t="str">
        <f ca="1">'Database MK'!GK223</f>
        <v>Sudah, Delay</v>
      </c>
      <c r="Z222" s="7" t="str">
        <f ca="1">'Database MK'!HH223</f>
        <v>Belum, Delay</v>
      </c>
      <c r="AA222" s="7" t="str">
        <f ca="1">'Database MK'!HR223</f>
        <v>Belum, Delay</v>
      </c>
      <c r="AB222" s="7" t="str">
        <f ca="1">'Database MK'!HX223</f>
        <v>Belum, Delay</v>
      </c>
      <c r="AC222" s="7">
        <f>'Database MK'!DA223-'Database MK'!DB223</f>
        <v>108</v>
      </c>
      <c r="AD222" s="7">
        <f>'Database MK'!DA223-'Database MK'!DF223</f>
        <v>96</v>
      </c>
      <c r="AE222" s="7">
        <f>'Database MK'!DK223-'Database MK'!DL223</f>
        <v>10</v>
      </c>
      <c r="AF222" s="7">
        <f>'Database MK'!DK223-'Database MK'!DO223</f>
        <v>-15</v>
      </c>
      <c r="AG222" s="7">
        <f>'Database MK'!DU223-'Database MK'!DW223</f>
        <v>-284</v>
      </c>
      <c r="AH222" s="7" t="str">
        <f>IF('Database MK'!EB223="","Belum",'Database MK'!DU223-'Database MK'!EB223)</f>
        <v>Belum</v>
      </c>
      <c r="AI222" s="7" t="str">
        <f>IF('Database MK'!EN223="","Belum",'Database MK'!EL223-'Database MK'!EN223)</f>
        <v>Belum</v>
      </c>
      <c r="AJ222" s="7">
        <f>'Database MK'!FY223-'Database MK'!FZ223</f>
        <v>0</v>
      </c>
      <c r="AK222" s="7">
        <f>IF('Database MK'!GC223="","Belum",'Database MK'!GB223-'Database MK'!GC223)</f>
        <v>-54</v>
      </c>
      <c r="AL222" s="7">
        <f>IF('Database MK'!GF223="","Belum",'Database MK'!GE223-'Database MK'!GF223)</f>
        <v>-61</v>
      </c>
      <c r="AM222" s="279">
        <f>IF('Database MK'!GJ223="","Belum",'Database MK'!GI223-'Database MK'!GJ223)</f>
        <v>-72</v>
      </c>
      <c r="AN222" s="7" t="str">
        <f>IF('Database MK'!HG223="","Belum",'Database MK'!HF223-'Database MK'!HG223)</f>
        <v>Belum</v>
      </c>
      <c r="AO222" s="7" t="str">
        <f>IF('Database MK'!HQ223="","Belum",'Database MK'!HN223-'Database MK'!HQ223)</f>
        <v>Belum</v>
      </c>
      <c r="AP222" s="7" t="str">
        <f>IF('Database MK'!HW223="","Belum",'Database MK'!HU223-'Database MK'!HW223)</f>
        <v>Belum</v>
      </c>
    </row>
    <row r="223" spans="2:42" hidden="1" x14ac:dyDescent="0.25">
      <c r="B223" s="7">
        <f>SUBTOTAL(3,$C$4:C223)</f>
        <v>74</v>
      </c>
      <c r="C223" s="269" t="s">
        <v>673</v>
      </c>
      <c r="D223" s="4" t="s">
        <v>1696</v>
      </c>
      <c r="E223" s="4" t="s">
        <v>1697</v>
      </c>
      <c r="F223" s="270">
        <v>45931</v>
      </c>
      <c r="G223" s="4" t="s">
        <v>247</v>
      </c>
      <c r="H223" s="4" t="str">
        <f ca="1">'Database MK'!Q224</f>
        <v>Proses Konstruksi</v>
      </c>
      <c r="I223" s="24">
        <f>'Database MK'!S224</f>
        <v>1</v>
      </c>
      <c r="J223" s="24">
        <f>'Database MK'!T224</f>
        <v>0.9304821308518475</v>
      </c>
      <c r="K223" s="571">
        <f>'Database MK'!U224</f>
        <v>-6.95178691481525E-2</v>
      </c>
      <c r="L223" s="561">
        <f>'Database MK'!V224</f>
        <v>20298</v>
      </c>
      <c r="M223" s="561">
        <f>'Database MK'!W224</f>
        <v>21356</v>
      </c>
      <c r="N223" s="561">
        <f>Table3[[#This Row],[Total Panjang Pipa Aktual]]-Table3[[#This Row],[Volume
BA MC-0]]</f>
        <v>1058</v>
      </c>
      <c r="O223" s="7" t="str">
        <f ca="1">'Database MK'!DE224</f>
        <v>Sudah, OnSchedule</v>
      </c>
      <c r="P223" s="7" t="str">
        <f ca="1">'Database MK'!DI224</f>
        <v>Sudah, OnSchedule</v>
      </c>
      <c r="Q223" s="7" t="str">
        <f ca="1">'Database MK'!DN224</f>
        <v>Sudah, OnSchedule</v>
      </c>
      <c r="R223" s="7" t="str">
        <f ca="1">'Database MK'!DR224</f>
        <v>Sudah, Delay</v>
      </c>
      <c r="S223" s="7" t="str">
        <f ca="1">'Database MK'!EA224</f>
        <v>Sudah, OnSchedule</v>
      </c>
      <c r="T223" s="7" t="str">
        <f ca="1">'Database MK'!EI224</f>
        <v>Sudah, Delay</v>
      </c>
      <c r="U223" s="7" t="str">
        <f ca="1">'Database MK'!ET224</f>
        <v>Belum, Delay</v>
      </c>
      <c r="V223" s="7" t="str">
        <f ca="1">'Database MK'!GA224</f>
        <v>Belum, Delay</v>
      </c>
      <c r="W223" s="7" t="str">
        <f ca="1">'Database MK'!GD224</f>
        <v>Sudah, Delay</v>
      </c>
      <c r="X223" s="7" t="str">
        <f ca="1">'Database MK'!GG224</f>
        <v>Sudah, Delay</v>
      </c>
      <c r="Y223" s="7" t="str">
        <f ca="1">'Database MK'!GK224</f>
        <v>Sudah, Delay</v>
      </c>
      <c r="Z223" s="7" t="str">
        <f ca="1">'Database MK'!HH224</f>
        <v>Belum, Delay</v>
      </c>
      <c r="AA223" s="7" t="str">
        <f ca="1">'Database MK'!HR224</f>
        <v>Belum, Delay</v>
      </c>
      <c r="AB223" s="7" t="str">
        <f ca="1">'Database MK'!HX224</f>
        <v>Belum, Delay</v>
      </c>
      <c r="AC223" s="7">
        <f>'Database MK'!DA224-'Database MK'!DB224</f>
        <v>108</v>
      </c>
      <c r="AD223" s="7">
        <f>'Database MK'!DA224-'Database MK'!DF224</f>
        <v>96</v>
      </c>
      <c r="AE223" s="7">
        <f>'Database MK'!DK224-'Database MK'!DL224</f>
        <v>18</v>
      </c>
      <c r="AF223" s="7">
        <f>'Database MK'!DK224-'Database MK'!DO224</f>
        <v>-44</v>
      </c>
      <c r="AG223" s="7">
        <f>'Database MK'!DU224-'Database MK'!DW224</f>
        <v>20</v>
      </c>
      <c r="AH223" s="7">
        <f>IF('Database MK'!EB224="","Belum",'Database MK'!DU224-'Database MK'!EB224)</f>
        <v>-226</v>
      </c>
      <c r="AI223" s="7" t="str">
        <f>IF('Database MK'!EN224="","Belum",'Database MK'!EL224-'Database MK'!EN224)</f>
        <v>Belum</v>
      </c>
      <c r="AJ223" s="7">
        <f>'Database MK'!FY224-'Database MK'!FZ224</f>
        <v>0</v>
      </c>
      <c r="AK223" s="7">
        <f>IF('Database MK'!GC224="","Belum",'Database MK'!GB224-'Database MK'!GC224)</f>
        <v>-54</v>
      </c>
      <c r="AL223" s="7">
        <f>IF('Database MK'!GF224="","Belum",'Database MK'!GE224-'Database MK'!GF224)</f>
        <v>-61</v>
      </c>
      <c r="AM223" s="279">
        <f>IF('Database MK'!GJ224="","Belum",'Database MK'!GI224-'Database MK'!GJ224)</f>
        <v>-73</v>
      </c>
      <c r="AN223" s="7" t="str">
        <f>IF('Database MK'!HG224="","Belum",'Database MK'!HF224-'Database MK'!HG224)</f>
        <v>Belum</v>
      </c>
      <c r="AO223" s="7" t="str">
        <f>IF('Database MK'!HQ224="","Belum",'Database MK'!HN224-'Database MK'!HQ224)</f>
        <v>Belum</v>
      </c>
      <c r="AP223" s="7" t="str">
        <f>IF('Database MK'!HW224="","Belum",'Database MK'!HU224-'Database MK'!HW224)</f>
        <v>Belum</v>
      </c>
    </row>
    <row r="224" spans="2:42" hidden="1" x14ac:dyDescent="0.25">
      <c r="B224" s="7">
        <f>SUBTOTAL(3,$C$4:C224)</f>
        <v>74</v>
      </c>
      <c r="C224" s="269" t="s">
        <v>673</v>
      </c>
      <c r="D224" s="4" t="s">
        <v>1706</v>
      </c>
      <c r="E224" s="4" t="s">
        <v>1707</v>
      </c>
      <c r="F224" s="270">
        <v>45931</v>
      </c>
      <c r="G224" s="4" t="s">
        <v>247</v>
      </c>
      <c r="H224" s="4" t="str">
        <f ca="1">'Database MK'!Q225</f>
        <v>Proses Konstruksi</v>
      </c>
      <c r="I224" s="24">
        <f>'Database MK'!S225</f>
        <v>1</v>
      </c>
      <c r="J224" s="24">
        <f>'Database MK'!T225</f>
        <v>0.89781398847195915</v>
      </c>
      <c r="K224" s="571">
        <f>'Database MK'!U225</f>
        <v>-0.10218601152804085</v>
      </c>
      <c r="L224" s="561">
        <f>'Database MK'!V225</f>
        <v>23500</v>
      </c>
      <c r="M224" s="561">
        <f>'Database MK'!W225</f>
        <v>22072</v>
      </c>
      <c r="N224" s="561">
        <f>Table3[[#This Row],[Total Panjang Pipa Aktual]]-Table3[[#This Row],[Volume
BA MC-0]]</f>
        <v>-1428</v>
      </c>
      <c r="O224" s="7" t="str">
        <f ca="1">'Database MK'!DE225</f>
        <v>Sudah, OnSchedule</v>
      </c>
      <c r="P224" s="7" t="str">
        <f ca="1">'Database MK'!DI225</f>
        <v>Sudah, OnSchedule</v>
      </c>
      <c r="Q224" s="7" t="str">
        <f ca="1">'Database MK'!DN225</f>
        <v>Sudah, OnSchedule</v>
      </c>
      <c r="R224" s="7" t="str">
        <f ca="1">'Database MK'!DR225</f>
        <v>Sudah, Delay</v>
      </c>
      <c r="S224" s="7" t="str">
        <f ca="1">'Database MK'!EA225</f>
        <v>Sudah, Delay</v>
      </c>
      <c r="T224" s="7" t="str">
        <f ca="1">'Database MK'!EI225</f>
        <v>Sudah, Delay</v>
      </c>
      <c r="U224" s="7" t="str">
        <f ca="1">'Database MK'!ET225</f>
        <v>Belum, Delay</v>
      </c>
      <c r="V224" s="7" t="str">
        <f ca="1">'Database MK'!GA225</f>
        <v>Belum, Delay</v>
      </c>
      <c r="W224" s="7" t="str">
        <f ca="1">'Database MK'!GD225</f>
        <v>Sudah, Delay</v>
      </c>
      <c r="X224" s="7" t="str">
        <f ca="1">'Database MK'!GG225</f>
        <v>Sudah, Delay</v>
      </c>
      <c r="Y224" s="7" t="str">
        <f ca="1">'Database MK'!GK225</f>
        <v>Sudah, Delay</v>
      </c>
      <c r="Z224" s="7" t="str">
        <f ca="1">'Database MK'!HH225</f>
        <v>Belum, Delay</v>
      </c>
      <c r="AA224" s="7" t="str">
        <f ca="1">'Database MK'!HR225</f>
        <v>Belum, Delay</v>
      </c>
      <c r="AB224" s="7" t="str">
        <f ca="1">'Database MK'!HX225</f>
        <v>Belum, Delay</v>
      </c>
      <c r="AC224" s="7">
        <f>'Database MK'!DA225-'Database MK'!DB225</f>
        <v>108</v>
      </c>
      <c r="AD224" s="7">
        <f>'Database MK'!DA225-'Database MK'!DF225</f>
        <v>96</v>
      </c>
      <c r="AE224" s="7">
        <f>'Database MK'!DK225-'Database MK'!DL225</f>
        <v>18</v>
      </c>
      <c r="AF224" s="7">
        <f>'Database MK'!DK225-'Database MK'!DO225</f>
        <v>-15</v>
      </c>
      <c r="AG224" s="7">
        <f>'Database MK'!DU225-'Database MK'!DW225</f>
        <v>-104</v>
      </c>
      <c r="AH224" s="7">
        <f>IF('Database MK'!EB225="","Belum",'Database MK'!DU225-'Database MK'!EB225)</f>
        <v>-218</v>
      </c>
      <c r="AI224" s="7" t="str">
        <f>IF('Database MK'!EN225="","Belum",'Database MK'!EL225-'Database MK'!EN225)</f>
        <v>Belum</v>
      </c>
      <c r="AJ224" s="7">
        <f>'Database MK'!FY225-'Database MK'!FZ225</f>
        <v>0</v>
      </c>
      <c r="AK224" s="7">
        <f>IF('Database MK'!GC225="","Belum",'Database MK'!GB225-'Database MK'!GC225)</f>
        <v>-54</v>
      </c>
      <c r="AL224" s="7">
        <f>IF('Database MK'!GF225="","Belum",'Database MK'!GE225-'Database MK'!GF225)</f>
        <v>-61</v>
      </c>
      <c r="AM224" s="279">
        <f>IF('Database MK'!GJ225="","Belum",'Database MK'!GI225-'Database MK'!GJ225)</f>
        <v>-67</v>
      </c>
      <c r="AN224" s="7" t="str">
        <f>IF('Database MK'!HG225="","Belum",'Database MK'!HF225-'Database MK'!HG225)</f>
        <v>Belum</v>
      </c>
      <c r="AO224" s="7" t="str">
        <f>IF('Database MK'!HQ225="","Belum",'Database MK'!HN225-'Database MK'!HQ225)</f>
        <v>Belum</v>
      </c>
      <c r="AP224" s="7" t="str">
        <f>IF('Database MK'!HW225="","Belum",'Database MK'!HU225-'Database MK'!HW225)</f>
        <v>Belum</v>
      </c>
    </row>
    <row r="225" spans="2:42" hidden="1" x14ac:dyDescent="0.25">
      <c r="B225" s="7">
        <f>SUBTOTAL(3,$C$4:C225)</f>
        <v>74</v>
      </c>
      <c r="C225" s="269" t="s">
        <v>673</v>
      </c>
      <c r="D225" s="4" t="s">
        <v>1715</v>
      </c>
      <c r="E225" s="4" t="s">
        <v>1716</v>
      </c>
      <c r="F225" s="270">
        <v>45931</v>
      </c>
      <c r="G225" s="4" t="s">
        <v>247</v>
      </c>
      <c r="H225" s="4" t="str">
        <f ca="1">'Database MK'!Q226</f>
        <v>Proses Konstruksi</v>
      </c>
      <c r="I225" s="24">
        <f>'Database MK'!S226</f>
        <v>1</v>
      </c>
      <c r="J225" s="24">
        <f>'Database MK'!T226</f>
        <v>0.63846090235737296</v>
      </c>
      <c r="K225" s="571">
        <f>'Database MK'!U226</f>
        <v>-0.36153909764262704</v>
      </c>
      <c r="L225" s="561">
        <f>'Database MK'!V226</f>
        <v>11490</v>
      </c>
      <c r="M225" s="561">
        <f>'Database MK'!W226</f>
        <v>7537</v>
      </c>
      <c r="N225" s="561">
        <f>Table3[[#This Row],[Total Panjang Pipa Aktual]]-Table3[[#This Row],[Volume
BA MC-0]]</f>
        <v>-3953</v>
      </c>
      <c r="O225" s="7" t="str">
        <f ca="1">'Database MK'!DE226</f>
        <v>Sudah, OnSchedule</v>
      </c>
      <c r="P225" s="7" t="str">
        <f ca="1">'Database MK'!DI226</f>
        <v>Sudah, OnSchedule</v>
      </c>
      <c r="Q225" s="7" t="str">
        <f ca="1">'Database MK'!DN226</f>
        <v>Sudah, OnSchedule</v>
      </c>
      <c r="R225" s="7" t="str">
        <f ca="1">'Database MK'!DR226</f>
        <v>Sudah, Delay</v>
      </c>
      <c r="S225" s="7" t="str">
        <f ca="1">'Database MK'!EA226</f>
        <v>Sudah, Delay</v>
      </c>
      <c r="T225" s="7" t="str">
        <f ca="1">'Database MK'!EI226</f>
        <v>Sudah, Delay</v>
      </c>
      <c r="U225" s="7" t="str">
        <f ca="1">'Database MK'!ET226</f>
        <v>Belum, Delay</v>
      </c>
      <c r="V225" s="7" t="str">
        <f ca="1">'Database MK'!GA226</f>
        <v>Belum, Delay</v>
      </c>
      <c r="W225" s="7" t="str">
        <f ca="1">'Database MK'!GD226</f>
        <v>Sudah, Delay</v>
      </c>
      <c r="X225" s="7" t="str">
        <f ca="1">'Database MK'!GG226</f>
        <v>Sudah, Delay</v>
      </c>
      <c r="Y225" s="7" t="str">
        <f ca="1">'Database MK'!GK226</f>
        <v>Sudah, Delay</v>
      </c>
      <c r="Z225" s="7" t="str">
        <f ca="1">'Database MK'!HH226</f>
        <v>Belum, Delay</v>
      </c>
      <c r="AA225" s="7" t="str">
        <f ca="1">'Database MK'!HR226</f>
        <v>Belum, Delay</v>
      </c>
      <c r="AB225" s="7" t="str">
        <f ca="1">'Database MK'!HX226</f>
        <v>Belum, Delay</v>
      </c>
      <c r="AC225" s="7">
        <f>'Database MK'!DA226-'Database MK'!DB226</f>
        <v>105</v>
      </c>
      <c r="AD225" s="7">
        <f>'Database MK'!DA226-'Database MK'!DF226</f>
        <v>95</v>
      </c>
      <c r="AE225" s="7">
        <f>'Database MK'!DK226-'Database MK'!DL226</f>
        <v>17</v>
      </c>
      <c r="AF225" s="7">
        <f>'Database MK'!DK226-'Database MK'!DO226</f>
        <v>-11</v>
      </c>
      <c r="AG225" s="7">
        <f>'Database MK'!DU226-'Database MK'!DW226</f>
        <v>-104</v>
      </c>
      <c r="AH225" s="7">
        <f>IF('Database MK'!EB226="","Belum",'Database MK'!DU226-'Database MK'!EB226)</f>
        <v>-127</v>
      </c>
      <c r="AI225" s="7" t="str">
        <f>IF('Database MK'!EN226="","Belum",'Database MK'!EL226-'Database MK'!EN226)</f>
        <v>Belum</v>
      </c>
      <c r="AJ225" s="7">
        <f>'Database MK'!FY226-'Database MK'!FZ226</f>
        <v>0</v>
      </c>
      <c r="AK225" s="7">
        <f>IF('Database MK'!GC226="","Belum",'Database MK'!GB226-'Database MK'!GC226)</f>
        <v>-54</v>
      </c>
      <c r="AL225" s="7">
        <f>IF('Database MK'!GF226="","Belum",'Database MK'!GE226-'Database MK'!GF226)</f>
        <v>-61</v>
      </c>
      <c r="AM225" s="279">
        <f>IF('Database MK'!GJ226="","Belum",'Database MK'!GI226-'Database MK'!GJ226)</f>
        <v>-71</v>
      </c>
      <c r="AN225" s="7" t="str">
        <f>IF('Database MK'!HG226="","Belum",'Database MK'!HF226-'Database MK'!HG226)</f>
        <v>Belum</v>
      </c>
      <c r="AO225" s="7" t="str">
        <f>IF('Database MK'!HQ226="","Belum",'Database MK'!HN226-'Database MK'!HQ226)</f>
        <v>Belum</v>
      </c>
      <c r="AP225" s="7" t="str">
        <f>IF('Database MK'!HW226="","Belum",'Database MK'!HU226-'Database MK'!HW226)</f>
        <v>Belum</v>
      </c>
    </row>
    <row r="226" spans="2:42" hidden="1" x14ac:dyDescent="0.25">
      <c r="B226" s="7">
        <f>SUBTOTAL(3,$C$4:C226)</f>
        <v>74</v>
      </c>
      <c r="C226" s="269" t="s">
        <v>673</v>
      </c>
      <c r="D226" s="4" t="s">
        <v>1725</v>
      </c>
      <c r="E226" s="4" t="s">
        <v>1726</v>
      </c>
      <c r="F226" s="270">
        <v>45931</v>
      </c>
      <c r="G226" s="4" t="s">
        <v>247</v>
      </c>
      <c r="H226" s="4" t="str">
        <f ca="1">'Database MK'!Q227</f>
        <v>Proses Konstruksi</v>
      </c>
      <c r="I226" s="24">
        <f>'Database MK'!S227</f>
        <v>1</v>
      </c>
      <c r="J226" s="24">
        <f>'Database MK'!T227</f>
        <v>0.92093927029196132</v>
      </c>
      <c r="K226" s="571">
        <f>'Database MK'!U227</f>
        <v>-7.9060729708038679E-2</v>
      </c>
      <c r="L226" s="561">
        <f>'Database MK'!V227</f>
        <v>5343</v>
      </c>
      <c r="M226" s="561">
        <f>'Database MK'!W227</f>
        <v>4866</v>
      </c>
      <c r="N226" s="561">
        <f>Table3[[#This Row],[Total Panjang Pipa Aktual]]-Table3[[#This Row],[Volume
BA MC-0]]</f>
        <v>-477</v>
      </c>
      <c r="O226" s="7" t="str">
        <f ca="1">'Database MK'!DE227</f>
        <v>Sudah, OnSchedule</v>
      </c>
      <c r="P226" s="7" t="str">
        <f ca="1">'Database MK'!DI227</f>
        <v>Sudah, OnSchedule</v>
      </c>
      <c r="Q226" s="7" t="str">
        <f ca="1">'Database MK'!DN227</f>
        <v>Sudah, OnSchedule</v>
      </c>
      <c r="R226" s="7" t="str">
        <f ca="1">'Database MK'!DR227</f>
        <v>Sudah, Delay</v>
      </c>
      <c r="S226" s="7" t="str">
        <f ca="1">'Database MK'!EA227</f>
        <v>Sudah, OnSchedule</v>
      </c>
      <c r="T226" s="7" t="str">
        <f ca="1">'Database MK'!EI227</f>
        <v>Sudah, OnSchedule</v>
      </c>
      <c r="U226" s="7" t="str">
        <f ca="1">'Database MK'!ET227</f>
        <v>Sudah, Delay</v>
      </c>
      <c r="V226" s="7" t="str">
        <f ca="1">'Database MK'!GA227</f>
        <v>Belum, Delay</v>
      </c>
      <c r="W226" s="7" t="str">
        <f ca="1">'Database MK'!GD227</f>
        <v>Sudah, Delay</v>
      </c>
      <c r="X226" s="7" t="str">
        <f ca="1">'Database MK'!GG227</f>
        <v>Sudah, Delay</v>
      </c>
      <c r="Y226" s="7" t="str">
        <f ca="1">'Database MK'!GK227</f>
        <v>Sudah, Delay</v>
      </c>
      <c r="Z226" s="7" t="str">
        <f ca="1">'Database MK'!HH227</f>
        <v>Belum, Delay</v>
      </c>
      <c r="AA226" s="7" t="str">
        <f ca="1">'Database MK'!HR227</f>
        <v>Belum, Delay</v>
      </c>
      <c r="AB226" s="7" t="str">
        <f ca="1">'Database MK'!HX227</f>
        <v>Belum, Delay</v>
      </c>
      <c r="AC226" s="7">
        <f>'Database MK'!DA227-'Database MK'!DB227</f>
        <v>105</v>
      </c>
      <c r="AD226" s="7">
        <f>'Database MK'!DA227-'Database MK'!DF227</f>
        <v>87</v>
      </c>
      <c r="AE226" s="7">
        <f>'Database MK'!DK227-'Database MK'!DL227</f>
        <v>16</v>
      </c>
      <c r="AF226" s="7">
        <f>'Database MK'!DK227-'Database MK'!DO227</f>
        <v>-11</v>
      </c>
      <c r="AG226" s="7">
        <f>'Database MK'!DU227-'Database MK'!DW227</f>
        <v>16</v>
      </c>
      <c r="AH226" s="7">
        <f>IF('Database MK'!EB227="","Belum",'Database MK'!DU227-'Database MK'!EB227)</f>
        <v>9</v>
      </c>
      <c r="AI226" s="7">
        <f>IF('Database MK'!EN227="","Belum",'Database MK'!EL227-'Database MK'!EN227)</f>
        <v>-145</v>
      </c>
      <c r="AJ226" s="7">
        <f>'Database MK'!FY227-'Database MK'!FZ227</f>
        <v>0</v>
      </c>
      <c r="AK226" s="7">
        <f>IF('Database MK'!GC227="","Belum",'Database MK'!GB227-'Database MK'!GC227)</f>
        <v>-54</v>
      </c>
      <c r="AL226" s="7">
        <f>IF('Database MK'!GF227="","Belum",'Database MK'!GE227-'Database MK'!GF227)</f>
        <v>-61</v>
      </c>
      <c r="AM226" s="279">
        <f>IF('Database MK'!GJ227="","Belum",'Database MK'!GI227-'Database MK'!GJ227)</f>
        <v>-65</v>
      </c>
      <c r="AN226" s="7" t="str">
        <f>IF('Database MK'!HG227="","Belum",'Database MK'!HF227-'Database MK'!HG227)</f>
        <v>Belum</v>
      </c>
      <c r="AO226" s="7" t="str">
        <f>IF('Database MK'!HQ227="","Belum",'Database MK'!HN227-'Database MK'!HQ227)</f>
        <v>Belum</v>
      </c>
      <c r="AP226" s="7" t="str">
        <f>IF('Database MK'!HW227="","Belum",'Database MK'!HU227-'Database MK'!HW227)</f>
        <v>Belum</v>
      </c>
    </row>
    <row r="227" spans="2:42" hidden="1" x14ac:dyDescent="0.25">
      <c r="B227" s="7">
        <f>SUBTOTAL(3,$C$4:C227)</f>
        <v>74</v>
      </c>
      <c r="C227" s="269" t="s">
        <v>673</v>
      </c>
      <c r="D227" s="4" t="s">
        <v>1735</v>
      </c>
      <c r="E227" s="4" t="s">
        <v>1736</v>
      </c>
      <c r="F227" s="270">
        <v>45931</v>
      </c>
      <c r="G227" s="4" t="s">
        <v>247</v>
      </c>
      <c r="H227" s="4" t="str">
        <f ca="1">'Database MK'!Q228</f>
        <v>Proses Konstruksi</v>
      </c>
      <c r="I227" s="24">
        <f>'Database MK'!S228</f>
        <v>1</v>
      </c>
      <c r="J227" s="24">
        <f>'Database MK'!T228</f>
        <v>0.68790582635696873</v>
      </c>
      <c r="K227" s="571">
        <f>'Database MK'!U228</f>
        <v>-0.31209417364303127</v>
      </c>
      <c r="L227" s="561">
        <f>'Database MK'!V228</f>
        <v>14965</v>
      </c>
      <c r="M227" s="561">
        <f>'Database MK'!W228</f>
        <v>11448</v>
      </c>
      <c r="N227" s="561">
        <f>Table3[[#This Row],[Total Panjang Pipa Aktual]]-Table3[[#This Row],[Volume
BA MC-0]]</f>
        <v>-3517</v>
      </c>
      <c r="O227" s="7" t="str">
        <f ca="1">'Database MK'!DE228</f>
        <v>Sudah, OnSchedule</v>
      </c>
      <c r="P227" s="7" t="str">
        <f ca="1">'Database MK'!DI228</f>
        <v>Sudah, OnSchedule</v>
      </c>
      <c r="Q227" s="7" t="str">
        <f ca="1">'Database MK'!DN228</f>
        <v>Sudah, OnSchedule</v>
      </c>
      <c r="R227" s="7" t="str">
        <f ca="1">'Database MK'!DR228</f>
        <v>Sudah, Delay</v>
      </c>
      <c r="S227" s="7" t="str">
        <f ca="1">'Database MK'!EA228</f>
        <v>Sudah, Delay</v>
      </c>
      <c r="T227" s="7" t="str">
        <f ca="1">'Database MK'!EI228</f>
        <v>Belum, Delay</v>
      </c>
      <c r="U227" s="7" t="str">
        <f ca="1">'Database MK'!ET228</f>
        <v>Belum, Delay</v>
      </c>
      <c r="V227" s="7" t="str">
        <f ca="1">'Database MK'!GA228</f>
        <v>Belum, Delay</v>
      </c>
      <c r="W227" s="7" t="str">
        <f ca="1">'Database MK'!GD228</f>
        <v>Sudah, Delay</v>
      </c>
      <c r="X227" s="7" t="str">
        <f ca="1">'Database MK'!GG228</f>
        <v>Sudah, Delay</v>
      </c>
      <c r="Y227" s="7" t="str">
        <f ca="1">'Database MK'!GK228</f>
        <v>Sudah, Delay</v>
      </c>
      <c r="Z227" s="7" t="str">
        <f ca="1">'Database MK'!HH228</f>
        <v>Belum, Delay</v>
      </c>
      <c r="AA227" s="7" t="str">
        <f ca="1">'Database MK'!HR228</f>
        <v>Belum, Delay</v>
      </c>
      <c r="AB227" s="7" t="str">
        <f ca="1">'Database MK'!HX228</f>
        <v>Belum, Delay</v>
      </c>
      <c r="AC227" s="7">
        <f>'Database MK'!DA228-'Database MK'!DB228</f>
        <v>105</v>
      </c>
      <c r="AD227" s="7">
        <f>'Database MK'!DA228-'Database MK'!DF228</f>
        <v>81</v>
      </c>
      <c r="AE227" s="7">
        <f>'Database MK'!DK228-'Database MK'!DL228</f>
        <v>13</v>
      </c>
      <c r="AF227" s="7">
        <f>'Database MK'!DK228-'Database MK'!DO228</f>
        <v>-11</v>
      </c>
      <c r="AG227" s="7">
        <f>'Database MK'!DU228-'Database MK'!DW228</f>
        <v>-284</v>
      </c>
      <c r="AH227" s="7" t="str">
        <f>IF('Database MK'!EB228="","Belum",'Database MK'!DU228-'Database MK'!EB228)</f>
        <v>Belum</v>
      </c>
      <c r="AI227" s="7" t="str">
        <f>IF('Database MK'!EN228="","Belum",'Database MK'!EL228-'Database MK'!EN228)</f>
        <v>Belum</v>
      </c>
      <c r="AJ227" s="7">
        <f>'Database MK'!FY228-'Database MK'!FZ228</f>
        <v>0</v>
      </c>
      <c r="AK227" s="7">
        <f>IF('Database MK'!GC228="","Belum",'Database MK'!GB228-'Database MK'!GC228)</f>
        <v>-54</v>
      </c>
      <c r="AL227" s="7">
        <f>IF('Database MK'!GF228="","Belum",'Database MK'!GE228-'Database MK'!GF228)</f>
        <v>-61</v>
      </c>
      <c r="AM227" s="279">
        <f>IF('Database MK'!GJ228="","Belum",'Database MK'!GI228-'Database MK'!GJ228)</f>
        <v>-65</v>
      </c>
      <c r="AN227" s="7" t="str">
        <f>IF('Database MK'!HG228="","Belum",'Database MK'!HF228-'Database MK'!HG228)</f>
        <v>Belum</v>
      </c>
      <c r="AO227" s="7" t="str">
        <f>IF('Database MK'!HQ228="","Belum",'Database MK'!HN228-'Database MK'!HQ228)</f>
        <v>Belum</v>
      </c>
      <c r="AP227" s="7" t="str">
        <f>IF('Database MK'!HW228="","Belum",'Database MK'!HU228-'Database MK'!HW228)</f>
        <v>Belum</v>
      </c>
    </row>
    <row r="228" spans="2:42" hidden="1" x14ac:dyDescent="0.25">
      <c r="B228" s="7">
        <f>SUBTOTAL(3,$C$4:C228)</f>
        <v>74</v>
      </c>
      <c r="C228" s="269" t="s">
        <v>673</v>
      </c>
      <c r="D228" s="4" t="s">
        <v>1744</v>
      </c>
      <c r="E228" s="4" t="s">
        <v>1745</v>
      </c>
      <c r="F228" s="270">
        <v>45931</v>
      </c>
      <c r="G228" s="4" t="s">
        <v>681</v>
      </c>
      <c r="H228" s="4" t="str">
        <f ca="1">'Database MK'!Q229</f>
        <v>DPPP</v>
      </c>
      <c r="I228" s="24">
        <f>'Database MK'!S229</f>
        <v>1</v>
      </c>
      <c r="J228" s="24">
        <f>'Database MK'!T229</f>
        <v>1</v>
      </c>
      <c r="K228" s="571">
        <f>'Database MK'!U229</f>
        <v>0</v>
      </c>
      <c r="L228" s="561">
        <f>'Database MK'!V229</f>
        <v>600</v>
      </c>
      <c r="M228" s="561">
        <f>'Database MK'!W229</f>
        <v>600</v>
      </c>
      <c r="N228" s="561">
        <f>Table3[[#This Row],[Total Panjang Pipa Aktual]]-Table3[[#This Row],[Volume
BA MC-0]]</f>
        <v>0</v>
      </c>
      <c r="O228" s="7" t="str">
        <f ca="1">'Database MK'!DE229</f>
        <v>Sudah, OnSchedule</v>
      </c>
      <c r="P228" s="7" t="str">
        <f ca="1">'Database MK'!DI229</f>
        <v>Sudah, OnSchedule</v>
      </c>
      <c r="Q228" s="7" t="str">
        <f ca="1">'Database MK'!DN229</f>
        <v>Sudah, OnSchedule</v>
      </c>
      <c r="R228" s="7" t="str">
        <f ca="1">'Database MK'!DR229</f>
        <v>Sudah, Delay</v>
      </c>
      <c r="S228" s="7" t="str">
        <f ca="1">'Database MK'!EA229</f>
        <v>Sudah, OnSchedule</v>
      </c>
      <c r="T228" s="7" t="str">
        <f ca="1">'Database MK'!EI229</f>
        <v>Sudah, Delay</v>
      </c>
      <c r="U228" s="7" t="str">
        <f ca="1">'Database MK'!ET229</f>
        <v>Sudah, Delay</v>
      </c>
      <c r="V228" s="7" t="str">
        <f ca="1">'Database MK'!GA229</f>
        <v>Belum, Delay</v>
      </c>
      <c r="W228" s="7" t="str">
        <f ca="1">'Database MK'!GD229</f>
        <v>Sudah, OnSchedule</v>
      </c>
      <c r="X228" s="7" t="str">
        <f ca="1">'Database MK'!GG229</f>
        <v>Sudah, OnSchedule</v>
      </c>
      <c r="Y228" s="7" t="str">
        <f ca="1">'Database MK'!GK229</f>
        <v>Sudah, OnSchedule</v>
      </c>
      <c r="Z228" s="7" t="str">
        <f ca="1">'Database MK'!HH229</f>
        <v>Sudah, Delay</v>
      </c>
      <c r="AA228" s="7" t="str">
        <f ca="1">'Database MK'!HR229</f>
        <v>Sudah, Delay</v>
      </c>
      <c r="AB228" s="7" t="str">
        <f ca="1">'Database MK'!HX229</f>
        <v>Sudah, Delay</v>
      </c>
      <c r="AC228" s="7">
        <f>'Database MK'!DA229-'Database MK'!DB229</f>
        <v>24</v>
      </c>
      <c r="AD228" s="7">
        <f>'Database MK'!DA229-'Database MK'!DF229</f>
        <v>16</v>
      </c>
      <c r="AE228" s="7">
        <f>'Database MK'!DK229-'Database MK'!DL229</f>
        <v>53</v>
      </c>
      <c r="AF228" s="7">
        <f>'Database MK'!DK229-'Database MK'!DO229</f>
        <v>-1</v>
      </c>
      <c r="AG228" s="7">
        <f>'Database MK'!DU229-'Database MK'!DW229</f>
        <v>32</v>
      </c>
      <c r="AH228" s="7">
        <f>IF('Database MK'!EB229="","Belum",'Database MK'!DU229-'Database MK'!EB229)</f>
        <v>-92</v>
      </c>
      <c r="AI228" s="7">
        <f>IF('Database MK'!EN229="","Belum",'Database MK'!EL229-'Database MK'!EN229)</f>
        <v>-163</v>
      </c>
      <c r="AJ228" s="7">
        <f>'Database MK'!FY229-'Database MK'!FZ229</f>
        <v>0</v>
      </c>
      <c r="AK228" s="7">
        <f>IF('Database MK'!GC229="","Belum",'Database MK'!GB229-'Database MK'!GC229)</f>
        <v>28</v>
      </c>
      <c r="AL228" s="7">
        <f>IF('Database MK'!GF229="","Belum",'Database MK'!GE229-'Database MK'!GF229)</f>
        <v>35</v>
      </c>
      <c r="AM228" s="279">
        <f>IF('Database MK'!GJ229="","Belum",'Database MK'!GI229-'Database MK'!GJ229)</f>
        <v>40</v>
      </c>
      <c r="AN228" s="7">
        <f>IF('Database MK'!HG229="","Belum",'Database MK'!HF229-'Database MK'!HG229)</f>
        <v>-128</v>
      </c>
      <c r="AO228" s="7">
        <f>IF('Database MK'!HQ229="","Belum",'Database MK'!HN229-'Database MK'!HQ229)</f>
        <v>-225</v>
      </c>
      <c r="AP228" s="7">
        <f>IF('Database MK'!HW229="","Belum",'Database MK'!HU229-'Database MK'!HW229)</f>
        <v>-225</v>
      </c>
    </row>
    <row r="229" spans="2:42" hidden="1" x14ac:dyDescent="0.25">
      <c r="B229" s="7">
        <f>SUBTOTAL(3,$C$4:C229)</f>
        <v>74</v>
      </c>
      <c r="C229" s="269" t="s">
        <v>673</v>
      </c>
      <c r="D229" s="4" t="s">
        <v>1754</v>
      </c>
      <c r="E229" s="4" t="s">
        <v>1755</v>
      </c>
      <c r="F229" s="270">
        <v>45931</v>
      </c>
      <c r="G229" s="4" t="s">
        <v>681</v>
      </c>
      <c r="H229" s="4" t="str">
        <f ca="1">'Database MK'!Q230</f>
        <v>DPPP</v>
      </c>
      <c r="I229" s="24">
        <f>'Database MK'!S230</f>
        <v>1</v>
      </c>
      <c r="J229" s="24">
        <f>'Database MK'!T230</f>
        <v>1</v>
      </c>
      <c r="K229" s="571">
        <f>'Database MK'!U230</f>
        <v>0</v>
      </c>
      <c r="L229" s="561">
        <f>'Database MK'!V230</f>
        <v>12</v>
      </c>
      <c r="M229" s="561">
        <f>'Database MK'!W230</f>
        <v>12</v>
      </c>
      <c r="N229" s="561">
        <f>Table3[[#This Row],[Total Panjang Pipa Aktual]]-Table3[[#This Row],[Volume
BA MC-0]]</f>
        <v>0</v>
      </c>
      <c r="O229" s="7" t="str">
        <f ca="1">'Database MK'!DE230</f>
        <v>Sudah, OnSchedule</v>
      </c>
      <c r="P229" s="7" t="str">
        <f ca="1">'Database MK'!DI230</f>
        <v>Sudah, OnSchedule</v>
      </c>
      <c r="Q229" s="7" t="str">
        <f ca="1">'Database MK'!DN230</f>
        <v>Sudah, OnSchedule</v>
      </c>
      <c r="R229" s="7" t="str">
        <f ca="1">'Database MK'!DR230</f>
        <v>Sudah, Delay</v>
      </c>
      <c r="S229" s="7" t="str">
        <f ca="1">'Database MK'!EA230</f>
        <v>Sudah, OnSchedule</v>
      </c>
      <c r="T229" s="7" t="str">
        <f ca="1">'Database MK'!EI230</f>
        <v>Sudah, Delay</v>
      </c>
      <c r="U229" s="7" t="str">
        <f ca="1">'Database MK'!ET230</f>
        <v>Sudah, Delay</v>
      </c>
      <c r="V229" s="7" t="str">
        <f ca="1">'Database MK'!GA230</f>
        <v>Belum, Delay</v>
      </c>
      <c r="W229" s="7" t="str">
        <f ca="1">'Database MK'!GD230</f>
        <v>Sudah, OnSchedule</v>
      </c>
      <c r="X229" s="7" t="str">
        <f ca="1">'Database MK'!GG230</f>
        <v>Sudah, OnSchedule</v>
      </c>
      <c r="Y229" s="7" t="str">
        <f ca="1">'Database MK'!GK230</f>
        <v>Sudah, OnSchedule</v>
      </c>
      <c r="Z229" s="7" t="str">
        <f ca="1">'Database MK'!HH230</f>
        <v>Sudah, Delay</v>
      </c>
      <c r="AA229" s="7" t="str">
        <f ca="1">'Database MK'!HR230</f>
        <v>Sudah, Delay</v>
      </c>
      <c r="AB229" s="7" t="str">
        <f ca="1">'Database MK'!HX230</f>
        <v>Sudah, Delay</v>
      </c>
      <c r="AC229" s="7">
        <f>'Database MK'!DA230-'Database MK'!DB230</f>
        <v>10</v>
      </c>
      <c r="AD229" s="7">
        <f>'Database MK'!DA230-'Database MK'!DF230</f>
        <v>2</v>
      </c>
      <c r="AE229" s="7">
        <f>'Database MK'!DK230-'Database MK'!DL230</f>
        <v>25</v>
      </c>
      <c r="AF229" s="7">
        <f>'Database MK'!DK230-'Database MK'!DO230</f>
        <v>-29</v>
      </c>
      <c r="AG229" s="7">
        <f>'Database MK'!DU230-'Database MK'!DW230</f>
        <v>4</v>
      </c>
      <c r="AH229" s="7">
        <f>IF('Database MK'!EB230="","Belum",'Database MK'!DU230-'Database MK'!EB230)</f>
        <v>-283</v>
      </c>
      <c r="AI229" s="7">
        <f>IF('Database MK'!EN230="","Belum",'Database MK'!EL230-'Database MK'!EN230)</f>
        <v>-158</v>
      </c>
      <c r="AJ229" s="7">
        <f>'Database MK'!FY230-'Database MK'!FZ230</f>
        <v>0</v>
      </c>
      <c r="AK229" s="7">
        <f>IF('Database MK'!GC230="","Belum",'Database MK'!GB230-'Database MK'!GC230)</f>
        <v>0</v>
      </c>
      <c r="AL229" s="7">
        <f>IF('Database MK'!GF230="","Belum",'Database MK'!GE230-'Database MK'!GF230)</f>
        <v>7</v>
      </c>
      <c r="AM229" s="279">
        <f>IF('Database MK'!GJ230="","Belum",'Database MK'!GI230-'Database MK'!GJ230)</f>
        <v>10</v>
      </c>
      <c r="AN229" s="7">
        <f>IF('Database MK'!HG230="","Belum",'Database MK'!HF230-'Database MK'!HG230)</f>
        <v>-156</v>
      </c>
      <c r="AO229" s="7">
        <f>IF('Database MK'!HQ230="","Belum",'Database MK'!HN230-'Database MK'!HQ230)</f>
        <v>-253</v>
      </c>
      <c r="AP229" s="7">
        <f>IF('Database MK'!HW230="","Belum",'Database MK'!HU230-'Database MK'!HW230)</f>
        <v>-253</v>
      </c>
    </row>
    <row r="230" spans="2:42" hidden="1" x14ac:dyDescent="0.25">
      <c r="B230" s="7">
        <f>SUBTOTAL(3,$C$4:C230)</f>
        <v>74</v>
      </c>
      <c r="C230" s="269" t="s">
        <v>673</v>
      </c>
      <c r="D230" s="4" t="s">
        <v>1762</v>
      </c>
      <c r="E230" s="4" t="s">
        <v>1763</v>
      </c>
      <c r="F230" s="270">
        <v>45931</v>
      </c>
      <c r="G230" s="4" t="s">
        <v>681</v>
      </c>
      <c r="H230" s="4" t="str">
        <f ca="1">'Database MK'!Q231</f>
        <v>DPPP</v>
      </c>
      <c r="I230" s="24">
        <f>'Database MK'!S231</f>
        <v>1</v>
      </c>
      <c r="J230" s="24">
        <f>'Database MK'!T231</f>
        <v>1</v>
      </c>
      <c r="K230" s="571">
        <f>'Database MK'!U231</f>
        <v>0</v>
      </c>
      <c r="L230" s="561">
        <f>'Database MK'!V231</f>
        <v>2526</v>
      </c>
      <c r="M230" s="561">
        <f>'Database MK'!W231</f>
        <v>2061</v>
      </c>
      <c r="N230" s="561">
        <f>Table3[[#This Row],[Total Panjang Pipa Aktual]]-Table3[[#This Row],[Volume
BA MC-0]]</f>
        <v>-465</v>
      </c>
      <c r="O230" s="7" t="str">
        <f ca="1">'Database MK'!DE231</f>
        <v>Sudah, Delay</v>
      </c>
      <c r="P230" s="7" t="str">
        <f ca="1">'Database MK'!DI231</f>
        <v>Sudah, Delay</v>
      </c>
      <c r="Q230" s="7" t="str">
        <f ca="1">'Database MK'!DN231</f>
        <v>Sudah, OnSchedule</v>
      </c>
      <c r="R230" s="7" t="str">
        <f ca="1">'Database MK'!DR231</f>
        <v>Sudah, OnSchedule</v>
      </c>
      <c r="S230" s="7" t="str">
        <f ca="1">'Database MK'!EA231</f>
        <v>Sudah, OnSchedule</v>
      </c>
      <c r="T230" s="7" t="str">
        <f ca="1">'Database MK'!EI231</f>
        <v>Sudah, Delay</v>
      </c>
      <c r="U230" s="7" t="str">
        <f ca="1">'Database MK'!ET231</f>
        <v>Sudah, Delay</v>
      </c>
      <c r="V230" s="7" t="str">
        <f ca="1">'Database MK'!GA231</f>
        <v>Belum, Delay</v>
      </c>
      <c r="W230" s="7" t="str">
        <f ca="1">'Database MK'!GD231</f>
        <v>Sudah, OnSchedule</v>
      </c>
      <c r="X230" s="7" t="str">
        <f ca="1">'Database MK'!GG231</f>
        <v>Sudah, OnSchedule</v>
      </c>
      <c r="Y230" s="7" t="str">
        <f ca="1">'Database MK'!GK231</f>
        <v>Sudah, Delay</v>
      </c>
      <c r="Z230" s="7" t="str">
        <f ca="1">'Database MK'!HH231</f>
        <v>Sudah, Delay</v>
      </c>
      <c r="AA230" s="7" t="str">
        <f ca="1">'Database MK'!HR231</f>
        <v>Sudah, Delay</v>
      </c>
      <c r="AB230" s="7" t="str">
        <f ca="1">'Database MK'!HX231</f>
        <v>Sudah, Delay</v>
      </c>
      <c r="AC230" s="7">
        <f>'Database MK'!DA231-'Database MK'!DB231</f>
        <v>-1</v>
      </c>
      <c r="AD230" s="7">
        <f>'Database MK'!DA231-'Database MK'!DF231</f>
        <v>-5</v>
      </c>
      <c r="AE230" s="7">
        <f>'Database MK'!DK231-'Database MK'!DL231</f>
        <v>435</v>
      </c>
      <c r="AF230" s="7">
        <f>'Database MK'!DK231-'Database MK'!DO231</f>
        <v>319</v>
      </c>
      <c r="AG230" s="7">
        <f>'Database MK'!DU231-'Database MK'!DW231</f>
        <v>452</v>
      </c>
      <c r="AH230" s="7">
        <f>IF('Database MK'!EB231="","Belum",'Database MK'!DU231-'Database MK'!EB231)</f>
        <v>-66</v>
      </c>
      <c r="AI230" s="7">
        <f>IF('Database MK'!EN231="","Belum",'Database MK'!EL231-'Database MK'!EN231)</f>
        <v>-121</v>
      </c>
      <c r="AJ230" s="7">
        <f>'Database MK'!FY231-'Database MK'!FZ231</f>
        <v>0</v>
      </c>
      <c r="AK230" s="7">
        <f>IF('Database MK'!GC231="","Belum",'Database MK'!GB231-'Database MK'!GC231)</f>
        <v>138</v>
      </c>
      <c r="AL230" s="7">
        <f>IF('Database MK'!GF231="","Belum",'Database MK'!GE231-'Database MK'!GF231)</f>
        <v>145</v>
      </c>
      <c r="AM230" s="279">
        <f>IF('Database MK'!GJ231="","Belum",'Database MK'!GI231-'Database MK'!GJ231)</f>
        <v>-3</v>
      </c>
      <c r="AN230" s="7">
        <f>IF('Database MK'!HG231="","Belum",'Database MK'!HF231-'Database MK'!HG231)</f>
        <v>-100</v>
      </c>
      <c r="AO230" s="7">
        <f>IF('Database MK'!HQ231="","Belum",'Database MK'!HN231-'Database MK'!HQ231)</f>
        <v>-101</v>
      </c>
      <c r="AP230" s="7">
        <f>IF('Database MK'!HW231="","Belum",'Database MK'!HU231-'Database MK'!HW231)</f>
        <v>-99</v>
      </c>
    </row>
    <row r="231" spans="2:42" hidden="1" x14ac:dyDescent="0.25">
      <c r="B231" s="7">
        <f>SUBTOTAL(3,$C$4:C231)</f>
        <v>74</v>
      </c>
      <c r="C231" s="269" t="s">
        <v>673</v>
      </c>
      <c r="D231" s="4" t="s">
        <v>1771</v>
      </c>
      <c r="E231" s="4" t="s">
        <v>1772</v>
      </c>
      <c r="F231" s="270">
        <v>45931</v>
      </c>
      <c r="G231" s="4" t="s">
        <v>681</v>
      </c>
      <c r="H231" s="4" t="str">
        <f ca="1">'Database MK'!Q232</f>
        <v>DPPP</v>
      </c>
      <c r="I231" s="24">
        <f>'Database MK'!S232</f>
        <v>1</v>
      </c>
      <c r="J231" s="24">
        <f>'Database MK'!T232</f>
        <v>1</v>
      </c>
      <c r="K231" s="571">
        <f>'Database MK'!U232</f>
        <v>0</v>
      </c>
      <c r="L231" s="561">
        <f>'Database MK'!V232</f>
        <v>196</v>
      </c>
      <c r="M231" s="561">
        <f>'Database MK'!W232</f>
        <v>196</v>
      </c>
      <c r="N231" s="561">
        <f>Table3[[#This Row],[Total Panjang Pipa Aktual]]-Table3[[#This Row],[Volume
BA MC-0]]</f>
        <v>0</v>
      </c>
      <c r="O231" s="7" t="str">
        <f ca="1">'Database MK'!DE232</f>
        <v>Sudah, OnSchedule</v>
      </c>
      <c r="P231" s="7" t="str">
        <f ca="1">'Database MK'!DI232</f>
        <v>Sudah, OnSchedule</v>
      </c>
      <c r="Q231" s="7" t="str">
        <f ca="1">'Database MK'!DN232</f>
        <v>Sudah, OnSchedule</v>
      </c>
      <c r="R231" s="7" t="str">
        <f ca="1">'Database MK'!DR232</f>
        <v>Sudah, OnSchedule</v>
      </c>
      <c r="S231" s="7" t="str">
        <f ca="1">'Database MK'!EA232</f>
        <v>Sudah, OnSchedule</v>
      </c>
      <c r="T231" s="7" t="str">
        <f ca="1">'Database MK'!EI232</f>
        <v>Sudah, Delay</v>
      </c>
      <c r="U231" s="7" t="str">
        <f ca="1">'Database MK'!ET232</f>
        <v>Sudah, OnSchedule</v>
      </c>
      <c r="V231" s="7" t="str">
        <f ca="1">'Database MK'!GA232</f>
        <v>Belum, Delay</v>
      </c>
      <c r="W231" s="7" t="str">
        <f ca="1">'Database MK'!GD232</f>
        <v>Sudah, OnSchedule</v>
      </c>
      <c r="X231" s="7" t="str">
        <f ca="1">'Database MK'!GG232</f>
        <v>Sudah, OnSchedule</v>
      </c>
      <c r="Y231" s="7" t="str">
        <f ca="1">'Database MK'!GK232</f>
        <v>Sudah, OnSchedule</v>
      </c>
      <c r="Z231" s="7" t="str">
        <f ca="1">'Database MK'!HH232</f>
        <v>Sudah, Delay</v>
      </c>
      <c r="AA231" s="7" t="str">
        <f ca="1">'Database MK'!HR232</f>
        <v>Sudah, Delay</v>
      </c>
      <c r="AB231" s="7" t="str">
        <f ca="1">'Database MK'!HX232</f>
        <v>Sudah, Delay</v>
      </c>
      <c r="AC231" s="7">
        <f>'Database MK'!DA232-'Database MK'!DB232</f>
        <v>58</v>
      </c>
      <c r="AD231" s="7">
        <f>'Database MK'!DA232-'Database MK'!DF232</f>
        <v>47</v>
      </c>
      <c r="AE231" s="7">
        <f>'Database MK'!DK232-'Database MK'!DL232</f>
        <v>73</v>
      </c>
      <c r="AF231" s="7">
        <f>'Database MK'!DK232-'Database MK'!DO232</f>
        <v>55</v>
      </c>
      <c r="AG231" s="7">
        <f>'Database MK'!DU232-'Database MK'!DW232</f>
        <v>52</v>
      </c>
      <c r="AH231" s="7">
        <f>IF('Database MK'!EB232="","Belum",'Database MK'!DU232-'Database MK'!EB232)</f>
        <v>-30</v>
      </c>
      <c r="AI231" s="7">
        <f>IF('Database MK'!EN232="","Belum",'Database MK'!EL232-'Database MK'!EN232)</f>
        <v>5</v>
      </c>
      <c r="AJ231" s="7">
        <f>'Database MK'!FY232-'Database MK'!FZ232</f>
        <v>0</v>
      </c>
      <c r="AK231" s="7">
        <f>IF('Database MK'!GC232="","Belum",'Database MK'!GB232-'Database MK'!GC232)</f>
        <v>229</v>
      </c>
      <c r="AL231" s="7">
        <f>IF('Database MK'!GF232="","Belum",'Database MK'!GE232-'Database MK'!GF232)</f>
        <v>236</v>
      </c>
      <c r="AM231" s="279">
        <f>IF('Database MK'!GJ232="","Belum",'Database MK'!GI232-'Database MK'!GJ232)</f>
        <v>89</v>
      </c>
      <c r="AN231" s="7">
        <f>IF('Database MK'!HG232="","Belum",'Database MK'!HF232-'Database MK'!HG232)</f>
        <v>-1</v>
      </c>
      <c r="AO231" s="7">
        <f>IF('Database MK'!HQ232="","Belum",'Database MK'!HN232-'Database MK'!HQ232)</f>
        <v>-99</v>
      </c>
      <c r="AP231" s="7">
        <f>IF('Database MK'!HW232="","Belum",'Database MK'!HU232-'Database MK'!HW232)</f>
        <v>-99</v>
      </c>
    </row>
    <row r="232" spans="2:42" hidden="1" x14ac:dyDescent="0.25">
      <c r="B232" s="7">
        <f>SUBTOTAL(3,$C$4:C232)</f>
        <v>74</v>
      </c>
      <c r="C232" s="269" t="s">
        <v>673</v>
      </c>
      <c r="D232" s="4" t="s">
        <v>1780</v>
      </c>
      <c r="E232" s="4" t="s">
        <v>1781</v>
      </c>
      <c r="F232" s="270">
        <v>45931</v>
      </c>
      <c r="G232" s="4" t="s">
        <v>681</v>
      </c>
      <c r="H232" s="4" t="str">
        <f ca="1">'Database MK'!Q233</f>
        <v>DPPP</v>
      </c>
      <c r="I232" s="24">
        <f>'Database MK'!S233</f>
        <v>1</v>
      </c>
      <c r="J232" s="24">
        <f>'Database MK'!T233</f>
        <v>1</v>
      </c>
      <c r="K232" s="571">
        <f>'Database MK'!U233</f>
        <v>0</v>
      </c>
      <c r="L232" s="561">
        <f>'Database MK'!V233</f>
        <v>208</v>
      </c>
      <c r="M232" s="561">
        <f>'Database MK'!W233</f>
        <v>208</v>
      </c>
      <c r="N232" s="561">
        <f>Table3[[#This Row],[Total Panjang Pipa Aktual]]-Table3[[#This Row],[Volume
BA MC-0]]</f>
        <v>0</v>
      </c>
      <c r="O232" s="7" t="str">
        <f ca="1">'Database MK'!DE233</f>
        <v>Sudah, OnSchedule</v>
      </c>
      <c r="P232" s="7" t="str">
        <f ca="1">'Database MK'!DI233</f>
        <v>Sudah, OnSchedule</v>
      </c>
      <c r="Q232" s="7" t="str">
        <f ca="1">'Database MK'!DN233</f>
        <v>Sudah, OnSchedule</v>
      </c>
      <c r="R232" s="7" t="str">
        <f ca="1">'Database MK'!DR233</f>
        <v>Sudah, Delay</v>
      </c>
      <c r="S232" s="7" t="str">
        <f ca="1">'Database MK'!EA233</f>
        <v>Sudah, OnSchedule</v>
      </c>
      <c r="T232" s="7" t="str">
        <f ca="1">'Database MK'!EI233</f>
        <v>Sudah, Delay</v>
      </c>
      <c r="U232" s="7" t="str">
        <f ca="1">'Database MK'!ET233</f>
        <v>Sudah, Delay</v>
      </c>
      <c r="V232" s="7" t="str">
        <f ca="1">'Database MK'!GA233</f>
        <v>Belum, Delay</v>
      </c>
      <c r="W232" s="7" t="str">
        <f ca="1">'Database MK'!GD233</f>
        <v>Sudah, Delay</v>
      </c>
      <c r="X232" s="7" t="str">
        <f ca="1">'Database MK'!GG233</f>
        <v>Sudah, Delay</v>
      </c>
      <c r="Y232" s="7" t="str">
        <f ca="1">'Database MK'!GK233</f>
        <v>Sudah, Delay</v>
      </c>
      <c r="Z232" s="7" t="str">
        <f ca="1">'Database MK'!HH233</f>
        <v>Sudah, Delay</v>
      </c>
      <c r="AA232" s="7" t="str">
        <f ca="1">'Database MK'!HR233</f>
        <v>Sudah, Delay</v>
      </c>
      <c r="AB232" s="7" t="str">
        <f ca="1">'Database MK'!HX233</f>
        <v>Sudah, Delay</v>
      </c>
      <c r="AC232" s="7">
        <f>'Database MK'!DA233-'Database MK'!DB233</f>
        <v>19</v>
      </c>
      <c r="AD232" s="7">
        <f>'Database MK'!DA233-'Database MK'!DF233</f>
        <v>11</v>
      </c>
      <c r="AE232" s="7">
        <f>'Database MK'!DK233-'Database MK'!DL233</f>
        <v>51</v>
      </c>
      <c r="AF232" s="7">
        <f>'Database MK'!DK233-'Database MK'!DO233</f>
        <v>-45</v>
      </c>
      <c r="AG232" s="7">
        <f>'Database MK'!DU233-'Database MK'!DW233</f>
        <v>30</v>
      </c>
      <c r="AH232" s="7">
        <f>IF('Database MK'!EB233="","Belum",'Database MK'!DU233-'Database MK'!EB233)</f>
        <v>-190</v>
      </c>
      <c r="AI232" s="7">
        <f>IF('Database MK'!EN233="","Belum",'Database MK'!EL233-'Database MK'!EN233)</f>
        <v>-226</v>
      </c>
      <c r="AJ232" s="7">
        <f>'Database MK'!FY233-'Database MK'!FZ233</f>
        <v>0</v>
      </c>
      <c r="AK232" s="7">
        <f>IF('Database MK'!GC233="","Belum",'Database MK'!GB233-'Database MK'!GC233)</f>
        <v>-41</v>
      </c>
      <c r="AL232" s="7">
        <f>IF('Database MK'!GF233="","Belum",'Database MK'!GE233-'Database MK'!GF233)</f>
        <v>-34</v>
      </c>
      <c r="AM232" s="279">
        <f>IF('Database MK'!GJ233="","Belum",'Database MK'!GI233-'Database MK'!GJ233)</f>
        <v>-58</v>
      </c>
      <c r="AN232" s="7">
        <f>IF('Database MK'!HG233="","Belum",'Database MK'!HF233-'Database MK'!HG233)</f>
        <v>-43</v>
      </c>
      <c r="AO232" s="7">
        <f>IF('Database MK'!HQ233="","Belum",'Database MK'!HN233-'Database MK'!HQ233)</f>
        <v>-40</v>
      </c>
      <c r="AP232" s="7">
        <f>IF('Database MK'!HW233="","Belum",'Database MK'!HU233-'Database MK'!HW233)</f>
        <v>-70</v>
      </c>
    </row>
    <row r="233" spans="2:42" hidden="1" x14ac:dyDescent="0.25">
      <c r="B233" s="7">
        <f>SUBTOTAL(3,$C$4:C233)</f>
        <v>74</v>
      </c>
      <c r="C233" s="269" t="s">
        <v>673</v>
      </c>
      <c r="D233" s="4" t="s">
        <v>1789</v>
      </c>
      <c r="E233" s="4" t="s">
        <v>1790</v>
      </c>
      <c r="F233" s="270">
        <v>45931</v>
      </c>
      <c r="G233" s="4" t="s">
        <v>681</v>
      </c>
      <c r="H233" s="4" t="str">
        <f ca="1">'Database MK'!Q234</f>
        <v>DPPP</v>
      </c>
      <c r="I233" s="24">
        <f>'Database MK'!S234</f>
        <v>1</v>
      </c>
      <c r="J233" s="24">
        <f>'Database MK'!T234</f>
        <v>1</v>
      </c>
      <c r="K233" s="571">
        <f>'Database MK'!U234</f>
        <v>0</v>
      </c>
      <c r="L233" s="561">
        <f>'Database MK'!V234</f>
        <v>100</v>
      </c>
      <c r="M233" s="561">
        <f>'Database MK'!W234</f>
        <v>100</v>
      </c>
      <c r="N233" s="561">
        <f>Table3[[#This Row],[Total Panjang Pipa Aktual]]-Table3[[#This Row],[Volume
BA MC-0]]</f>
        <v>0</v>
      </c>
      <c r="O233" s="7" t="str">
        <f ca="1">'Database MK'!DE234</f>
        <v>Sudah, OnSchedule</v>
      </c>
      <c r="P233" s="7" t="str">
        <f ca="1">'Database MK'!DI234</f>
        <v>Sudah, OnSchedule</v>
      </c>
      <c r="Q233" s="7" t="str">
        <f ca="1">'Database MK'!DN234</f>
        <v>Sudah, OnSchedule</v>
      </c>
      <c r="R233" s="7" t="str">
        <f ca="1">'Database MK'!DR234</f>
        <v>Sudah, OnSchedule</v>
      </c>
      <c r="S233" s="7" t="str">
        <f ca="1">'Database MK'!EA234</f>
        <v>Sudah, OnSchedule</v>
      </c>
      <c r="T233" s="7" t="str">
        <f ca="1">'Database MK'!EI234</f>
        <v>Sudah, OnSchedule</v>
      </c>
      <c r="U233" s="7" t="str">
        <f ca="1">'Database MK'!ET234</f>
        <v>Sudah, Delay</v>
      </c>
      <c r="V233" s="7" t="str">
        <f ca="1">'Database MK'!GA234</f>
        <v>Belum, Delay</v>
      </c>
      <c r="W233" s="7" t="str">
        <f ca="1">'Database MK'!GD234</f>
        <v>Sudah, Delay</v>
      </c>
      <c r="X233" s="7" t="str">
        <f ca="1">'Database MK'!GG234</f>
        <v>Sudah, OnSchedule</v>
      </c>
      <c r="Y233" s="7" t="str">
        <f ca="1">'Database MK'!GK234</f>
        <v>Sudah, OnSchedule</v>
      </c>
      <c r="Z233" s="7" t="str">
        <f ca="1">'Database MK'!HH234</f>
        <v>Sudah, OnSchedule</v>
      </c>
      <c r="AA233" s="7" t="str">
        <f ca="1">'Database MK'!HR234</f>
        <v>Sudah, Delay</v>
      </c>
      <c r="AB233" s="7" t="str">
        <f ca="1">'Database MK'!HX234</f>
        <v>Sudah, Delay</v>
      </c>
      <c r="AC233" s="7">
        <f>'Database MK'!DA234-'Database MK'!DB234</f>
        <v>9</v>
      </c>
      <c r="AD233" s="7">
        <f>'Database MK'!DA234-'Database MK'!DF234</f>
        <v>3</v>
      </c>
      <c r="AE233" s="7">
        <f>'Database MK'!DK234-'Database MK'!DL234</f>
        <v>48</v>
      </c>
      <c r="AF233" s="7">
        <f>'Database MK'!DK234-'Database MK'!DO234</f>
        <v>19</v>
      </c>
      <c r="AG233" s="7">
        <f>'Database MK'!DU234-'Database MK'!DW234</f>
        <v>20</v>
      </c>
      <c r="AH233" s="7">
        <f>IF('Database MK'!EB234="","Belum",'Database MK'!DU234-'Database MK'!EB234)</f>
        <v>122</v>
      </c>
      <c r="AI233" s="7">
        <f>IF('Database MK'!EN234="","Belum",'Database MK'!EL234-'Database MK'!EN234)</f>
        <v>-191</v>
      </c>
      <c r="AJ233" s="7">
        <f>'Database MK'!FY234-'Database MK'!FZ234</f>
        <v>0</v>
      </c>
      <c r="AK233" s="7">
        <f>IF('Database MK'!GC234="","Belum",'Database MK'!GB234-'Database MK'!GC234)</f>
        <v>-6</v>
      </c>
      <c r="AL233" s="7">
        <f>IF('Database MK'!GF234="","Belum",'Database MK'!GE234-'Database MK'!GF234)</f>
        <v>1</v>
      </c>
      <c r="AM233" s="279">
        <f>IF('Database MK'!GJ234="","Belum",'Database MK'!GI234-'Database MK'!GJ234)</f>
        <v>11</v>
      </c>
      <c r="AN233" s="7">
        <f>IF('Database MK'!HG234="","Belum",'Database MK'!HF234-'Database MK'!HG234)</f>
        <v>6</v>
      </c>
      <c r="AO233" s="7">
        <f>IF('Database MK'!HQ234="","Belum",'Database MK'!HN234-'Database MK'!HQ234)</f>
        <v>-8</v>
      </c>
      <c r="AP233" s="7">
        <f>IF('Database MK'!HW234="","Belum",'Database MK'!HU234-'Database MK'!HW234)</f>
        <v>-8</v>
      </c>
    </row>
    <row r="234" spans="2:42" hidden="1" x14ac:dyDescent="0.25">
      <c r="B234" s="7">
        <f>SUBTOTAL(3,$C$4:C234)</f>
        <v>74</v>
      </c>
      <c r="C234" s="269" t="s">
        <v>673</v>
      </c>
      <c r="D234" s="4" t="s">
        <v>1798</v>
      </c>
      <c r="E234" s="4" t="s">
        <v>1799</v>
      </c>
      <c r="F234" s="270">
        <v>45931</v>
      </c>
      <c r="G234" s="4" t="s">
        <v>681</v>
      </c>
      <c r="H234" s="4" t="str">
        <f ca="1">'Database MK'!Q235</f>
        <v>DPPP</v>
      </c>
      <c r="I234" s="24">
        <f>'Database MK'!S235</f>
        <v>1</v>
      </c>
      <c r="J234" s="24">
        <f>'Database MK'!T235</f>
        <v>1</v>
      </c>
      <c r="K234" s="571">
        <f>'Database MK'!U235</f>
        <v>0</v>
      </c>
      <c r="L234" s="561">
        <f>'Database MK'!V235</f>
        <v>791</v>
      </c>
      <c r="M234" s="561">
        <f>'Database MK'!W235</f>
        <v>783</v>
      </c>
      <c r="N234" s="561">
        <f>Table3[[#This Row],[Total Panjang Pipa Aktual]]-Table3[[#This Row],[Volume
BA MC-0]]</f>
        <v>-8</v>
      </c>
      <c r="O234" s="7" t="str">
        <f ca="1">'Database MK'!DE235</f>
        <v>Sudah, OnSchedule</v>
      </c>
      <c r="P234" s="7" t="str">
        <f ca="1">'Database MK'!DI235</f>
        <v>Sudah, Delay</v>
      </c>
      <c r="Q234" s="7" t="str">
        <f ca="1">'Database MK'!DN235</f>
        <v>Sudah, OnSchedule</v>
      </c>
      <c r="R234" s="7" t="str">
        <f ca="1">'Database MK'!DR235</f>
        <v>Sudah, OnSchedule</v>
      </c>
      <c r="S234" s="7" t="str">
        <f ca="1">'Database MK'!EA235</f>
        <v>Sudah, OnSchedule</v>
      </c>
      <c r="T234" s="7" t="str">
        <f ca="1">'Database MK'!EI235</f>
        <v>Sudah, Delay</v>
      </c>
      <c r="U234" s="7" t="str">
        <f ca="1">'Database MK'!ET235</f>
        <v>Sudah, Delay</v>
      </c>
      <c r="V234" s="7" t="str">
        <f ca="1">'Database MK'!GA235</f>
        <v>Belum, Delay</v>
      </c>
      <c r="W234" s="7" t="str">
        <f ca="1">'Database MK'!GD235</f>
        <v>Sudah, OnSchedule</v>
      </c>
      <c r="X234" s="7" t="str">
        <f ca="1">'Database MK'!GG235</f>
        <v>Sudah, OnSchedule</v>
      </c>
      <c r="Y234" s="7" t="str">
        <f ca="1">'Database MK'!GK235</f>
        <v>Sudah, OnSchedule</v>
      </c>
      <c r="Z234" s="7" t="str">
        <f ca="1">'Database MK'!HH235</f>
        <v>Sudah, Delay</v>
      </c>
      <c r="AA234" s="7" t="str">
        <f ca="1">'Database MK'!HR235</f>
        <v>Sudah, Delay</v>
      </c>
      <c r="AB234" s="7" t="str">
        <f ca="1">'Database MK'!HX235</f>
        <v>Sudah, Delay</v>
      </c>
      <c r="AC234" s="7">
        <f>'Database MK'!DA235-'Database MK'!DB235</f>
        <v>13</v>
      </c>
      <c r="AD234" s="7">
        <f>'Database MK'!DA235-'Database MK'!DF235</f>
        <v>-4</v>
      </c>
      <c r="AE234" s="7">
        <f>'Database MK'!DK235-'Database MK'!DL235</f>
        <v>20</v>
      </c>
      <c r="AF234" s="7">
        <f>'Database MK'!DK235-'Database MK'!DO235</f>
        <v>13</v>
      </c>
      <c r="AG234" s="7">
        <f>'Database MK'!DU235-'Database MK'!DW235</f>
        <v>13</v>
      </c>
      <c r="AH234" s="7">
        <f>IF('Database MK'!EB235="","Belum",'Database MK'!DU235-'Database MK'!EB235)</f>
        <v>-305</v>
      </c>
      <c r="AI234" s="7">
        <f>IF('Database MK'!EN235="","Belum",'Database MK'!EL235-'Database MK'!EN235)</f>
        <v>-281</v>
      </c>
      <c r="AJ234" s="7">
        <f>'Database MK'!FY235-'Database MK'!FZ235</f>
        <v>0</v>
      </c>
      <c r="AK234" s="7">
        <f>IF('Database MK'!GC235="","Belum",'Database MK'!GB235-'Database MK'!GC235)</f>
        <v>13</v>
      </c>
      <c r="AL234" s="7">
        <f>IF('Database MK'!GF235="","Belum",'Database MK'!GE235-'Database MK'!GF235)</f>
        <v>18</v>
      </c>
      <c r="AM234" s="279">
        <f>IF('Database MK'!GJ235="","Belum",'Database MK'!GI235-'Database MK'!GJ235)</f>
        <v>26</v>
      </c>
      <c r="AN234" s="7">
        <f>IF('Database MK'!HG235="","Belum",'Database MK'!HF235-'Database MK'!HG235)</f>
        <v>-17</v>
      </c>
      <c r="AO234" s="7">
        <f>IF('Database MK'!HQ235="","Belum",'Database MK'!HN235-'Database MK'!HQ235)</f>
        <v>-10</v>
      </c>
      <c r="AP234" s="7">
        <f>IF('Database MK'!HW235="","Belum",'Database MK'!HU235-'Database MK'!HW235)</f>
        <v>-8</v>
      </c>
    </row>
    <row r="235" spans="2:42" hidden="1" x14ac:dyDescent="0.25">
      <c r="B235" s="7">
        <f>SUBTOTAL(3,$C$4:C235)</f>
        <v>74</v>
      </c>
      <c r="C235" s="269" t="s">
        <v>673</v>
      </c>
      <c r="D235" s="4" t="s">
        <v>1807</v>
      </c>
      <c r="E235" s="4" t="s">
        <v>1808</v>
      </c>
      <c r="F235" s="270">
        <v>45931</v>
      </c>
      <c r="G235" s="4" t="s">
        <v>681</v>
      </c>
      <c r="H235" s="4" t="str">
        <f ca="1">'Database MK'!Q236</f>
        <v>DPPP</v>
      </c>
      <c r="I235" s="24">
        <f>'Database MK'!S236</f>
        <v>1</v>
      </c>
      <c r="J235" s="24">
        <f>'Database MK'!T236</f>
        <v>1</v>
      </c>
      <c r="K235" s="571">
        <f>'Database MK'!U236</f>
        <v>0</v>
      </c>
      <c r="L235" s="561">
        <f>'Database MK'!V236</f>
        <v>395</v>
      </c>
      <c r="M235" s="561">
        <f>'Database MK'!W236</f>
        <v>360</v>
      </c>
      <c r="N235" s="561">
        <f>Table3[[#This Row],[Total Panjang Pipa Aktual]]-Table3[[#This Row],[Volume
BA MC-0]]</f>
        <v>-35</v>
      </c>
      <c r="O235" s="7" t="str">
        <f ca="1">'Database MK'!DE236</f>
        <v>Sudah, OnSchedule</v>
      </c>
      <c r="P235" s="7" t="str">
        <f ca="1">'Database MK'!DI236</f>
        <v>Sudah, Delay</v>
      </c>
      <c r="Q235" s="7" t="str">
        <f ca="1">'Database MK'!DN236</f>
        <v>Sudah, OnSchedule</v>
      </c>
      <c r="R235" s="7" t="str">
        <f ca="1">'Database MK'!DR236</f>
        <v>Sudah, OnSchedule</v>
      </c>
      <c r="S235" s="7" t="str">
        <f ca="1">'Database MK'!EA236</f>
        <v>Sudah, OnSchedule</v>
      </c>
      <c r="T235" s="7" t="str">
        <f ca="1">'Database MK'!EI236</f>
        <v>Sudah, Delay</v>
      </c>
      <c r="U235" s="7" t="str">
        <f ca="1">'Database MK'!ET236</f>
        <v>Sudah, Delay</v>
      </c>
      <c r="V235" s="7" t="str">
        <f ca="1">'Database MK'!GA236</f>
        <v>Belum, Delay</v>
      </c>
      <c r="W235" s="7" t="str">
        <f ca="1">'Database MK'!GD236</f>
        <v>Sudah, OnSchedule</v>
      </c>
      <c r="X235" s="7" t="str">
        <f ca="1">'Database MK'!GG236</f>
        <v>Sudah, OnSchedule</v>
      </c>
      <c r="Y235" s="7" t="str">
        <f ca="1">'Database MK'!GK236</f>
        <v>Sudah, OnSchedule</v>
      </c>
      <c r="Z235" s="7" t="str">
        <f ca="1">'Database MK'!HH236</f>
        <v>Sudah, OnSchedule</v>
      </c>
      <c r="AA235" s="7" t="str">
        <f ca="1">'Database MK'!HR236</f>
        <v>Sudah, Delay</v>
      </c>
      <c r="AB235" s="7" t="str">
        <f ca="1">'Database MK'!HX236</f>
        <v>Sudah, Delay</v>
      </c>
      <c r="AC235" s="7">
        <f>'Database MK'!DA236-'Database MK'!DB236</f>
        <v>19</v>
      </c>
      <c r="AD235" s="7">
        <f>'Database MK'!DA236-'Database MK'!DF236</f>
        <v>-2</v>
      </c>
      <c r="AE235" s="7">
        <f>'Database MK'!DK236-'Database MK'!DL236</f>
        <v>44</v>
      </c>
      <c r="AF235" s="7">
        <f>'Database MK'!DK236-'Database MK'!DO236</f>
        <v>19</v>
      </c>
      <c r="AG235" s="7">
        <f>'Database MK'!DU236-'Database MK'!DW236</f>
        <v>30</v>
      </c>
      <c r="AH235" s="7">
        <f>IF('Database MK'!EB236="","Belum",'Database MK'!DU236-'Database MK'!EB236)</f>
        <v>-181</v>
      </c>
      <c r="AI235" s="7">
        <f>IF('Database MK'!EN236="","Belum",'Database MK'!EL236-'Database MK'!EN236)</f>
        <v>-188</v>
      </c>
      <c r="AJ235" s="7">
        <f>'Database MK'!FY236-'Database MK'!FZ236</f>
        <v>0</v>
      </c>
      <c r="AK235" s="7">
        <f>IF('Database MK'!GC236="","Belum",'Database MK'!GB236-'Database MK'!GC236)</f>
        <v>48</v>
      </c>
      <c r="AL235" s="7">
        <f>IF('Database MK'!GF236="","Belum",'Database MK'!GE236-'Database MK'!GF236)</f>
        <v>53</v>
      </c>
      <c r="AM235" s="279">
        <f>IF('Database MK'!GJ236="","Belum",'Database MK'!GI236-'Database MK'!GJ236)</f>
        <v>61</v>
      </c>
      <c r="AN235" s="7">
        <f>IF('Database MK'!HG236="","Belum",'Database MK'!HF236-'Database MK'!HG236)</f>
        <v>5</v>
      </c>
      <c r="AO235" s="7">
        <f>IF('Database MK'!HQ236="","Belum",'Database MK'!HN236-'Database MK'!HQ236)</f>
        <v>-10</v>
      </c>
      <c r="AP235" s="7">
        <f>IF('Database MK'!HW236="","Belum",'Database MK'!HU236-'Database MK'!HW236)</f>
        <v>-8</v>
      </c>
    </row>
    <row r="236" spans="2:42" hidden="1" x14ac:dyDescent="0.25">
      <c r="B236" s="7">
        <f>SUBTOTAL(3,$C$4:C236)</f>
        <v>74</v>
      </c>
      <c r="C236" s="4" t="s">
        <v>629</v>
      </c>
      <c r="D236" s="4" t="s">
        <v>1816</v>
      </c>
      <c r="E236" s="4" t="s">
        <v>1817</v>
      </c>
      <c r="F236" s="270">
        <v>46113</v>
      </c>
      <c r="G236" s="4" t="s">
        <v>247</v>
      </c>
      <c r="H236" s="4" t="str">
        <f>'Database MK'!Q237</f>
        <v>MC-100</v>
      </c>
      <c r="I236" s="24">
        <f>'Database MK'!S237</f>
        <v>1</v>
      </c>
      <c r="J236" s="24">
        <f>'Database MK'!T237</f>
        <v>1</v>
      </c>
      <c r="K236" s="571">
        <f>'Database MK'!U237</f>
        <v>0</v>
      </c>
      <c r="L236" s="561">
        <f>'Database MK'!V237</f>
        <v>2363</v>
      </c>
      <c r="M236" s="561">
        <f>'Database MK'!W237</f>
        <v>2107.5</v>
      </c>
      <c r="N236" s="561">
        <f>Table3[[#This Row],[Total Panjang Pipa Aktual]]-Table3[[#This Row],[Volume
BA MC-0]]</f>
        <v>-255.5</v>
      </c>
      <c r="O236" s="7" t="str">
        <f ca="1">'Database MK'!DE237</f>
        <v>Sudah, OnSchedule</v>
      </c>
      <c r="P236" s="7" t="str">
        <f ca="1">'Database MK'!DI237</f>
        <v>Sudah, OnSchedule</v>
      </c>
      <c r="Q236" s="7" t="str">
        <f ca="1">'Database MK'!DN237</f>
        <v>Sudah, OnSchedule</v>
      </c>
      <c r="R236" s="7" t="str">
        <f ca="1">'Database MK'!DR237</f>
        <v>Sudah, OnSchedule</v>
      </c>
      <c r="S236" s="7" t="str">
        <f ca="1">'Database MK'!EA237</f>
        <v>Sudah, Delay</v>
      </c>
      <c r="T236" s="7" t="str">
        <f ca="1">'Database MK'!EI237</f>
        <v>Belum, Delay</v>
      </c>
      <c r="U236" s="7" t="str">
        <f ca="1">'Database MK'!ET237</f>
        <v>Belum, Delay</v>
      </c>
      <c r="V236" s="7" t="str">
        <f ca="1">'Database MK'!GA237</f>
        <v>Sudah, Delay</v>
      </c>
      <c r="W236" s="7" t="str">
        <f ca="1">'Database MK'!GD237</f>
        <v>Sudah, Delay</v>
      </c>
      <c r="X236" s="7" t="str">
        <f ca="1">'Database MK'!GG237</f>
        <v>Sudah, Delay</v>
      </c>
      <c r="Y236" s="7" t="str">
        <f ca="1">'Database MK'!GK237</f>
        <v>Sudah, Delay</v>
      </c>
      <c r="Z236" s="7" t="str">
        <f ca="1">'Database MK'!HH237</f>
        <v>Sudah, Delay</v>
      </c>
      <c r="AA236" s="7" t="str">
        <f ca="1">'Database MK'!HR237</f>
        <v>Belum, Delay</v>
      </c>
      <c r="AB236" s="7" t="str">
        <f ca="1">'Database MK'!HX237</f>
        <v>Belum, Delay</v>
      </c>
      <c r="AC236" s="7">
        <f>'Database MK'!DA237-'Database MK'!DB237</f>
        <v>54</v>
      </c>
      <c r="AD236" s="7">
        <f>'Database MK'!DA237-'Database MK'!DF237</f>
        <v>23</v>
      </c>
      <c r="AE236" s="7">
        <f>'Database MK'!DK237-'Database MK'!DL237</f>
        <v>26</v>
      </c>
      <c r="AF236" s="7">
        <f>'Database MK'!DK237-'Database MK'!DO237</f>
        <v>6</v>
      </c>
      <c r="AG236" s="7">
        <f>'Database MK'!DU237-'Database MK'!DW237</f>
        <v>-164</v>
      </c>
      <c r="AH236" s="7" t="str">
        <f>IF('Database MK'!EB237="","Belum",'Database MK'!DU237-'Database MK'!EB237)</f>
        <v>Belum</v>
      </c>
      <c r="AI236" s="7" t="str">
        <f>IF('Database MK'!EN237="","Belum",'Database MK'!EL237-'Database MK'!EN237)</f>
        <v>Belum</v>
      </c>
      <c r="AJ236" s="7">
        <f>'Database MK'!FY237-'Database MK'!FZ237</f>
        <v>-45911</v>
      </c>
      <c r="AK236" s="7">
        <f>IF('Database MK'!GC237="","Belum",'Database MK'!GB237-'Database MK'!GC237)</f>
        <v>-95</v>
      </c>
      <c r="AL236" s="7">
        <f>IF('Database MK'!GF237="","Belum",'Database MK'!GE237-'Database MK'!GF237)</f>
        <v>-61</v>
      </c>
      <c r="AM236" s="279">
        <f>IF('Database MK'!GJ237="","Belum",'Database MK'!GI237-'Database MK'!GJ237)</f>
        <v>-49</v>
      </c>
      <c r="AN236" s="7">
        <f>IF('Database MK'!HG237="","Belum",'Database MK'!HF237-'Database MK'!HG237)</f>
        <v>-96</v>
      </c>
      <c r="AO236" s="7" t="str">
        <f>IF('Database MK'!HQ237="","Belum",'Database MK'!HN237-'Database MK'!HQ237)</f>
        <v>Belum</v>
      </c>
      <c r="AP236" s="7" t="str">
        <f>IF('Database MK'!HW237="","Belum",'Database MK'!HU237-'Database MK'!HW237)</f>
        <v>Belum</v>
      </c>
    </row>
    <row r="237" spans="2:42" hidden="1" x14ac:dyDescent="0.25">
      <c r="B237" s="7">
        <f>SUBTOTAL(3,$C$4:C237)</f>
        <v>74</v>
      </c>
      <c r="C237" s="4" t="s">
        <v>629</v>
      </c>
      <c r="D237" s="4" t="s">
        <v>1828</v>
      </c>
      <c r="E237" s="4" t="s">
        <v>1829</v>
      </c>
      <c r="F237" s="270">
        <v>46113</v>
      </c>
      <c r="G237" s="4" t="s">
        <v>247</v>
      </c>
      <c r="H237" s="4" t="str">
        <f ca="1">'Database MK'!Q238</f>
        <v>DPPP</v>
      </c>
      <c r="I237" s="24">
        <f>'Database MK'!S238</f>
        <v>1</v>
      </c>
      <c r="J237" s="24">
        <f>'Database MK'!T238</f>
        <v>1</v>
      </c>
      <c r="K237" s="571">
        <f>'Database MK'!U238</f>
        <v>0</v>
      </c>
      <c r="L237" s="561">
        <f>'Database MK'!V238</f>
        <v>2248</v>
      </c>
      <c r="M237" s="561">
        <f>'Database MK'!W238</f>
        <v>2183.6999999999998</v>
      </c>
      <c r="N237" s="561">
        <f>Table3[[#This Row],[Total Panjang Pipa Aktual]]-Table3[[#This Row],[Volume
BA MC-0]]</f>
        <v>-64.300000000000182</v>
      </c>
      <c r="O237" s="7" t="str">
        <f ca="1">'Database MK'!DE238</f>
        <v>Sudah, OnSchedule</v>
      </c>
      <c r="P237" s="7" t="str">
        <f ca="1">'Database MK'!DI238</f>
        <v>Sudah, OnSchedule</v>
      </c>
      <c r="Q237" s="7" t="str">
        <f ca="1">'Database MK'!DN238</f>
        <v>Sudah, OnSchedule</v>
      </c>
      <c r="R237" s="7" t="str">
        <f ca="1">'Database MK'!DR238</f>
        <v>Sudah, Delay</v>
      </c>
      <c r="S237" s="7" t="str">
        <f ca="1">'Database MK'!EA238</f>
        <v>Sudah, Delay</v>
      </c>
      <c r="T237" s="7" t="str">
        <f ca="1">'Database MK'!EI238</f>
        <v>Sudah, Delay</v>
      </c>
      <c r="U237" s="7" t="str">
        <f ca="1">'Database MK'!ET238</f>
        <v>Sudah, Delay</v>
      </c>
      <c r="V237" s="7" t="str">
        <f ca="1">'Database MK'!GA238</f>
        <v>Sudah, Delay</v>
      </c>
      <c r="W237" s="7" t="str">
        <f ca="1">'Database MK'!GD238</f>
        <v>Sudah, OnSchedule</v>
      </c>
      <c r="X237" s="7" t="str">
        <f ca="1">'Database MK'!GG238</f>
        <v>Sudah, Delay</v>
      </c>
      <c r="Y237" s="7" t="str">
        <f ca="1">'Database MK'!GK238</f>
        <v>Sudah, OnSchedule</v>
      </c>
      <c r="Z237" s="7" t="str">
        <f ca="1">'Database MK'!HH238</f>
        <v>Sudah, Delay</v>
      </c>
      <c r="AA237" s="7" t="str">
        <f ca="1">'Database MK'!HR238</f>
        <v>Sudah, Delay</v>
      </c>
      <c r="AB237" s="7" t="str">
        <f ca="1">'Database MK'!HX238</f>
        <v>Sudah, Delay</v>
      </c>
      <c r="AC237" s="7">
        <f>'Database MK'!DA238-'Database MK'!DB238</f>
        <v>465</v>
      </c>
      <c r="AD237" s="7">
        <f>'Database MK'!DA238-'Database MK'!DF238</f>
        <v>25</v>
      </c>
      <c r="AE237" s="7">
        <f>'Database MK'!DK238-'Database MK'!DL238</f>
        <v>75</v>
      </c>
      <c r="AF237" s="7">
        <f>'Database MK'!DK238-'Database MK'!DO238</f>
        <v>-24</v>
      </c>
      <c r="AG237" s="7">
        <f>'Database MK'!DU238-'Database MK'!DW238</f>
        <v>-40</v>
      </c>
      <c r="AH237" s="7">
        <f>IF('Database MK'!EB238="","Belum",'Database MK'!DU238-'Database MK'!EB238)</f>
        <v>-208</v>
      </c>
      <c r="AI237" s="7">
        <f>IF('Database MK'!EN238="","Belum",'Database MK'!EL238-'Database MK'!EN238)</f>
        <v>-88</v>
      </c>
      <c r="AJ237" s="7">
        <f>'Database MK'!FY238-'Database MK'!FZ238</f>
        <v>-45947</v>
      </c>
      <c r="AK237" s="7">
        <f>IF('Database MK'!GC238="","Belum",'Database MK'!GB238-'Database MK'!GC238)</f>
        <v>82</v>
      </c>
      <c r="AL237" s="7">
        <f>IF('Database MK'!GF238="","Belum",'Database MK'!GE238-'Database MK'!GF238)</f>
        <v>-88</v>
      </c>
      <c r="AM237" s="279">
        <f>IF('Database MK'!GJ238="","Belum",'Database MK'!GI238-'Database MK'!GJ238)</f>
        <v>89</v>
      </c>
      <c r="AN237" s="7">
        <f>IF('Database MK'!HG238="","Belum",'Database MK'!HF238-'Database MK'!HG238)</f>
        <v>-33</v>
      </c>
      <c r="AO237" s="7">
        <f>IF('Database MK'!HQ238="","Belum",'Database MK'!HN238-'Database MK'!HQ238)</f>
        <v>-15</v>
      </c>
      <c r="AP237" s="7">
        <f>IF('Database MK'!HW238="","Belum",'Database MK'!HU238-'Database MK'!HW238)</f>
        <v>-8</v>
      </c>
    </row>
    <row r="238" spans="2:42" hidden="1" x14ac:dyDescent="0.25">
      <c r="B238" s="7">
        <f>SUBTOTAL(3,$C$4:C238)</f>
        <v>74</v>
      </c>
      <c r="C238" s="4" t="s">
        <v>629</v>
      </c>
      <c r="D238" s="4" t="s">
        <v>1839</v>
      </c>
      <c r="E238" s="4" t="s">
        <v>1840</v>
      </c>
      <c r="F238" s="270">
        <v>46113</v>
      </c>
      <c r="G238" s="4" t="s">
        <v>247</v>
      </c>
      <c r="H238" s="4" t="str">
        <f ca="1">'Database MK'!Q239</f>
        <v>DPPP</v>
      </c>
      <c r="I238" s="24">
        <f>'Database MK'!S239</f>
        <v>1</v>
      </c>
      <c r="J238" s="24">
        <f>'Database MK'!T239</f>
        <v>1</v>
      </c>
      <c r="K238" s="571">
        <f>'Database MK'!U239</f>
        <v>0</v>
      </c>
      <c r="L238" s="561">
        <f>'Database MK'!V239</f>
        <v>484</v>
      </c>
      <c r="M238" s="561">
        <f>'Database MK'!W239</f>
        <v>539</v>
      </c>
      <c r="N238" s="561">
        <f>Table3[[#This Row],[Total Panjang Pipa Aktual]]-Table3[[#This Row],[Volume
BA MC-0]]</f>
        <v>55</v>
      </c>
      <c r="O238" s="7" t="str">
        <f ca="1">'Database MK'!DE239</f>
        <v>Sudah, OnSchedule</v>
      </c>
      <c r="P238" s="7" t="str">
        <f ca="1">'Database MK'!DI239</f>
        <v>Sudah, OnSchedule</v>
      </c>
      <c r="Q238" s="7" t="str">
        <f ca="1">'Database MK'!DN239</f>
        <v>Sudah, OnSchedule</v>
      </c>
      <c r="R238" s="7" t="str">
        <f ca="1">'Database MK'!DR239</f>
        <v>Sudah, OnSchedule</v>
      </c>
      <c r="S238" s="7" t="str">
        <f ca="1">'Database MK'!EA239</f>
        <v>Sudah, Delay</v>
      </c>
      <c r="T238" s="7" t="str">
        <f ca="1">'Database MK'!EI239</f>
        <v>Sudah, Delay</v>
      </c>
      <c r="U238" s="7" t="str">
        <f ca="1">'Database MK'!ET239</f>
        <v>Sudah, Delay</v>
      </c>
      <c r="V238" s="7" t="str">
        <f ca="1">'Database MK'!GA239</f>
        <v>Sudah, Delay</v>
      </c>
      <c r="W238" s="7" t="str">
        <f ca="1">'Database MK'!GD239</f>
        <v>Sudah, OnSchedule</v>
      </c>
      <c r="X238" s="7" t="str">
        <f ca="1">'Database MK'!GG239</f>
        <v>Sudah, OnSchedule</v>
      </c>
      <c r="Y238" s="7" t="str">
        <f ca="1">'Database MK'!GK239</f>
        <v>Sudah, OnSchedule</v>
      </c>
      <c r="Z238" s="7" t="str">
        <f ca="1">'Database MK'!HH239</f>
        <v>Sudah, Delay</v>
      </c>
      <c r="AA238" s="7" t="str">
        <f ca="1">'Database MK'!HR239</f>
        <v>Sudah, Delay</v>
      </c>
      <c r="AB238" s="7" t="str">
        <f ca="1">'Database MK'!HX239</f>
        <v>Sudah, Delay</v>
      </c>
      <c r="AC238" s="7">
        <f>'Database MK'!DA239-'Database MK'!DB239</f>
        <v>60</v>
      </c>
      <c r="AD238" s="7">
        <f>'Database MK'!DA239-'Database MK'!DF239</f>
        <v>32</v>
      </c>
      <c r="AE238" s="7">
        <f>'Database MK'!DK239-'Database MK'!DL239</f>
        <v>151</v>
      </c>
      <c r="AF238" s="7">
        <f>'Database MK'!DK239-'Database MK'!DO239</f>
        <v>132</v>
      </c>
      <c r="AG238" s="7">
        <f>'Database MK'!DU239-'Database MK'!DW239</f>
        <v>-43</v>
      </c>
      <c r="AH238" s="7">
        <f>IF('Database MK'!EB239="","Belum",'Database MK'!DU239-'Database MK'!EB239)</f>
        <v>-241</v>
      </c>
      <c r="AI238" s="7">
        <f>IF('Database MK'!EN239="","Belum",'Database MK'!EL239-'Database MK'!EN239)</f>
        <v>-122</v>
      </c>
      <c r="AJ238" s="7">
        <f>'Database MK'!FY239-'Database MK'!FZ239</f>
        <v>-45947</v>
      </c>
      <c r="AK238" s="7">
        <f>IF('Database MK'!GC239="","Belum",'Database MK'!GB239-'Database MK'!GC239)</f>
        <v>173</v>
      </c>
      <c r="AL238" s="7">
        <f>IF('Database MK'!GF239="","Belum",'Database MK'!GE239-'Database MK'!GF239)</f>
        <v>3</v>
      </c>
      <c r="AM238" s="279">
        <f>IF('Database MK'!GJ239="","Belum",'Database MK'!GI239-'Database MK'!GJ239)</f>
        <v>180</v>
      </c>
      <c r="AN238" s="7">
        <f>IF('Database MK'!HG239="","Belum",'Database MK'!HF239-'Database MK'!HG239)</f>
        <v>-30</v>
      </c>
      <c r="AO238" s="7">
        <f>IF('Database MK'!HQ239="","Belum",'Database MK'!HN239-'Database MK'!HQ239)</f>
        <v>-15</v>
      </c>
      <c r="AP238" s="7">
        <f>IF('Database MK'!HW239="","Belum",'Database MK'!HU239-'Database MK'!HW239)</f>
        <v>-8</v>
      </c>
    </row>
    <row r="239" spans="2:42" hidden="1" x14ac:dyDescent="0.25">
      <c r="B239" s="7">
        <f>SUBTOTAL(3,$C$4:C239)</f>
        <v>74</v>
      </c>
      <c r="C239" s="4" t="s">
        <v>629</v>
      </c>
      <c r="D239" s="4" t="s">
        <v>1848</v>
      </c>
      <c r="E239" s="4" t="s">
        <v>1849</v>
      </c>
      <c r="F239" s="270">
        <v>46113</v>
      </c>
      <c r="G239" s="4" t="s">
        <v>247</v>
      </c>
      <c r="H239" s="4" t="str">
        <f ca="1">'Database MK'!Q240</f>
        <v>Proses Konstruksi</v>
      </c>
      <c r="I239" s="24">
        <f>'Database MK'!S240</f>
        <v>1</v>
      </c>
      <c r="J239" s="24">
        <f>'Database MK'!T240</f>
        <v>0.81768367320736579</v>
      </c>
      <c r="K239" s="571">
        <f>'Database MK'!U240</f>
        <v>-0.18231632679263421</v>
      </c>
      <c r="L239" s="561">
        <f>'Database MK'!V240</f>
        <v>4335</v>
      </c>
      <c r="M239" s="561">
        <f>'Database MK'!W240</f>
        <v>3046.4</v>
      </c>
      <c r="N239" s="561">
        <f>Table3[[#This Row],[Total Panjang Pipa Aktual]]-Table3[[#This Row],[Volume
BA MC-0]]</f>
        <v>-1288.5999999999999</v>
      </c>
      <c r="O239" s="7" t="str">
        <f ca="1">'Database MK'!DE240</f>
        <v>Sudah, OnSchedule</v>
      </c>
      <c r="P239" s="7" t="str">
        <f ca="1">'Database MK'!DI240</f>
        <v>Sudah, OnSchedule</v>
      </c>
      <c r="Q239" s="7" t="str">
        <f ca="1">'Database MK'!DN240</f>
        <v>Sudah, OnSchedule</v>
      </c>
      <c r="R239" s="7" t="str">
        <f ca="1">'Database MK'!DR240</f>
        <v>Sudah, OnSchedule</v>
      </c>
      <c r="S239" s="7" t="str">
        <f ca="1">'Database MK'!EA240</f>
        <v>Sudah, Delay</v>
      </c>
      <c r="T239" s="7" t="str">
        <f ca="1">'Database MK'!EI240</f>
        <v>Belum, Delay</v>
      </c>
      <c r="U239" s="7" t="str">
        <f ca="1">'Database MK'!ET240</f>
        <v>Belum, Delay</v>
      </c>
      <c r="V239" s="7" t="str">
        <f ca="1">'Database MK'!GA240</f>
        <v>Sudah, Delay</v>
      </c>
      <c r="W239" s="7" t="str">
        <f ca="1">'Database MK'!GD240</f>
        <v>Sudah, OnSchedule</v>
      </c>
      <c r="X239" s="7" t="str">
        <f ca="1">'Database MK'!GG240</f>
        <v>Sudah, Delay</v>
      </c>
      <c r="Y239" s="7" t="str">
        <f ca="1">'Database MK'!GK240</f>
        <v>Sudah, OnSchedule</v>
      </c>
      <c r="Z239" s="7" t="str">
        <f ca="1">'Database MK'!HH240</f>
        <v>Belum, Delay</v>
      </c>
      <c r="AA239" s="7" t="str">
        <f ca="1">'Database MK'!HR240</f>
        <v>Belum, Delay</v>
      </c>
      <c r="AB239" s="7" t="str">
        <f ca="1">'Database MK'!HX240</f>
        <v>Belum, Delay</v>
      </c>
      <c r="AC239" s="7">
        <f>'Database MK'!DA240-'Database MK'!DB240</f>
        <v>60</v>
      </c>
      <c r="AD239" s="7">
        <f>'Database MK'!DA240-'Database MK'!DF240</f>
        <v>48</v>
      </c>
      <c r="AE239" s="7">
        <f>'Database MK'!DK240-'Database MK'!DL240</f>
        <v>75</v>
      </c>
      <c r="AF239" s="7">
        <f>'Database MK'!DK240-'Database MK'!DO240</f>
        <v>41</v>
      </c>
      <c r="AG239" s="7">
        <f>'Database MK'!DU240-'Database MK'!DW240</f>
        <v>-50</v>
      </c>
      <c r="AH239" s="7" t="str">
        <f>IF('Database MK'!EB240="","Belum",'Database MK'!DU240-'Database MK'!EB240)</f>
        <v>Belum</v>
      </c>
      <c r="AI239" s="7" t="str">
        <f>IF('Database MK'!EN240="","Belum",'Database MK'!EL240-'Database MK'!EN240)</f>
        <v>Belum</v>
      </c>
      <c r="AJ239" s="7">
        <f>'Database MK'!FY240-'Database MK'!FZ240</f>
        <v>-45947</v>
      </c>
      <c r="AK239" s="7">
        <f>IF('Database MK'!GC240="","Belum",'Database MK'!GB240-'Database MK'!GC240)</f>
        <v>82</v>
      </c>
      <c r="AL239" s="7">
        <f>IF('Database MK'!GF240="","Belum",'Database MK'!GE240-'Database MK'!GF240)</f>
        <v>-88</v>
      </c>
      <c r="AM239" s="279">
        <f>IF('Database MK'!GJ240="","Belum",'Database MK'!GI240-'Database MK'!GJ240)</f>
        <v>88</v>
      </c>
      <c r="AN239" s="7" t="str">
        <f>IF('Database MK'!HG240="","Belum",'Database MK'!HF240-'Database MK'!HG240)</f>
        <v>Belum</v>
      </c>
      <c r="AO239" s="7" t="str">
        <f>IF('Database MK'!HQ240="","Belum",'Database MK'!HN240-'Database MK'!HQ240)</f>
        <v>Belum</v>
      </c>
      <c r="AP239" s="7" t="str">
        <f>IF('Database MK'!HW240="","Belum",'Database MK'!HU240-'Database MK'!HW240)</f>
        <v>Belum</v>
      </c>
    </row>
    <row r="240" spans="2:42" hidden="1" x14ac:dyDescent="0.25">
      <c r="B240" s="7">
        <f>SUBTOTAL(3,$C$4:C240)</f>
        <v>74</v>
      </c>
      <c r="C240" s="4" t="s">
        <v>629</v>
      </c>
      <c r="D240" s="4" t="s">
        <v>1856</v>
      </c>
      <c r="E240" s="4" t="s">
        <v>1857</v>
      </c>
      <c r="F240" s="270">
        <v>46113</v>
      </c>
      <c r="G240" s="4" t="s">
        <v>247</v>
      </c>
      <c r="H240" s="4" t="str">
        <f ca="1">'Database MK'!Q241</f>
        <v>Tes Com</v>
      </c>
      <c r="I240" s="24">
        <f>'Database MK'!S241</f>
        <v>1</v>
      </c>
      <c r="J240" s="24">
        <f>'Database MK'!T241</f>
        <v>0.94810093755324509</v>
      </c>
      <c r="K240" s="571">
        <f>'Database MK'!U241</f>
        <v>-5.1899062446754907E-2</v>
      </c>
      <c r="L240" s="561">
        <f>'Database MK'!V241</f>
        <v>2066</v>
      </c>
      <c r="M240" s="561">
        <f>'Database MK'!W241</f>
        <v>2066</v>
      </c>
      <c r="N240" s="561">
        <f>Table3[[#This Row],[Total Panjang Pipa Aktual]]-Table3[[#This Row],[Volume
BA MC-0]]</f>
        <v>0</v>
      </c>
      <c r="O240" s="7" t="str">
        <f ca="1">'Database MK'!DE241</f>
        <v>Sudah, Delay</v>
      </c>
      <c r="P240" s="7" t="str">
        <f ca="1">'Database MK'!DI241</f>
        <v>Sudah, Delay</v>
      </c>
      <c r="Q240" s="7" t="str">
        <f ca="1">'Database MK'!DN241</f>
        <v>Sudah, Delay</v>
      </c>
      <c r="R240" s="7" t="str">
        <f ca="1">'Database MK'!DR241</f>
        <v>Sudah, Delay</v>
      </c>
      <c r="S240" s="7" t="str">
        <f ca="1">'Database MK'!EA241</f>
        <v>Sudah, Delay</v>
      </c>
      <c r="T240" s="7" t="str">
        <f ca="1">'Database MK'!EI241</f>
        <v>Belum, Delay</v>
      </c>
      <c r="U240" s="7" t="str">
        <f ca="1">'Database MK'!ET241</f>
        <v>Belum, Delay</v>
      </c>
      <c r="V240" s="7" t="str">
        <f ca="1">'Database MK'!GA241</f>
        <v>Sudah, Delay</v>
      </c>
      <c r="W240" s="7" t="str">
        <f ca="1">'Database MK'!GD241</f>
        <v>Sudah, Delay</v>
      </c>
      <c r="X240" s="7" t="str">
        <f ca="1">'Database MK'!GG241</f>
        <v>Sudah, Delay</v>
      </c>
      <c r="Y240" s="7" t="str">
        <f ca="1">'Database MK'!GK241</f>
        <v>Sudah, Delay</v>
      </c>
      <c r="Z240" s="7" t="str">
        <f ca="1">'Database MK'!HH241</f>
        <v>Sudah, Delay</v>
      </c>
      <c r="AA240" s="7" t="str">
        <f ca="1">'Database MK'!HR241</f>
        <v>Belum, Delay</v>
      </c>
      <c r="AB240" s="7" t="str">
        <f ca="1">'Database MK'!HX241</f>
        <v>Belum, Delay</v>
      </c>
      <c r="AC240" s="7">
        <f>'Database MK'!DA241-'Database MK'!DB241</f>
        <v>-45</v>
      </c>
      <c r="AD240" s="7">
        <f>'Database MK'!DA241-'Database MK'!DF241</f>
        <v>-54</v>
      </c>
      <c r="AE240" s="7">
        <f>'Database MK'!DK241-'Database MK'!DL241</f>
        <v>-10</v>
      </c>
      <c r="AF240" s="7">
        <f>'Database MK'!DK241-'Database MK'!DO241</f>
        <v>-44</v>
      </c>
      <c r="AG240" s="7">
        <f>'Database MK'!DU241-'Database MK'!DW241</f>
        <v>-38</v>
      </c>
      <c r="AH240" s="7" t="str">
        <f>IF('Database MK'!EB241="","Belum",'Database MK'!DU241-'Database MK'!EB241)</f>
        <v>Belum</v>
      </c>
      <c r="AI240" s="7" t="str">
        <f>IF('Database MK'!EN241="","Belum",'Database MK'!EL241-'Database MK'!EN241)</f>
        <v>Belum</v>
      </c>
      <c r="AJ240" s="7">
        <f>'Database MK'!FY241-'Database MK'!FZ241</f>
        <v>-45903</v>
      </c>
      <c r="AK240" s="7">
        <f>IF('Database MK'!GC241="","Belum",'Database MK'!GB241-'Database MK'!GC241)</f>
        <v>-15</v>
      </c>
      <c r="AL240" s="7">
        <f>IF('Database MK'!GF241="","Belum",'Database MK'!GE241-'Database MK'!GF241)</f>
        <v>-3</v>
      </c>
      <c r="AM240" s="279">
        <f>IF('Database MK'!GJ241="","Belum",'Database MK'!GI241-'Database MK'!GJ241)</f>
        <v>-1</v>
      </c>
      <c r="AN240" s="7">
        <f>IF('Database MK'!HG241="","Belum",'Database MK'!HF241-'Database MK'!HG241)</f>
        <v>-96</v>
      </c>
      <c r="AO240" s="7" t="str">
        <f>IF('Database MK'!HQ241="","Belum",'Database MK'!HN241-'Database MK'!HQ241)</f>
        <v>Belum</v>
      </c>
      <c r="AP240" s="7" t="str">
        <f>IF('Database MK'!HW241="","Belum",'Database MK'!HU241-'Database MK'!HW241)</f>
        <v>Belum</v>
      </c>
    </row>
    <row r="241" spans="2:42" hidden="1" x14ac:dyDescent="0.25">
      <c r="B241" s="7">
        <f>SUBTOTAL(3,$C$4:C241)</f>
        <v>74</v>
      </c>
      <c r="C241" s="4" t="s">
        <v>629</v>
      </c>
      <c r="D241" s="4" t="s">
        <v>1865</v>
      </c>
      <c r="E241" s="4" t="s">
        <v>1866</v>
      </c>
      <c r="F241" s="270">
        <v>46113</v>
      </c>
      <c r="G241" s="4" t="s">
        <v>247</v>
      </c>
      <c r="H241" s="4" t="str">
        <f ca="1">'Database MK'!Q242</f>
        <v>Proses Konstruksi</v>
      </c>
      <c r="I241" s="24">
        <f>'Database MK'!S242</f>
        <v>1</v>
      </c>
      <c r="J241" s="24">
        <f>'Database MK'!T242</f>
        <v>0.42552050001018388</v>
      </c>
      <c r="K241" s="571">
        <f>'Database MK'!U242</f>
        <v>-0.57447949998981618</v>
      </c>
      <c r="L241" s="561">
        <f>'Database MK'!V242</f>
        <v>7889.7</v>
      </c>
      <c r="M241" s="561">
        <f>'Database MK'!W242</f>
        <v>4871.5</v>
      </c>
      <c r="N241" s="561">
        <f>Table3[[#This Row],[Total Panjang Pipa Aktual]]-Table3[[#This Row],[Volume
BA MC-0]]</f>
        <v>-3018.2</v>
      </c>
      <c r="O241" s="7" t="str">
        <f ca="1">'Database MK'!DE242</f>
        <v>Sudah, OnSchedule</v>
      </c>
      <c r="P241" s="7" t="str">
        <f ca="1">'Database MK'!DI242</f>
        <v>Sudah, OnSchedule</v>
      </c>
      <c r="Q241" s="7" t="str">
        <f ca="1">'Database MK'!DN242</f>
        <v>Sudah, OnSchedule</v>
      </c>
      <c r="R241" s="7" t="str">
        <f ca="1">'Database MK'!DR242</f>
        <v>Sudah, Delay</v>
      </c>
      <c r="S241" s="7" t="str">
        <f ca="1">'Database MK'!EA242</f>
        <v>Sudah, Delay</v>
      </c>
      <c r="T241" s="7" t="str">
        <f ca="1">'Database MK'!EI242</f>
        <v>Sudah, Delay</v>
      </c>
      <c r="U241" s="7" t="str">
        <f ca="1">'Database MK'!ET242</f>
        <v>Belum, Delay</v>
      </c>
      <c r="V241" s="7" t="str">
        <f ca="1">'Database MK'!GA242</f>
        <v>Sudah, Delay</v>
      </c>
      <c r="W241" s="7" t="str">
        <f ca="1">'Database MK'!GD242</f>
        <v>Sudah, OnSchedule</v>
      </c>
      <c r="X241" s="7" t="str">
        <f ca="1">'Database MK'!GG242</f>
        <v>Sudah, OnSchedule</v>
      </c>
      <c r="Y241" s="7" t="str">
        <f ca="1">'Database MK'!GK242</f>
        <v>Sudah, OnSchedule</v>
      </c>
      <c r="Z241" s="7" t="str">
        <f ca="1">'Database MK'!HH242</f>
        <v>Belum, Delay</v>
      </c>
      <c r="AA241" s="7" t="str">
        <f ca="1">'Database MK'!HR242</f>
        <v>Belum, Delay</v>
      </c>
      <c r="AB241" s="7" t="str">
        <f ca="1">'Database MK'!HX242</f>
        <v>Belum, Delay</v>
      </c>
      <c r="AC241" s="7">
        <f>'Database MK'!DA242-'Database MK'!DB242</f>
        <v>54</v>
      </c>
      <c r="AD241" s="7">
        <f>'Database MK'!DA242-'Database MK'!DF242</f>
        <v>45</v>
      </c>
      <c r="AE241" s="7">
        <f>'Database MK'!DK242-'Database MK'!DL242</f>
        <v>13</v>
      </c>
      <c r="AF241" s="7">
        <f>'Database MK'!DK242-'Database MK'!DO242</f>
        <v>-22.291666666664241</v>
      </c>
      <c r="AG241" s="7">
        <f>'Database MK'!DU242-'Database MK'!DW242</f>
        <v>-4</v>
      </c>
      <c r="AH241" s="7">
        <f>IF('Database MK'!EB242="","Belum",'Database MK'!DU242-'Database MK'!EB242)</f>
        <v>-220</v>
      </c>
      <c r="AI241" s="7" t="str">
        <f>IF('Database MK'!EN242="","Belum",'Database MK'!EL242-'Database MK'!EN242)</f>
        <v>Belum</v>
      </c>
      <c r="AJ241" s="7">
        <f>'Database MK'!FY242-'Database MK'!FZ242</f>
        <v>-45903</v>
      </c>
      <c r="AK241" s="7">
        <f>IF('Database MK'!GC242="","Belum",'Database MK'!GB242-'Database MK'!GC242)</f>
        <v>20</v>
      </c>
      <c r="AL241" s="7">
        <f>IF('Database MK'!GF242="","Belum",'Database MK'!GE242-'Database MK'!GF242)</f>
        <v>32</v>
      </c>
      <c r="AM241" s="279">
        <f>IF('Database MK'!GJ242="","Belum",'Database MK'!GI242-'Database MK'!GJ242)</f>
        <v>11</v>
      </c>
      <c r="AN241" s="7" t="str">
        <f>IF('Database MK'!HG242="","Belum",'Database MK'!HF242-'Database MK'!HG242)</f>
        <v>Belum</v>
      </c>
      <c r="AO241" s="7" t="str">
        <f>IF('Database MK'!HQ242="","Belum",'Database MK'!HN242-'Database MK'!HQ242)</f>
        <v>Belum</v>
      </c>
      <c r="AP241" s="7" t="str">
        <f>IF('Database MK'!HW242="","Belum",'Database MK'!HU242-'Database MK'!HW242)</f>
        <v>Belum</v>
      </c>
    </row>
    <row r="242" spans="2:42" hidden="1" x14ac:dyDescent="0.25">
      <c r="B242" s="7">
        <f>SUBTOTAL(3,$C$4:C242)</f>
        <v>74</v>
      </c>
      <c r="C242" s="4" t="s">
        <v>629</v>
      </c>
      <c r="D242" s="4" t="s">
        <v>1874</v>
      </c>
      <c r="E242" s="4" t="s">
        <v>1875</v>
      </c>
      <c r="F242" s="270">
        <v>46113</v>
      </c>
      <c r="G242" s="4" t="s">
        <v>247</v>
      </c>
      <c r="H242" s="4" t="str">
        <f ca="1">'Database MK'!Q243</f>
        <v>Proses Konstruksi</v>
      </c>
      <c r="I242" s="24">
        <f>'Database MK'!S243</f>
        <v>1</v>
      </c>
      <c r="J242" s="24">
        <f>'Database MK'!T243</f>
        <v>0.34466664900087324</v>
      </c>
      <c r="K242" s="571">
        <f>'Database MK'!U243</f>
        <v>-0.65533335099912682</v>
      </c>
      <c r="L242" s="561">
        <f>'Database MK'!V243</f>
        <v>1177</v>
      </c>
      <c r="M242" s="561">
        <f>'Database MK'!W243</f>
        <v>548</v>
      </c>
      <c r="N242" s="561">
        <f>Table3[[#This Row],[Total Panjang Pipa Aktual]]-Table3[[#This Row],[Volume
BA MC-0]]</f>
        <v>-629</v>
      </c>
      <c r="O242" s="7" t="str">
        <f ca="1">'Database MK'!DE243</f>
        <v>Sudah, OnSchedule</v>
      </c>
      <c r="P242" s="7" t="str">
        <f ca="1">'Database MK'!DI243</f>
        <v>Sudah, OnSchedule</v>
      </c>
      <c r="Q242" s="7" t="str">
        <f ca="1">'Database MK'!DN243</f>
        <v>Sudah, OnSchedule</v>
      </c>
      <c r="R242" s="7" t="str">
        <f ca="1">'Database MK'!DR243</f>
        <v>Sudah, OnSchedule</v>
      </c>
      <c r="S242" s="7" t="str">
        <f ca="1">'Database MK'!EA243</f>
        <v>Sudah, OnSchedule</v>
      </c>
      <c r="T242" s="7" t="str">
        <f ca="1">'Database MK'!EI243</f>
        <v>Sudah, Delay</v>
      </c>
      <c r="U242" s="7" t="str">
        <f ca="1">'Database MK'!ET243</f>
        <v>Belum, Delay</v>
      </c>
      <c r="V242" s="7" t="str">
        <f ca="1">'Database MK'!GA243</f>
        <v>Sudah, Delay</v>
      </c>
      <c r="W242" s="7" t="str">
        <f ca="1">'Database MK'!GD243</f>
        <v>Sudah, OnSchedule</v>
      </c>
      <c r="X242" s="7" t="str">
        <f ca="1">'Database MK'!GG243</f>
        <v>Sudah, OnSchedule</v>
      </c>
      <c r="Y242" s="7" t="str">
        <f ca="1">'Database MK'!GK243</f>
        <v>Sudah, OnSchedule</v>
      </c>
      <c r="Z242" s="7" t="str">
        <f ca="1">'Database MK'!HH243</f>
        <v>Belum, Delay</v>
      </c>
      <c r="AA242" s="7" t="str">
        <f ca="1">'Database MK'!HR243</f>
        <v>Belum, Delay</v>
      </c>
      <c r="AB242" s="7" t="str">
        <f ca="1">'Database MK'!HX243</f>
        <v>Belum, Delay</v>
      </c>
      <c r="AC242" s="7">
        <f>'Database MK'!DA243-'Database MK'!DB243</f>
        <v>12</v>
      </c>
      <c r="AD242" s="7">
        <f>'Database MK'!DA243-'Database MK'!DF243</f>
        <v>3</v>
      </c>
      <c r="AE242" s="7">
        <f>'Database MK'!DK243-'Database MK'!DL243</f>
        <v>41</v>
      </c>
      <c r="AF242" s="7">
        <f>'Database MK'!DK243-'Database MK'!DO243</f>
        <v>23</v>
      </c>
      <c r="AG242" s="7">
        <f>'Database MK'!DU243-'Database MK'!DW243</f>
        <v>19</v>
      </c>
      <c r="AH242" s="7">
        <f>IF('Database MK'!EB243="","Belum",'Database MK'!DU243-'Database MK'!EB243)</f>
        <v>-71</v>
      </c>
      <c r="AI242" s="7" t="str">
        <f>IF('Database MK'!EN243="","Belum",'Database MK'!EL243-'Database MK'!EN243)</f>
        <v>Belum</v>
      </c>
      <c r="AJ242" s="7">
        <f>'Database MK'!FY243-'Database MK'!FZ243</f>
        <v>-45911</v>
      </c>
      <c r="AK242" s="7">
        <f>IF('Database MK'!GC243="","Belum",'Database MK'!GB243-'Database MK'!GC243)</f>
        <v>48</v>
      </c>
      <c r="AL242" s="7">
        <f>IF('Database MK'!GF243="","Belum",'Database MK'!GE243-'Database MK'!GF243)</f>
        <v>60</v>
      </c>
      <c r="AM242" s="279">
        <f>IF('Database MK'!GJ243="","Belum",'Database MK'!GI243-'Database MK'!GJ243)</f>
        <v>40</v>
      </c>
      <c r="AN242" s="7" t="str">
        <f>IF('Database MK'!HG243="","Belum",'Database MK'!HF243-'Database MK'!HG243)</f>
        <v>Belum</v>
      </c>
      <c r="AO242" s="7" t="str">
        <f>IF('Database MK'!HQ243="","Belum",'Database MK'!HN243-'Database MK'!HQ243)</f>
        <v>Belum</v>
      </c>
      <c r="AP242" s="7" t="str">
        <f>IF('Database MK'!HW243="","Belum",'Database MK'!HU243-'Database MK'!HW243)</f>
        <v>Belum</v>
      </c>
    </row>
    <row r="243" spans="2:42" hidden="1" x14ac:dyDescent="0.25">
      <c r="B243" s="7">
        <f>SUBTOTAL(3,$C$4:C243)</f>
        <v>74</v>
      </c>
      <c r="C243" s="4" t="s">
        <v>629</v>
      </c>
      <c r="D243" s="4" t="s">
        <v>1884</v>
      </c>
      <c r="E243" s="4" t="s">
        <v>1885</v>
      </c>
      <c r="F243" s="270">
        <v>46113</v>
      </c>
      <c r="G243" s="4" t="s">
        <v>247</v>
      </c>
      <c r="H243" s="4" t="str">
        <f>'Database MK'!Q244</f>
        <v>MC-100</v>
      </c>
      <c r="I243" s="24">
        <f>'Database MK'!S244</f>
        <v>1</v>
      </c>
      <c r="J243" s="24">
        <f>'Database MK'!T244</f>
        <v>0.47552623821939266</v>
      </c>
      <c r="K243" s="571">
        <f>'Database MK'!U244</f>
        <v>-0.52447376178060734</v>
      </c>
      <c r="L243" s="561">
        <f>'Database MK'!V244</f>
        <v>4323.3</v>
      </c>
      <c r="M243" s="561">
        <f>'Database MK'!W244</f>
        <v>1841.4</v>
      </c>
      <c r="N243" s="561">
        <f>Table3[[#This Row],[Total Panjang Pipa Aktual]]-Table3[[#This Row],[Volume
BA MC-0]]</f>
        <v>-2481.9</v>
      </c>
      <c r="O243" s="7" t="str">
        <f ca="1">'Database MK'!DE244</f>
        <v>Sudah, Delay</v>
      </c>
      <c r="P243" s="7" t="str">
        <f ca="1">'Database MK'!DI244</f>
        <v>Sudah, Delay</v>
      </c>
      <c r="Q243" s="7" t="str">
        <f ca="1">'Database MK'!DN244</f>
        <v>Sudah, Delay</v>
      </c>
      <c r="R243" s="7" t="str">
        <f ca="1">'Database MK'!DR244</f>
        <v>Sudah, Delay</v>
      </c>
      <c r="S243" s="7" t="str">
        <f ca="1">'Database MK'!EA244</f>
        <v>Sudah, Delay</v>
      </c>
      <c r="T243" s="7" t="str">
        <f ca="1">'Database MK'!EI244</f>
        <v>Sudah, Delay</v>
      </c>
      <c r="U243" s="7" t="str">
        <f ca="1">'Database MK'!ET244</f>
        <v>Belum, Delay</v>
      </c>
      <c r="V243" s="7" t="str">
        <f ca="1">'Database MK'!GA244</f>
        <v>Sudah, Delay</v>
      </c>
      <c r="W243" s="7" t="str">
        <f ca="1">'Database MK'!GD244</f>
        <v>Sudah, Delay</v>
      </c>
      <c r="X243" s="7" t="str">
        <f ca="1">'Database MK'!GG244</f>
        <v>Sudah, Delay</v>
      </c>
      <c r="Y243" s="7" t="str">
        <f ca="1">'Database MK'!GK244</f>
        <v>Sudah, Delay</v>
      </c>
      <c r="Z243" s="7" t="str">
        <f ca="1">'Database MK'!HH244</f>
        <v>Sudah, Delay</v>
      </c>
      <c r="AA243" s="7" t="str">
        <f ca="1">'Database MK'!HR244</f>
        <v>Belum, Delay</v>
      </c>
      <c r="AB243" s="7" t="str">
        <f ca="1">'Database MK'!HX244</f>
        <v>Belum, Delay</v>
      </c>
      <c r="AC243" s="7">
        <f>'Database MK'!DA244-'Database MK'!DB244</f>
        <v>-10</v>
      </c>
      <c r="AD243" s="7">
        <f>'Database MK'!DA244-'Database MK'!DF244</f>
        <v>-18</v>
      </c>
      <c r="AE243" s="7">
        <f>'Database MK'!DK244-'Database MK'!DL244</f>
        <v>-38</v>
      </c>
      <c r="AF243" s="7">
        <f>'Database MK'!DK244-'Database MK'!DO244</f>
        <v>-68</v>
      </c>
      <c r="AG243" s="7">
        <f>'Database MK'!DU244-'Database MK'!DW244</f>
        <v>-66</v>
      </c>
      <c r="AH243" s="7">
        <f>IF('Database MK'!EB244="","Belum",'Database MK'!DU244-'Database MK'!EB244)</f>
        <v>-162</v>
      </c>
      <c r="AI243" s="7" t="str">
        <f>IF('Database MK'!EN244="","Belum",'Database MK'!EL244-'Database MK'!EN244)</f>
        <v>Belum</v>
      </c>
      <c r="AJ243" s="7">
        <f>'Database MK'!FY244-'Database MK'!FZ244</f>
        <v>-45903</v>
      </c>
      <c r="AK243" s="7">
        <f>IF('Database MK'!GC244="","Belum",'Database MK'!GB244-'Database MK'!GC244)</f>
        <v>-43</v>
      </c>
      <c r="AL243" s="7">
        <f>IF('Database MK'!GF244="","Belum",'Database MK'!GE244-'Database MK'!GF244)</f>
        <v>-31</v>
      </c>
      <c r="AM243" s="279">
        <f>IF('Database MK'!GJ244="","Belum",'Database MK'!GI244-'Database MK'!GJ244)</f>
        <v>-47</v>
      </c>
      <c r="AN243" s="7">
        <f>IF('Database MK'!HG244="","Belum",'Database MK'!HF244-'Database MK'!HG244)</f>
        <v>-54</v>
      </c>
      <c r="AO243" s="7" t="str">
        <f>IF('Database MK'!HQ244="","Belum",'Database MK'!HN244-'Database MK'!HQ244)</f>
        <v>Belum</v>
      </c>
      <c r="AP243" s="7" t="str">
        <f>IF('Database MK'!HW244="","Belum",'Database MK'!HU244-'Database MK'!HW244)</f>
        <v>Belum</v>
      </c>
    </row>
    <row r="244" spans="2:42" hidden="1" x14ac:dyDescent="0.25">
      <c r="B244" s="7">
        <f>SUBTOTAL(3,$C$4:C244)</f>
        <v>74</v>
      </c>
      <c r="C244" s="4" t="s">
        <v>629</v>
      </c>
      <c r="D244" s="4" t="s">
        <v>1895</v>
      </c>
      <c r="E244" s="4" t="s">
        <v>1896</v>
      </c>
      <c r="F244" s="270">
        <v>46113</v>
      </c>
      <c r="G244" s="4" t="s">
        <v>247</v>
      </c>
      <c r="H244" s="4" t="str">
        <f ca="1">'Database MK'!Q245</f>
        <v>Proses Konstruksi</v>
      </c>
      <c r="I244" s="24">
        <f>'Database MK'!S245</f>
        <v>1</v>
      </c>
      <c r="J244" s="24">
        <f>'Database MK'!T245</f>
        <v>0.63662408471719356</v>
      </c>
      <c r="K244" s="571">
        <f>'Database MK'!U245</f>
        <v>-0.36337591528280644</v>
      </c>
      <c r="L244" s="561">
        <f>'Database MK'!V245</f>
        <v>15186</v>
      </c>
      <c r="M244" s="561">
        <f>'Database MK'!W245</f>
        <v>11269</v>
      </c>
      <c r="N244" s="561">
        <f>Table3[[#This Row],[Total Panjang Pipa Aktual]]-Table3[[#This Row],[Volume
BA MC-0]]</f>
        <v>-3917</v>
      </c>
      <c r="O244" s="7" t="str">
        <f ca="1">'Database MK'!DE245</f>
        <v>Sudah, Delay</v>
      </c>
      <c r="P244" s="7" t="str">
        <f ca="1">'Database MK'!DI245</f>
        <v>Sudah, Delay</v>
      </c>
      <c r="Q244" s="7" t="str">
        <f ca="1">'Database MK'!DN245</f>
        <v>Sudah, Delay</v>
      </c>
      <c r="R244" s="7" t="str">
        <f ca="1">'Database MK'!DR245</f>
        <v>Sudah, Delay</v>
      </c>
      <c r="S244" s="7" t="str">
        <f ca="1">'Database MK'!EA245</f>
        <v>Sudah, Delay</v>
      </c>
      <c r="T244" s="7" t="str">
        <f ca="1">'Database MK'!EI245</f>
        <v>Sudah, Delay</v>
      </c>
      <c r="U244" s="7" t="str">
        <f ca="1">'Database MK'!ET245</f>
        <v>Sudah, Delay</v>
      </c>
      <c r="V244" s="7" t="str">
        <f ca="1">'Database MK'!GA245</f>
        <v>Sudah, Delay</v>
      </c>
      <c r="W244" s="7" t="str">
        <f ca="1">'Database MK'!GD245</f>
        <v>Sudah, Delay</v>
      </c>
      <c r="X244" s="7" t="str">
        <f ca="1">'Database MK'!GG245</f>
        <v>Sudah, Delay</v>
      </c>
      <c r="Y244" s="7" t="str">
        <f ca="1">'Database MK'!GK245</f>
        <v>Sudah, Delay</v>
      </c>
      <c r="Z244" s="7" t="str">
        <f ca="1">'Database MK'!HH245</f>
        <v>Belum, Delay</v>
      </c>
      <c r="AA244" s="7" t="str">
        <f ca="1">'Database MK'!HR245</f>
        <v>Belum, Delay</v>
      </c>
      <c r="AB244" s="7" t="str">
        <f ca="1">'Database MK'!HX245</f>
        <v>Belum, Delay</v>
      </c>
      <c r="AC244" s="7">
        <f>'Database MK'!DA245-'Database MK'!DB245</f>
        <v>-68</v>
      </c>
      <c r="AD244" s="7">
        <f>'Database MK'!DA245-'Database MK'!DF245</f>
        <v>-93</v>
      </c>
      <c r="AE244" s="7">
        <f>'Database MK'!DK245-'Database MK'!DL245</f>
        <v>-38</v>
      </c>
      <c r="AF244" s="7">
        <f>'Database MK'!DK245-'Database MK'!DO245</f>
        <v>-106</v>
      </c>
      <c r="AG244" s="7">
        <f>'Database MK'!DU245-'Database MK'!DW245</f>
        <v>-66</v>
      </c>
      <c r="AH244" s="7">
        <f>IF('Database MK'!EB245="","Belum",'Database MK'!DU245-'Database MK'!EB245)</f>
        <v>-235</v>
      </c>
      <c r="AI244" s="7">
        <f>IF('Database MK'!EN245="","Belum",'Database MK'!EL245-'Database MK'!EN245)</f>
        <v>-100</v>
      </c>
      <c r="AJ244" s="7">
        <f>'Database MK'!FY245-'Database MK'!FZ245</f>
        <v>-45903</v>
      </c>
      <c r="AK244" s="7">
        <f>IF('Database MK'!GC245="","Belum",'Database MK'!GB245-'Database MK'!GC245)</f>
        <v>-43</v>
      </c>
      <c r="AL244" s="7">
        <f>IF('Database MK'!GF245="","Belum",'Database MK'!GE245-'Database MK'!GF245)</f>
        <v>-31</v>
      </c>
      <c r="AM244" s="279">
        <f>IF('Database MK'!GJ245="","Belum",'Database MK'!GI245-'Database MK'!GJ245)</f>
        <v>-30</v>
      </c>
      <c r="AN244" s="7" t="str">
        <f>IF('Database MK'!HG245="","Belum",'Database MK'!HF245-'Database MK'!HG245)</f>
        <v>Belum</v>
      </c>
      <c r="AO244" s="7" t="str">
        <f>IF('Database MK'!HQ245="","Belum",'Database MK'!HN245-'Database MK'!HQ245)</f>
        <v>Belum</v>
      </c>
      <c r="AP244" s="7" t="str">
        <f>IF('Database MK'!HW245="","Belum",'Database MK'!HU245-'Database MK'!HW245)</f>
        <v>Belum</v>
      </c>
    </row>
    <row r="245" spans="2:42" hidden="1" x14ac:dyDescent="0.25">
      <c r="B245" s="7">
        <f>SUBTOTAL(3,$C$4:C245)</f>
        <v>74</v>
      </c>
      <c r="C245" s="4" t="s">
        <v>629</v>
      </c>
      <c r="D245" s="4" t="s">
        <v>1903</v>
      </c>
      <c r="E245" s="4" t="s">
        <v>1904</v>
      </c>
      <c r="F245" s="270">
        <v>46113</v>
      </c>
      <c r="G245" s="4" t="s">
        <v>247</v>
      </c>
      <c r="H245" s="4" t="str">
        <f ca="1">'Database MK'!Q246</f>
        <v>Proses Konstruksi</v>
      </c>
      <c r="I245" s="24">
        <f>'Database MK'!S246</f>
        <v>1</v>
      </c>
      <c r="J245" s="24">
        <f>'Database MK'!T246</f>
        <v>0.52547958139014028</v>
      </c>
      <c r="K245" s="571">
        <f>'Database MK'!U246</f>
        <v>-0.47452041860985972</v>
      </c>
      <c r="L245" s="561">
        <f>'Database MK'!V246</f>
        <v>23511.5</v>
      </c>
      <c r="M245" s="561">
        <f>'Database MK'!W246</f>
        <v>14204</v>
      </c>
      <c r="N245" s="561">
        <f>Table3[[#This Row],[Total Panjang Pipa Aktual]]-Table3[[#This Row],[Volume
BA MC-0]]</f>
        <v>-9307.5</v>
      </c>
      <c r="O245" s="7" t="str">
        <f ca="1">'Database MK'!DE246</f>
        <v>Sudah, Delay</v>
      </c>
      <c r="P245" s="7" t="str">
        <f ca="1">'Database MK'!DI246</f>
        <v>Sudah, Delay</v>
      </c>
      <c r="Q245" s="7" t="str">
        <f ca="1">'Database MK'!DN246</f>
        <v>Sudah, Delay</v>
      </c>
      <c r="R245" s="7" t="str">
        <f ca="1">'Database MK'!DR246</f>
        <v>Sudah, Delay</v>
      </c>
      <c r="S245" s="7" t="str">
        <f ca="1">'Database MK'!EA246</f>
        <v>Sudah, Delay</v>
      </c>
      <c r="T245" s="7" t="str">
        <f ca="1">'Database MK'!EI246</f>
        <v>Sudah, Delay</v>
      </c>
      <c r="U245" s="7" t="str">
        <f ca="1">'Database MK'!ET246</f>
        <v>Sudah, Delay</v>
      </c>
      <c r="V245" s="7" t="str">
        <f ca="1">'Database MK'!GA246</f>
        <v>Sudah, Delay</v>
      </c>
      <c r="W245" s="7" t="str">
        <f ca="1">'Database MK'!GD246</f>
        <v>Sudah, Delay</v>
      </c>
      <c r="X245" s="7" t="str">
        <f ca="1">'Database MK'!GG246</f>
        <v>Sudah, Delay</v>
      </c>
      <c r="Y245" s="7" t="str">
        <f ca="1">'Database MK'!GK246</f>
        <v>Sudah, Delay</v>
      </c>
      <c r="Z245" s="7" t="str">
        <f ca="1">'Database MK'!HH246</f>
        <v>Belum, Delay</v>
      </c>
      <c r="AA245" s="7" t="str">
        <f ca="1">'Database MK'!HR246</f>
        <v>Belum, Delay</v>
      </c>
      <c r="AB245" s="7" t="str">
        <f ca="1">'Database MK'!HX246</f>
        <v>Belum, Delay</v>
      </c>
      <c r="AC245" s="7">
        <f>'Database MK'!DA246-'Database MK'!DB246</f>
        <v>-23</v>
      </c>
      <c r="AD245" s="7">
        <f>'Database MK'!DA246-'Database MK'!DF246</f>
        <v>-36</v>
      </c>
      <c r="AE245" s="7">
        <f>'Database MK'!DK246-'Database MK'!DL246</f>
        <v>-50</v>
      </c>
      <c r="AF245" s="7">
        <f>'Database MK'!DK246-'Database MK'!DO246</f>
        <v>-57</v>
      </c>
      <c r="AG245" s="7">
        <f>'Database MK'!DU246-'Database MK'!DW246</f>
        <v>-74</v>
      </c>
      <c r="AH245" s="7">
        <f>IF('Database MK'!EB246="","Belum",'Database MK'!DU246-'Database MK'!EB246)</f>
        <v>-270</v>
      </c>
      <c r="AI245" s="7">
        <f>IF('Database MK'!EN246="","Belum",'Database MK'!EL246-'Database MK'!EN246)</f>
        <v>-72</v>
      </c>
      <c r="AJ245" s="7">
        <f>'Database MK'!FY246-'Database MK'!FZ246</f>
        <v>-45903</v>
      </c>
      <c r="AK245" s="7">
        <f>IF('Database MK'!GC246="","Belum",'Database MK'!GB246-'Database MK'!GC246)</f>
        <v>-43</v>
      </c>
      <c r="AL245" s="7">
        <f>IF('Database MK'!GF246="","Belum",'Database MK'!GE246-'Database MK'!GF246)</f>
        <v>-31</v>
      </c>
      <c r="AM245" s="279">
        <f>IF('Database MK'!GJ246="","Belum",'Database MK'!GI246-'Database MK'!GJ246)</f>
        <v>-80</v>
      </c>
      <c r="AN245" s="7" t="str">
        <f>IF('Database MK'!HG246="","Belum",'Database MK'!HF246-'Database MK'!HG246)</f>
        <v>Belum</v>
      </c>
      <c r="AO245" s="7" t="str">
        <f>IF('Database MK'!HQ246="","Belum",'Database MK'!HN246-'Database MK'!HQ246)</f>
        <v>Belum</v>
      </c>
      <c r="AP245" s="7" t="str">
        <f>IF('Database MK'!HW246="","Belum",'Database MK'!HU246-'Database MK'!HW246)</f>
        <v>Belum</v>
      </c>
    </row>
    <row r="246" spans="2:42" hidden="1" x14ac:dyDescent="0.25">
      <c r="B246" s="7">
        <f>SUBTOTAL(3,$C$4:C246)</f>
        <v>74</v>
      </c>
      <c r="C246" s="4" t="s">
        <v>629</v>
      </c>
      <c r="D246" s="4" t="s">
        <v>1912</v>
      </c>
      <c r="E246" s="4" t="s">
        <v>1913</v>
      </c>
      <c r="F246" s="270">
        <v>46113</v>
      </c>
      <c r="G246" s="4" t="s">
        <v>247</v>
      </c>
      <c r="H246" s="4" t="str">
        <f ca="1">'Database MK'!Q247</f>
        <v>Proses Konstruksi</v>
      </c>
      <c r="I246" s="24">
        <f>'Database MK'!S247</f>
        <v>1</v>
      </c>
      <c r="J246" s="24">
        <f>'Database MK'!T247</f>
        <v>0.72433318776060585</v>
      </c>
      <c r="K246" s="571">
        <f>'Database MK'!U247</f>
        <v>-0.27566681223939415</v>
      </c>
      <c r="L246" s="561">
        <f>'Database MK'!V247</f>
        <v>24336.3</v>
      </c>
      <c r="M246" s="561">
        <f>'Database MK'!W247</f>
        <v>19167</v>
      </c>
      <c r="N246" s="561">
        <f>Table3[[#This Row],[Total Panjang Pipa Aktual]]-Table3[[#This Row],[Volume
BA MC-0]]</f>
        <v>-5169.2999999999993</v>
      </c>
      <c r="O246" s="7" t="str">
        <f ca="1">'Database MK'!DE247</f>
        <v>Sudah, Delay</v>
      </c>
      <c r="P246" s="7" t="str">
        <f ca="1">'Database MK'!DI247</f>
        <v>Sudah, Delay</v>
      </c>
      <c r="Q246" s="7" t="str">
        <f ca="1">'Database MK'!DN247</f>
        <v>Sudah, Delay</v>
      </c>
      <c r="R246" s="7" t="str">
        <f ca="1">'Database MK'!DR247</f>
        <v>Sudah, Delay</v>
      </c>
      <c r="S246" s="7" t="str">
        <f ca="1">'Database MK'!EA247</f>
        <v>Sudah, Delay</v>
      </c>
      <c r="T246" s="7" t="str">
        <f ca="1">'Database MK'!EI247</f>
        <v>Sudah, Delay</v>
      </c>
      <c r="U246" s="7" t="str">
        <f ca="1">'Database MK'!ET247</f>
        <v>Sudah, Delay</v>
      </c>
      <c r="V246" s="7" t="str">
        <f ca="1">'Database MK'!GA247</f>
        <v>Sudah, Delay</v>
      </c>
      <c r="W246" s="7" t="str">
        <f ca="1">'Database MK'!GD247</f>
        <v>Sudah, Delay</v>
      </c>
      <c r="X246" s="7" t="str">
        <f ca="1">'Database MK'!GG247</f>
        <v>Sudah, Delay</v>
      </c>
      <c r="Y246" s="7" t="str">
        <f ca="1">'Database MK'!GK247</f>
        <v>Sudah, Delay</v>
      </c>
      <c r="Z246" s="7" t="str">
        <f ca="1">'Database MK'!HH247</f>
        <v>Belum, Delay</v>
      </c>
      <c r="AA246" s="7" t="str">
        <f ca="1">'Database MK'!HR247</f>
        <v>Belum, Delay</v>
      </c>
      <c r="AB246" s="7" t="str">
        <f ca="1">'Database MK'!HX247</f>
        <v>Belum, Delay</v>
      </c>
      <c r="AC246" s="7">
        <f>'Database MK'!DA247-'Database MK'!DB247</f>
        <v>-71</v>
      </c>
      <c r="AD246" s="7">
        <f>'Database MK'!DA247-'Database MK'!DF247</f>
        <v>-82</v>
      </c>
      <c r="AE246" s="7">
        <f>'Database MK'!DK247-'Database MK'!DL247</f>
        <v>-55</v>
      </c>
      <c r="AF246" s="7">
        <f>'Database MK'!DK247-'Database MK'!DO247</f>
        <v>-59</v>
      </c>
      <c r="AG246" s="7">
        <f>'Database MK'!DU247-'Database MK'!DW247</f>
        <v>-85</v>
      </c>
      <c r="AH246" s="7">
        <f>IF('Database MK'!EB247="","Belum",'Database MK'!DU247-'Database MK'!EB247)</f>
        <v>-276</v>
      </c>
      <c r="AI246" s="7">
        <f>IF('Database MK'!EN247="","Belum",'Database MK'!EL247-'Database MK'!EN247)</f>
        <v>-101</v>
      </c>
      <c r="AJ246" s="7">
        <f>'Database MK'!FY247-'Database MK'!FZ247</f>
        <v>-45903</v>
      </c>
      <c r="AK246" s="7">
        <f>IF('Database MK'!GC247="","Belum",'Database MK'!GB247-'Database MK'!GC247)</f>
        <v>-43</v>
      </c>
      <c r="AL246" s="7">
        <f>IF('Database MK'!GF247="","Belum",'Database MK'!GE247-'Database MK'!GF247)</f>
        <v>-31</v>
      </c>
      <c r="AM246" s="279">
        <f>IF('Database MK'!GJ247="","Belum",'Database MK'!GI247-'Database MK'!GJ247)</f>
        <v>-58</v>
      </c>
      <c r="AN246" s="7" t="str">
        <f>IF('Database MK'!HG247="","Belum",'Database MK'!HF247-'Database MK'!HG247)</f>
        <v>Belum</v>
      </c>
      <c r="AO246" s="7" t="str">
        <f>IF('Database MK'!HQ247="","Belum",'Database MK'!HN247-'Database MK'!HQ247)</f>
        <v>Belum</v>
      </c>
      <c r="AP246" s="7" t="str">
        <f>IF('Database MK'!HW247="","Belum",'Database MK'!HU247-'Database MK'!HW247)</f>
        <v>Belum</v>
      </c>
    </row>
    <row r="247" spans="2:42" hidden="1" x14ac:dyDescent="0.25">
      <c r="B247" s="7">
        <f>SUBTOTAL(3,$C$4:C247)</f>
        <v>74</v>
      </c>
      <c r="C247" s="4" t="s">
        <v>629</v>
      </c>
      <c r="D247" s="4" t="s">
        <v>1921</v>
      </c>
      <c r="E247" s="4" t="s">
        <v>1922</v>
      </c>
      <c r="F247" s="270">
        <v>46113</v>
      </c>
      <c r="G247" s="4" t="s">
        <v>247</v>
      </c>
      <c r="H247" s="4" t="str">
        <f ca="1">'Database MK'!Q248</f>
        <v>Proses Konstruksi</v>
      </c>
      <c r="I247" s="24">
        <f>'Database MK'!S248</f>
        <v>1</v>
      </c>
      <c r="J247" s="24">
        <f>'Database MK'!T248</f>
        <v>0.70405316543050367</v>
      </c>
      <c r="K247" s="571">
        <f>'Database MK'!U248</f>
        <v>-0.29594683456949633</v>
      </c>
      <c r="L247" s="561">
        <f>'Database MK'!V248</f>
        <v>22700.06</v>
      </c>
      <c r="M247" s="561">
        <f>'Database MK'!W248</f>
        <v>19069</v>
      </c>
      <c r="N247" s="561">
        <f>Table3[[#This Row],[Total Panjang Pipa Aktual]]-Table3[[#This Row],[Volume
BA MC-0]]</f>
        <v>-3631.0600000000013</v>
      </c>
      <c r="O247" s="7" t="str">
        <f ca="1">'Database MK'!DE248</f>
        <v>Sudah, Delay</v>
      </c>
      <c r="P247" s="7" t="str">
        <f ca="1">'Database MK'!DI248</f>
        <v>Sudah, Delay</v>
      </c>
      <c r="Q247" s="7" t="str">
        <f ca="1">'Database MK'!DN248</f>
        <v>Sudah, Delay</v>
      </c>
      <c r="R247" s="7" t="str">
        <f ca="1">'Database MK'!DR248</f>
        <v>Sudah, Delay</v>
      </c>
      <c r="S247" s="7" t="str">
        <f ca="1">'Database MK'!EA248</f>
        <v>Sudah, Delay</v>
      </c>
      <c r="T247" s="7" t="str">
        <f ca="1">'Database MK'!EI248</f>
        <v>Sudah, Delay</v>
      </c>
      <c r="U247" s="7" t="str">
        <f ca="1">'Database MK'!ET248</f>
        <v>Sudah, Delay</v>
      </c>
      <c r="V247" s="7" t="str">
        <f ca="1">'Database MK'!GA248</f>
        <v>Sudah, Delay</v>
      </c>
      <c r="W247" s="7" t="str">
        <f ca="1">'Database MK'!GD248</f>
        <v>Sudah, Delay</v>
      </c>
      <c r="X247" s="7" t="str">
        <f ca="1">'Database MK'!GG248</f>
        <v>Sudah, Delay</v>
      </c>
      <c r="Y247" s="7" t="str">
        <f ca="1">'Database MK'!GK248</f>
        <v>Sudah, Delay</v>
      </c>
      <c r="Z247" s="7" t="str">
        <f ca="1">'Database MK'!HH248</f>
        <v>Belum, Delay</v>
      </c>
      <c r="AA247" s="7" t="str">
        <f ca="1">'Database MK'!HR248</f>
        <v>Belum, Delay</v>
      </c>
      <c r="AB247" s="7" t="str">
        <f ca="1">'Database MK'!HX248</f>
        <v>Belum, Delay</v>
      </c>
      <c r="AC247" s="7">
        <f>'Database MK'!DA248-'Database MK'!DB248</f>
        <v>-53</v>
      </c>
      <c r="AD247" s="7">
        <f>'Database MK'!DA248-'Database MK'!DF248</f>
        <v>-60</v>
      </c>
      <c r="AE247" s="7">
        <f>'Database MK'!DK248-'Database MK'!DL248</f>
        <v>-52</v>
      </c>
      <c r="AF247" s="7">
        <f>'Database MK'!DK248-'Database MK'!DO248</f>
        <v>-85</v>
      </c>
      <c r="AG247" s="7">
        <f>'Database MK'!DU248-'Database MK'!DW248</f>
        <v>-71</v>
      </c>
      <c r="AH247" s="7">
        <f>IF('Database MK'!EB248="","Belum",'Database MK'!DU248-'Database MK'!EB248)</f>
        <v>-241</v>
      </c>
      <c r="AI247" s="7">
        <f>IF('Database MK'!EN248="","Belum",'Database MK'!EL248-'Database MK'!EN248)</f>
        <v>-76</v>
      </c>
      <c r="AJ247" s="7">
        <f>'Database MK'!FY248-'Database MK'!FZ248</f>
        <v>-45903</v>
      </c>
      <c r="AK247" s="7">
        <f>IF('Database MK'!GC248="","Belum",'Database MK'!GB248-'Database MK'!GC248)</f>
        <v>-43</v>
      </c>
      <c r="AL247" s="7">
        <f>IF('Database MK'!GF248="","Belum",'Database MK'!GE248-'Database MK'!GF248)</f>
        <v>-31</v>
      </c>
      <c r="AM247" s="279">
        <f>IF('Database MK'!GJ248="","Belum",'Database MK'!GI248-'Database MK'!GJ248)</f>
        <v>-65</v>
      </c>
      <c r="AN247" s="7" t="str">
        <f>IF('Database MK'!HG248="","Belum",'Database MK'!HF248-'Database MK'!HG248)</f>
        <v>Belum</v>
      </c>
      <c r="AO247" s="7" t="str">
        <f>IF('Database MK'!HQ248="","Belum",'Database MK'!HN248-'Database MK'!HQ248)</f>
        <v>Belum</v>
      </c>
      <c r="AP247" s="7" t="str">
        <f>IF('Database MK'!HW248="","Belum",'Database MK'!HU248-'Database MK'!HW248)</f>
        <v>Belum</v>
      </c>
    </row>
    <row r="248" spans="2:42" hidden="1" x14ac:dyDescent="0.25">
      <c r="B248" s="7">
        <f>SUBTOTAL(3,$C$4:C248)</f>
        <v>74</v>
      </c>
      <c r="C248" s="4" t="s">
        <v>629</v>
      </c>
      <c r="D248" s="4" t="s">
        <v>1930</v>
      </c>
      <c r="E248" s="4" t="s">
        <v>1931</v>
      </c>
      <c r="F248" s="270">
        <v>46113</v>
      </c>
      <c r="G248" s="4" t="s">
        <v>247</v>
      </c>
      <c r="H248" s="4" t="str">
        <f ca="1">'Database MK'!Q249</f>
        <v>Proses Konstruksi</v>
      </c>
      <c r="I248" s="24">
        <f>'Database MK'!S249</f>
        <v>1</v>
      </c>
      <c r="J248" s="24">
        <f>'Database MK'!T249</f>
        <v>0.41699246878259938</v>
      </c>
      <c r="K248" s="571">
        <f>'Database MK'!U249</f>
        <v>-0.58300753121740057</v>
      </c>
      <c r="L248" s="561">
        <f>'Database MK'!V249</f>
        <v>10300</v>
      </c>
      <c r="M248" s="561">
        <f>'Database MK'!W249</f>
        <v>6819</v>
      </c>
      <c r="N248" s="561">
        <f>Table3[[#This Row],[Total Panjang Pipa Aktual]]-Table3[[#This Row],[Volume
BA MC-0]]</f>
        <v>-3481</v>
      </c>
      <c r="O248" s="7" t="str">
        <f ca="1">'Database MK'!DE249</f>
        <v>Sudah, Delay</v>
      </c>
      <c r="P248" s="7" t="str">
        <f ca="1">'Database MK'!DI249</f>
        <v>Sudah, Delay</v>
      </c>
      <c r="Q248" s="7" t="str">
        <f ca="1">'Database MK'!DN249</f>
        <v>Sudah, Delay</v>
      </c>
      <c r="R248" s="7" t="str">
        <f ca="1">'Database MK'!DR249</f>
        <v>Sudah, Delay</v>
      </c>
      <c r="S248" s="7" t="str">
        <f ca="1">'Database MK'!EA249</f>
        <v>Sudah, Delay</v>
      </c>
      <c r="T248" s="7" t="str">
        <f ca="1">'Database MK'!EI249</f>
        <v>Sudah, Delay</v>
      </c>
      <c r="U248" s="7" t="str">
        <f ca="1">'Database MK'!ET249</f>
        <v>Sudah, Delay</v>
      </c>
      <c r="V248" s="7" t="str">
        <f ca="1">'Database MK'!GA249</f>
        <v>Sudah, Delay</v>
      </c>
      <c r="W248" s="7" t="str">
        <f ca="1">'Database MK'!GD249</f>
        <v>Sudah, Delay</v>
      </c>
      <c r="X248" s="7" t="str">
        <f ca="1">'Database MK'!GG249</f>
        <v>Sudah, Delay</v>
      </c>
      <c r="Y248" s="7" t="str">
        <f ca="1">'Database MK'!GK249</f>
        <v>Sudah, Delay</v>
      </c>
      <c r="Z248" s="7" t="str">
        <f ca="1">'Database MK'!HH249</f>
        <v>Belum, Delay</v>
      </c>
      <c r="AA248" s="7" t="str">
        <f ca="1">'Database MK'!HR249</f>
        <v>Belum, Delay</v>
      </c>
      <c r="AB248" s="7" t="str">
        <f ca="1">'Database MK'!HX249</f>
        <v>Belum, Delay</v>
      </c>
      <c r="AC248" s="7">
        <f>'Database MK'!DA249-'Database MK'!DB249</f>
        <v>-71</v>
      </c>
      <c r="AD248" s="7">
        <f>'Database MK'!DA249-'Database MK'!DF249</f>
        <v>-82</v>
      </c>
      <c r="AE248" s="7">
        <f>'Database MK'!DK249-'Database MK'!DL249</f>
        <v>-50</v>
      </c>
      <c r="AF248" s="7">
        <f>'Database MK'!DK249-'Database MK'!DO249</f>
        <v>-51</v>
      </c>
      <c r="AG248" s="7">
        <f>'Database MK'!DU249-'Database MK'!DW249</f>
        <v>-73</v>
      </c>
      <c r="AH248" s="7">
        <f>IF('Database MK'!EB249="","Belum",'Database MK'!DU249-'Database MK'!EB249)</f>
        <v>-270</v>
      </c>
      <c r="AI248" s="7">
        <f>IF('Database MK'!EN249="","Belum",'Database MK'!EL249-'Database MK'!EN249)</f>
        <v>-72</v>
      </c>
      <c r="AJ248" s="7">
        <f>'Database MK'!FY249-'Database MK'!FZ249</f>
        <v>-45903</v>
      </c>
      <c r="AK248" s="7">
        <f>IF('Database MK'!GC249="","Belum",'Database MK'!GB249-'Database MK'!GC249)</f>
        <v>-43</v>
      </c>
      <c r="AL248" s="7">
        <f>IF('Database MK'!GF249="","Belum",'Database MK'!GE249-'Database MK'!GF249)</f>
        <v>-31</v>
      </c>
      <c r="AM248" s="279">
        <f>IF('Database MK'!GJ249="","Belum",'Database MK'!GI249-'Database MK'!GJ249)</f>
        <v>-73</v>
      </c>
      <c r="AN248" s="7" t="str">
        <f>IF('Database MK'!HG249="","Belum",'Database MK'!HF249-'Database MK'!HG249)</f>
        <v>Belum</v>
      </c>
      <c r="AO248" s="7" t="str">
        <f>IF('Database MK'!HQ249="","Belum",'Database MK'!HN249-'Database MK'!HQ249)</f>
        <v>Belum</v>
      </c>
      <c r="AP248" s="7" t="str">
        <f>IF('Database MK'!HW249="","Belum",'Database MK'!HU249-'Database MK'!HW249)</f>
        <v>Belum</v>
      </c>
    </row>
    <row r="249" spans="2:42" hidden="1" x14ac:dyDescent="0.25">
      <c r="B249" s="7">
        <f>SUBTOTAL(3,$C$4:C249)</f>
        <v>74</v>
      </c>
      <c r="C249" s="4" t="s">
        <v>629</v>
      </c>
      <c r="D249" s="4" t="s">
        <v>1939</v>
      </c>
      <c r="E249" s="4" t="s">
        <v>1940</v>
      </c>
      <c r="F249" s="270">
        <v>46113</v>
      </c>
      <c r="G249" s="4" t="s">
        <v>247</v>
      </c>
      <c r="H249" s="4" t="str">
        <f ca="1">'Database MK'!Q250</f>
        <v>Proses Konstruksi</v>
      </c>
      <c r="I249" s="24">
        <f>'Database MK'!S250</f>
        <v>1</v>
      </c>
      <c r="J249" s="24">
        <f>'Database MK'!T250</f>
        <v>0.66511025778987187</v>
      </c>
      <c r="K249" s="571">
        <f>'Database MK'!U250</f>
        <v>-0.33488974221012813</v>
      </c>
      <c r="L249" s="561">
        <f>'Database MK'!V250</f>
        <v>18935.2</v>
      </c>
      <c r="M249" s="561">
        <f>'Database MK'!W250</f>
        <v>16945</v>
      </c>
      <c r="N249" s="561">
        <f>Table3[[#This Row],[Total Panjang Pipa Aktual]]-Table3[[#This Row],[Volume
BA MC-0]]</f>
        <v>-1990.2000000000007</v>
      </c>
      <c r="O249" s="7" t="str">
        <f ca="1">'Database MK'!DE250</f>
        <v>Sudah, Delay</v>
      </c>
      <c r="P249" s="7" t="str">
        <f ca="1">'Database MK'!DI250</f>
        <v>Sudah, Delay</v>
      </c>
      <c r="Q249" s="7" t="str">
        <f ca="1">'Database MK'!DN250</f>
        <v>Sudah, Delay</v>
      </c>
      <c r="R249" s="7" t="str">
        <f ca="1">'Database MK'!DR250</f>
        <v>Sudah, Delay</v>
      </c>
      <c r="S249" s="7" t="str">
        <f ca="1">'Database MK'!EA250</f>
        <v>Sudah, Delay</v>
      </c>
      <c r="T249" s="7" t="str">
        <f ca="1">'Database MK'!EI250</f>
        <v>Sudah, Delay</v>
      </c>
      <c r="U249" s="7" t="str">
        <f ca="1">'Database MK'!ET250</f>
        <v>Sudah, Delay</v>
      </c>
      <c r="V249" s="7" t="str">
        <f ca="1">'Database MK'!GA250</f>
        <v>Sudah, Delay</v>
      </c>
      <c r="W249" s="7" t="str">
        <f ca="1">'Database MK'!GD250</f>
        <v>Sudah, Delay</v>
      </c>
      <c r="X249" s="7" t="str">
        <f ca="1">'Database MK'!GG250</f>
        <v>Sudah, Delay</v>
      </c>
      <c r="Y249" s="7" t="str">
        <f ca="1">'Database MK'!GK250</f>
        <v>Sudah, Delay</v>
      </c>
      <c r="Z249" s="7" t="str">
        <f ca="1">'Database MK'!HH250</f>
        <v>Belum, Delay</v>
      </c>
      <c r="AA249" s="7" t="str">
        <f ca="1">'Database MK'!HR250</f>
        <v>Belum, Delay</v>
      </c>
      <c r="AB249" s="7" t="str">
        <f ca="1">'Database MK'!HX250</f>
        <v>Belum, Delay</v>
      </c>
      <c r="AC249" s="7">
        <f>'Database MK'!DA250-'Database MK'!DB250</f>
        <v>-23</v>
      </c>
      <c r="AD249" s="7">
        <f>'Database MK'!DA250-'Database MK'!DF250</f>
        <v>-36</v>
      </c>
      <c r="AE249" s="7">
        <f>'Database MK'!DK250-'Database MK'!DL250</f>
        <v>-37</v>
      </c>
      <c r="AF249" s="7">
        <f>'Database MK'!DK250-'Database MK'!DO250</f>
        <v>-57</v>
      </c>
      <c r="AG249" s="7">
        <f>'Database MK'!DU250-'Database MK'!DW250</f>
        <v>-66</v>
      </c>
      <c r="AH249" s="7">
        <f>IF('Database MK'!EB250="","Belum",'Database MK'!DU250-'Database MK'!EB250)</f>
        <v>-283</v>
      </c>
      <c r="AI249" s="7">
        <f>IF('Database MK'!EN250="","Belum",'Database MK'!EL250-'Database MK'!EN250)</f>
        <v>-102</v>
      </c>
      <c r="AJ249" s="7">
        <f>'Database MK'!FY250-'Database MK'!FZ250</f>
        <v>-45903</v>
      </c>
      <c r="AK249" s="7">
        <f>IF('Database MK'!GC250="","Belum",'Database MK'!GB250-'Database MK'!GC250)</f>
        <v>-43</v>
      </c>
      <c r="AL249" s="7">
        <f>IF('Database MK'!GF250="","Belum",'Database MK'!GE250-'Database MK'!GF250)</f>
        <v>-31</v>
      </c>
      <c r="AM249" s="279">
        <f>IF('Database MK'!GJ250="","Belum",'Database MK'!GI250-'Database MK'!GJ250)</f>
        <v>-85</v>
      </c>
      <c r="AN249" s="7" t="str">
        <f>IF('Database MK'!HG250="","Belum",'Database MK'!HF250-'Database MK'!HG250)</f>
        <v>Belum</v>
      </c>
      <c r="AO249" s="7" t="str">
        <f>IF('Database MK'!HQ250="","Belum",'Database MK'!HN250-'Database MK'!HQ250)</f>
        <v>Belum</v>
      </c>
      <c r="AP249" s="7" t="str">
        <f>IF('Database MK'!HW250="","Belum",'Database MK'!HU250-'Database MK'!HW250)</f>
        <v>Belum</v>
      </c>
    </row>
    <row r="250" spans="2:42" hidden="1" x14ac:dyDescent="0.25">
      <c r="B250" s="7">
        <f>SUBTOTAL(3,$C$4:C250)</f>
        <v>74</v>
      </c>
      <c r="C250" s="4" t="s">
        <v>629</v>
      </c>
      <c r="D250" s="4" t="s">
        <v>1947</v>
      </c>
      <c r="E250" s="4" t="s">
        <v>1948</v>
      </c>
      <c r="F250" s="270">
        <v>46113</v>
      </c>
      <c r="G250" s="4" t="s">
        <v>247</v>
      </c>
      <c r="H250" s="4" t="str">
        <f ca="1">'Database MK'!Q251</f>
        <v>Proses Konstruksi</v>
      </c>
      <c r="I250" s="24">
        <f>'Database MK'!S251</f>
        <v>1</v>
      </c>
      <c r="J250" s="24">
        <f>'Database MK'!T251</f>
        <v>0.45620846679265092</v>
      </c>
      <c r="K250" s="571">
        <f>'Database MK'!U251</f>
        <v>-0.54379153320734908</v>
      </c>
      <c r="L250" s="561">
        <f>'Database MK'!V251</f>
        <v>8957.9</v>
      </c>
      <c r="M250" s="561">
        <f>'Database MK'!W251</f>
        <v>5835</v>
      </c>
      <c r="N250" s="561">
        <f>Table3[[#This Row],[Total Panjang Pipa Aktual]]-Table3[[#This Row],[Volume
BA MC-0]]</f>
        <v>-3122.8999999999996</v>
      </c>
      <c r="O250" s="7" t="str">
        <f ca="1">'Database MK'!DE251</f>
        <v>Sudah, Delay</v>
      </c>
      <c r="P250" s="7" t="str">
        <f ca="1">'Database MK'!DI251</f>
        <v>Sudah, Delay</v>
      </c>
      <c r="Q250" s="7" t="str">
        <f ca="1">'Database MK'!DN251</f>
        <v>Sudah, Delay</v>
      </c>
      <c r="R250" s="7" t="str">
        <f ca="1">'Database MK'!DR251</f>
        <v>Sudah, Delay</v>
      </c>
      <c r="S250" s="7" t="str">
        <f ca="1">'Database MK'!EA251</f>
        <v>Sudah, Delay</v>
      </c>
      <c r="T250" s="7" t="str">
        <f ca="1">'Database MK'!EI251</f>
        <v>Sudah, Delay</v>
      </c>
      <c r="U250" s="7" t="str">
        <f ca="1">'Database MK'!ET251</f>
        <v>Sudah, Delay</v>
      </c>
      <c r="V250" s="7" t="str">
        <f ca="1">'Database MK'!GA251</f>
        <v>Sudah, Delay</v>
      </c>
      <c r="W250" s="7" t="str">
        <f ca="1">'Database MK'!GD251</f>
        <v>Sudah, Delay</v>
      </c>
      <c r="X250" s="7" t="str">
        <f ca="1">'Database MK'!GG251</f>
        <v>Sudah, Delay</v>
      </c>
      <c r="Y250" s="7" t="str">
        <f ca="1">'Database MK'!GK251</f>
        <v>Sudah, Delay</v>
      </c>
      <c r="Z250" s="7" t="str">
        <f ca="1">'Database MK'!HH251</f>
        <v>Belum, Delay</v>
      </c>
      <c r="AA250" s="7" t="str">
        <f ca="1">'Database MK'!HR251</f>
        <v>Belum, Delay</v>
      </c>
      <c r="AB250" s="7" t="str">
        <f ca="1">'Database MK'!HX251</f>
        <v>Belum, Delay</v>
      </c>
      <c r="AC250" s="7">
        <f>'Database MK'!DA251-'Database MK'!DB251</f>
        <v>-18</v>
      </c>
      <c r="AD250" s="7">
        <f>'Database MK'!DA251-'Database MK'!DF251</f>
        <v>-29</v>
      </c>
      <c r="AE250" s="7">
        <f>'Database MK'!DK251-'Database MK'!DL251</f>
        <v>-50</v>
      </c>
      <c r="AF250" s="7">
        <f>'Database MK'!DK251-'Database MK'!DO251</f>
        <v>-64</v>
      </c>
      <c r="AG250" s="7">
        <f>'Database MK'!DU251-'Database MK'!DW251</f>
        <v>-73</v>
      </c>
      <c r="AH250" s="7">
        <f>IF('Database MK'!EB251="","Belum",'Database MK'!DU251-'Database MK'!EB251)</f>
        <v>-283</v>
      </c>
      <c r="AI250" s="7">
        <f>IF('Database MK'!EN251="","Belum",'Database MK'!EL251-'Database MK'!EN251)</f>
        <v>-100</v>
      </c>
      <c r="AJ250" s="7">
        <f>'Database MK'!FY251-'Database MK'!FZ251</f>
        <v>-45903</v>
      </c>
      <c r="AK250" s="7">
        <f>IF('Database MK'!GC251="","Belum",'Database MK'!GB251-'Database MK'!GC251)</f>
        <v>-43</v>
      </c>
      <c r="AL250" s="7">
        <f>IF('Database MK'!GF251="","Belum",'Database MK'!GE251-'Database MK'!GF251)</f>
        <v>-31</v>
      </c>
      <c r="AM250" s="279">
        <f>IF('Database MK'!GJ251="","Belum",'Database MK'!GI251-'Database MK'!GJ251)</f>
        <v>-86</v>
      </c>
      <c r="AN250" s="7" t="str">
        <f>IF('Database MK'!HG251="","Belum",'Database MK'!HF251-'Database MK'!HG251)</f>
        <v>Belum</v>
      </c>
      <c r="AO250" s="7" t="str">
        <f>IF('Database MK'!HQ251="","Belum",'Database MK'!HN251-'Database MK'!HQ251)</f>
        <v>Belum</v>
      </c>
      <c r="AP250" s="7" t="str">
        <f>IF('Database MK'!HW251="","Belum",'Database MK'!HU251-'Database MK'!HW251)</f>
        <v>Belum</v>
      </c>
    </row>
    <row r="251" spans="2:42" hidden="1" x14ac:dyDescent="0.25">
      <c r="B251" s="7">
        <f>SUBTOTAL(3,$C$4:C251)</f>
        <v>74</v>
      </c>
      <c r="C251" s="4" t="s">
        <v>629</v>
      </c>
      <c r="D251" s="4" t="s">
        <v>1956</v>
      </c>
      <c r="E251" s="4" t="s">
        <v>1957</v>
      </c>
      <c r="F251" s="270">
        <v>46113</v>
      </c>
      <c r="G251" s="4" t="s">
        <v>247</v>
      </c>
      <c r="H251" s="4" t="str">
        <f ca="1">'Database MK'!Q252</f>
        <v>Proses Konstruksi</v>
      </c>
      <c r="I251" s="24">
        <f>'Database MK'!S252</f>
        <v>1</v>
      </c>
      <c r="J251" s="24">
        <f>'Database MK'!T252</f>
        <v>0.59757721901616456</v>
      </c>
      <c r="K251" s="571">
        <f>'Database MK'!U252</f>
        <v>-0.40242278098383544</v>
      </c>
      <c r="L251" s="561">
        <f>'Database MK'!V252</f>
        <v>14464.3</v>
      </c>
      <c r="M251" s="561">
        <f>'Database MK'!W252</f>
        <v>10600</v>
      </c>
      <c r="N251" s="561">
        <f>Table3[[#This Row],[Total Panjang Pipa Aktual]]-Table3[[#This Row],[Volume
BA MC-0]]</f>
        <v>-3864.2999999999993</v>
      </c>
      <c r="O251" s="7" t="str">
        <f ca="1">'Database MK'!DE252</f>
        <v>Sudah, Delay</v>
      </c>
      <c r="P251" s="7" t="str">
        <f ca="1">'Database MK'!DI252</f>
        <v>Sudah, Delay</v>
      </c>
      <c r="Q251" s="7" t="str">
        <f ca="1">'Database MK'!DN252</f>
        <v>Sudah, Delay</v>
      </c>
      <c r="R251" s="7" t="str">
        <f ca="1">'Database MK'!DR252</f>
        <v>Sudah, Delay</v>
      </c>
      <c r="S251" s="7" t="str">
        <f ca="1">'Database MK'!EA252</f>
        <v>Sudah, Delay</v>
      </c>
      <c r="T251" s="7" t="str">
        <f ca="1">'Database MK'!EI252</f>
        <v>Sudah, Delay</v>
      </c>
      <c r="U251" s="7" t="str">
        <f ca="1">'Database MK'!ET252</f>
        <v>Sudah, Delay</v>
      </c>
      <c r="V251" s="7" t="str">
        <f ca="1">'Database MK'!GA252</f>
        <v>Sudah, Delay</v>
      </c>
      <c r="W251" s="7" t="str">
        <f ca="1">'Database MK'!GD252</f>
        <v>Sudah, Delay</v>
      </c>
      <c r="X251" s="7" t="str">
        <f ca="1">'Database MK'!GG252</f>
        <v>Sudah, Delay</v>
      </c>
      <c r="Y251" s="7" t="str">
        <f ca="1">'Database MK'!GK252</f>
        <v>Sudah, Delay</v>
      </c>
      <c r="Z251" s="7" t="str">
        <f ca="1">'Database MK'!HH252</f>
        <v>Belum, Delay</v>
      </c>
      <c r="AA251" s="7" t="str">
        <f ca="1">'Database MK'!HR252</f>
        <v>Belum, Delay</v>
      </c>
      <c r="AB251" s="7" t="str">
        <f ca="1">'Database MK'!HX252</f>
        <v>Belum, Delay</v>
      </c>
      <c r="AC251" s="7">
        <f>'Database MK'!DA252-'Database MK'!DB252</f>
        <v>-71</v>
      </c>
      <c r="AD251" s="7">
        <f>'Database MK'!DA252-'Database MK'!DF252</f>
        <v>-82</v>
      </c>
      <c r="AE251" s="7">
        <f>'Database MK'!DK252-'Database MK'!DL252</f>
        <v>-37</v>
      </c>
      <c r="AF251" s="7">
        <f>'Database MK'!DK252-'Database MK'!DO252</f>
        <v>-51</v>
      </c>
      <c r="AG251" s="7">
        <f>'Database MK'!DU252-'Database MK'!DW252</f>
        <v>-107</v>
      </c>
      <c r="AH251" s="7">
        <f>IF('Database MK'!EB252="","Belum",'Database MK'!DU252-'Database MK'!EB252)</f>
        <v>-283</v>
      </c>
      <c r="AI251" s="7">
        <f>IF('Database MK'!EN252="","Belum",'Database MK'!EL252-'Database MK'!EN252)</f>
        <v>-102</v>
      </c>
      <c r="AJ251" s="7">
        <f>'Database MK'!FY252-'Database MK'!FZ252</f>
        <v>-45903</v>
      </c>
      <c r="AK251" s="7">
        <f>IF('Database MK'!GC252="","Belum",'Database MK'!GB252-'Database MK'!GC252)</f>
        <v>-43</v>
      </c>
      <c r="AL251" s="7">
        <f>IF('Database MK'!GF252="","Belum",'Database MK'!GE252-'Database MK'!GF252)</f>
        <v>-31</v>
      </c>
      <c r="AM251" s="279">
        <f>IF('Database MK'!GJ252="","Belum",'Database MK'!GI252-'Database MK'!GJ252)</f>
        <v>-94</v>
      </c>
      <c r="AN251" s="7" t="str">
        <f>IF('Database MK'!HG252="","Belum",'Database MK'!HF252-'Database MK'!HG252)</f>
        <v>Belum</v>
      </c>
      <c r="AO251" s="7" t="str">
        <f>IF('Database MK'!HQ252="","Belum",'Database MK'!HN252-'Database MK'!HQ252)</f>
        <v>Belum</v>
      </c>
      <c r="AP251" s="7" t="str">
        <f>IF('Database MK'!HW252="","Belum",'Database MK'!HU252-'Database MK'!HW252)</f>
        <v>Belum</v>
      </c>
    </row>
    <row r="252" spans="2:42" hidden="1" x14ac:dyDescent="0.25">
      <c r="B252" s="7">
        <f>SUBTOTAL(3,$C$4:C252)</f>
        <v>74</v>
      </c>
      <c r="C252" s="4" t="s">
        <v>629</v>
      </c>
      <c r="D252" s="4" t="s">
        <v>1964</v>
      </c>
      <c r="E252" s="4" t="s">
        <v>1965</v>
      </c>
      <c r="F252" s="270">
        <v>46113</v>
      </c>
      <c r="G252" s="4" t="s">
        <v>247</v>
      </c>
      <c r="H252" s="4" t="str">
        <f ca="1">'Database MK'!Q253</f>
        <v>Proses Konstruksi</v>
      </c>
      <c r="I252" s="24">
        <f>'Database MK'!S253</f>
        <v>1</v>
      </c>
      <c r="J252" s="24">
        <f>'Database MK'!T253</f>
        <v>0.35417403931521119</v>
      </c>
      <c r="K252" s="571">
        <f>'Database MK'!U253</f>
        <v>-0.64582596068478881</v>
      </c>
      <c r="L252" s="561">
        <f>'Database MK'!V253</f>
        <v>8749</v>
      </c>
      <c r="M252" s="561">
        <f>'Database MK'!W253</f>
        <v>4653</v>
      </c>
      <c r="N252" s="561">
        <f>Table3[[#This Row],[Total Panjang Pipa Aktual]]-Table3[[#This Row],[Volume
BA MC-0]]</f>
        <v>-4096</v>
      </c>
      <c r="O252" s="7" t="str">
        <f ca="1">'Database MK'!DE253</f>
        <v>Sudah, Delay</v>
      </c>
      <c r="P252" s="7" t="str">
        <f ca="1">'Database MK'!DI253</f>
        <v>Sudah, OnSchedule</v>
      </c>
      <c r="Q252" s="7" t="str">
        <f ca="1">'Database MK'!DN253</f>
        <v>Sudah, Delay</v>
      </c>
      <c r="R252" s="7" t="str">
        <f ca="1">'Database MK'!DR253</f>
        <v>Sudah, Delay</v>
      </c>
      <c r="S252" s="7" t="str">
        <f ca="1">'Database MK'!EA253</f>
        <v>Sudah, Delay</v>
      </c>
      <c r="T252" s="7" t="str">
        <f ca="1">'Database MK'!EI253</f>
        <v>Sudah, Delay</v>
      </c>
      <c r="U252" s="7" t="str">
        <f ca="1">'Database MK'!ET253</f>
        <v>Sudah, Delay</v>
      </c>
      <c r="V252" s="7" t="str">
        <f ca="1">'Database MK'!GA253</f>
        <v>Sudah, Delay</v>
      </c>
      <c r="W252" s="7" t="str">
        <f ca="1">'Database MK'!GD253</f>
        <v>Sudah, Delay</v>
      </c>
      <c r="X252" s="7" t="str">
        <f ca="1">'Database MK'!GG253</f>
        <v>Sudah, Delay</v>
      </c>
      <c r="Y252" s="7" t="str">
        <f ca="1">'Database MK'!GK253</f>
        <v>Sudah, Delay</v>
      </c>
      <c r="Z252" s="7" t="str">
        <f ca="1">'Database MK'!HH253</f>
        <v>Belum, Delay</v>
      </c>
      <c r="AA252" s="7" t="str">
        <f ca="1">'Database MK'!HR253</f>
        <v>Belum, Delay</v>
      </c>
      <c r="AB252" s="7" t="str">
        <f ca="1">'Database MK'!HX253</f>
        <v>Belum, Delay</v>
      </c>
      <c r="AC252" s="7">
        <f>'Database MK'!DA253-'Database MK'!DB253</f>
        <v>-89</v>
      </c>
      <c r="AD252" s="7">
        <f>'Database MK'!DA253-'Database MK'!DF253</f>
        <v>104</v>
      </c>
      <c r="AE252" s="7">
        <f>'Database MK'!DK253-'Database MK'!DL253</f>
        <v>-73</v>
      </c>
      <c r="AF252" s="7">
        <f>'Database MK'!DK253-'Database MK'!DO253</f>
        <v>-88</v>
      </c>
      <c r="AG252" s="7">
        <f>'Database MK'!DU253-'Database MK'!DW253</f>
        <v>-90</v>
      </c>
      <c r="AH252" s="7">
        <f>IF('Database MK'!EB253="","Belum",'Database MK'!DU253-'Database MK'!EB253)</f>
        <v>-281</v>
      </c>
      <c r="AI252" s="7">
        <f>IF('Database MK'!EN253="","Belum",'Database MK'!EL253-'Database MK'!EN253)</f>
        <v>-102</v>
      </c>
      <c r="AJ252" s="7">
        <f>'Database MK'!FY253-'Database MK'!FZ253</f>
        <v>-45903</v>
      </c>
      <c r="AK252" s="7">
        <f>IF('Database MK'!GC253="","Belum",'Database MK'!GB253-'Database MK'!GC253)</f>
        <v>-43</v>
      </c>
      <c r="AL252" s="7">
        <f>IF('Database MK'!GF253="","Belum",'Database MK'!GE253-'Database MK'!GF253)</f>
        <v>-31</v>
      </c>
      <c r="AM252" s="279">
        <f>IF('Database MK'!GJ253="","Belum",'Database MK'!GI253-'Database MK'!GJ253)</f>
        <v>-50</v>
      </c>
      <c r="AN252" s="7" t="str">
        <f>IF('Database MK'!HG253="","Belum",'Database MK'!HF253-'Database MK'!HG253)</f>
        <v>Belum</v>
      </c>
      <c r="AO252" s="7" t="str">
        <f>IF('Database MK'!HQ253="","Belum",'Database MK'!HN253-'Database MK'!HQ253)</f>
        <v>Belum</v>
      </c>
      <c r="AP252" s="7" t="str">
        <f>IF('Database MK'!HW253="","Belum",'Database MK'!HU253-'Database MK'!HW253)</f>
        <v>Belum</v>
      </c>
    </row>
    <row r="253" spans="2:42" hidden="1" x14ac:dyDescent="0.25">
      <c r="B253" s="7">
        <f>SUBTOTAL(3,$C$4:C253)</f>
        <v>74</v>
      </c>
      <c r="C253" s="4" t="s">
        <v>629</v>
      </c>
      <c r="D253" s="4" t="s">
        <v>1972</v>
      </c>
      <c r="E253" s="4" t="s">
        <v>1973</v>
      </c>
      <c r="F253" s="270">
        <v>46113</v>
      </c>
      <c r="G253" s="4" t="s">
        <v>681</v>
      </c>
      <c r="H253" s="4" t="str">
        <f ca="1">'Database MK'!Q254</f>
        <v>DPPP</v>
      </c>
      <c r="I253" s="24">
        <f>'Database MK'!S254</f>
        <v>1</v>
      </c>
      <c r="J253" s="24">
        <f>'Database MK'!T254</f>
        <v>1</v>
      </c>
      <c r="K253" s="571">
        <f>'Database MK'!U254</f>
        <v>0</v>
      </c>
      <c r="L253" s="561">
        <f>'Database MK'!V254</f>
        <v>640</v>
      </c>
      <c r="M253" s="561">
        <f>'Database MK'!W254</f>
        <v>634.5</v>
      </c>
      <c r="N253" s="561">
        <f>Table3[[#This Row],[Total Panjang Pipa Aktual]]-Table3[[#This Row],[Volume
BA MC-0]]</f>
        <v>-5.5</v>
      </c>
      <c r="O253" s="7" t="str">
        <f ca="1">'Database MK'!DE254</f>
        <v>Sudah, OnSchedule</v>
      </c>
      <c r="P253" s="7" t="str">
        <f ca="1">'Database MK'!DI254</f>
        <v>Sudah, OnSchedule</v>
      </c>
      <c r="Q253" s="7" t="str">
        <f ca="1">'Database MK'!DN254</f>
        <v>Sudah, OnSchedule</v>
      </c>
      <c r="R253" s="7" t="str">
        <f ca="1">'Database MK'!DR254</f>
        <v>Sudah, OnSchedule</v>
      </c>
      <c r="S253" s="7" t="str">
        <f ca="1">'Database MK'!EA254</f>
        <v>Sudah, OnSchedule</v>
      </c>
      <c r="T253" s="7" t="str">
        <f ca="1">'Database MK'!EI254</f>
        <v>Sudah, Delay</v>
      </c>
      <c r="U253" s="7" t="str">
        <f ca="1">'Database MK'!ET254</f>
        <v>Sudah, Delay</v>
      </c>
      <c r="V253" s="7" t="str">
        <f ca="1">'Database MK'!GA254</f>
        <v>Sudah, Delay</v>
      </c>
      <c r="W253" s="7" t="str">
        <f ca="1">'Database MK'!GD254</f>
        <v>Sudah, OnSchedule</v>
      </c>
      <c r="X253" s="7" t="str">
        <f ca="1">'Database MK'!GG254</f>
        <v>Sudah, OnSchedule</v>
      </c>
      <c r="Y253" s="7" t="str">
        <f ca="1">'Database MK'!GK254</f>
        <v>Sudah, OnSchedule</v>
      </c>
      <c r="Z253" s="7" t="str">
        <f ca="1">'Database MK'!HH254</f>
        <v>Sudah, OnSchedule</v>
      </c>
      <c r="AA253" s="7" t="str">
        <f ca="1">'Database MK'!HR254</f>
        <v>Sudah, OnSchedule</v>
      </c>
      <c r="AB253" s="7" t="str">
        <f ca="1">'Database MK'!HX254</f>
        <v>Sudah, OnSchedule</v>
      </c>
      <c r="AC253" s="7">
        <f>'Database MK'!DA254-'Database MK'!DB254</f>
        <v>26</v>
      </c>
      <c r="AD253" s="7">
        <f>'Database MK'!DA254-'Database MK'!DF254</f>
        <v>13</v>
      </c>
      <c r="AE253" s="7">
        <f>'Database MK'!DK254-'Database MK'!DL254</f>
        <v>73</v>
      </c>
      <c r="AF253" s="7">
        <f>'Database MK'!DK254-'Database MK'!DO254</f>
        <v>68</v>
      </c>
      <c r="AG253" s="7">
        <f>'Database MK'!DU254-'Database MK'!DW254</f>
        <v>52</v>
      </c>
      <c r="AH253" s="7">
        <f>IF('Database MK'!EB254="","Belum",'Database MK'!DU254-'Database MK'!EB254)</f>
        <v>-32</v>
      </c>
      <c r="AI253" s="7">
        <f>IF('Database MK'!EN254="","Belum",'Database MK'!EL254-'Database MK'!EN254)</f>
        <v>-65</v>
      </c>
      <c r="AJ253" s="7">
        <f>'Database MK'!FY254-'Database MK'!FZ254</f>
        <v>-45911</v>
      </c>
      <c r="AK253" s="7">
        <f>IF('Database MK'!GC254="","Belum",'Database MK'!GB254-'Database MK'!GC254)</f>
        <v>76</v>
      </c>
      <c r="AL253" s="7">
        <f>IF('Database MK'!GF254="","Belum",'Database MK'!GE254-'Database MK'!GF254)</f>
        <v>88</v>
      </c>
      <c r="AM253" s="279">
        <f>IF('Database MK'!GJ254="","Belum",'Database MK'!GI254-'Database MK'!GJ254)</f>
        <v>97</v>
      </c>
      <c r="AN253" s="7">
        <f>IF('Database MK'!HG254="","Belum",'Database MK'!HF254-'Database MK'!HG254)</f>
        <v>103</v>
      </c>
      <c r="AO253" s="7">
        <f>IF('Database MK'!HQ254="","Belum",'Database MK'!HN254-'Database MK'!HQ254)</f>
        <v>112</v>
      </c>
      <c r="AP253" s="7">
        <f>IF('Database MK'!HW254="","Belum",'Database MK'!HU254-'Database MK'!HW254)</f>
        <v>17</v>
      </c>
    </row>
    <row r="254" spans="2:42" hidden="1" x14ac:dyDescent="0.25">
      <c r="B254" s="7">
        <f>SUBTOTAL(3,$C$4:C254)</f>
        <v>74</v>
      </c>
      <c r="C254" s="4" t="s">
        <v>629</v>
      </c>
      <c r="D254" s="4" t="s">
        <v>1983</v>
      </c>
      <c r="E254" s="4" t="s">
        <v>1984</v>
      </c>
      <c r="F254" s="270">
        <v>46113</v>
      </c>
      <c r="G254" s="4" t="s">
        <v>681</v>
      </c>
      <c r="H254" s="4" t="str">
        <f ca="1">'Database MK'!Q255</f>
        <v>DPPP</v>
      </c>
      <c r="I254" s="24">
        <f>'Database MK'!S255</f>
        <v>1</v>
      </c>
      <c r="J254" s="24">
        <f>'Database MK'!T255</f>
        <v>1</v>
      </c>
      <c r="K254" s="571">
        <f>'Database MK'!U255</f>
        <v>0</v>
      </c>
      <c r="L254" s="561">
        <f>'Database MK'!V255</f>
        <v>533</v>
      </c>
      <c r="M254" s="561">
        <f>'Database MK'!W255</f>
        <v>546</v>
      </c>
      <c r="N254" s="561">
        <f>Table3[[#This Row],[Total Panjang Pipa Aktual]]-Table3[[#This Row],[Volume
BA MC-0]]</f>
        <v>13</v>
      </c>
      <c r="O254" s="7" t="str">
        <f ca="1">'Database MK'!DE255</f>
        <v>Sudah, OnSchedule</v>
      </c>
      <c r="P254" s="7" t="str">
        <f ca="1">'Database MK'!DI255</f>
        <v>Sudah, OnSchedule</v>
      </c>
      <c r="Q254" s="7" t="str">
        <f ca="1">'Database MK'!DN255</f>
        <v>Sudah, OnSchedule</v>
      </c>
      <c r="R254" s="7" t="str">
        <f ca="1">'Database MK'!DR255</f>
        <v>Sudah, Delay</v>
      </c>
      <c r="S254" s="7" t="str">
        <f ca="1">'Database MK'!EA255</f>
        <v>Sudah, Delay</v>
      </c>
      <c r="T254" s="7" t="str">
        <f ca="1">'Database MK'!EI255</f>
        <v>Sudah, Delay</v>
      </c>
      <c r="U254" s="7" t="str">
        <f ca="1">'Database MK'!ET255</f>
        <v>Sudah, Delay</v>
      </c>
      <c r="V254" s="7" t="str">
        <f ca="1">'Database MK'!GA255</f>
        <v>Sudah, Delay</v>
      </c>
      <c r="W254" s="7" t="str">
        <f ca="1">'Database MK'!GD255</f>
        <v>Sudah, OnSchedule</v>
      </c>
      <c r="X254" s="7" t="str">
        <f ca="1">'Database MK'!GG255</f>
        <v>Sudah, OnSchedule</v>
      </c>
      <c r="Y254" s="7" t="str">
        <f ca="1">'Database MK'!GK255</f>
        <v>Sudah, OnSchedule</v>
      </c>
      <c r="Z254" s="7" t="str">
        <f ca="1">'Database MK'!HH255</f>
        <v>Sudah, Delay</v>
      </c>
      <c r="AA254" s="7" t="str">
        <f ca="1">'Database MK'!HR255</f>
        <v>Sudah, Delay</v>
      </c>
      <c r="AB254" s="7" t="str">
        <f ca="1">'Database MK'!HX255</f>
        <v>Sudah, Delay</v>
      </c>
      <c r="AC254" s="7">
        <f>'Database MK'!DA255-'Database MK'!DB255</f>
        <v>18</v>
      </c>
      <c r="AD254" s="7">
        <f>'Database MK'!DA255-'Database MK'!DF255</f>
        <v>4</v>
      </c>
      <c r="AE254" s="7">
        <f>'Database MK'!DK255-'Database MK'!DL255</f>
        <v>17</v>
      </c>
      <c r="AF254" s="7">
        <f>'Database MK'!DK255-'Database MK'!DO255</f>
        <v>-8</v>
      </c>
      <c r="AG254" s="7">
        <f>'Database MK'!DU255-'Database MK'!DW255</f>
        <v>-11</v>
      </c>
      <c r="AH254" s="7">
        <f>IF('Database MK'!EB255="","Belum",'Database MK'!DU255-'Database MK'!EB255)</f>
        <v>-162</v>
      </c>
      <c r="AI254" s="7">
        <f>IF('Database MK'!EN255="","Belum",'Database MK'!EL255-'Database MK'!EN255)</f>
        <v>-251</v>
      </c>
      <c r="AJ254" s="7">
        <f>'Database MK'!FY255-'Database MK'!FZ255</f>
        <v>-45884</v>
      </c>
      <c r="AK254" s="7">
        <f>IF('Database MK'!GC255="","Belum",'Database MK'!GB255-'Database MK'!GC255)</f>
        <v>209</v>
      </c>
      <c r="AL254" s="7">
        <f>IF('Database MK'!GF255="","Belum",'Database MK'!GE255-'Database MK'!GF255)</f>
        <v>216</v>
      </c>
      <c r="AM254" s="279">
        <f>IF('Database MK'!GJ255="","Belum",'Database MK'!GI255-'Database MK'!GJ255)</f>
        <v>16</v>
      </c>
      <c r="AN254" s="7">
        <f>IF('Database MK'!HG255="","Belum",'Database MK'!HF255-'Database MK'!HG255)</f>
        <v>-24</v>
      </c>
      <c r="AO254" s="7">
        <f>IF('Database MK'!HQ255="","Belum",'Database MK'!HN255-'Database MK'!HQ255)</f>
        <v>-26</v>
      </c>
      <c r="AP254" s="7">
        <f>IF('Database MK'!HW255="","Belum",'Database MK'!HU255-'Database MK'!HW255)</f>
        <v>-102</v>
      </c>
    </row>
    <row r="255" spans="2:42" hidden="1" x14ac:dyDescent="0.25">
      <c r="B255" s="7">
        <f>SUBTOTAL(3,$C$4:C255)</f>
        <v>74</v>
      </c>
      <c r="C255" s="4" t="s">
        <v>629</v>
      </c>
      <c r="D255" s="4" t="s">
        <v>1992</v>
      </c>
      <c r="E255" s="4" t="s">
        <v>1993</v>
      </c>
      <c r="F255" s="270">
        <v>46113</v>
      </c>
      <c r="G255" s="4" t="s">
        <v>681</v>
      </c>
      <c r="H255" s="4" t="str">
        <f ca="1">'Database MK'!Q256</f>
        <v>DPPP</v>
      </c>
      <c r="I255" s="24">
        <f>'Database MK'!S256</f>
        <v>1</v>
      </c>
      <c r="J255" s="24">
        <f>'Database MK'!T256</f>
        <v>1</v>
      </c>
      <c r="K255" s="571">
        <f>'Database MK'!U256</f>
        <v>0</v>
      </c>
      <c r="L255" s="561">
        <f>'Database MK'!V256</f>
        <v>1084</v>
      </c>
      <c r="M255" s="561">
        <f>'Database MK'!W256</f>
        <v>978.9</v>
      </c>
      <c r="N255" s="561">
        <f>Table3[[#This Row],[Total Panjang Pipa Aktual]]-Table3[[#This Row],[Volume
BA MC-0]]</f>
        <v>-105.10000000000002</v>
      </c>
      <c r="O255" s="7" t="str">
        <f ca="1">'Database MK'!DE256</f>
        <v>Sudah, Delay</v>
      </c>
      <c r="P255" s="7" t="str">
        <f ca="1">'Database MK'!DI256</f>
        <v>Sudah, Delay</v>
      </c>
      <c r="Q255" s="7" t="str">
        <f ca="1">'Database MK'!DN256</f>
        <v>Sudah, OnSchedule</v>
      </c>
      <c r="R255" s="7" t="str">
        <f ca="1">'Database MK'!DR256</f>
        <v>Sudah, Delay</v>
      </c>
      <c r="S255" s="7" t="str">
        <f ca="1">'Database MK'!EA256</f>
        <v>Sudah, Delay</v>
      </c>
      <c r="T255" s="7" t="str">
        <f ca="1">'Database MK'!EI256</f>
        <v>Sudah, Delay</v>
      </c>
      <c r="U255" s="7" t="str">
        <f ca="1">'Database MK'!ET256</f>
        <v>Sudah, Delay</v>
      </c>
      <c r="V255" s="7" t="str">
        <f ca="1">'Database MK'!GA256</f>
        <v>Sudah, Delay</v>
      </c>
      <c r="W255" s="7" t="str">
        <f ca="1">'Database MK'!GD256</f>
        <v>Sudah, OnSchedule</v>
      </c>
      <c r="X255" s="7" t="str">
        <f ca="1">'Database MK'!GG256</f>
        <v>Sudah, OnSchedule</v>
      </c>
      <c r="Y255" s="7" t="str">
        <f ca="1">'Database MK'!GK256</f>
        <v>Sudah, OnSchedule</v>
      </c>
      <c r="Z255" s="7" t="str">
        <f ca="1">'Database MK'!HH256</f>
        <v>Sudah, Delay</v>
      </c>
      <c r="AA255" s="7" t="str">
        <f ca="1">'Database MK'!HR256</f>
        <v>Sudah, Delay</v>
      </c>
      <c r="AB255" s="7" t="str">
        <f ca="1">'Database MK'!HX256</f>
        <v>Sudah, Delay</v>
      </c>
      <c r="AC255" s="7">
        <f>'Database MK'!DA256-'Database MK'!DB256</f>
        <v>-121</v>
      </c>
      <c r="AD255" s="7">
        <f>'Database MK'!DA256-'Database MK'!DF256</f>
        <v>-138</v>
      </c>
      <c r="AE255" s="7">
        <f>'Database MK'!DK256-'Database MK'!DL256</f>
        <v>6</v>
      </c>
      <c r="AF255" s="7">
        <f>'Database MK'!DK256-'Database MK'!DO256</f>
        <v>-8</v>
      </c>
      <c r="AG255" s="7">
        <f>'Database MK'!DU256-'Database MK'!DW256</f>
        <v>-23</v>
      </c>
      <c r="AH255" s="7">
        <f>IF('Database MK'!EB256="","Belum",'Database MK'!DU256-'Database MK'!EB256)</f>
        <v>-162</v>
      </c>
      <c r="AI255" s="7">
        <f>IF('Database MK'!EN256="","Belum",'Database MK'!EL256-'Database MK'!EN256)</f>
        <v>-193</v>
      </c>
      <c r="AJ255" s="7">
        <f>'Database MK'!FY256-'Database MK'!FZ256</f>
        <v>-45884</v>
      </c>
      <c r="AK255" s="7">
        <f>IF('Database MK'!GC256="","Belum",'Database MK'!GB256-'Database MK'!GC256)</f>
        <v>209</v>
      </c>
      <c r="AL255" s="7">
        <f>IF('Database MK'!GF256="","Belum",'Database MK'!GE256-'Database MK'!GF256)</f>
        <v>216</v>
      </c>
      <c r="AM255" s="279">
        <f>IF('Database MK'!GJ256="","Belum",'Database MK'!GI256-'Database MK'!GJ256)</f>
        <v>16</v>
      </c>
      <c r="AN255" s="7">
        <f>IF('Database MK'!HG256="","Belum",'Database MK'!HF256-'Database MK'!HG256)</f>
        <v>-50</v>
      </c>
      <c r="AO255" s="7">
        <f>IF('Database MK'!HQ256="","Belum",'Database MK'!HN256-'Database MK'!HQ256)</f>
        <v>-119</v>
      </c>
      <c r="AP255" s="7">
        <f>IF('Database MK'!HW256="","Belum",'Database MK'!HU256-'Database MK'!HW256)</f>
        <v>-124</v>
      </c>
    </row>
    <row r="256" spans="2:42" hidden="1" x14ac:dyDescent="0.25">
      <c r="B256" s="7">
        <f>SUBTOTAL(3,$C$4:C256)</f>
        <v>74</v>
      </c>
      <c r="C256" s="4" t="s">
        <v>629</v>
      </c>
      <c r="D256" s="4" t="s">
        <v>2001</v>
      </c>
      <c r="E256" s="4" t="s">
        <v>2002</v>
      </c>
      <c r="F256" s="270">
        <v>46113</v>
      </c>
      <c r="G256" s="4" t="s">
        <v>681</v>
      </c>
      <c r="H256" s="4" t="str">
        <f ca="1">'Database MK'!Q257</f>
        <v>DPPP</v>
      </c>
      <c r="I256" s="24">
        <f>'Database MK'!S257</f>
        <v>1</v>
      </c>
      <c r="J256" s="24">
        <f>'Database MK'!T257</f>
        <v>1</v>
      </c>
      <c r="K256" s="571">
        <f>'Database MK'!U257</f>
        <v>0</v>
      </c>
      <c r="L256" s="561">
        <f>'Database MK'!V257</f>
        <v>575</v>
      </c>
      <c r="M256" s="561">
        <f>'Database MK'!W257</f>
        <v>484.8</v>
      </c>
      <c r="N256" s="561">
        <f>Table3[[#This Row],[Total Panjang Pipa Aktual]]-Table3[[#This Row],[Volume
BA MC-0]]</f>
        <v>-90.199999999999989</v>
      </c>
      <c r="O256" s="7" t="str">
        <f ca="1">'Database MK'!DE257</f>
        <v>Sudah, OnSchedule</v>
      </c>
      <c r="P256" s="7" t="str">
        <f ca="1">'Database MK'!DI257</f>
        <v>Sudah, OnSchedule</v>
      </c>
      <c r="Q256" s="7" t="str">
        <f ca="1">'Database MK'!DN257</f>
        <v>Sudah, OnSchedule</v>
      </c>
      <c r="R256" s="7" t="str">
        <f ca="1">'Database MK'!DR257</f>
        <v>Sudah, Delay</v>
      </c>
      <c r="S256" s="7" t="str">
        <f ca="1">'Database MK'!EA257</f>
        <v>Sudah, Delay</v>
      </c>
      <c r="T256" s="7" t="str">
        <f ca="1">'Database MK'!EI257</f>
        <v>Sudah, Delay</v>
      </c>
      <c r="U256" s="7" t="str">
        <f ca="1">'Database MK'!ET257</f>
        <v>Sudah, Delay</v>
      </c>
      <c r="V256" s="7" t="str">
        <f ca="1">'Database MK'!GA257</f>
        <v>Sudah, Delay</v>
      </c>
      <c r="W256" s="7" t="str">
        <f ca="1">'Database MK'!GD257</f>
        <v>Sudah, OnSchedule</v>
      </c>
      <c r="X256" s="7" t="str">
        <f ca="1">'Database MK'!GG257</f>
        <v>Sudah, OnSchedule</v>
      </c>
      <c r="Y256" s="7" t="str">
        <f ca="1">'Database MK'!GK257</f>
        <v>Sudah, OnSchedule</v>
      </c>
      <c r="Z256" s="7" t="str">
        <f ca="1">'Database MK'!HH257</f>
        <v>Sudah, Delay</v>
      </c>
      <c r="AA256" s="7" t="str">
        <f ca="1">'Database MK'!HR257</f>
        <v>Sudah, Delay</v>
      </c>
      <c r="AB256" s="7" t="str">
        <f ca="1">'Database MK'!HX257</f>
        <v>Sudah, Delay</v>
      </c>
      <c r="AC256" s="7">
        <f>'Database MK'!DA257-'Database MK'!DB257</f>
        <v>18</v>
      </c>
      <c r="AD256" s="7">
        <f>'Database MK'!DA257-'Database MK'!DF257</f>
        <v>3</v>
      </c>
      <c r="AE256" s="7">
        <f>'Database MK'!DK257-'Database MK'!DL257</f>
        <v>6</v>
      </c>
      <c r="AF256" s="7">
        <f>'Database MK'!DK257-'Database MK'!DO257</f>
        <v>-8</v>
      </c>
      <c r="AG256" s="7">
        <f>'Database MK'!DU257-'Database MK'!DW257</f>
        <v>-18</v>
      </c>
      <c r="AH256" s="7">
        <f>IF('Database MK'!EB257="","Belum",'Database MK'!DU257-'Database MK'!EB257)</f>
        <v>-194</v>
      </c>
      <c r="AI256" s="7">
        <f>IF('Database MK'!EN257="","Belum",'Database MK'!EL257-'Database MK'!EN257)</f>
        <v>-221</v>
      </c>
      <c r="AJ256" s="7">
        <f>'Database MK'!FY257-'Database MK'!FZ257</f>
        <v>-45884</v>
      </c>
      <c r="AK256" s="7">
        <f>IF('Database MK'!GC257="","Belum",'Database MK'!GB257-'Database MK'!GC257)</f>
        <v>209</v>
      </c>
      <c r="AL256" s="7">
        <f>IF('Database MK'!GF257="","Belum",'Database MK'!GE257-'Database MK'!GF257)</f>
        <v>216</v>
      </c>
      <c r="AM256" s="279">
        <f>IF('Database MK'!GJ257="","Belum",'Database MK'!GI257-'Database MK'!GJ257)</f>
        <v>18</v>
      </c>
      <c r="AN256" s="7">
        <f>IF('Database MK'!HG257="","Belum",'Database MK'!HF257-'Database MK'!HG257)</f>
        <v>-36</v>
      </c>
      <c r="AO256" s="7">
        <f>IF('Database MK'!HQ257="","Belum",'Database MK'!HN257-'Database MK'!HQ257)</f>
        <v>-46</v>
      </c>
      <c r="AP256" s="7">
        <f>IF('Database MK'!HW257="","Belum",'Database MK'!HU257-'Database MK'!HW257)</f>
        <v>-102</v>
      </c>
    </row>
    <row r="257" spans="2:42" hidden="1" x14ac:dyDescent="0.25">
      <c r="B257" s="7">
        <f>SUBTOTAL(3,$C$4:C257)</f>
        <v>74</v>
      </c>
      <c r="C257" s="4" t="s">
        <v>629</v>
      </c>
      <c r="D257" s="4" t="s">
        <v>2010</v>
      </c>
      <c r="E257" s="4" t="s">
        <v>2011</v>
      </c>
      <c r="F257" s="270">
        <v>46113</v>
      </c>
      <c r="G257" s="4" t="s">
        <v>681</v>
      </c>
      <c r="H257" s="4" t="str">
        <f ca="1">'Database MK'!Q258</f>
        <v>Proses Konstruksi</v>
      </c>
      <c r="I257" s="24">
        <f>'Database MK'!S258</f>
        <v>1</v>
      </c>
      <c r="J257" s="24">
        <f>'Database MK'!T258</f>
        <v>0.61657319094327101</v>
      </c>
      <c r="K257" s="571">
        <f>'Database MK'!U258</f>
        <v>-0.38342680905672899</v>
      </c>
      <c r="L257" s="561">
        <f>'Database MK'!V258</f>
        <v>14682</v>
      </c>
      <c r="M257" s="561">
        <f>'Database MK'!W258</f>
        <v>9898</v>
      </c>
      <c r="N257" s="561">
        <f>Table3[[#This Row],[Total Panjang Pipa Aktual]]-Table3[[#This Row],[Volume
BA MC-0]]</f>
        <v>-4784</v>
      </c>
      <c r="O257" s="7" t="str">
        <f ca="1">'Database MK'!DE258</f>
        <v>Sudah, OnSchedule</v>
      </c>
      <c r="P257" s="7" t="str">
        <f ca="1">'Database MK'!DI258</f>
        <v>Sudah, OnSchedule</v>
      </c>
      <c r="Q257" s="7" t="str">
        <f ca="1">'Database MK'!DN258</f>
        <v>Sudah, OnSchedule</v>
      </c>
      <c r="R257" s="7" t="str">
        <f ca="1">'Database MK'!DR258</f>
        <v>Sudah, Delay</v>
      </c>
      <c r="S257" s="7" t="str">
        <f ca="1">'Database MK'!EA258</f>
        <v>Sudah, Delay</v>
      </c>
      <c r="T257" s="7" t="str">
        <f ca="1">'Database MK'!EI258</f>
        <v>Sudah, Delay</v>
      </c>
      <c r="U257" s="7" t="str">
        <f ca="1">'Database MK'!ET258</f>
        <v>Sudah, Delay</v>
      </c>
      <c r="V257" s="7" t="str">
        <f ca="1">'Database MK'!GA258</f>
        <v>Sudah, Delay</v>
      </c>
      <c r="W257" s="7" t="str">
        <f ca="1">'Database MK'!GD258</f>
        <v>Sudah, OnSchedule</v>
      </c>
      <c r="X257" s="7" t="str">
        <f ca="1">'Database MK'!GG258</f>
        <v>Sudah, OnSchedule</v>
      </c>
      <c r="Y257" s="7" t="str">
        <f ca="1">'Database MK'!GK258</f>
        <v>Sudah, OnSchedule</v>
      </c>
      <c r="Z257" s="7" t="str">
        <f ca="1">'Database MK'!HH258</f>
        <v>Belum, Delay</v>
      </c>
      <c r="AA257" s="7" t="str">
        <f ca="1">'Database MK'!HR258</f>
        <v>Belum, Delay</v>
      </c>
      <c r="AB257" s="7" t="str">
        <f ca="1">'Database MK'!HX258</f>
        <v>Belum, Delay</v>
      </c>
      <c r="AC257" s="7">
        <f>'Database MK'!DA258-'Database MK'!DB258</f>
        <v>18</v>
      </c>
      <c r="AD257" s="7">
        <f>'Database MK'!DA258-'Database MK'!DF258</f>
        <v>4</v>
      </c>
      <c r="AE257" s="7">
        <f>'Database MK'!DK258-'Database MK'!DL258</f>
        <v>12</v>
      </c>
      <c r="AF257" s="7">
        <f>'Database MK'!DK258-'Database MK'!DO258</f>
        <v>-8</v>
      </c>
      <c r="AG257" s="7">
        <f>'Database MK'!DU258-'Database MK'!DW258</f>
        <v>-15</v>
      </c>
      <c r="AH257" s="7">
        <f>IF('Database MK'!EB258="","Belum",'Database MK'!DU258-'Database MK'!EB258)</f>
        <v>-283</v>
      </c>
      <c r="AI257" s="7">
        <f>IF('Database MK'!EN258="","Belum",'Database MK'!EL258-'Database MK'!EN258)</f>
        <v>-150</v>
      </c>
      <c r="AJ257" s="7">
        <f>'Database MK'!FY258-'Database MK'!FZ258</f>
        <v>-45903</v>
      </c>
      <c r="AK257" s="7">
        <f>IF('Database MK'!GC258="","Belum",'Database MK'!GB258-'Database MK'!GC258)</f>
        <v>209</v>
      </c>
      <c r="AL257" s="7">
        <f>IF('Database MK'!GF258="","Belum",'Database MK'!GE258-'Database MK'!GF258)</f>
        <v>216</v>
      </c>
      <c r="AM257" s="279">
        <f>IF('Database MK'!GJ258="","Belum",'Database MK'!GI258-'Database MK'!GJ258)</f>
        <v>9</v>
      </c>
      <c r="AN257" s="7" t="str">
        <f>IF('Database MK'!HG258="","Belum",'Database MK'!HF258-'Database MK'!HG258)</f>
        <v>Belum</v>
      </c>
      <c r="AO257" s="7" t="str">
        <f>IF('Database MK'!HQ258="","Belum",'Database MK'!HN258-'Database MK'!HQ258)</f>
        <v>Belum</v>
      </c>
      <c r="AP257" s="7" t="str">
        <f>IF('Database MK'!HW258="","Belum",'Database MK'!HU258-'Database MK'!HW258)</f>
        <v>Belum</v>
      </c>
    </row>
    <row r="258" spans="2:42" hidden="1" x14ac:dyDescent="0.25">
      <c r="B258" s="7">
        <f>SUBTOTAL(3,$C$4:C258)</f>
        <v>74</v>
      </c>
      <c r="C258" s="4" t="s">
        <v>629</v>
      </c>
      <c r="D258" s="4" t="s">
        <v>2018</v>
      </c>
      <c r="E258" s="4" t="s">
        <v>2019</v>
      </c>
      <c r="F258" s="270">
        <v>46113</v>
      </c>
      <c r="G258" s="4" t="s">
        <v>681</v>
      </c>
      <c r="H258" s="4" t="str">
        <f ca="1">'Database MK'!Q259</f>
        <v>DPPP</v>
      </c>
      <c r="I258" s="24">
        <f>'Database MK'!S259</f>
        <v>1</v>
      </c>
      <c r="J258" s="24">
        <f>'Database MK'!T259</f>
        <v>1</v>
      </c>
      <c r="K258" s="571">
        <f>'Database MK'!U259</f>
        <v>0</v>
      </c>
      <c r="L258" s="561">
        <f>'Database MK'!V259</f>
        <v>851</v>
      </c>
      <c r="M258" s="561">
        <f>'Database MK'!W259</f>
        <v>823</v>
      </c>
      <c r="N258" s="561">
        <f>Table3[[#This Row],[Total Panjang Pipa Aktual]]-Table3[[#This Row],[Volume
BA MC-0]]</f>
        <v>-28</v>
      </c>
      <c r="O258" s="7" t="str">
        <f ca="1">'Database MK'!DE259</f>
        <v>Sudah, OnSchedule</v>
      </c>
      <c r="P258" s="7" t="str">
        <f ca="1">'Database MK'!DI259</f>
        <v>Sudah, OnSchedule</v>
      </c>
      <c r="Q258" s="7" t="str">
        <f ca="1">'Database MK'!DN259</f>
        <v>Sudah, OnSchedule</v>
      </c>
      <c r="R258" s="7" t="str">
        <f ca="1">'Database MK'!DR259</f>
        <v>Sudah, OnSchedule</v>
      </c>
      <c r="S258" s="7" t="str">
        <f ca="1">'Database MK'!EA259</f>
        <v>Sudah, OnSchedule</v>
      </c>
      <c r="T258" s="7" t="str">
        <f ca="1">'Database MK'!EI259</f>
        <v>Sudah, Delay</v>
      </c>
      <c r="U258" s="7" t="str">
        <f ca="1">'Database MK'!ET259</f>
        <v>Sudah, Delay</v>
      </c>
      <c r="V258" s="7" t="str">
        <f ca="1">'Database MK'!GA259</f>
        <v>Sudah, Delay</v>
      </c>
      <c r="W258" s="7" t="str">
        <f ca="1">'Database MK'!GD259</f>
        <v>Sudah, OnSchedule</v>
      </c>
      <c r="X258" s="7" t="str">
        <f ca="1">'Database MK'!GG259</f>
        <v>Sudah, OnSchedule</v>
      </c>
      <c r="Y258" s="7" t="str">
        <f ca="1">'Database MK'!GK259</f>
        <v>Sudah, OnSchedule</v>
      </c>
      <c r="Z258" s="7" t="str">
        <f ca="1">'Database MK'!HH259</f>
        <v>Sudah, OnSchedule</v>
      </c>
      <c r="AA258" s="7" t="str">
        <f ca="1">'Database MK'!HR259</f>
        <v>Sudah, Delay</v>
      </c>
      <c r="AB258" s="7" t="str">
        <f ca="1">'Database MK'!HX259</f>
        <v>Sudah, Delay</v>
      </c>
      <c r="AC258" s="7">
        <f>'Database MK'!DA259-'Database MK'!DB259</f>
        <v>12</v>
      </c>
      <c r="AD258" s="7">
        <f>'Database MK'!DA259-'Database MK'!DF259</f>
        <v>4</v>
      </c>
      <c r="AE258" s="7">
        <f>'Database MK'!DK259-'Database MK'!DL259</f>
        <v>39</v>
      </c>
      <c r="AF258" s="7">
        <f>'Database MK'!DK259-'Database MK'!DO259</f>
        <v>34</v>
      </c>
      <c r="AG258" s="7">
        <f>'Database MK'!DU259-'Database MK'!DW259</f>
        <v>11</v>
      </c>
      <c r="AH258" s="7">
        <f>IF('Database MK'!EB259="","Belum",'Database MK'!DU259-'Database MK'!EB259)</f>
        <v>-226</v>
      </c>
      <c r="AI258" s="7">
        <f>IF('Database MK'!EN259="","Belum",'Database MK'!EL259-'Database MK'!EN259)</f>
        <v>-165</v>
      </c>
      <c r="AJ258" s="7">
        <f>'Database MK'!FY259-'Database MK'!FZ259</f>
        <v>-45911</v>
      </c>
      <c r="AK258" s="7">
        <f>IF('Database MK'!GC259="","Belum",'Database MK'!GB259-'Database MK'!GC259)</f>
        <v>48</v>
      </c>
      <c r="AL258" s="7">
        <f>IF('Database MK'!GF259="","Belum",'Database MK'!GE259-'Database MK'!GF259)</f>
        <v>60</v>
      </c>
      <c r="AM258" s="279">
        <f>IF('Database MK'!GJ259="","Belum",'Database MK'!GI259-'Database MK'!GJ259)</f>
        <v>69</v>
      </c>
      <c r="AN258" s="7">
        <f>IF('Database MK'!HG259="","Belum",'Database MK'!HF259-'Database MK'!HG259)</f>
        <v>53</v>
      </c>
      <c r="AO258" s="7">
        <f>IF('Database MK'!HQ259="","Belum",'Database MK'!HN259-'Database MK'!HQ259)</f>
        <v>-68</v>
      </c>
      <c r="AP258" s="7">
        <f>IF('Database MK'!HW259="","Belum",'Database MK'!HU259-'Database MK'!HW259)</f>
        <v>-62</v>
      </c>
    </row>
    <row r="259" spans="2:42" hidden="1" x14ac:dyDescent="0.25">
      <c r="B259" s="7">
        <f>SUBTOTAL(3,$C$4:C259)</f>
        <v>74</v>
      </c>
      <c r="C259" s="4" t="s">
        <v>629</v>
      </c>
      <c r="D259" s="4" t="s">
        <v>2025</v>
      </c>
      <c r="E259" s="4" t="s">
        <v>2026</v>
      </c>
      <c r="F259" s="270">
        <v>46113</v>
      </c>
      <c r="G259" s="4" t="s">
        <v>681</v>
      </c>
      <c r="H259" s="4" t="str">
        <f ca="1">'Database MK'!Q260</f>
        <v>DPPP</v>
      </c>
      <c r="I259" s="24">
        <f>'Database MK'!S260</f>
        <v>1</v>
      </c>
      <c r="J259" s="24">
        <f>'Database MK'!T260</f>
        <v>1</v>
      </c>
      <c r="K259" s="571">
        <f>'Database MK'!U260</f>
        <v>0</v>
      </c>
      <c r="L259" s="561">
        <f>'Database MK'!V260</f>
        <v>115</v>
      </c>
      <c r="M259" s="561">
        <f>'Database MK'!W260</f>
        <v>102</v>
      </c>
      <c r="N259" s="561">
        <f>Table3[[#This Row],[Total Panjang Pipa Aktual]]-Table3[[#This Row],[Volume
BA MC-0]]</f>
        <v>-13</v>
      </c>
      <c r="O259" s="7" t="str">
        <f ca="1">'Database MK'!DE260</f>
        <v>Sudah, OnSchedule</v>
      </c>
      <c r="P259" s="7" t="str">
        <f ca="1">'Database MK'!DI260</f>
        <v>Sudah, OnSchedule</v>
      </c>
      <c r="Q259" s="7" t="str">
        <f ca="1">'Database MK'!DN260</f>
        <v>Sudah, OnSchedule</v>
      </c>
      <c r="R259" s="7" t="str">
        <f ca="1">'Database MK'!DR260</f>
        <v>Sudah, OnSchedule</v>
      </c>
      <c r="S259" s="7" t="str">
        <f ca="1">'Database MK'!EA260</f>
        <v>Sudah, OnSchedule</v>
      </c>
      <c r="T259" s="7" t="str">
        <f ca="1">'Database MK'!EI260</f>
        <v>Sudah, Delay</v>
      </c>
      <c r="U259" s="7" t="str">
        <f ca="1">'Database MK'!ET260</f>
        <v>Sudah, Delay</v>
      </c>
      <c r="V259" s="7" t="str">
        <f ca="1">'Database MK'!GA260</f>
        <v>Sudah, Delay</v>
      </c>
      <c r="W259" s="7" t="str">
        <f ca="1">'Database MK'!GD260</f>
        <v>Sudah, OnSchedule</v>
      </c>
      <c r="X259" s="7" t="str">
        <f ca="1">'Database MK'!GG260</f>
        <v>Sudah, OnSchedule</v>
      </c>
      <c r="Y259" s="7" t="str">
        <f ca="1">'Database MK'!GK260</f>
        <v>Sudah, OnSchedule</v>
      </c>
      <c r="Z259" s="7" t="str">
        <f ca="1">'Database MK'!HH260</f>
        <v>Sudah, Delay</v>
      </c>
      <c r="AA259" s="7" t="str">
        <f ca="1">'Database MK'!HR260</f>
        <v>Sudah, Delay</v>
      </c>
      <c r="AB259" s="7" t="str">
        <f ca="1">'Database MK'!HX260</f>
        <v>Sudah, Delay</v>
      </c>
      <c r="AC259" s="7">
        <f>'Database MK'!DA260-'Database MK'!DB260</f>
        <v>13</v>
      </c>
      <c r="AD259" s="7">
        <f>'Database MK'!DA260-'Database MK'!DF260</f>
        <v>195</v>
      </c>
      <c r="AE259" s="7">
        <f>'Database MK'!DK260-'Database MK'!DL260</f>
        <v>27</v>
      </c>
      <c r="AF259" s="7">
        <f>'Database MK'!DK260-'Database MK'!DO260</f>
        <v>23</v>
      </c>
      <c r="AG259" s="7">
        <f>'Database MK'!DU260-'Database MK'!DW260</f>
        <v>1</v>
      </c>
      <c r="AH259" s="7">
        <f>IF('Database MK'!EB260="","Belum",'Database MK'!DU260-'Database MK'!EB260)</f>
        <v>-73</v>
      </c>
      <c r="AI259" s="7">
        <f>IF('Database MK'!EN260="","Belum",'Database MK'!EL260-'Database MK'!EN260)</f>
        <v>-100</v>
      </c>
      <c r="AJ259" s="7">
        <f>'Database MK'!FY260-'Database MK'!FZ260</f>
        <v>-45946</v>
      </c>
      <c r="AK259" s="7">
        <f>IF('Database MK'!GC260="","Belum",'Database MK'!GB260-'Database MK'!GC260)</f>
        <v>48</v>
      </c>
      <c r="AL259" s="7">
        <f>IF('Database MK'!GF260="","Belum",'Database MK'!GE260-'Database MK'!GF260)</f>
        <v>60</v>
      </c>
      <c r="AM259" s="279">
        <f>IF('Database MK'!GJ260="","Belum",'Database MK'!GI260-'Database MK'!GJ260)</f>
        <v>69</v>
      </c>
      <c r="AN259" s="7">
        <f>IF('Database MK'!HG260="","Belum",'Database MK'!HF260-'Database MK'!HG260)</f>
        <v>-38</v>
      </c>
      <c r="AO259" s="7">
        <f>IF('Database MK'!HQ260="","Belum",'Database MK'!HN260-'Database MK'!HQ260)</f>
        <v>-56</v>
      </c>
      <c r="AP259" s="7">
        <f>IF('Database MK'!HW260="","Belum",'Database MK'!HU260-'Database MK'!HW260)</f>
        <v>-61</v>
      </c>
    </row>
    <row r="260" spans="2:42" hidden="1" x14ac:dyDescent="0.25">
      <c r="B260" s="7">
        <f>SUBTOTAL(3,$C$4:C260)</f>
        <v>74</v>
      </c>
      <c r="C260" s="4" t="s">
        <v>244</v>
      </c>
      <c r="D260" s="4" t="s">
        <v>2034</v>
      </c>
      <c r="E260" s="4" t="s">
        <v>2035</v>
      </c>
      <c r="F260" s="270">
        <v>46113</v>
      </c>
      <c r="G260" s="4" t="s">
        <v>681</v>
      </c>
      <c r="H260" s="4" t="str">
        <f ca="1">'Database MK'!Q261</f>
        <v>DPPP</v>
      </c>
      <c r="I260" s="24">
        <f>'Database MK'!S261</f>
        <v>1</v>
      </c>
      <c r="J260" s="24">
        <f>'Database MK'!T261</f>
        <v>1</v>
      </c>
      <c r="K260" s="571">
        <f>'Database MK'!U261</f>
        <v>0</v>
      </c>
      <c r="L260" s="561">
        <f>'Database MK'!V261</f>
        <v>43.8</v>
      </c>
      <c r="M260" s="561">
        <f>'Database MK'!W261</f>
        <v>33.799999999999997</v>
      </c>
      <c r="N260" s="561">
        <f>Table3[[#This Row],[Total Panjang Pipa Aktual]]-Table3[[#This Row],[Volume
BA MC-0]]</f>
        <v>-10</v>
      </c>
      <c r="O260" s="7" t="str">
        <f ca="1">'Database MK'!DE261</f>
        <v>Sudah, OnSchedule</v>
      </c>
      <c r="P260" s="7" t="str">
        <f ca="1">'Database MK'!DI261</f>
        <v>Sudah, OnSchedule</v>
      </c>
      <c r="Q260" s="7" t="str">
        <f ca="1">'Database MK'!DN261</f>
        <v>Sudah, OnSchedule</v>
      </c>
      <c r="R260" s="7" t="str">
        <f ca="1">'Database MK'!DR261</f>
        <v>Sudah, OnSchedule</v>
      </c>
      <c r="S260" s="7" t="str">
        <f ca="1">'Database MK'!EA261</f>
        <v>Sudah, OnSchedule</v>
      </c>
      <c r="T260" s="7" t="str">
        <f ca="1">'Database MK'!EI261</f>
        <v>Sudah, Delay</v>
      </c>
      <c r="U260" s="7" t="str">
        <f ca="1">'Database MK'!ET261</f>
        <v>Sudah, Delay</v>
      </c>
      <c r="V260" s="7" t="str">
        <f ca="1">'Database MK'!GA261</f>
        <v>Belum, Delay</v>
      </c>
      <c r="W260" s="7" t="str">
        <f ca="1">'Database MK'!GD261</f>
        <v>Sudah, OnSchedule</v>
      </c>
      <c r="X260" s="7" t="str">
        <f ca="1">'Database MK'!GG261</f>
        <v>Sudah, OnSchedule</v>
      </c>
      <c r="Y260" s="7" t="str">
        <f ca="1">'Database MK'!GK261</f>
        <v>Sudah, OnSchedule</v>
      </c>
      <c r="Z260" s="7" t="str">
        <f ca="1">'Database MK'!HH261</f>
        <v>Sudah, Delay</v>
      </c>
      <c r="AA260" s="7" t="str">
        <f ca="1">'Database MK'!HR261</f>
        <v>Sudah, Delay</v>
      </c>
      <c r="AB260" s="7" t="str">
        <f ca="1">'Database MK'!HX261</f>
        <v>Sudah, Delay</v>
      </c>
      <c r="AC260" s="7">
        <f>'Database MK'!DA261-'Database MK'!DB261</f>
        <v>34</v>
      </c>
      <c r="AD260" s="7">
        <f>'Database MK'!DA261-'Database MK'!DF261</f>
        <v>26</v>
      </c>
      <c r="AE260" s="7">
        <f>'Database MK'!DK261-'Database MK'!DL261</f>
        <v>81</v>
      </c>
      <c r="AF260" s="7">
        <f>'Database MK'!DK261-'Database MK'!DO261</f>
        <v>48</v>
      </c>
      <c r="AG260" s="7">
        <f>'Database MK'!DU261-'Database MK'!DW261</f>
        <v>59</v>
      </c>
      <c r="AH260" s="7">
        <f>IF('Database MK'!EB261="","Belum",'Database MK'!DU261-'Database MK'!EB261)</f>
        <v>-51</v>
      </c>
      <c r="AI260" s="7">
        <f>IF('Database MK'!EN261="","Belum",'Database MK'!EL261-'Database MK'!EN261)</f>
        <v>-24</v>
      </c>
      <c r="AJ260" s="7">
        <f>'Database MK'!FY261-'Database MK'!FZ261</f>
        <v>0</v>
      </c>
      <c r="AK260" s="7">
        <f>IF('Database MK'!GC261="","Belum",'Database MK'!GB261-'Database MK'!GC261)</f>
        <v>49</v>
      </c>
      <c r="AL260" s="7">
        <f>IF('Database MK'!GF261="","Belum",'Database MK'!GE261-'Database MK'!GF261)</f>
        <v>56</v>
      </c>
      <c r="AM260" s="279">
        <f>IF('Database MK'!GJ261="","Belum",'Database MK'!GI261-'Database MK'!GJ261)</f>
        <v>26</v>
      </c>
      <c r="AN260" s="7">
        <f>IF('Database MK'!HG261="","Belum",'Database MK'!HF261-'Database MK'!HG261)</f>
        <v>-107</v>
      </c>
      <c r="AO260" s="7">
        <f>IF('Database MK'!HQ261="","Belum",'Database MK'!HN261-'Database MK'!HQ261)</f>
        <v>-104</v>
      </c>
      <c r="AP260" s="7">
        <f>IF('Database MK'!HW261="","Belum",'Database MK'!HU261-'Database MK'!HW261)</f>
        <v>-98</v>
      </c>
    </row>
    <row r="261" spans="2:42" hidden="1" x14ac:dyDescent="0.25">
      <c r="B261" s="7">
        <f>SUBTOTAL(3,$C$4:C261)</f>
        <v>74</v>
      </c>
      <c r="C261" s="4" t="s">
        <v>244</v>
      </c>
      <c r="D261" s="4" t="s">
        <v>2045</v>
      </c>
      <c r="E261" s="4" t="s">
        <v>2046</v>
      </c>
      <c r="F261" s="270">
        <v>46113</v>
      </c>
      <c r="G261" s="4" t="s">
        <v>247</v>
      </c>
      <c r="H261" s="4" t="str">
        <f ca="1">'Database MK'!Q262</f>
        <v>Proses Konstruksi</v>
      </c>
      <c r="I261" s="24">
        <f>'Database MK'!S262</f>
        <v>1</v>
      </c>
      <c r="J261" s="24">
        <f>'Database MK'!T262</f>
        <v>0.67666848803465707</v>
      </c>
      <c r="K261" s="571">
        <f>'Database MK'!U262</f>
        <v>-0.32333151196534293</v>
      </c>
      <c r="L261" s="561">
        <f>'Database MK'!V262</f>
        <v>3780</v>
      </c>
      <c r="M261" s="561">
        <f>'Database MK'!W262</f>
        <v>3954</v>
      </c>
      <c r="N261" s="561">
        <f>Table3[[#This Row],[Total Panjang Pipa Aktual]]-Table3[[#This Row],[Volume
BA MC-0]]</f>
        <v>174</v>
      </c>
      <c r="O261" s="7" t="str">
        <f ca="1">'Database MK'!DE262</f>
        <v>Sudah, OnSchedule</v>
      </c>
      <c r="P261" s="7" t="str">
        <f ca="1">'Database MK'!DI262</f>
        <v>Sudah, OnSchedule</v>
      </c>
      <c r="Q261" s="7" t="str">
        <f ca="1">'Database MK'!DN262</f>
        <v>Sudah, OnSchedule</v>
      </c>
      <c r="R261" s="7" t="str">
        <f ca="1">'Database MK'!DR262</f>
        <v>Sudah, Delay</v>
      </c>
      <c r="S261" s="7" t="str">
        <f ca="1">'Database MK'!EA262</f>
        <v>Sudah, OnSchedule</v>
      </c>
      <c r="T261" s="7" t="str">
        <f ca="1">'Database MK'!EI262</f>
        <v>Sudah, Delay</v>
      </c>
      <c r="U261" s="7" t="str">
        <f ca="1">'Database MK'!ET262</f>
        <v>Sudah, Delay</v>
      </c>
      <c r="V261" s="7" t="str">
        <f ca="1">'Database MK'!GA262</f>
        <v>Belum, Delay</v>
      </c>
      <c r="W261" s="7" t="str">
        <f ca="1">'Database MK'!GD262</f>
        <v>Sudah, Delay</v>
      </c>
      <c r="X261" s="7" t="str">
        <f ca="1">'Database MK'!GG262</f>
        <v>Sudah, Delay</v>
      </c>
      <c r="Y261" s="7" t="str">
        <f ca="1">'Database MK'!GK262</f>
        <v>Sudah, Delay</v>
      </c>
      <c r="Z261" s="7" t="str">
        <f ca="1">'Database MK'!HH262</f>
        <v>Belum, Delay</v>
      </c>
      <c r="AA261" s="7" t="str">
        <f ca="1">'Database MK'!HR262</f>
        <v>Belum, Delay</v>
      </c>
      <c r="AB261" s="7" t="str">
        <f ca="1">'Database MK'!HX262</f>
        <v>Belum, Delay</v>
      </c>
      <c r="AC261" s="7">
        <f>'Database MK'!DA262-'Database MK'!DB262</f>
        <v>52</v>
      </c>
      <c r="AD261" s="7">
        <f>'Database MK'!DA262-'Database MK'!DF262</f>
        <v>40</v>
      </c>
      <c r="AE261" s="7">
        <f>'Database MK'!DK262-'Database MK'!DL262</f>
        <v>45</v>
      </c>
      <c r="AF261" s="7">
        <f>'Database MK'!DK262-'Database MK'!DO262</f>
        <v>-68</v>
      </c>
      <c r="AG261" s="7">
        <f>'Database MK'!DU262-'Database MK'!DW262</f>
        <v>45</v>
      </c>
      <c r="AH261" s="7">
        <f>IF('Database MK'!EB262="","Belum",'Database MK'!DU262-'Database MK'!EB262)</f>
        <v>-307</v>
      </c>
      <c r="AI261" s="7">
        <f>IF('Database MK'!EN262="","Belum",'Database MK'!EL262-'Database MK'!EN262)</f>
        <v>-187</v>
      </c>
      <c r="AJ261" s="7">
        <f>'Database MK'!FY262-'Database MK'!FZ262</f>
        <v>0</v>
      </c>
      <c r="AK261" s="7">
        <f>IF('Database MK'!GC262="","Belum",'Database MK'!GB262-'Database MK'!GC262)</f>
        <v>-35</v>
      </c>
      <c r="AL261" s="7">
        <f>IF('Database MK'!GF262="","Belum",'Database MK'!GE262-'Database MK'!GF262)</f>
        <v>-28</v>
      </c>
      <c r="AM261" s="279">
        <f>IF('Database MK'!GJ262="","Belum",'Database MK'!GI262-'Database MK'!GJ262)</f>
        <v>-24</v>
      </c>
      <c r="AN261" s="7" t="str">
        <f>IF('Database MK'!HG262="","Belum",'Database MK'!HF262-'Database MK'!HG262)</f>
        <v>Belum</v>
      </c>
      <c r="AO261" s="7" t="str">
        <f>IF('Database MK'!HQ262="","Belum",'Database MK'!HN262-'Database MK'!HQ262)</f>
        <v>Belum</v>
      </c>
      <c r="AP261" s="7" t="str">
        <f>IF('Database MK'!HW262="","Belum",'Database MK'!HU262-'Database MK'!HW262)</f>
        <v>Belum</v>
      </c>
    </row>
    <row r="262" spans="2:42" hidden="1" x14ac:dyDescent="0.25">
      <c r="B262" s="7">
        <f>SUBTOTAL(3,$C$4:C262)</f>
        <v>74</v>
      </c>
      <c r="C262" s="4" t="s">
        <v>244</v>
      </c>
      <c r="D262" s="4" t="s">
        <v>2055</v>
      </c>
      <c r="E262" s="4" t="s">
        <v>2056</v>
      </c>
      <c r="F262" s="270">
        <v>46113</v>
      </c>
      <c r="G262" s="4" t="s">
        <v>247</v>
      </c>
      <c r="H262" s="4" t="str">
        <f ca="1">'Database MK'!Q263</f>
        <v>Proses Konstruksi</v>
      </c>
      <c r="I262" s="24">
        <f>'Database MK'!S263</f>
        <v>1</v>
      </c>
      <c r="J262" s="24">
        <f>'Database MK'!T263</f>
        <v>0.57361410544195968</v>
      </c>
      <c r="K262" s="571">
        <f>'Database MK'!U263</f>
        <v>-0.42638589455804032</v>
      </c>
      <c r="L262" s="561">
        <f>'Database MK'!V263</f>
        <v>1162</v>
      </c>
      <c r="M262" s="561">
        <f>'Database MK'!W263</f>
        <v>590</v>
      </c>
      <c r="N262" s="561">
        <f>Table3[[#This Row],[Total Panjang Pipa Aktual]]-Table3[[#This Row],[Volume
BA MC-0]]</f>
        <v>-572</v>
      </c>
      <c r="O262" s="7" t="str">
        <f ca="1">'Database MK'!DE263</f>
        <v>Sudah, OnSchedule</v>
      </c>
      <c r="P262" s="7" t="str">
        <f ca="1">'Database MK'!DI263</f>
        <v>Sudah, OnSchedule</v>
      </c>
      <c r="Q262" s="7" t="str">
        <f ca="1">'Database MK'!DN263</f>
        <v>Sudah, OnSchedule</v>
      </c>
      <c r="R262" s="7" t="str">
        <f ca="1">'Database MK'!DR263</f>
        <v>Sudah, Delay</v>
      </c>
      <c r="S262" s="7" t="str">
        <f ca="1">'Database MK'!EA263</f>
        <v>Sudah, OnSchedule</v>
      </c>
      <c r="T262" s="7" t="str">
        <f ca="1">'Database MK'!EI263</f>
        <v>Sudah, Delay</v>
      </c>
      <c r="U262" s="7" t="str">
        <f ca="1">'Database MK'!ET263</f>
        <v>Sudah, Delay</v>
      </c>
      <c r="V262" s="7" t="str">
        <f ca="1">'Database MK'!GA263</f>
        <v>Belum, Delay</v>
      </c>
      <c r="W262" s="7" t="str">
        <f ca="1">'Database MK'!GD263</f>
        <v>Sudah, Delay</v>
      </c>
      <c r="X262" s="7" t="str">
        <f ca="1">'Database MK'!GG263</f>
        <v>Sudah, Delay</v>
      </c>
      <c r="Y262" s="7" t="str">
        <f ca="1">'Database MK'!GK263</f>
        <v>Sudah, Delay</v>
      </c>
      <c r="Z262" s="7" t="str">
        <f ca="1">'Database MK'!HH263</f>
        <v>Belum, Delay</v>
      </c>
      <c r="AA262" s="7" t="str">
        <f ca="1">'Database MK'!HR263</f>
        <v>Belum, Delay</v>
      </c>
      <c r="AB262" s="7" t="str">
        <f ca="1">'Database MK'!HX263</f>
        <v>Belum, Delay</v>
      </c>
      <c r="AC262" s="7">
        <f>'Database MK'!DA263-'Database MK'!DB263</f>
        <v>52</v>
      </c>
      <c r="AD262" s="7">
        <f>'Database MK'!DA263-'Database MK'!DF263</f>
        <v>40</v>
      </c>
      <c r="AE262" s="7">
        <f>'Database MK'!DK263-'Database MK'!DL263</f>
        <v>44</v>
      </c>
      <c r="AF262" s="7">
        <f>'Database MK'!DK263-'Database MK'!DO263</f>
        <v>-29</v>
      </c>
      <c r="AG262" s="7">
        <f>'Database MK'!DU263-'Database MK'!DW263</f>
        <v>44</v>
      </c>
      <c r="AH262" s="7">
        <f>IF('Database MK'!EB263="","Belum",'Database MK'!DU263-'Database MK'!EB263)</f>
        <v>-282</v>
      </c>
      <c r="AI262" s="7">
        <f>IF('Database MK'!EN263="","Belum",'Database MK'!EL263-'Database MK'!EN263)</f>
        <v>-191</v>
      </c>
      <c r="AJ262" s="7">
        <f>'Database MK'!FY263-'Database MK'!FZ263</f>
        <v>0</v>
      </c>
      <c r="AK262" s="7">
        <f>IF('Database MK'!GC263="","Belum",'Database MK'!GB263-'Database MK'!GC263)</f>
        <v>-35</v>
      </c>
      <c r="AL262" s="7">
        <f>IF('Database MK'!GF263="","Belum",'Database MK'!GE263-'Database MK'!GF263)</f>
        <v>-28</v>
      </c>
      <c r="AM262" s="279">
        <f>IF('Database MK'!GJ263="","Belum",'Database MK'!GI263-'Database MK'!GJ263)</f>
        <v>-26</v>
      </c>
      <c r="AN262" s="7" t="str">
        <f>IF('Database MK'!HG263="","Belum",'Database MK'!HF263-'Database MK'!HG263)</f>
        <v>Belum</v>
      </c>
      <c r="AO262" s="7" t="str">
        <f>IF('Database MK'!HQ263="","Belum",'Database MK'!HN263-'Database MK'!HQ263)</f>
        <v>Belum</v>
      </c>
      <c r="AP262" s="7" t="str">
        <f>IF('Database MK'!HW263="","Belum",'Database MK'!HU263-'Database MK'!HW263)</f>
        <v>Belum</v>
      </c>
    </row>
    <row r="263" spans="2:42" hidden="1" x14ac:dyDescent="0.25">
      <c r="B263" s="7">
        <f>SUBTOTAL(3,$C$4:C263)</f>
        <v>74</v>
      </c>
      <c r="C263" s="4" t="s">
        <v>244</v>
      </c>
      <c r="D263" s="4" t="s">
        <v>2063</v>
      </c>
      <c r="E263" s="4" t="s">
        <v>2064</v>
      </c>
      <c r="F263" s="270">
        <v>46113</v>
      </c>
      <c r="G263" s="4" t="s">
        <v>247</v>
      </c>
      <c r="H263" s="4" t="str">
        <f ca="1">'Database MK'!Q264</f>
        <v>Proses Konstruksi</v>
      </c>
      <c r="I263" s="24">
        <f>'Database MK'!S264</f>
        <v>1</v>
      </c>
      <c r="J263" s="24">
        <f>'Database MK'!T264</f>
        <v>0.2549812032629471</v>
      </c>
      <c r="K263" s="571">
        <f>'Database MK'!U264</f>
        <v>-0.74501879673705296</v>
      </c>
      <c r="L263" s="561">
        <f>'Database MK'!V264</f>
        <v>0</v>
      </c>
      <c r="M263" s="561">
        <f>'Database MK'!W264</f>
        <v>1</v>
      </c>
      <c r="N263" s="561">
        <f>Table3[[#This Row],[Total Panjang Pipa Aktual]]-Table3[[#This Row],[Volume
BA MC-0]]</f>
        <v>1</v>
      </c>
      <c r="O263" s="7" t="str">
        <f ca="1">'Database MK'!DE264</f>
        <v>Sudah, OnSchedule</v>
      </c>
      <c r="P263" s="7" t="str">
        <f ca="1">'Database MK'!DI264</f>
        <v>Sudah, OnSchedule</v>
      </c>
      <c r="Q263" s="7" t="str">
        <f ca="1">'Database MK'!DN264</f>
        <v>Sudah, OnSchedule</v>
      </c>
      <c r="R263" s="7" t="str">
        <f ca="1">'Database MK'!DR264</f>
        <v>Sudah, OnSchedule</v>
      </c>
      <c r="S263" s="7" t="str">
        <f ca="1">'Database MK'!EA264</f>
        <v>Sudah, OnSchedule</v>
      </c>
      <c r="T263" s="7" t="str">
        <f ca="1">'Database MK'!EI264</f>
        <v>Sudah, Delay</v>
      </c>
      <c r="U263" s="7" t="str">
        <f ca="1">'Database MK'!ET264</f>
        <v>Sudah, Delay</v>
      </c>
      <c r="V263" s="7" t="str">
        <f ca="1">'Database MK'!GA264</f>
        <v>Sudah, Delay</v>
      </c>
      <c r="W263" s="7" t="str">
        <f ca="1">'Database MK'!GD264</f>
        <v>Sudah, OnSchedule</v>
      </c>
      <c r="X263" s="7" t="str">
        <f ca="1">'Database MK'!GG264</f>
        <v>Sudah, OnSchedule</v>
      </c>
      <c r="Y263" s="7" t="str">
        <f ca="1">'Database MK'!GK264</f>
        <v>Sudah, Delay</v>
      </c>
      <c r="Z263" s="7" t="str">
        <f ca="1">'Database MK'!HH264</f>
        <v>Belum, Delay</v>
      </c>
      <c r="AA263" s="7" t="str">
        <f ca="1">'Database MK'!HR264</f>
        <v>Belum, Delay</v>
      </c>
      <c r="AB263" s="7" t="str">
        <f ca="1">'Database MK'!HX264</f>
        <v>Belum, Delay</v>
      </c>
      <c r="AC263" s="7">
        <f>'Database MK'!DA264-'Database MK'!DB264</f>
        <v>68</v>
      </c>
      <c r="AD263" s="7">
        <f>'Database MK'!DA264-'Database MK'!DF264</f>
        <v>62</v>
      </c>
      <c r="AE263" s="7">
        <f>'Database MK'!DK264-'Database MK'!DL264</f>
        <v>86</v>
      </c>
      <c r="AF263" s="7">
        <f>'Database MK'!DK264-'Database MK'!DO264</f>
        <v>44</v>
      </c>
      <c r="AG263" s="7">
        <f>'Database MK'!DU264-'Database MK'!DW264</f>
        <v>87</v>
      </c>
      <c r="AH263" s="7">
        <f>IF('Database MK'!EB264="","Belum",'Database MK'!DU264-'Database MK'!EB264)</f>
        <v>-197</v>
      </c>
      <c r="AI263" s="7">
        <f>IF('Database MK'!EN264="","Belum",'Database MK'!EL264-'Database MK'!EN264)</f>
        <v>-129</v>
      </c>
      <c r="AJ263" s="7">
        <f>'Database MK'!FY264-'Database MK'!FZ264</f>
        <v>-46051</v>
      </c>
      <c r="AK263" s="7">
        <f>IF('Database MK'!GC264="","Belum",'Database MK'!GB264-'Database MK'!GC264)</f>
        <v>56</v>
      </c>
      <c r="AL263" s="7">
        <f>IF('Database MK'!GF264="","Belum",'Database MK'!GE264-'Database MK'!GF264)</f>
        <v>63</v>
      </c>
      <c r="AM263" s="279">
        <f>IF('Database MK'!GJ264="","Belum",'Database MK'!GI264-'Database MK'!GJ264)</f>
        <v>-110</v>
      </c>
      <c r="AN263" s="7" t="str">
        <f>IF('Database MK'!HG264="","Belum",'Database MK'!HF264-'Database MK'!HG264)</f>
        <v>Belum</v>
      </c>
      <c r="AO263" s="7" t="str">
        <f>IF('Database MK'!HQ264="","Belum",'Database MK'!HN264-'Database MK'!HQ264)</f>
        <v>Belum</v>
      </c>
      <c r="AP263" s="7" t="str">
        <f>IF('Database MK'!HW264="","Belum",'Database MK'!HU264-'Database MK'!HW264)</f>
        <v>Belum</v>
      </c>
    </row>
    <row r="264" spans="2:42" hidden="1" x14ac:dyDescent="0.25">
      <c r="B264" s="7">
        <f>SUBTOTAL(3,$C$4:C264)</f>
        <v>74</v>
      </c>
      <c r="C264" s="4" t="s">
        <v>244</v>
      </c>
      <c r="D264" s="4" t="s">
        <v>2071</v>
      </c>
      <c r="E264" s="4" t="s">
        <v>2072</v>
      </c>
      <c r="F264" s="270">
        <v>46113</v>
      </c>
      <c r="G264" s="4" t="s">
        <v>247</v>
      </c>
      <c r="H264" s="4" t="str">
        <f ca="1">'Database MK'!Q265</f>
        <v>Proses Konstruksi</v>
      </c>
      <c r="I264" s="24">
        <f>'Database MK'!S265</f>
        <v>1</v>
      </c>
      <c r="J264" s="24">
        <f>'Database MK'!T265</f>
        <v>0.40629577061412464</v>
      </c>
      <c r="K264" s="571">
        <f>'Database MK'!U265</f>
        <v>-0.59370422938587541</v>
      </c>
      <c r="L264" s="561">
        <f>'Database MK'!V265</f>
        <v>0</v>
      </c>
      <c r="M264" s="561">
        <f>'Database MK'!W265</f>
        <v>1</v>
      </c>
      <c r="N264" s="561">
        <f>Table3[[#This Row],[Total Panjang Pipa Aktual]]-Table3[[#This Row],[Volume
BA MC-0]]</f>
        <v>1</v>
      </c>
      <c r="O264" s="7" t="str">
        <f ca="1">'Database MK'!DE265</f>
        <v>Sudah, OnSchedule</v>
      </c>
      <c r="P264" s="7" t="str">
        <f ca="1">'Database MK'!DI265</f>
        <v>Sudah, OnSchedule</v>
      </c>
      <c r="Q264" s="7" t="str">
        <f ca="1">'Database MK'!DN265</f>
        <v>Sudah, OnSchedule</v>
      </c>
      <c r="R264" s="7" t="str">
        <f ca="1">'Database MK'!DR265</f>
        <v>Sudah, OnSchedule</v>
      </c>
      <c r="S264" s="7" t="str">
        <f ca="1">'Database MK'!EA265</f>
        <v>Sudah, OnSchedule</v>
      </c>
      <c r="T264" s="7" t="str">
        <f ca="1">'Database MK'!EI265</f>
        <v>Sudah, Delay</v>
      </c>
      <c r="U264" s="7" t="str">
        <f ca="1">'Database MK'!ET265</f>
        <v>Sudah, Delay</v>
      </c>
      <c r="V264" s="7" t="str">
        <f ca="1">'Database MK'!GA265</f>
        <v>Sudah, Delay</v>
      </c>
      <c r="W264" s="7" t="str">
        <f ca="1">'Database MK'!GD265</f>
        <v>Sudah, OnSchedule</v>
      </c>
      <c r="X264" s="7" t="str">
        <f ca="1">'Database MK'!GG265</f>
        <v>Sudah, OnSchedule</v>
      </c>
      <c r="Y264" s="7" t="str">
        <f ca="1">'Database MK'!GK265</f>
        <v>Sudah, Delay</v>
      </c>
      <c r="Z264" s="7" t="str">
        <f ca="1">'Database MK'!HH265</f>
        <v>Belum, Delay</v>
      </c>
      <c r="AA264" s="7" t="str">
        <f ca="1">'Database MK'!HR265</f>
        <v>Belum, Delay</v>
      </c>
      <c r="AB264" s="7" t="str">
        <f ca="1">'Database MK'!HX265</f>
        <v>Belum, Delay</v>
      </c>
      <c r="AC264" s="7">
        <f>'Database MK'!DA265-'Database MK'!DB265</f>
        <v>47</v>
      </c>
      <c r="AD264" s="7">
        <f>'Database MK'!DA265-'Database MK'!DF265</f>
        <v>40</v>
      </c>
      <c r="AE264" s="7">
        <f>'Database MK'!DK265-'Database MK'!DL265</f>
        <v>82</v>
      </c>
      <c r="AF264" s="7">
        <f>'Database MK'!DK265-'Database MK'!DO265</f>
        <v>32</v>
      </c>
      <c r="AG264" s="7">
        <f>'Database MK'!DU265-'Database MK'!DW265</f>
        <v>83</v>
      </c>
      <c r="AH264" s="7">
        <f>IF('Database MK'!EB265="","Belum",'Database MK'!DU265-'Database MK'!EB265)</f>
        <v>-186</v>
      </c>
      <c r="AI264" s="7">
        <f>IF('Database MK'!EN265="","Belum",'Database MK'!EL265-'Database MK'!EN265)</f>
        <v>-105</v>
      </c>
      <c r="AJ264" s="7">
        <f>'Database MK'!FY265-'Database MK'!FZ265</f>
        <v>-46051</v>
      </c>
      <c r="AK264" s="7">
        <f>IF('Database MK'!GC265="","Belum",'Database MK'!GB265-'Database MK'!GC265)</f>
        <v>56</v>
      </c>
      <c r="AL264" s="7">
        <f>IF('Database MK'!GF265="","Belum",'Database MK'!GE265-'Database MK'!GF265)</f>
        <v>63</v>
      </c>
      <c r="AM264" s="279">
        <f>IF('Database MK'!GJ265="","Belum",'Database MK'!GI265-'Database MK'!GJ265)</f>
        <v>-110</v>
      </c>
      <c r="AN264" s="7" t="str">
        <f>IF('Database MK'!HG265="","Belum",'Database MK'!HF265-'Database MK'!HG265)</f>
        <v>Belum</v>
      </c>
      <c r="AO264" s="7" t="str">
        <f>IF('Database MK'!HQ265="","Belum",'Database MK'!HN265-'Database MK'!HQ265)</f>
        <v>Belum</v>
      </c>
      <c r="AP264" s="7" t="str">
        <f>IF('Database MK'!HW265="","Belum",'Database MK'!HU265-'Database MK'!HW265)</f>
        <v>Belum</v>
      </c>
    </row>
    <row r="265" spans="2:42" hidden="1" x14ac:dyDescent="0.25">
      <c r="B265" s="7">
        <f>SUBTOTAL(3,$C$4:C265)</f>
        <v>74</v>
      </c>
      <c r="C265" s="4" t="s">
        <v>244</v>
      </c>
      <c r="D265" s="4" t="s">
        <v>2078</v>
      </c>
      <c r="E265" s="4" t="s">
        <v>2079</v>
      </c>
      <c r="F265" s="270">
        <v>46113</v>
      </c>
      <c r="G265" s="4" t="s">
        <v>247</v>
      </c>
      <c r="H265" s="4" t="str">
        <f ca="1">'Database MK'!Q266</f>
        <v>Proses Konstruksi</v>
      </c>
      <c r="I265" s="24">
        <f>'Database MK'!S266</f>
        <v>1</v>
      </c>
      <c r="J265" s="24">
        <f>'Database MK'!T266</f>
        <v>0.63955209571248317</v>
      </c>
      <c r="K265" s="571">
        <f>'Database MK'!U266</f>
        <v>-0.36044790428751683</v>
      </c>
      <c r="L265" s="561">
        <f>'Database MK'!V266</f>
        <v>6146</v>
      </c>
      <c r="M265" s="561">
        <f>'Database MK'!W266</f>
        <v>5983</v>
      </c>
      <c r="N265" s="561">
        <f>Table3[[#This Row],[Total Panjang Pipa Aktual]]-Table3[[#This Row],[Volume
BA MC-0]]</f>
        <v>-163</v>
      </c>
      <c r="O265" s="7" t="str">
        <f ca="1">'Database MK'!DE266</f>
        <v>Sudah, OnSchedule</v>
      </c>
      <c r="P265" s="7" t="str">
        <f ca="1">'Database MK'!DI266</f>
        <v>Sudah, OnSchedule</v>
      </c>
      <c r="Q265" s="7" t="str">
        <f ca="1">'Database MK'!DN266</f>
        <v>Sudah, OnSchedule</v>
      </c>
      <c r="R265" s="7" t="str">
        <f ca="1">'Database MK'!DR266</f>
        <v>Sudah, Delay</v>
      </c>
      <c r="S265" s="7" t="str">
        <f ca="1">'Database MK'!EA266</f>
        <v>Sudah, OnSchedule</v>
      </c>
      <c r="T265" s="7" t="str">
        <f ca="1">'Database MK'!EI266</f>
        <v>Belum, Delay</v>
      </c>
      <c r="U265" s="7" t="str">
        <f ca="1">'Database MK'!ET266</f>
        <v>Belum, Delay</v>
      </c>
      <c r="V265" s="7" t="str">
        <f ca="1">'Database MK'!GA266</f>
        <v>Belum, Delay</v>
      </c>
      <c r="W265" s="7" t="str">
        <f ca="1">'Database MK'!GD266</f>
        <v>Sudah, Delay</v>
      </c>
      <c r="X265" s="7" t="str">
        <f ca="1">'Database MK'!GG266</f>
        <v>Sudah, Delay</v>
      </c>
      <c r="Y265" s="7" t="str">
        <f ca="1">'Database MK'!GK266</f>
        <v>Sudah, Delay</v>
      </c>
      <c r="Z265" s="7" t="str">
        <f ca="1">'Database MK'!HH266</f>
        <v>Belum, Delay</v>
      </c>
      <c r="AA265" s="7" t="str">
        <f ca="1">'Database MK'!HR266</f>
        <v>Belum, Delay</v>
      </c>
      <c r="AB265" s="7" t="str">
        <f ca="1">'Database MK'!HX266</f>
        <v>Belum, Delay</v>
      </c>
      <c r="AC265" s="7">
        <f>'Database MK'!DA266-'Database MK'!DB266</f>
        <v>20</v>
      </c>
      <c r="AD265" s="7">
        <f>'Database MK'!DA266-'Database MK'!DF266</f>
        <v>13</v>
      </c>
      <c r="AE265" s="7">
        <f>'Database MK'!DK266-'Database MK'!DL266</f>
        <v>23</v>
      </c>
      <c r="AF265" s="7">
        <f>'Database MK'!DK266-'Database MK'!DO266</f>
        <v>-60</v>
      </c>
      <c r="AG265" s="7">
        <f>'Database MK'!DU266-'Database MK'!DW266</f>
        <v>24</v>
      </c>
      <c r="AH265" s="7" t="str">
        <f>IF('Database MK'!EB266="","Belum",'Database MK'!DU266-'Database MK'!EB266)</f>
        <v>Belum</v>
      </c>
      <c r="AI265" s="7" t="str">
        <f>IF('Database MK'!EN266="","Belum",'Database MK'!EL266-'Database MK'!EN266)</f>
        <v>Belum</v>
      </c>
      <c r="AJ265" s="7">
        <f>'Database MK'!FY266-'Database MK'!FZ266</f>
        <v>0</v>
      </c>
      <c r="AK265" s="7">
        <f>IF('Database MK'!GC266="","Belum",'Database MK'!GB266-'Database MK'!GC266)</f>
        <v>-63</v>
      </c>
      <c r="AL265" s="7">
        <f>IF('Database MK'!GF266="","Belum",'Database MK'!GE266-'Database MK'!GF266)</f>
        <v>-56</v>
      </c>
      <c r="AM265" s="279">
        <f>IF('Database MK'!GJ266="","Belum",'Database MK'!GI266-'Database MK'!GJ266)</f>
        <v>-52</v>
      </c>
      <c r="AN265" s="7" t="str">
        <f>IF('Database MK'!HG266="","Belum",'Database MK'!HF266-'Database MK'!HG266)</f>
        <v>Belum</v>
      </c>
      <c r="AO265" s="7" t="str">
        <f>IF('Database MK'!HQ266="","Belum",'Database MK'!HN266-'Database MK'!HQ266)</f>
        <v>Belum</v>
      </c>
      <c r="AP265" s="7" t="str">
        <f>IF('Database MK'!HW266="","Belum",'Database MK'!HU266-'Database MK'!HW266)</f>
        <v>Belum</v>
      </c>
    </row>
    <row r="266" spans="2:42" hidden="1" x14ac:dyDescent="0.25">
      <c r="B266" s="7">
        <f>SUBTOTAL(3,$C$4:C266)</f>
        <v>74</v>
      </c>
      <c r="C266" s="4" t="s">
        <v>244</v>
      </c>
      <c r="D266" s="4" t="s">
        <v>2089</v>
      </c>
      <c r="E266" s="4" t="s">
        <v>2090</v>
      </c>
      <c r="F266" s="270">
        <v>46113</v>
      </c>
      <c r="G266" s="4" t="s">
        <v>247</v>
      </c>
      <c r="H266" s="4" t="str">
        <f ca="1">'Database MK'!Q267</f>
        <v>Proses Konstruksi</v>
      </c>
      <c r="I266" s="24">
        <f>'Database MK'!S267</f>
        <v>1</v>
      </c>
      <c r="J266" s="24">
        <f>'Database MK'!T267</f>
        <v>0.8152627453391994</v>
      </c>
      <c r="K266" s="571">
        <f>'Database MK'!U267</f>
        <v>-0.1847372546608006</v>
      </c>
      <c r="L266" s="561">
        <f>'Database MK'!V267</f>
        <v>11420</v>
      </c>
      <c r="M266" s="561">
        <f>'Database MK'!W267</f>
        <v>10078</v>
      </c>
      <c r="N266" s="561">
        <f>Table3[[#This Row],[Total Panjang Pipa Aktual]]-Table3[[#This Row],[Volume
BA MC-0]]</f>
        <v>-1342</v>
      </c>
      <c r="O266" s="7" t="str">
        <f ca="1">'Database MK'!DE267</f>
        <v>Sudah, OnSchedule</v>
      </c>
      <c r="P266" s="7" t="str">
        <f ca="1">'Database MK'!DI267</f>
        <v>Sudah, OnSchedule</v>
      </c>
      <c r="Q266" s="7" t="str">
        <f ca="1">'Database MK'!DN267</f>
        <v>Sudah, OnSchedule</v>
      </c>
      <c r="R266" s="7" t="str">
        <f ca="1">'Database MK'!DR267</f>
        <v>Sudah, OnSchedule</v>
      </c>
      <c r="S266" s="7" t="str">
        <f ca="1">'Database MK'!EA267</f>
        <v>Sudah, OnSchedule</v>
      </c>
      <c r="T266" s="7" t="str">
        <f ca="1">'Database MK'!EI267</f>
        <v>Belum, Delay</v>
      </c>
      <c r="U266" s="7" t="str">
        <f ca="1">'Database MK'!ET267</f>
        <v>Belum, Delay</v>
      </c>
      <c r="V266" s="7" t="str">
        <f ca="1">'Database MK'!GA267</f>
        <v>Belum, Delay</v>
      </c>
      <c r="W266" s="7" t="str">
        <f ca="1">'Database MK'!GD267</f>
        <v>Sudah, Delay</v>
      </c>
      <c r="X266" s="7" t="str">
        <f ca="1">'Database MK'!GG267</f>
        <v>Sudah, Delay</v>
      </c>
      <c r="Y266" s="7" t="str">
        <f ca="1">'Database MK'!GK267</f>
        <v>Sudah, Delay</v>
      </c>
      <c r="Z266" s="7" t="str">
        <f ca="1">'Database MK'!HH267</f>
        <v>Belum, Delay</v>
      </c>
      <c r="AA266" s="7" t="str">
        <f ca="1">'Database MK'!HR267</f>
        <v>Belum, Delay</v>
      </c>
      <c r="AB266" s="7" t="str">
        <f ca="1">'Database MK'!HX267</f>
        <v>Belum, Delay</v>
      </c>
      <c r="AC266" s="7">
        <f>'Database MK'!DA267-'Database MK'!DB267</f>
        <v>20</v>
      </c>
      <c r="AD266" s="7">
        <f>'Database MK'!DA267-'Database MK'!DF267</f>
        <v>12</v>
      </c>
      <c r="AE266" s="7">
        <f>'Database MK'!DK267-'Database MK'!DL267</f>
        <v>24</v>
      </c>
      <c r="AF266" s="7">
        <f>'Database MK'!DK267-'Database MK'!DO267</f>
        <v>9</v>
      </c>
      <c r="AG266" s="7">
        <f>'Database MK'!DU267-'Database MK'!DW267</f>
        <v>24</v>
      </c>
      <c r="AH266" s="7" t="str">
        <f>IF('Database MK'!EB267="","Belum",'Database MK'!DU267-'Database MK'!EB267)</f>
        <v>Belum</v>
      </c>
      <c r="AI266" s="7" t="str">
        <f>IF('Database MK'!EN267="","Belum",'Database MK'!EL267-'Database MK'!EN267)</f>
        <v>Belum</v>
      </c>
      <c r="AJ266" s="7">
        <f>'Database MK'!FY267-'Database MK'!FZ267</f>
        <v>0</v>
      </c>
      <c r="AK266" s="7">
        <f>IF('Database MK'!GC267="","Belum",'Database MK'!GB267-'Database MK'!GC267)</f>
        <v>-63</v>
      </c>
      <c r="AL266" s="7">
        <f>IF('Database MK'!GF267="","Belum",'Database MK'!GE267-'Database MK'!GF267)</f>
        <v>-56</v>
      </c>
      <c r="AM266" s="279">
        <f>IF('Database MK'!GJ267="","Belum",'Database MK'!GI267-'Database MK'!GJ267)</f>
        <v>-54</v>
      </c>
      <c r="AN266" s="7" t="str">
        <f>IF('Database MK'!HG267="","Belum",'Database MK'!HF267-'Database MK'!HG267)</f>
        <v>Belum</v>
      </c>
      <c r="AO266" s="7" t="str">
        <f>IF('Database MK'!HQ267="","Belum",'Database MK'!HN267-'Database MK'!HQ267)</f>
        <v>Belum</v>
      </c>
      <c r="AP266" s="7" t="str">
        <f>IF('Database MK'!HW267="","Belum",'Database MK'!HU267-'Database MK'!HW267)</f>
        <v>Belum</v>
      </c>
    </row>
    <row r="267" spans="2:42" hidden="1" x14ac:dyDescent="0.25">
      <c r="B267" s="7">
        <f>SUBTOTAL(3,$C$4:C267)</f>
        <v>74</v>
      </c>
      <c r="C267" s="4" t="s">
        <v>244</v>
      </c>
      <c r="D267" s="4" t="s">
        <v>2098</v>
      </c>
      <c r="E267" s="4" t="s">
        <v>2099</v>
      </c>
      <c r="F267" s="270">
        <v>46113</v>
      </c>
      <c r="G267" s="4" t="s">
        <v>247</v>
      </c>
      <c r="H267" s="4" t="str">
        <f ca="1">'Database MK'!Q268</f>
        <v>Proses Konstruksi</v>
      </c>
      <c r="I267" s="24">
        <f>'Database MK'!S268</f>
        <v>1</v>
      </c>
      <c r="J267" s="24">
        <f>'Database MK'!T268</f>
        <v>0.85871216320718147</v>
      </c>
      <c r="K267" s="571">
        <f>'Database MK'!U268</f>
        <v>-0.14128783679281853</v>
      </c>
      <c r="L267" s="561">
        <f>'Database MK'!V268</f>
        <v>6338</v>
      </c>
      <c r="M267" s="561">
        <f>'Database MK'!W268</f>
        <v>6670.2</v>
      </c>
      <c r="N267" s="561">
        <f>Table3[[#This Row],[Total Panjang Pipa Aktual]]-Table3[[#This Row],[Volume
BA MC-0]]</f>
        <v>332.19999999999982</v>
      </c>
      <c r="O267" s="7" t="str">
        <f ca="1">'Database MK'!DE268</f>
        <v>Sudah, OnSchedule</v>
      </c>
      <c r="P267" s="7" t="str">
        <f ca="1">'Database MK'!DI268</f>
        <v>Sudah, OnSchedule</v>
      </c>
      <c r="Q267" s="7" t="str">
        <f ca="1">'Database MK'!DN268</f>
        <v>Sudah, OnSchedule</v>
      </c>
      <c r="R267" s="7" t="str">
        <f ca="1">'Database MK'!DR268</f>
        <v>Sudah, Delay</v>
      </c>
      <c r="S267" s="7" t="str">
        <f ca="1">'Database MK'!EA268</f>
        <v>Sudah, OnSchedule</v>
      </c>
      <c r="T267" s="7" t="str">
        <f ca="1">'Database MK'!EI268</f>
        <v>Belum, Delay</v>
      </c>
      <c r="U267" s="7" t="str">
        <f ca="1">'Database MK'!ET268</f>
        <v>Belum, Delay</v>
      </c>
      <c r="V267" s="7" t="str">
        <f ca="1">'Database MK'!GA268</f>
        <v>Belum, Delay</v>
      </c>
      <c r="W267" s="7" t="str">
        <f ca="1">'Database MK'!GD268</f>
        <v>Sudah, Delay</v>
      </c>
      <c r="X267" s="7" t="str">
        <f ca="1">'Database MK'!GG268</f>
        <v>Sudah, Delay</v>
      </c>
      <c r="Y267" s="7" t="str">
        <f ca="1">'Database MK'!GK268</f>
        <v>Sudah, Delay</v>
      </c>
      <c r="Z267" s="7" t="str">
        <f ca="1">'Database MK'!HH268</f>
        <v>Belum, Delay</v>
      </c>
      <c r="AA267" s="7" t="str">
        <f ca="1">'Database MK'!HR268</f>
        <v>Belum, Delay</v>
      </c>
      <c r="AB267" s="7" t="str">
        <f ca="1">'Database MK'!HX268</f>
        <v>Belum, Delay</v>
      </c>
      <c r="AC267" s="7">
        <f>'Database MK'!DA268-'Database MK'!DB268</f>
        <v>20</v>
      </c>
      <c r="AD267" s="7">
        <f>'Database MK'!DA268-'Database MK'!DF268</f>
        <v>13</v>
      </c>
      <c r="AE267" s="7">
        <f>'Database MK'!DK268-'Database MK'!DL268</f>
        <v>23</v>
      </c>
      <c r="AF267" s="7">
        <f>'Database MK'!DK268-'Database MK'!DO268</f>
        <v>-50</v>
      </c>
      <c r="AG267" s="7">
        <f>'Database MK'!DU268-'Database MK'!DW268</f>
        <v>23</v>
      </c>
      <c r="AH267" s="7" t="str">
        <f>IF('Database MK'!EB268="","Belum",'Database MK'!DU268-'Database MK'!EB268)</f>
        <v>Belum</v>
      </c>
      <c r="AI267" s="7" t="str">
        <f>IF('Database MK'!EN268="","Belum",'Database MK'!EL268-'Database MK'!EN268)</f>
        <v>Belum</v>
      </c>
      <c r="AJ267" s="7">
        <f>'Database MK'!FY268-'Database MK'!FZ268</f>
        <v>0</v>
      </c>
      <c r="AK267" s="7">
        <f>IF('Database MK'!GC268="","Belum",'Database MK'!GB268-'Database MK'!GC268)</f>
        <v>-63</v>
      </c>
      <c r="AL267" s="7">
        <f>IF('Database MK'!GF268="","Belum",'Database MK'!GE268-'Database MK'!GF268)</f>
        <v>-56</v>
      </c>
      <c r="AM267" s="279">
        <f>IF('Database MK'!GJ268="","Belum",'Database MK'!GI268-'Database MK'!GJ268)</f>
        <v>-52</v>
      </c>
      <c r="AN267" s="7" t="str">
        <f>IF('Database MK'!HG268="","Belum",'Database MK'!HF268-'Database MK'!HG268)</f>
        <v>Belum</v>
      </c>
      <c r="AO267" s="7" t="str">
        <f>IF('Database MK'!HQ268="","Belum",'Database MK'!HN268-'Database MK'!HQ268)</f>
        <v>Belum</v>
      </c>
      <c r="AP267" s="7" t="str">
        <f>IF('Database MK'!HW268="","Belum",'Database MK'!HU268-'Database MK'!HW268)</f>
        <v>Belum</v>
      </c>
    </row>
    <row r="268" spans="2:42" hidden="1" x14ac:dyDescent="0.25">
      <c r="B268" s="7">
        <f>SUBTOTAL(3,$C$4:C268)</f>
        <v>74</v>
      </c>
      <c r="C268" s="4" t="s">
        <v>244</v>
      </c>
      <c r="D268" s="4" t="s">
        <v>2107</v>
      </c>
      <c r="E268" s="4" t="s">
        <v>2108</v>
      </c>
      <c r="F268" s="270">
        <v>46113</v>
      </c>
      <c r="G268" s="4" t="s">
        <v>247</v>
      </c>
      <c r="H268" s="4" t="str">
        <f ca="1">'Database MK'!Q269</f>
        <v>Proses Konstruksi</v>
      </c>
      <c r="I268" s="24">
        <f>'Database MK'!S269</f>
        <v>1</v>
      </c>
      <c r="J268" s="24">
        <f>'Database MK'!T269</f>
        <v>0.71943939371638344</v>
      </c>
      <c r="K268" s="571">
        <f>'Database MK'!U269</f>
        <v>-0.28056060628361656</v>
      </c>
      <c r="L268" s="561">
        <f>'Database MK'!V269</f>
        <v>14274</v>
      </c>
      <c r="M268" s="561">
        <f>'Database MK'!W269</f>
        <v>12358</v>
      </c>
      <c r="N268" s="561">
        <f>Table3[[#This Row],[Total Panjang Pipa Aktual]]-Table3[[#This Row],[Volume
BA MC-0]]</f>
        <v>-1916</v>
      </c>
      <c r="O268" s="7" t="str">
        <f ca="1">'Database MK'!DE269</f>
        <v>Sudah, OnSchedule</v>
      </c>
      <c r="P268" s="7" t="str">
        <f ca="1">'Database MK'!DI269</f>
        <v>Sudah, OnSchedule</v>
      </c>
      <c r="Q268" s="7" t="str">
        <f ca="1">'Database MK'!DN269</f>
        <v>Sudah, OnSchedule</v>
      </c>
      <c r="R268" s="7" t="str">
        <f ca="1">'Database MK'!DR269</f>
        <v>Sudah, Delay</v>
      </c>
      <c r="S268" s="7" t="str">
        <f ca="1">'Database MK'!EA269</f>
        <v>Sudah, OnSchedule</v>
      </c>
      <c r="T268" s="7" t="str">
        <f ca="1">'Database MK'!EI269</f>
        <v>Belum, Delay</v>
      </c>
      <c r="U268" s="7" t="str">
        <f ca="1">'Database MK'!ET269</f>
        <v>Belum, Delay</v>
      </c>
      <c r="V268" s="7" t="str">
        <f ca="1">'Database MK'!GA269</f>
        <v>Belum, Delay</v>
      </c>
      <c r="W268" s="7" t="str">
        <f ca="1">'Database MK'!GD269</f>
        <v>Sudah, Delay</v>
      </c>
      <c r="X268" s="7" t="str">
        <f ca="1">'Database MK'!GG269</f>
        <v>Sudah, Delay</v>
      </c>
      <c r="Y268" s="7" t="str">
        <f ca="1">'Database MK'!GK269</f>
        <v>Sudah, Delay</v>
      </c>
      <c r="Z268" s="7" t="str">
        <f ca="1">'Database MK'!HH269</f>
        <v>Belum, Delay</v>
      </c>
      <c r="AA268" s="7" t="str">
        <f ca="1">'Database MK'!HR269</f>
        <v>Belum, Delay</v>
      </c>
      <c r="AB268" s="7" t="str">
        <f ca="1">'Database MK'!HX269</f>
        <v>Belum, Delay</v>
      </c>
      <c r="AC268" s="7">
        <f>'Database MK'!DA269-'Database MK'!DB269</f>
        <v>19</v>
      </c>
      <c r="AD268" s="7">
        <f>'Database MK'!DA269-'Database MK'!DF269</f>
        <v>12</v>
      </c>
      <c r="AE268" s="7">
        <f>'Database MK'!DK269-'Database MK'!DL269</f>
        <v>24</v>
      </c>
      <c r="AF268" s="7">
        <f>'Database MK'!DK269-'Database MK'!DO269</f>
        <v>-52</v>
      </c>
      <c r="AG268" s="7">
        <f>'Database MK'!DU269-'Database MK'!DW269</f>
        <v>23</v>
      </c>
      <c r="AH268" s="7" t="str">
        <f>IF('Database MK'!EB269="","Belum",'Database MK'!DU269-'Database MK'!EB269)</f>
        <v>Belum</v>
      </c>
      <c r="AI268" s="7" t="str">
        <f>IF('Database MK'!EN269="","Belum",'Database MK'!EL269-'Database MK'!EN269)</f>
        <v>Belum</v>
      </c>
      <c r="AJ268" s="7">
        <f>'Database MK'!FY269-'Database MK'!FZ269</f>
        <v>0</v>
      </c>
      <c r="AK268" s="7">
        <f>IF('Database MK'!GC269="","Belum",'Database MK'!GB269-'Database MK'!GC269)</f>
        <v>-63</v>
      </c>
      <c r="AL268" s="7">
        <f>IF('Database MK'!GF269="","Belum",'Database MK'!GE269-'Database MK'!GF269)</f>
        <v>-56</v>
      </c>
      <c r="AM268" s="279">
        <f>IF('Database MK'!GJ269="","Belum",'Database MK'!GI269-'Database MK'!GJ269)</f>
        <v>-52</v>
      </c>
      <c r="AN268" s="7" t="str">
        <f>IF('Database MK'!HG269="","Belum",'Database MK'!HF269-'Database MK'!HG269)</f>
        <v>Belum</v>
      </c>
      <c r="AO268" s="7" t="str">
        <f>IF('Database MK'!HQ269="","Belum",'Database MK'!HN269-'Database MK'!HQ269)</f>
        <v>Belum</v>
      </c>
      <c r="AP268" s="7" t="str">
        <f>IF('Database MK'!HW269="","Belum",'Database MK'!HU269-'Database MK'!HW269)</f>
        <v>Belum</v>
      </c>
    </row>
    <row r="269" spans="2:42" hidden="1" x14ac:dyDescent="0.25">
      <c r="B269" s="7">
        <f>SUBTOTAL(3,$C$4:C269)</f>
        <v>74</v>
      </c>
      <c r="C269" s="4" t="s">
        <v>244</v>
      </c>
      <c r="D269" s="4" t="s">
        <v>2116</v>
      </c>
      <c r="E269" s="4" t="s">
        <v>2117</v>
      </c>
      <c r="F269" s="270">
        <v>46113</v>
      </c>
      <c r="G269" s="4" t="s">
        <v>247</v>
      </c>
      <c r="H269" s="4" t="str">
        <f ca="1">'Database MK'!Q270</f>
        <v>Proses Konstruksi</v>
      </c>
      <c r="I269" s="24">
        <f>'Database MK'!S270</f>
        <v>1</v>
      </c>
      <c r="J269" s="24">
        <f>'Database MK'!T270</f>
        <v>0.7777445719199324</v>
      </c>
      <c r="K269" s="571">
        <f>'Database MK'!U270</f>
        <v>-0.2222554280800676</v>
      </c>
      <c r="L269" s="561">
        <f>'Database MK'!V270</f>
        <v>4643</v>
      </c>
      <c r="M269" s="561">
        <f>'Database MK'!W270</f>
        <v>3672</v>
      </c>
      <c r="N269" s="561">
        <f>Table3[[#This Row],[Total Panjang Pipa Aktual]]-Table3[[#This Row],[Volume
BA MC-0]]</f>
        <v>-971</v>
      </c>
      <c r="O269" s="7" t="str">
        <f ca="1">'Database MK'!DE270</f>
        <v>Sudah, OnSchedule</v>
      </c>
      <c r="P269" s="7" t="str">
        <f ca="1">'Database MK'!DI270</f>
        <v>Sudah, OnSchedule</v>
      </c>
      <c r="Q269" s="7" t="str">
        <f ca="1">'Database MK'!DN270</f>
        <v>Sudah, OnSchedule</v>
      </c>
      <c r="R269" s="7" t="str">
        <f ca="1">'Database MK'!DR270</f>
        <v>Sudah, Delay</v>
      </c>
      <c r="S269" s="7" t="str">
        <f ca="1">'Database MK'!EA270</f>
        <v>Sudah, OnSchedule</v>
      </c>
      <c r="T269" s="7" t="str">
        <f ca="1">'Database MK'!EI270</f>
        <v>Sudah, Delay</v>
      </c>
      <c r="U269" s="7" t="str">
        <f ca="1">'Database MK'!ET270</f>
        <v>Belum, Delay</v>
      </c>
      <c r="V269" s="7" t="str">
        <f ca="1">'Database MK'!GA270</f>
        <v>Belum, Delay</v>
      </c>
      <c r="W269" s="7" t="str">
        <f ca="1">'Database MK'!GD270</f>
        <v>Sudah, Delay</v>
      </c>
      <c r="X269" s="7" t="str">
        <f ca="1">'Database MK'!GG270</f>
        <v>Sudah, Delay</v>
      </c>
      <c r="Y269" s="7" t="str">
        <f ca="1">'Database MK'!GK270</f>
        <v>Sudah, Delay</v>
      </c>
      <c r="Z269" s="7" t="str">
        <f ca="1">'Database MK'!HH270</f>
        <v>Belum, Delay</v>
      </c>
      <c r="AA269" s="7" t="str">
        <f ca="1">'Database MK'!HR270</f>
        <v>Belum, Delay</v>
      </c>
      <c r="AB269" s="7" t="str">
        <f ca="1">'Database MK'!HX270</f>
        <v>Belum, Delay</v>
      </c>
      <c r="AC269" s="7">
        <f>'Database MK'!DA270-'Database MK'!DB270</f>
        <v>19</v>
      </c>
      <c r="AD269" s="7">
        <f>'Database MK'!DA270-'Database MK'!DF270</f>
        <v>12</v>
      </c>
      <c r="AE269" s="7">
        <f>'Database MK'!DK270-'Database MK'!DL270</f>
        <v>23</v>
      </c>
      <c r="AF269" s="7">
        <f>'Database MK'!DK270-'Database MK'!DO270</f>
        <v>-50</v>
      </c>
      <c r="AG269" s="7">
        <f>'Database MK'!DU270-'Database MK'!DW270</f>
        <v>23</v>
      </c>
      <c r="AH269" s="7">
        <f>IF('Database MK'!EB270="","Belum",'Database MK'!DU270-'Database MK'!EB270)</f>
        <v>-211</v>
      </c>
      <c r="AI269" s="7" t="str">
        <f>IF('Database MK'!EN270="","Belum",'Database MK'!EL270-'Database MK'!EN270)</f>
        <v>Belum</v>
      </c>
      <c r="AJ269" s="7">
        <f>'Database MK'!FY270-'Database MK'!FZ270</f>
        <v>0</v>
      </c>
      <c r="AK269" s="7">
        <f>IF('Database MK'!GC270="","Belum",'Database MK'!GB270-'Database MK'!GC270)</f>
        <v>-63</v>
      </c>
      <c r="AL269" s="7">
        <f>IF('Database MK'!GF270="","Belum",'Database MK'!GE270-'Database MK'!GF270)</f>
        <v>-56</v>
      </c>
      <c r="AM269" s="279">
        <f>IF('Database MK'!GJ270="","Belum",'Database MK'!GI270-'Database MK'!GJ270)</f>
        <v>-81</v>
      </c>
      <c r="AN269" s="7" t="str">
        <f>IF('Database MK'!HG270="","Belum",'Database MK'!HF270-'Database MK'!HG270)</f>
        <v>Belum</v>
      </c>
      <c r="AO269" s="7" t="str">
        <f>IF('Database MK'!HQ270="","Belum",'Database MK'!HN270-'Database MK'!HQ270)</f>
        <v>Belum</v>
      </c>
      <c r="AP269" s="7" t="str">
        <f>IF('Database MK'!HW270="","Belum",'Database MK'!HU270-'Database MK'!HW270)</f>
        <v>Belum</v>
      </c>
    </row>
    <row r="270" spans="2:42" s="72" customFormat="1" hidden="1" x14ac:dyDescent="0.25">
      <c r="B270" s="277">
        <f>SUBTOTAL(3,$C$4:C270)</f>
        <v>74</v>
      </c>
      <c r="C270" s="72" t="s">
        <v>244</v>
      </c>
      <c r="D270" s="72" t="s">
        <v>2126</v>
      </c>
      <c r="E270" s="72" t="s">
        <v>2127</v>
      </c>
      <c r="F270" s="272">
        <v>46113</v>
      </c>
      <c r="G270" s="72" t="s">
        <v>681</v>
      </c>
      <c r="H270" s="72" t="str">
        <f>'Database MK'!Q271</f>
        <v>BATAL / CANCEL</v>
      </c>
      <c r="I270" s="572">
        <f>'Database MK'!S271</f>
        <v>1</v>
      </c>
      <c r="J270" s="572">
        <f>'Database MK'!T271</f>
        <v>0</v>
      </c>
      <c r="K270" s="573">
        <f>'Database MK'!U271</f>
        <v>-1</v>
      </c>
      <c r="L270" s="562">
        <f>'Database MK'!V271</f>
        <v>0</v>
      </c>
      <c r="M270" s="562">
        <f>'Database MK'!W271</f>
        <v>0</v>
      </c>
      <c r="N270" s="562">
        <f>Table3[[#This Row],[Total Panjang Pipa Aktual]]-Table3[[#This Row],[Volume
BA MC-0]]</f>
        <v>0</v>
      </c>
      <c r="O270" s="277" t="str">
        <f ca="1">'Database MK'!DE271</f>
        <v>Sudah, Delay</v>
      </c>
      <c r="P270" s="277">
        <f>'Database MK'!DI271</f>
        <v>0</v>
      </c>
      <c r="Q270" s="277">
        <f>'Database MK'!DN271</f>
        <v>0</v>
      </c>
      <c r="R270" s="277">
        <f>'Database MK'!DR271</f>
        <v>0</v>
      </c>
      <c r="S270" s="277">
        <f>'Database MK'!EA271</f>
        <v>0</v>
      </c>
      <c r="T270" s="277" t="str">
        <f ca="1">'Database MK'!EI271</f>
        <v>Belum, Delay</v>
      </c>
      <c r="U270" s="277" t="str">
        <f ca="1">'Database MK'!ET271</f>
        <v>Belum, Delay</v>
      </c>
      <c r="V270" s="277" t="str">
        <f ca="1">'Database MK'!GA271</f>
        <v>Belum, Delay</v>
      </c>
      <c r="W270" s="277" t="str">
        <f ca="1">'Database MK'!GD271</f>
        <v>Sudah, Delay</v>
      </c>
      <c r="X270" s="277" t="str">
        <f ca="1">'Database MK'!GG271</f>
        <v>Sudah, Delay</v>
      </c>
      <c r="Y270" s="277" t="str">
        <f ca="1">'Database MK'!GK271</f>
        <v>Sudah, Delay</v>
      </c>
      <c r="Z270" s="277" t="str">
        <f ca="1">'Database MK'!HH271</f>
        <v>Belum, Delay</v>
      </c>
      <c r="AA270" s="277" t="str">
        <f ca="1">'Database MK'!HR271</f>
        <v>Belum, Delay</v>
      </c>
      <c r="AB270" s="277" t="str">
        <f ca="1">'Database MK'!HX271</f>
        <v>Belum, Delay</v>
      </c>
      <c r="AC270" s="277"/>
      <c r="AD270" s="277"/>
      <c r="AE270" s="277"/>
      <c r="AF270" s="277"/>
      <c r="AG270" s="277"/>
      <c r="AH270" s="277"/>
      <c r="AI270" s="277"/>
      <c r="AJ270" s="277">
        <f>'Database MK'!FY271-'Database MK'!FZ271</f>
        <v>0</v>
      </c>
      <c r="AK270" s="277"/>
      <c r="AL270" s="277"/>
      <c r="AM270" s="280"/>
      <c r="AN270" s="277"/>
      <c r="AO270" s="277"/>
      <c r="AP270" s="277"/>
    </row>
    <row r="271" spans="2:42" hidden="1" x14ac:dyDescent="0.25">
      <c r="B271" s="7">
        <f>SUBTOTAL(3,$C$4:C271)</f>
        <v>74</v>
      </c>
      <c r="C271" s="4" t="s">
        <v>244</v>
      </c>
      <c r="D271" s="4" t="s">
        <v>2136</v>
      </c>
      <c r="E271" s="4" t="s">
        <v>2137</v>
      </c>
      <c r="F271" s="270">
        <v>46113</v>
      </c>
      <c r="G271" s="4" t="s">
        <v>681</v>
      </c>
      <c r="H271" s="4" t="str">
        <f ca="1">'Database MK'!Q272</f>
        <v>DPPP</v>
      </c>
      <c r="I271" s="24">
        <f>'Database MK'!S272</f>
        <v>1</v>
      </c>
      <c r="J271" s="24">
        <f>'Database MK'!T272</f>
        <v>1</v>
      </c>
      <c r="K271" s="571">
        <f>'Database MK'!U272</f>
        <v>0</v>
      </c>
      <c r="L271" s="561">
        <f>'Database MK'!V272</f>
        <v>54</v>
      </c>
      <c r="M271" s="561">
        <f>'Database MK'!W272</f>
        <v>53.8</v>
      </c>
      <c r="N271" s="561">
        <f>Table3[[#This Row],[Total Panjang Pipa Aktual]]-Table3[[#This Row],[Volume
BA MC-0]]</f>
        <v>-0.20000000000000284</v>
      </c>
      <c r="O271" s="7" t="str">
        <f ca="1">'Database MK'!DE272</f>
        <v>Sudah, OnSchedule</v>
      </c>
      <c r="P271" s="7" t="str">
        <f ca="1">'Database MK'!DI272</f>
        <v>Sudah, OnSchedule</v>
      </c>
      <c r="Q271" s="7" t="str">
        <f ca="1">'Database MK'!DN272</f>
        <v>Sudah, OnSchedule</v>
      </c>
      <c r="R271" s="7" t="str">
        <f ca="1">'Database MK'!DR272</f>
        <v>Sudah, OnSchedule</v>
      </c>
      <c r="S271" s="7" t="str">
        <f ca="1">'Database MK'!EA272</f>
        <v>Sudah, OnSchedule</v>
      </c>
      <c r="T271" s="7" t="str">
        <f ca="1">'Database MK'!EI272</f>
        <v>Sudah, Delay</v>
      </c>
      <c r="U271" s="7" t="str">
        <f ca="1">'Database MK'!ET272</f>
        <v>Sudah, Delay</v>
      </c>
      <c r="V271" s="7" t="str">
        <f ca="1">'Database MK'!GA272</f>
        <v>Belum, Delay</v>
      </c>
      <c r="W271" s="7" t="str">
        <f ca="1">'Database MK'!GD272</f>
        <v>Sudah, Delay</v>
      </c>
      <c r="X271" s="7" t="str">
        <f ca="1">'Database MK'!GG272</f>
        <v>Sudah, Delay</v>
      </c>
      <c r="Y271" s="7" t="str">
        <f ca="1">'Database MK'!GK272</f>
        <v>Sudah, Delay</v>
      </c>
      <c r="Z271" s="7" t="str">
        <f ca="1">'Database MK'!HH272</f>
        <v>Sudah, Delay</v>
      </c>
      <c r="AA271" s="7" t="str">
        <f ca="1">'Database MK'!HR272</f>
        <v>Sudah, Delay</v>
      </c>
      <c r="AB271" s="7" t="str">
        <f ca="1">'Database MK'!HX272</f>
        <v>Sudah, Delay</v>
      </c>
      <c r="AC271" s="7">
        <f>'Database MK'!DA272-'Database MK'!DB272</f>
        <v>48</v>
      </c>
      <c r="AD271" s="7">
        <f>'Database MK'!DA272-'Database MK'!DF272</f>
        <v>31</v>
      </c>
      <c r="AE271" s="7">
        <f>'Database MK'!DK272-'Database MK'!DL272</f>
        <v>75</v>
      </c>
      <c r="AF271" s="7">
        <f>'Database MK'!DK272-'Database MK'!DO272</f>
        <v>55</v>
      </c>
      <c r="AG271" s="7">
        <f>'Database MK'!DU272-'Database MK'!DW272</f>
        <v>48</v>
      </c>
      <c r="AH271" s="7">
        <f>IF('Database MK'!EB272="","Belum",'Database MK'!DU272-'Database MK'!EB272)</f>
        <v>-121</v>
      </c>
      <c r="AI271" s="7">
        <f>IF('Database MK'!EN272="","Belum",'Database MK'!EL272-'Database MK'!EN272)</f>
        <v>-65</v>
      </c>
      <c r="AJ271" s="7">
        <f>'Database MK'!FY272-'Database MK'!FZ272</f>
        <v>0</v>
      </c>
      <c r="AK271" s="7">
        <f>IF('Database MK'!GC272="","Belum",'Database MK'!GB272-'Database MK'!GC272)</f>
        <v>-59</v>
      </c>
      <c r="AL271" s="7">
        <f>IF('Database MK'!GF272="","Belum",'Database MK'!GE272-'Database MK'!GF272)</f>
        <v>-52</v>
      </c>
      <c r="AM271" s="279">
        <f>IF('Database MK'!GJ272="","Belum",'Database MK'!GI272-'Database MK'!GJ272)</f>
        <v>-52</v>
      </c>
      <c r="AN271" s="7">
        <f>IF('Database MK'!HG272="","Belum",'Database MK'!HF272-'Database MK'!HG272)</f>
        <v>-152</v>
      </c>
      <c r="AO271" s="7">
        <f>IF('Database MK'!HQ272="","Belum",'Database MK'!HN272-'Database MK'!HQ272)</f>
        <v>-166</v>
      </c>
      <c r="AP271" s="7">
        <f>IF('Database MK'!HW272="","Belum",'Database MK'!HU272-'Database MK'!HW272)</f>
        <v>-160</v>
      </c>
    </row>
    <row r="272" spans="2:42" hidden="1" x14ac:dyDescent="0.25">
      <c r="B272" s="7">
        <f>SUBTOTAL(3,$C$4:C272)</f>
        <v>74</v>
      </c>
      <c r="C272" s="4" t="s">
        <v>244</v>
      </c>
      <c r="D272" s="4" t="s">
        <v>2145</v>
      </c>
      <c r="E272" s="4" t="s">
        <v>2146</v>
      </c>
      <c r="F272" s="270">
        <v>46113</v>
      </c>
      <c r="G272" s="4" t="s">
        <v>681</v>
      </c>
      <c r="H272" s="4" t="str">
        <f ca="1">'Database MK'!Q273</f>
        <v>DPPP</v>
      </c>
      <c r="I272" s="24">
        <f>'Database MK'!S273</f>
        <v>1</v>
      </c>
      <c r="J272" s="24">
        <f>'Database MK'!T273</f>
        <v>1</v>
      </c>
      <c r="K272" s="571">
        <f>'Database MK'!U273</f>
        <v>0</v>
      </c>
      <c r="L272" s="561">
        <f>'Database MK'!V273</f>
        <v>11510.2</v>
      </c>
      <c r="M272" s="561">
        <f>'Database MK'!W273</f>
        <v>11159</v>
      </c>
      <c r="N272" s="561">
        <f>Table3[[#This Row],[Total Panjang Pipa Aktual]]-Table3[[#This Row],[Volume
BA MC-0]]</f>
        <v>-351.20000000000073</v>
      </c>
      <c r="O272" s="7" t="str">
        <f ca="1">'Database MK'!DE273</f>
        <v>Sudah, OnSchedule</v>
      </c>
      <c r="P272" s="7" t="str">
        <f ca="1">'Database MK'!DI273</f>
        <v>Sudah, OnSchedule</v>
      </c>
      <c r="Q272" s="7" t="str">
        <f ca="1">'Database MK'!DN273</f>
        <v>Sudah, OnSchedule</v>
      </c>
      <c r="R272" s="7" t="str">
        <f ca="1">'Database MK'!DR273</f>
        <v>Sudah, OnSchedule</v>
      </c>
      <c r="S272" s="7" t="str">
        <f ca="1">'Database MK'!EA273</f>
        <v>Sudah, OnSchedule</v>
      </c>
      <c r="T272" s="7" t="str">
        <f ca="1">'Database MK'!EI273</f>
        <v>Sudah, Delay</v>
      </c>
      <c r="U272" s="7" t="str">
        <f ca="1">'Database MK'!ET273</f>
        <v>Sudah, Delay</v>
      </c>
      <c r="V272" s="7" t="str">
        <f ca="1">'Database MK'!GA273</f>
        <v>Belum, Delay</v>
      </c>
      <c r="W272" s="7" t="str">
        <f ca="1">'Database MK'!GD273</f>
        <v>Sudah, OnSchedule</v>
      </c>
      <c r="X272" s="7" t="str">
        <f ca="1">'Database MK'!GG273</f>
        <v>Sudah, OnSchedule</v>
      </c>
      <c r="Y272" s="7" t="str">
        <f ca="1">'Database MK'!GK273</f>
        <v>Sudah, OnSchedule</v>
      </c>
      <c r="Z272" s="7" t="str">
        <f ca="1">'Database MK'!HH273</f>
        <v>Sudah, OnSchedule</v>
      </c>
      <c r="AA272" s="7" t="str">
        <f ca="1">'Database MK'!HR273</f>
        <v>Sudah, Delay</v>
      </c>
      <c r="AB272" s="7" t="str">
        <f ca="1">'Database MK'!HX273</f>
        <v>Sudah, Delay</v>
      </c>
      <c r="AC272" s="7">
        <f>'Database MK'!DA273-'Database MK'!DB273</f>
        <v>20</v>
      </c>
      <c r="AD272" s="7">
        <f>'Database MK'!DA273-'Database MK'!DF273</f>
        <v>3</v>
      </c>
      <c r="AE272" s="7">
        <f>'Database MK'!DK273-'Database MK'!DL273</f>
        <v>15</v>
      </c>
      <c r="AF272" s="7">
        <f>'Database MK'!DK273-'Database MK'!DO273</f>
        <v>6</v>
      </c>
      <c r="AG272" s="7">
        <f>'Database MK'!DU273-'Database MK'!DW273</f>
        <v>15</v>
      </c>
      <c r="AH272" s="7">
        <f>IF('Database MK'!EB273="","Belum",'Database MK'!DU273-'Database MK'!EB273)</f>
        <v>-195</v>
      </c>
      <c r="AI272" s="7">
        <f>IF('Database MK'!EN273="","Belum",'Database MK'!EL273-'Database MK'!EN273)</f>
        <v>-186</v>
      </c>
      <c r="AJ272" s="7">
        <f>'Database MK'!FY273-'Database MK'!FZ273</f>
        <v>0</v>
      </c>
      <c r="AK272" s="7">
        <f>IF('Database MK'!GC273="","Belum",'Database MK'!GB273-'Database MK'!GC273)</f>
        <v>46</v>
      </c>
      <c r="AL272" s="7">
        <f>IF('Database MK'!GF273="","Belum",'Database MK'!GE273-'Database MK'!GF273)</f>
        <v>53</v>
      </c>
      <c r="AM272" s="279">
        <f>IF('Database MK'!GJ273="","Belum",'Database MK'!GI273-'Database MK'!GJ273)</f>
        <v>62</v>
      </c>
      <c r="AN272" s="7">
        <f>IF('Database MK'!HG273="","Belum",'Database MK'!HF273-'Database MK'!HG273)</f>
        <v>110</v>
      </c>
      <c r="AO272" s="7">
        <f>IF('Database MK'!HQ273="","Belum",'Database MK'!HN273-'Database MK'!HQ273)</f>
        <v>-75</v>
      </c>
      <c r="AP272" s="7">
        <f>IF('Database MK'!HW273="","Belum",'Database MK'!HU273-'Database MK'!HW273)</f>
        <v>-61</v>
      </c>
    </row>
    <row r="273" spans="2:42" s="72" customFormat="1" hidden="1" x14ac:dyDescent="0.25">
      <c r="B273" s="277">
        <f>SUBTOTAL(3,$C$4:C273)</f>
        <v>74</v>
      </c>
      <c r="C273" s="72" t="s">
        <v>244</v>
      </c>
      <c r="D273" s="72" t="s">
        <v>2155</v>
      </c>
      <c r="E273" s="72" t="s">
        <v>2156</v>
      </c>
      <c r="F273" s="272">
        <v>46113</v>
      </c>
      <c r="G273" s="72" t="s">
        <v>681</v>
      </c>
      <c r="H273" s="72" t="str">
        <f>'Database MK'!Q274</f>
        <v>BATAL / CANCEL</v>
      </c>
      <c r="I273" s="572">
        <f>'Database MK'!S274</f>
        <v>1</v>
      </c>
      <c r="J273" s="572">
        <f>'Database MK'!T274</f>
        <v>0</v>
      </c>
      <c r="K273" s="573">
        <f>'Database MK'!U274</f>
        <v>-1</v>
      </c>
      <c r="L273" s="562">
        <f>'Database MK'!V274</f>
        <v>128.30000000000001</v>
      </c>
      <c r="M273" s="562">
        <f>'Database MK'!W274</f>
        <v>0</v>
      </c>
      <c r="N273" s="562">
        <f>Table3[[#This Row],[Total Panjang Pipa Aktual]]-Table3[[#This Row],[Volume
BA MC-0]]</f>
        <v>-128.30000000000001</v>
      </c>
      <c r="O273" s="277" t="str">
        <f ca="1">'Database MK'!DE274</f>
        <v>Sudah, OnSchedule</v>
      </c>
      <c r="P273" s="277">
        <f>'Database MK'!DI274</f>
        <v>0</v>
      </c>
      <c r="Q273" s="277">
        <f>'Database MK'!DN274</f>
        <v>0</v>
      </c>
      <c r="R273" s="277">
        <f>'Database MK'!DR274</f>
        <v>0</v>
      </c>
      <c r="S273" s="277">
        <f>'Database MK'!EA274</f>
        <v>0</v>
      </c>
      <c r="T273" s="277" t="str">
        <f ca="1">'Database MK'!EI274</f>
        <v>Belum, Delay</v>
      </c>
      <c r="U273" s="277" t="str">
        <f ca="1">'Database MK'!ET274</f>
        <v>Belum, Delay</v>
      </c>
      <c r="V273" s="277" t="str">
        <f ca="1">'Database MK'!GA274</f>
        <v>Belum, Delay</v>
      </c>
      <c r="W273" s="277" t="str">
        <f ca="1">'Database MK'!GD274</f>
        <v>Sudah, Delay</v>
      </c>
      <c r="X273" s="277" t="str">
        <f ca="1">'Database MK'!GG274</f>
        <v>Sudah, Delay</v>
      </c>
      <c r="Y273" s="277" t="str">
        <f ca="1">'Database MK'!GK274</f>
        <v>Sudah, Delay</v>
      </c>
      <c r="Z273" s="277" t="str">
        <f ca="1">'Database MK'!HH274</f>
        <v>Belum, Delay</v>
      </c>
      <c r="AA273" s="277" t="str">
        <f ca="1">'Database MK'!HR274</f>
        <v>Belum, Delay</v>
      </c>
      <c r="AB273" s="277" t="str">
        <f ca="1">'Database MK'!HX274</f>
        <v>Belum, Delay</v>
      </c>
      <c r="AC273" s="277"/>
      <c r="AD273" s="277"/>
      <c r="AE273" s="277"/>
      <c r="AF273" s="277"/>
      <c r="AG273" s="277"/>
      <c r="AH273" s="277"/>
      <c r="AI273" s="277"/>
      <c r="AJ273" s="277">
        <f>'Database MK'!FY274-'Database MK'!FZ274</f>
        <v>0</v>
      </c>
      <c r="AK273" s="277"/>
      <c r="AL273" s="277"/>
      <c r="AM273" s="280"/>
      <c r="AN273" s="277"/>
      <c r="AO273" s="277"/>
      <c r="AP273" s="277"/>
    </row>
    <row r="274" spans="2:42" hidden="1" x14ac:dyDescent="0.25">
      <c r="B274" s="7">
        <f>SUBTOTAL(3,$C$4:C274)</f>
        <v>74</v>
      </c>
      <c r="C274" s="4" t="s">
        <v>244</v>
      </c>
      <c r="D274" s="4" t="s">
        <v>2164</v>
      </c>
      <c r="E274" s="4" t="s">
        <v>2165</v>
      </c>
      <c r="F274" s="270">
        <v>46113</v>
      </c>
      <c r="G274" s="4" t="s">
        <v>681</v>
      </c>
      <c r="H274" s="4" t="str">
        <f ca="1">'Database MK'!Q275</f>
        <v>DPPP</v>
      </c>
      <c r="I274" s="24">
        <f>'Database MK'!S275</f>
        <v>1</v>
      </c>
      <c r="J274" s="24">
        <f>'Database MK'!T275</f>
        <v>1</v>
      </c>
      <c r="K274" s="571">
        <f>'Database MK'!U275</f>
        <v>0</v>
      </c>
      <c r="L274" s="561">
        <f>'Database MK'!V275</f>
        <v>184.4</v>
      </c>
      <c r="M274" s="561">
        <f>'Database MK'!W275</f>
        <v>94.7</v>
      </c>
      <c r="N274" s="561">
        <f>Table3[[#This Row],[Total Panjang Pipa Aktual]]-Table3[[#This Row],[Volume
BA MC-0]]</f>
        <v>-89.7</v>
      </c>
      <c r="O274" s="7" t="str">
        <f ca="1">'Database MK'!DE275</f>
        <v>Sudah, OnSchedule</v>
      </c>
      <c r="P274" s="7" t="str">
        <f ca="1">'Database MK'!DI275</f>
        <v>Sudah, OnSchedule</v>
      </c>
      <c r="Q274" s="7" t="str">
        <f ca="1">'Database MK'!DN275</f>
        <v>Sudah, OnSchedule</v>
      </c>
      <c r="R274" s="7" t="str">
        <f ca="1">'Database MK'!DR275</f>
        <v>Sudah, OnSchedule</v>
      </c>
      <c r="S274" s="7" t="str">
        <f ca="1">'Database MK'!EA275</f>
        <v>Sudah, OnSchedule</v>
      </c>
      <c r="T274" s="7" t="str">
        <f ca="1">'Database MK'!EI275</f>
        <v>Sudah, Delay</v>
      </c>
      <c r="U274" s="7" t="str">
        <f ca="1">'Database MK'!ET275</f>
        <v>Sudah, Delay</v>
      </c>
      <c r="V274" s="7" t="str">
        <f ca="1">'Database MK'!GA275</f>
        <v>Belum, Delay</v>
      </c>
      <c r="W274" s="7" t="str">
        <f ca="1">'Database MK'!GD275</f>
        <v>Sudah, Delay</v>
      </c>
      <c r="X274" s="7" t="str">
        <f ca="1">'Database MK'!GG275</f>
        <v>Sudah, Delay</v>
      </c>
      <c r="Y274" s="7" t="str">
        <f ca="1">'Database MK'!GK275</f>
        <v>Sudah, Delay</v>
      </c>
      <c r="Z274" s="7" t="str">
        <f ca="1">'Database MK'!HH275</f>
        <v>Sudah, Delay</v>
      </c>
      <c r="AA274" s="7" t="str">
        <f ca="1">'Database MK'!HR275</f>
        <v>Sudah, Delay</v>
      </c>
      <c r="AB274" s="7" t="str">
        <f ca="1">'Database MK'!HX275</f>
        <v>Sudah, Delay</v>
      </c>
      <c r="AC274" s="7">
        <f>'Database MK'!DA275-'Database MK'!DB275</f>
        <v>48</v>
      </c>
      <c r="AD274" s="7">
        <f>'Database MK'!DA275-'Database MK'!DF275</f>
        <v>32</v>
      </c>
      <c r="AE274" s="7">
        <f>'Database MK'!DK275-'Database MK'!DL275</f>
        <v>71</v>
      </c>
      <c r="AF274" s="7">
        <f>'Database MK'!DK275-'Database MK'!DO275</f>
        <v>55</v>
      </c>
      <c r="AG274" s="7">
        <f>'Database MK'!DU275-'Database MK'!DW275</f>
        <v>44</v>
      </c>
      <c r="AH274" s="7">
        <f>IF('Database MK'!EB275="","Belum",'Database MK'!DU275-'Database MK'!EB275)</f>
        <v>-167</v>
      </c>
      <c r="AI274" s="7">
        <f>IF('Database MK'!EN275="","Belum",'Database MK'!EL275-'Database MK'!EN275)</f>
        <v>-211</v>
      </c>
      <c r="AJ274" s="7">
        <f>'Database MK'!FY275-'Database MK'!FZ275</f>
        <v>0</v>
      </c>
      <c r="AK274" s="7">
        <f>IF('Database MK'!GC275="","Belum",'Database MK'!GB275-'Database MK'!GC275)</f>
        <v>-59</v>
      </c>
      <c r="AL274" s="7">
        <f>IF('Database MK'!GF275="","Belum",'Database MK'!GE275-'Database MK'!GF275)</f>
        <v>-52</v>
      </c>
      <c r="AM274" s="279">
        <f>IF('Database MK'!GJ275="","Belum",'Database MK'!GI275-'Database MK'!GJ275)</f>
        <v>-52</v>
      </c>
      <c r="AN274" s="7">
        <f>IF('Database MK'!HG275="","Belum",'Database MK'!HF275-'Database MK'!HG275)</f>
        <v>-123</v>
      </c>
      <c r="AO274" s="7">
        <f>IF('Database MK'!HQ275="","Belum",'Database MK'!HN275-'Database MK'!HQ275)</f>
        <v>-151</v>
      </c>
      <c r="AP274" s="7">
        <f>IF('Database MK'!HW275="","Belum",'Database MK'!HU275-'Database MK'!HW275)</f>
        <v>-145</v>
      </c>
    </row>
    <row r="275" spans="2:42" hidden="1" x14ac:dyDescent="0.25">
      <c r="B275" s="7">
        <f>SUBTOTAL(3,$C$4:C275)</f>
        <v>74</v>
      </c>
      <c r="C275" s="4" t="s">
        <v>244</v>
      </c>
      <c r="D275" s="4" t="s">
        <v>2173</v>
      </c>
      <c r="E275" s="4" t="s">
        <v>2174</v>
      </c>
      <c r="F275" s="270">
        <v>46113</v>
      </c>
      <c r="G275" s="4" t="s">
        <v>681</v>
      </c>
      <c r="H275" s="4" t="str">
        <f ca="1">'Database MK'!Q276</f>
        <v>Proses Konstruksi</v>
      </c>
      <c r="I275" s="24">
        <f>'Database MK'!S276</f>
        <v>1</v>
      </c>
      <c r="J275" s="24">
        <f>'Database MK'!T276</f>
        <v>0.48661565000229057</v>
      </c>
      <c r="K275" s="571">
        <f>'Database MK'!U276</f>
        <v>-0.51338434999770943</v>
      </c>
      <c r="L275" s="561">
        <f>'Database MK'!V276</f>
        <v>268.2</v>
      </c>
      <c r="M275" s="561">
        <f>'Database MK'!W276</f>
        <v>251</v>
      </c>
      <c r="N275" s="561">
        <f>Table3[[#This Row],[Total Panjang Pipa Aktual]]-Table3[[#This Row],[Volume
BA MC-0]]</f>
        <v>-17.199999999999989</v>
      </c>
      <c r="O275" s="7" t="str">
        <f ca="1">'Database MK'!DE276</f>
        <v>Sudah, OnSchedule</v>
      </c>
      <c r="P275" s="7" t="str">
        <f ca="1">'Database MK'!DI276</f>
        <v>Sudah, OnSchedule</v>
      </c>
      <c r="Q275" s="7" t="str">
        <f ca="1">'Database MK'!DN276</f>
        <v>Sudah, OnSchedule</v>
      </c>
      <c r="R275" s="7" t="str">
        <f ca="1">'Database MK'!DR276</f>
        <v>Sudah, OnSchedule</v>
      </c>
      <c r="S275" s="7" t="str">
        <f ca="1">'Database MK'!EA276</f>
        <v>Sudah, OnSchedule</v>
      </c>
      <c r="T275" s="7" t="str">
        <f ca="1">'Database MK'!EI276</f>
        <v>Belum, Delay</v>
      </c>
      <c r="U275" s="7" t="str">
        <f ca="1">'Database MK'!ET276</f>
        <v>Belum, Delay</v>
      </c>
      <c r="V275" s="7" t="str">
        <f ca="1">'Database MK'!GA276</f>
        <v>Belum, Delay</v>
      </c>
      <c r="W275" s="7" t="str">
        <f ca="1">'Database MK'!GD276</f>
        <v>Sudah, Delay</v>
      </c>
      <c r="X275" s="7" t="str">
        <f ca="1">'Database MK'!GG276</f>
        <v>Sudah, Delay</v>
      </c>
      <c r="Y275" s="7" t="str">
        <f ca="1">'Database MK'!GK276</f>
        <v>Sudah, Delay</v>
      </c>
      <c r="Z275" s="7" t="str">
        <f ca="1">'Database MK'!HH276</f>
        <v>Belum, Delay</v>
      </c>
      <c r="AA275" s="7" t="str">
        <f ca="1">'Database MK'!HR276</f>
        <v>Belum, Delay</v>
      </c>
      <c r="AB275" s="7" t="str">
        <f ca="1">'Database MK'!HX276</f>
        <v>Belum, Delay</v>
      </c>
      <c r="AC275" s="7">
        <f>'Database MK'!DA276-'Database MK'!DB276</f>
        <v>48</v>
      </c>
      <c r="AD275" s="7">
        <f>'Database MK'!DA276-'Database MK'!DF276</f>
        <v>47</v>
      </c>
      <c r="AE275" s="7">
        <f>'Database MK'!DK276-'Database MK'!DL276</f>
        <v>61</v>
      </c>
      <c r="AF275" s="7">
        <f>'Database MK'!DK276-'Database MK'!DO276</f>
        <v>12</v>
      </c>
      <c r="AG275" s="7">
        <f>'Database MK'!DU276-'Database MK'!DW276</f>
        <v>33</v>
      </c>
      <c r="AH275" s="7" t="str">
        <f>IF('Database MK'!EB276="","Belum",'Database MK'!DU276-'Database MK'!EB276)</f>
        <v>Belum</v>
      </c>
      <c r="AI275" s="7" t="str">
        <f>IF('Database MK'!EN276="","Belum",'Database MK'!EL276-'Database MK'!EN276)</f>
        <v>Belum</v>
      </c>
      <c r="AJ275" s="7">
        <f>'Database MK'!FY276-'Database MK'!FZ276</f>
        <v>0</v>
      </c>
      <c r="AK275" s="7">
        <f>IF('Database MK'!GC276="","Belum",'Database MK'!GB276-'Database MK'!GC276)</f>
        <v>-59</v>
      </c>
      <c r="AL275" s="7">
        <f>IF('Database MK'!GF276="","Belum",'Database MK'!GE276-'Database MK'!GF276)</f>
        <v>-52</v>
      </c>
      <c r="AM275" s="279">
        <f>IF('Database MK'!GJ276="","Belum",'Database MK'!GI276-'Database MK'!GJ276)</f>
        <v>-52</v>
      </c>
      <c r="AN275" s="7" t="str">
        <f>IF('Database MK'!HG276="","Belum",'Database MK'!HF276-'Database MK'!HG276)</f>
        <v>Belum</v>
      </c>
      <c r="AO275" s="7" t="str">
        <f>IF('Database MK'!HQ276="","Belum",'Database MK'!HN276-'Database MK'!HQ276)</f>
        <v>Belum</v>
      </c>
      <c r="AP275" s="7" t="str">
        <f>IF('Database MK'!HW276="","Belum",'Database MK'!HU276-'Database MK'!HW276)</f>
        <v>Belum</v>
      </c>
    </row>
    <row r="276" spans="2:42" hidden="1" x14ac:dyDescent="0.25">
      <c r="B276" s="7">
        <f>SUBTOTAL(3,$C$4:C276)</f>
        <v>74</v>
      </c>
      <c r="C276" s="4" t="s">
        <v>244</v>
      </c>
      <c r="D276" s="4" t="s">
        <v>2181</v>
      </c>
      <c r="E276" s="4" t="s">
        <v>2182</v>
      </c>
      <c r="F276" s="270">
        <v>46113</v>
      </c>
      <c r="G276" s="4" t="s">
        <v>681</v>
      </c>
      <c r="H276" s="4" t="str">
        <f ca="1">'Database MK'!Q277</f>
        <v>Proses Konstruksi</v>
      </c>
      <c r="I276" s="24">
        <f>'Database MK'!S277</f>
        <v>1</v>
      </c>
      <c r="J276" s="24">
        <f>'Database MK'!T277</f>
        <v>0.44299125948442286</v>
      </c>
      <c r="K276" s="571">
        <f>'Database MK'!U277</f>
        <v>-0.55700874051557714</v>
      </c>
      <c r="L276" s="561">
        <f>'Database MK'!V277</f>
        <v>687.5</v>
      </c>
      <c r="M276" s="561">
        <f>'Database MK'!W277</f>
        <v>719</v>
      </c>
      <c r="N276" s="561">
        <f>Table3[[#This Row],[Total Panjang Pipa Aktual]]-Table3[[#This Row],[Volume
BA MC-0]]</f>
        <v>31.5</v>
      </c>
      <c r="O276" s="7" t="str">
        <f ca="1">'Database MK'!DE277</f>
        <v>Sudah, OnSchedule</v>
      </c>
      <c r="P276" s="7" t="str">
        <f ca="1">'Database MK'!DI277</f>
        <v>Sudah, OnSchedule</v>
      </c>
      <c r="Q276" s="7" t="str">
        <f ca="1">'Database MK'!DN277</f>
        <v>Sudah, OnSchedule</v>
      </c>
      <c r="R276" s="7" t="str">
        <f ca="1">'Database MK'!DR277</f>
        <v>Sudah, Delay</v>
      </c>
      <c r="S276" s="7" t="str">
        <f ca="1">'Database MK'!EA277</f>
        <v>Sudah, OnSchedule</v>
      </c>
      <c r="T276" s="7" t="str">
        <f ca="1">'Database MK'!EI277</f>
        <v>Belum, Delay</v>
      </c>
      <c r="U276" s="7" t="str">
        <f ca="1">'Database MK'!ET277</f>
        <v>Belum, Delay</v>
      </c>
      <c r="V276" s="7" t="str">
        <f ca="1">'Database MK'!GA277</f>
        <v>Belum, Delay</v>
      </c>
      <c r="W276" s="7" t="str">
        <f ca="1">'Database MK'!GD277</f>
        <v>Sudah, OnSchedule</v>
      </c>
      <c r="X276" s="7" t="str">
        <f ca="1">'Database MK'!GG277</f>
        <v>Sudah, OnSchedule</v>
      </c>
      <c r="Y276" s="7" t="str">
        <f ca="1">'Database MK'!GK277</f>
        <v>Sudah, OnSchedule</v>
      </c>
      <c r="Z276" s="7" t="str">
        <f ca="1">'Database MK'!HH277</f>
        <v>Belum, Delay</v>
      </c>
      <c r="AA276" s="7" t="str">
        <f ca="1">'Database MK'!HR277</f>
        <v>Belum, Delay</v>
      </c>
      <c r="AB276" s="7" t="str">
        <f ca="1">'Database MK'!HX277</f>
        <v>Belum, Delay</v>
      </c>
      <c r="AC276" s="7">
        <f>'Database MK'!DA277-'Database MK'!DB277</f>
        <v>110</v>
      </c>
      <c r="AD276" s="7">
        <f>'Database MK'!DA277-'Database MK'!DF277</f>
        <v>90</v>
      </c>
      <c r="AE276" s="7">
        <f>'Database MK'!DK277-'Database MK'!DL277</f>
        <v>120</v>
      </c>
      <c r="AF276" s="7">
        <f>'Database MK'!DK277-'Database MK'!DO277</f>
        <v>-33</v>
      </c>
      <c r="AG276" s="7">
        <f>'Database MK'!DU277-'Database MK'!DW277</f>
        <v>99</v>
      </c>
      <c r="AH276" s="7" t="str">
        <f>IF('Database MK'!EB277="","Belum",'Database MK'!DU277-'Database MK'!EB277)</f>
        <v>Belum</v>
      </c>
      <c r="AI276" s="7" t="str">
        <f>IF('Database MK'!EN277="","Belum",'Database MK'!EL277-'Database MK'!EN277)</f>
        <v>Belum</v>
      </c>
      <c r="AJ276" s="7">
        <f>'Database MK'!FY277-'Database MK'!FZ277</f>
        <v>0</v>
      </c>
      <c r="AK276" s="7">
        <f>IF('Database MK'!GC277="","Belum",'Database MK'!GB277-'Database MK'!GC277)</f>
        <v>36</v>
      </c>
      <c r="AL276" s="7">
        <f>IF('Database MK'!GF277="","Belum",'Database MK'!GE277-'Database MK'!GF277)</f>
        <v>43</v>
      </c>
      <c r="AM276" s="279">
        <f>IF('Database MK'!GJ277="","Belum",'Database MK'!GI277-'Database MK'!GJ277)</f>
        <v>25</v>
      </c>
      <c r="AN276" s="7" t="str">
        <f>IF('Database MK'!HG277="","Belum",'Database MK'!HF277-'Database MK'!HG277)</f>
        <v>Belum</v>
      </c>
      <c r="AO276" s="7" t="str">
        <f>IF('Database MK'!HQ277="","Belum",'Database MK'!HN277-'Database MK'!HQ277)</f>
        <v>Belum</v>
      </c>
      <c r="AP276" s="7" t="str">
        <f>IF('Database MK'!HW277="","Belum",'Database MK'!HU277-'Database MK'!HW277)</f>
        <v>Belum</v>
      </c>
    </row>
    <row r="277" spans="2:42" s="72" customFormat="1" hidden="1" x14ac:dyDescent="0.25">
      <c r="B277" s="277">
        <f>SUBTOTAL(3,$C$4:C277)</f>
        <v>74</v>
      </c>
      <c r="C277" s="72" t="s">
        <v>244</v>
      </c>
      <c r="D277" s="72" t="s">
        <v>2191</v>
      </c>
      <c r="E277" s="72" t="s">
        <v>2192</v>
      </c>
      <c r="F277" s="272">
        <v>46113</v>
      </c>
      <c r="G277" s="72" t="s">
        <v>681</v>
      </c>
      <c r="H277" s="72" t="str">
        <f>'Database MK'!Q278</f>
        <v>BATAL / CANCEL</v>
      </c>
      <c r="I277" s="572">
        <f>'Database MK'!S278</f>
        <v>1</v>
      </c>
      <c r="J277" s="572">
        <f>'Database MK'!T278</f>
        <v>0</v>
      </c>
      <c r="K277" s="573">
        <f>'Database MK'!U278</f>
        <v>-1</v>
      </c>
      <c r="L277" s="562">
        <f>'Database MK'!V278</f>
        <v>0</v>
      </c>
      <c r="M277" s="562">
        <f>'Database MK'!W278</f>
        <v>0</v>
      </c>
      <c r="N277" s="562">
        <f>Table3[[#This Row],[Total Panjang Pipa Aktual]]-Table3[[#This Row],[Volume
BA MC-0]]</f>
        <v>0</v>
      </c>
      <c r="O277" s="277" t="str">
        <f ca="1">'Database MK'!DE278</f>
        <v>Sudah, OnSchedule</v>
      </c>
      <c r="P277" s="277">
        <f>'Database MK'!DI278</f>
        <v>0</v>
      </c>
      <c r="Q277" s="277">
        <f>'Database MK'!DN278</f>
        <v>0</v>
      </c>
      <c r="R277" s="277">
        <f>'Database MK'!DR278</f>
        <v>0</v>
      </c>
      <c r="S277" s="277">
        <f>'Database MK'!EA278</f>
        <v>0</v>
      </c>
      <c r="T277" s="277" t="str">
        <f ca="1">'Database MK'!EI278</f>
        <v>Belum, Delay</v>
      </c>
      <c r="U277" s="277" t="str">
        <f ca="1">'Database MK'!ET278</f>
        <v>Belum, Delay</v>
      </c>
      <c r="V277" s="277" t="str">
        <f ca="1">'Database MK'!GA278</f>
        <v>Belum, Delay</v>
      </c>
      <c r="W277" s="277" t="str">
        <f ca="1">'Database MK'!GD278</f>
        <v>Sudah, Delay</v>
      </c>
      <c r="X277" s="277" t="str">
        <f ca="1">'Database MK'!GG278</f>
        <v>Sudah, Delay</v>
      </c>
      <c r="Y277" s="277" t="str">
        <f ca="1">'Database MK'!GK278</f>
        <v>Sudah, Delay</v>
      </c>
      <c r="Z277" s="277" t="str">
        <f ca="1">'Database MK'!HH278</f>
        <v>Belum, Delay</v>
      </c>
      <c r="AA277" s="277" t="str">
        <f ca="1">'Database MK'!HR278</f>
        <v>Belum, Delay</v>
      </c>
      <c r="AB277" s="277" t="str">
        <f ca="1">'Database MK'!HX278</f>
        <v>Belum, Delay</v>
      </c>
      <c r="AC277" s="277"/>
      <c r="AD277" s="277"/>
      <c r="AE277" s="277"/>
      <c r="AF277" s="277"/>
      <c r="AG277" s="277"/>
      <c r="AH277" s="277"/>
      <c r="AI277" s="277"/>
      <c r="AJ277" s="277">
        <f>'Database MK'!FY278-'Database MK'!FZ278</f>
        <v>0</v>
      </c>
      <c r="AK277" s="277"/>
      <c r="AL277" s="277"/>
      <c r="AM277" s="280"/>
      <c r="AN277" s="277"/>
      <c r="AO277" s="277"/>
      <c r="AP277" s="277"/>
    </row>
    <row r="278" spans="2:42" hidden="1" x14ac:dyDescent="0.25">
      <c r="B278" s="7">
        <f>SUBTOTAL(3,$C$4:C278)</f>
        <v>74</v>
      </c>
      <c r="C278" s="4" t="s">
        <v>244</v>
      </c>
      <c r="D278" s="4" t="s">
        <v>2200</v>
      </c>
      <c r="E278" s="4" t="s">
        <v>2201</v>
      </c>
      <c r="F278" s="270">
        <v>46113</v>
      </c>
      <c r="G278" s="4" t="s">
        <v>681</v>
      </c>
      <c r="H278" s="4" t="str">
        <f ca="1">'Database MK'!Q279</f>
        <v>Tes Com</v>
      </c>
      <c r="I278" s="24">
        <f>'Database MK'!S279</f>
        <v>1</v>
      </c>
      <c r="J278" s="24">
        <f>'Database MK'!T279</f>
        <v>1</v>
      </c>
      <c r="K278" s="571">
        <f>'Database MK'!U279</f>
        <v>0</v>
      </c>
      <c r="L278" s="561">
        <f>'Database MK'!V279</f>
        <v>245.3</v>
      </c>
      <c r="M278" s="561">
        <f>'Database MK'!W279</f>
        <v>207</v>
      </c>
      <c r="N278" s="561">
        <f>Table3[[#This Row],[Total Panjang Pipa Aktual]]-Table3[[#This Row],[Volume
BA MC-0]]</f>
        <v>-38.300000000000011</v>
      </c>
      <c r="O278" s="7" t="str">
        <f ca="1">'Database MK'!DE279</f>
        <v>Sudah, OnSchedule</v>
      </c>
      <c r="P278" s="7" t="str">
        <f ca="1">'Database MK'!DI279</f>
        <v>Sudah, OnSchedule</v>
      </c>
      <c r="Q278" s="7" t="str">
        <f ca="1">'Database MK'!DN279</f>
        <v>Sudah, OnSchedule</v>
      </c>
      <c r="R278" s="7" t="str">
        <f ca="1">'Database MK'!DR279</f>
        <v>Sudah, OnSchedule</v>
      </c>
      <c r="S278" s="7" t="str">
        <f ca="1">'Database MK'!EA279</f>
        <v>Sudah, OnSchedule</v>
      </c>
      <c r="T278" s="7" t="str">
        <f ca="1">'Database MK'!EI279</f>
        <v>Sudah, Delay</v>
      </c>
      <c r="U278" s="7" t="str">
        <f ca="1">'Database MK'!ET279</f>
        <v>Belum, Delay</v>
      </c>
      <c r="V278" s="7" t="str">
        <f ca="1">'Database MK'!GA279</f>
        <v>Belum, Delay</v>
      </c>
      <c r="W278" s="7" t="str">
        <f ca="1">'Database MK'!GD279</f>
        <v>Sudah, Delay</v>
      </c>
      <c r="X278" s="7" t="str">
        <f ca="1">'Database MK'!GG279</f>
        <v>Sudah, Delay</v>
      </c>
      <c r="Y278" s="7" t="str">
        <f ca="1">'Database MK'!GK279</f>
        <v>Sudah, Delay</v>
      </c>
      <c r="Z278" s="7" t="str">
        <f ca="1">'Database MK'!HH279</f>
        <v>Sudah, Delay</v>
      </c>
      <c r="AA278" s="7" t="str">
        <f ca="1">'Database MK'!HR279</f>
        <v>Belum, Delay</v>
      </c>
      <c r="AB278" s="7" t="str">
        <f ca="1">'Database MK'!HX279</f>
        <v>Belum, Delay</v>
      </c>
      <c r="AC278" s="7">
        <f>'Database MK'!DA279-'Database MK'!DB279</f>
        <v>83</v>
      </c>
      <c r="AD278" s="7">
        <f>'Database MK'!DA279-'Database MK'!DF279</f>
        <v>66</v>
      </c>
      <c r="AE278" s="7">
        <f>'Database MK'!DK279-'Database MK'!DL279</f>
        <v>103</v>
      </c>
      <c r="AF278" s="7">
        <f>'Database MK'!DK279-'Database MK'!DO279</f>
        <v>52</v>
      </c>
      <c r="AG278" s="7">
        <f>'Database MK'!DU279-'Database MK'!DW279</f>
        <v>82</v>
      </c>
      <c r="AH278" s="7">
        <f>IF('Database MK'!EB279="","Belum",'Database MK'!DU279-'Database MK'!EB279)</f>
        <v>-99</v>
      </c>
      <c r="AI278" s="7" t="str">
        <f>IF('Database MK'!EN279="","Belum",'Database MK'!EL279-'Database MK'!EN279)</f>
        <v>Belum</v>
      </c>
      <c r="AJ278" s="7">
        <f>'Database MK'!FY279-'Database MK'!FZ279</f>
        <v>0</v>
      </c>
      <c r="AK278" s="7">
        <f>IF('Database MK'!GC279="","Belum",'Database MK'!GB279-'Database MK'!GC279)</f>
        <v>-31</v>
      </c>
      <c r="AL278" s="7">
        <f>IF('Database MK'!GF279="","Belum",'Database MK'!GE279-'Database MK'!GF279)</f>
        <v>-24</v>
      </c>
      <c r="AM278" s="279">
        <f>IF('Database MK'!GJ279="","Belum",'Database MK'!GI279-'Database MK'!GJ279)</f>
        <v>-26</v>
      </c>
      <c r="AN278" s="7">
        <f>IF('Database MK'!HG279="","Belum",'Database MK'!HF279-'Database MK'!HG279)</f>
        <v>-185</v>
      </c>
      <c r="AO278" s="7" t="str">
        <f>IF('Database MK'!HQ279="","Belum",'Database MK'!HN279-'Database MK'!HQ279)</f>
        <v>Belum</v>
      </c>
      <c r="AP278" s="7" t="str">
        <f>IF('Database MK'!HW279="","Belum",'Database MK'!HU279-'Database MK'!HW279)</f>
        <v>Belum</v>
      </c>
    </row>
    <row r="279" spans="2:42" hidden="1" x14ac:dyDescent="0.25">
      <c r="B279" s="7">
        <f>SUBTOTAL(3,$C$4:C279)</f>
        <v>74</v>
      </c>
      <c r="C279" s="4" t="s">
        <v>244</v>
      </c>
      <c r="D279" s="4" t="s">
        <v>2209</v>
      </c>
      <c r="E279" s="4" t="s">
        <v>2210</v>
      </c>
      <c r="F279" s="270">
        <v>46113</v>
      </c>
      <c r="G279" s="4" t="s">
        <v>681</v>
      </c>
      <c r="H279" s="4" t="str">
        <f ca="1">'Database MK'!Q280</f>
        <v>Tes Com</v>
      </c>
      <c r="I279" s="24">
        <f>'Database MK'!S280</f>
        <v>1</v>
      </c>
      <c r="J279" s="24">
        <f>'Database MK'!T280</f>
        <v>1</v>
      </c>
      <c r="K279" s="571">
        <f>'Database MK'!U280</f>
        <v>0</v>
      </c>
      <c r="L279" s="561">
        <f>'Database MK'!V280</f>
        <v>495</v>
      </c>
      <c r="M279" s="561">
        <f>'Database MK'!W280</f>
        <v>480</v>
      </c>
      <c r="N279" s="561">
        <f>Table3[[#This Row],[Total Panjang Pipa Aktual]]-Table3[[#This Row],[Volume
BA MC-0]]</f>
        <v>-15</v>
      </c>
      <c r="O279" s="7" t="str">
        <f ca="1">'Database MK'!DE280</f>
        <v>Sudah, OnSchedule</v>
      </c>
      <c r="P279" s="7" t="str">
        <f ca="1">'Database MK'!DI280</f>
        <v>Sudah, OnSchedule</v>
      </c>
      <c r="Q279" s="7" t="str">
        <f ca="1">'Database MK'!DN280</f>
        <v>Sudah, OnSchedule</v>
      </c>
      <c r="R279" s="7" t="str">
        <f ca="1">'Database MK'!DR280</f>
        <v>Sudah, OnSchedule</v>
      </c>
      <c r="S279" s="7" t="str">
        <f ca="1">'Database MK'!EA280</f>
        <v>Sudah, OnSchedule</v>
      </c>
      <c r="T279" s="7" t="str">
        <f ca="1">'Database MK'!EI280</f>
        <v>Belum, Delay</v>
      </c>
      <c r="U279" s="7" t="str">
        <f ca="1">'Database MK'!ET280</f>
        <v>Belum, Delay</v>
      </c>
      <c r="V279" s="7" t="str">
        <f ca="1">'Database MK'!GA280</f>
        <v>Belum, Delay</v>
      </c>
      <c r="W279" s="7" t="str">
        <f ca="1">'Database MK'!GD280</f>
        <v>Sudah, OnSchedule</v>
      </c>
      <c r="X279" s="7" t="str">
        <f ca="1">'Database MK'!GG280</f>
        <v>Sudah, OnSchedule</v>
      </c>
      <c r="Y279" s="7" t="str">
        <f ca="1">'Database MK'!GK280</f>
        <v>Sudah, OnSchedule</v>
      </c>
      <c r="Z279" s="7" t="str">
        <f ca="1">'Database MK'!HH280</f>
        <v>Sudah, Delay</v>
      </c>
      <c r="AA279" s="7" t="str">
        <f ca="1">'Database MK'!HR280</f>
        <v>Belum, Delay</v>
      </c>
      <c r="AB279" s="7" t="str">
        <f ca="1">'Database MK'!HX280</f>
        <v>Belum, Delay</v>
      </c>
      <c r="AC279" s="7">
        <f>'Database MK'!DA280-'Database MK'!DB280</f>
        <v>83</v>
      </c>
      <c r="AD279" s="7">
        <f>'Database MK'!DA280-'Database MK'!DF280</f>
        <v>62</v>
      </c>
      <c r="AE279" s="7">
        <f>'Database MK'!DK280-'Database MK'!DL280</f>
        <v>96</v>
      </c>
      <c r="AF279" s="7">
        <f>'Database MK'!DK280-'Database MK'!DO280</f>
        <v>52</v>
      </c>
      <c r="AG279" s="7">
        <f>'Database MK'!DU280-'Database MK'!DW280</f>
        <v>75</v>
      </c>
      <c r="AH279" s="7" t="str">
        <f>IF('Database MK'!EB280="","Belum",'Database MK'!DU280-'Database MK'!EB280)</f>
        <v>Belum</v>
      </c>
      <c r="AI279" s="7" t="str">
        <f>IF('Database MK'!EN280="","Belum",'Database MK'!EL280-'Database MK'!EN280)</f>
        <v>Belum</v>
      </c>
      <c r="AJ279" s="7">
        <f>'Database MK'!FY280-'Database MK'!FZ280</f>
        <v>0</v>
      </c>
      <c r="AK279" s="7">
        <f>IF('Database MK'!GC280="","Belum",'Database MK'!GB280-'Database MK'!GC280)</f>
        <v>34</v>
      </c>
      <c r="AL279" s="7">
        <f>IF('Database MK'!GF280="","Belum",'Database MK'!GE280-'Database MK'!GF280)</f>
        <v>41</v>
      </c>
      <c r="AM279" s="279">
        <f>IF('Database MK'!GJ280="","Belum",'Database MK'!GI280-'Database MK'!GJ280)</f>
        <v>40</v>
      </c>
      <c r="AN279" s="7">
        <f>IF('Database MK'!HG280="","Belum",'Database MK'!HF280-'Database MK'!HG280)</f>
        <v>-164</v>
      </c>
      <c r="AO279" s="7" t="str">
        <f>IF('Database MK'!HQ280="","Belum",'Database MK'!HN280-'Database MK'!HQ280)</f>
        <v>Belum</v>
      </c>
      <c r="AP279" s="7" t="str">
        <f>IF('Database MK'!HW280="","Belum",'Database MK'!HU280-'Database MK'!HW280)</f>
        <v>Belum</v>
      </c>
    </row>
    <row r="280" spans="2:42" hidden="1" x14ac:dyDescent="0.25">
      <c r="B280" s="7">
        <f>SUBTOTAL(3,$C$4:C280)</f>
        <v>74</v>
      </c>
      <c r="C280" s="4" t="s">
        <v>244</v>
      </c>
      <c r="D280" s="4" t="s">
        <v>2218</v>
      </c>
      <c r="E280" s="4" t="s">
        <v>2219</v>
      </c>
      <c r="F280" s="270">
        <v>46113</v>
      </c>
      <c r="G280" s="4" t="s">
        <v>681</v>
      </c>
      <c r="H280" s="4" t="str">
        <f ca="1">'Database MK'!Q281</f>
        <v>DPPP</v>
      </c>
      <c r="I280" s="24">
        <f>'Database MK'!S281</f>
        <v>1</v>
      </c>
      <c r="J280" s="24">
        <f>'Database MK'!T281</f>
        <v>1</v>
      </c>
      <c r="K280" s="571">
        <f>'Database MK'!U281</f>
        <v>0</v>
      </c>
      <c r="L280" s="561">
        <f>'Database MK'!V281</f>
        <v>435</v>
      </c>
      <c r="M280" s="561">
        <f>'Database MK'!W281</f>
        <v>427</v>
      </c>
      <c r="N280" s="561">
        <f>Table3[[#This Row],[Total Panjang Pipa Aktual]]-Table3[[#This Row],[Volume
BA MC-0]]</f>
        <v>-8</v>
      </c>
      <c r="O280" s="7" t="str">
        <f ca="1">'Database MK'!DE281</f>
        <v>Sudah, OnSchedule</v>
      </c>
      <c r="P280" s="7" t="str">
        <f ca="1">'Database MK'!DI281</f>
        <v>Sudah, OnSchedule</v>
      </c>
      <c r="Q280" s="7" t="str">
        <f ca="1">'Database MK'!DN281</f>
        <v>Sudah, OnSchedule</v>
      </c>
      <c r="R280" s="7" t="str">
        <f ca="1">'Database MK'!DR281</f>
        <v>Sudah, OnSchedule</v>
      </c>
      <c r="S280" s="7" t="str">
        <f ca="1">'Database MK'!EA281</f>
        <v>Sudah, OnSchedule</v>
      </c>
      <c r="T280" s="7" t="str">
        <f ca="1">'Database MK'!EI281</f>
        <v>Sudah, Delay</v>
      </c>
      <c r="U280" s="7" t="str">
        <f ca="1">'Database MK'!ET281</f>
        <v>Sudah, Delay</v>
      </c>
      <c r="V280" s="7" t="str">
        <f ca="1">'Database MK'!GA281</f>
        <v>Belum, Delay</v>
      </c>
      <c r="W280" s="7" t="str">
        <f ca="1">'Database MK'!GD281</f>
        <v>Sudah, OnSchedule</v>
      </c>
      <c r="X280" s="7" t="str">
        <f ca="1">'Database MK'!GG281</f>
        <v>Sudah, OnSchedule</v>
      </c>
      <c r="Y280" s="7" t="str">
        <f ca="1">'Database MK'!GK281</f>
        <v>Sudah, OnSchedule</v>
      </c>
      <c r="Z280" s="7" t="str">
        <f ca="1">'Database MK'!HH281</f>
        <v>Sudah, Delay</v>
      </c>
      <c r="AA280" s="7" t="str">
        <f ca="1">'Database MK'!HR281</f>
        <v>Sudah, Delay</v>
      </c>
      <c r="AB280" s="7" t="str">
        <f ca="1">'Database MK'!HX281</f>
        <v>Sudah, Delay</v>
      </c>
      <c r="AC280" s="7">
        <f>'Database MK'!DA281-'Database MK'!DB281</f>
        <v>83</v>
      </c>
      <c r="AD280" s="7">
        <f>'Database MK'!DA281-'Database MK'!DF281</f>
        <v>66</v>
      </c>
      <c r="AE280" s="7">
        <f>'Database MK'!DK281-'Database MK'!DL281</f>
        <v>103</v>
      </c>
      <c r="AF280" s="7">
        <f>'Database MK'!DK281-'Database MK'!DO281</f>
        <v>48</v>
      </c>
      <c r="AG280" s="7">
        <f>'Database MK'!DU281-'Database MK'!DW281</f>
        <v>82</v>
      </c>
      <c r="AH280" s="7">
        <f>IF('Database MK'!EB281="","Belum",'Database MK'!DU281-'Database MK'!EB281)</f>
        <v>-99</v>
      </c>
      <c r="AI280" s="7">
        <f>IF('Database MK'!EN281="","Belum",'Database MK'!EL281-'Database MK'!EN281)</f>
        <v>-96</v>
      </c>
      <c r="AJ280" s="7">
        <f>'Database MK'!FY281-'Database MK'!FZ281</f>
        <v>0</v>
      </c>
      <c r="AK280" s="7">
        <f>IF('Database MK'!GC281="","Belum",'Database MK'!GB281-'Database MK'!GC281)</f>
        <v>8</v>
      </c>
      <c r="AL280" s="7">
        <f>IF('Database MK'!GF281="","Belum",'Database MK'!GE281-'Database MK'!GF281)</f>
        <v>15</v>
      </c>
      <c r="AM280" s="279">
        <f>IF('Database MK'!GJ281="","Belum",'Database MK'!GI281-'Database MK'!GJ281)</f>
        <v>46</v>
      </c>
      <c r="AN280" s="7">
        <f>IF('Database MK'!HG281="","Belum",'Database MK'!HF281-'Database MK'!HG281)</f>
        <v>-37</v>
      </c>
      <c r="AO280" s="7">
        <f>IF('Database MK'!HQ281="","Belum",'Database MK'!HN281-'Database MK'!HQ281)</f>
        <v>-88</v>
      </c>
      <c r="AP280" s="7">
        <f>IF('Database MK'!HW281="","Belum",'Database MK'!HU281-'Database MK'!HW281)</f>
        <v>-82</v>
      </c>
    </row>
    <row r="281" spans="2:42" s="72" customFormat="1" hidden="1" x14ac:dyDescent="0.25">
      <c r="B281" s="277">
        <f>SUBTOTAL(3,$C$4:C281)</f>
        <v>74</v>
      </c>
      <c r="C281" s="72" t="s">
        <v>244</v>
      </c>
      <c r="D281" s="72" t="s">
        <v>2227</v>
      </c>
      <c r="E281" s="72" t="s">
        <v>2228</v>
      </c>
      <c r="F281" s="272">
        <v>46113</v>
      </c>
      <c r="G281" s="72" t="s">
        <v>681</v>
      </c>
      <c r="H281" s="72" t="str">
        <f>'Database MK'!Q282</f>
        <v>BATAL / CANCEL</v>
      </c>
      <c r="I281" s="572">
        <f>'Database MK'!S282</f>
        <v>1</v>
      </c>
      <c r="J281" s="572">
        <f>'Database MK'!T282</f>
        <v>0</v>
      </c>
      <c r="K281" s="573">
        <f>'Database MK'!U282</f>
        <v>-1</v>
      </c>
      <c r="L281" s="562">
        <f>'Database MK'!V282</f>
        <v>66.400000000000006</v>
      </c>
      <c r="M281" s="562">
        <f>'Database MK'!W282</f>
        <v>0</v>
      </c>
      <c r="N281" s="562">
        <f>Table3[[#This Row],[Total Panjang Pipa Aktual]]-Table3[[#This Row],[Volume
BA MC-0]]</f>
        <v>-66.400000000000006</v>
      </c>
      <c r="O281" s="277" t="str">
        <f ca="1">'Database MK'!DE282</f>
        <v>Sudah, OnSchedule</v>
      </c>
      <c r="P281" s="277">
        <f>'Database MK'!DI282</f>
        <v>0</v>
      </c>
      <c r="Q281" s="277">
        <f>'Database MK'!DN282</f>
        <v>0</v>
      </c>
      <c r="R281" s="277">
        <f>'Database MK'!DR282</f>
        <v>0</v>
      </c>
      <c r="S281" s="277">
        <f>'Database MK'!EA282</f>
        <v>0</v>
      </c>
      <c r="T281" s="277" t="str">
        <f ca="1">'Database MK'!EI282</f>
        <v>Belum, Delay</v>
      </c>
      <c r="U281" s="277" t="str">
        <f ca="1">'Database MK'!ET282</f>
        <v>Belum, Delay</v>
      </c>
      <c r="V281" s="277" t="str">
        <f ca="1">'Database MK'!GA282</f>
        <v>Belum, Delay</v>
      </c>
      <c r="W281" s="277" t="str">
        <f ca="1">'Database MK'!GD282</f>
        <v>Sudah, Delay</v>
      </c>
      <c r="X281" s="277" t="str">
        <f ca="1">'Database MK'!GG282</f>
        <v>Sudah, Delay</v>
      </c>
      <c r="Y281" s="277" t="str">
        <f ca="1">'Database MK'!GK282</f>
        <v>Sudah, Delay</v>
      </c>
      <c r="Z281" s="277" t="str">
        <f ca="1">'Database MK'!HH282</f>
        <v>Belum, Delay</v>
      </c>
      <c r="AA281" s="277" t="str">
        <f ca="1">'Database MK'!HR282</f>
        <v>Belum, Delay</v>
      </c>
      <c r="AB281" s="277" t="str">
        <f ca="1">'Database MK'!HX282</f>
        <v>Belum, Delay</v>
      </c>
      <c r="AC281" s="277"/>
      <c r="AD281" s="277"/>
      <c r="AE281" s="277"/>
      <c r="AF281" s="277"/>
      <c r="AG281" s="277"/>
      <c r="AH281" s="277"/>
      <c r="AI281" s="277"/>
      <c r="AJ281" s="277">
        <f>'Database MK'!FY282-'Database MK'!FZ282</f>
        <v>0</v>
      </c>
      <c r="AK281" s="277"/>
      <c r="AL281" s="277"/>
      <c r="AM281" s="280"/>
      <c r="AN281" s="277"/>
      <c r="AO281" s="277"/>
      <c r="AP281" s="277"/>
    </row>
    <row r="282" spans="2:42" hidden="1" x14ac:dyDescent="0.25">
      <c r="B282" s="7">
        <f>SUBTOTAL(3,$C$4:C282)</f>
        <v>74</v>
      </c>
      <c r="C282" s="4" t="s">
        <v>244</v>
      </c>
      <c r="D282" s="4" t="s">
        <v>2235</v>
      </c>
      <c r="E282" s="4" t="s">
        <v>2236</v>
      </c>
      <c r="F282" s="270">
        <v>46113</v>
      </c>
      <c r="G282" s="4" t="s">
        <v>681</v>
      </c>
      <c r="H282" s="4" t="str">
        <f>'Database MK'!Q283</f>
        <v>BATAL / CANCEL</v>
      </c>
      <c r="I282" s="24">
        <f>'Database MK'!S283</f>
        <v>1</v>
      </c>
      <c r="J282" s="24">
        <f>'Database MK'!T283</f>
        <v>8.0431488699534023E-2</v>
      </c>
      <c r="K282" s="571">
        <f>'Database MK'!U283</f>
        <v>-0.91956851130046602</v>
      </c>
      <c r="L282" s="561">
        <f>'Database MK'!V283</f>
        <v>217</v>
      </c>
      <c r="M282" s="561">
        <f>'Database MK'!W283</f>
        <v>0</v>
      </c>
      <c r="N282" s="561">
        <f>Table3[[#This Row],[Total Panjang Pipa Aktual]]-Table3[[#This Row],[Volume
BA MC-0]]</f>
        <v>-217</v>
      </c>
      <c r="O282" s="7" t="str">
        <f ca="1">'Database MK'!DE283</f>
        <v>Sudah, OnSchedule</v>
      </c>
      <c r="P282" s="7" t="str">
        <f ca="1">'Database MK'!DI283</f>
        <v>Sudah, OnSchedule</v>
      </c>
      <c r="Q282" s="7" t="str">
        <f ca="1">'Database MK'!DN283</f>
        <v>Sudah, OnSchedule</v>
      </c>
      <c r="R282" s="7" t="str">
        <f ca="1">'Database MK'!DR283</f>
        <v>Sudah, OnSchedule</v>
      </c>
      <c r="S282" s="7" t="str">
        <f ca="1">'Database MK'!EA283</f>
        <v>Sudah, OnSchedule</v>
      </c>
      <c r="T282" s="7" t="str">
        <f ca="1">'Database MK'!EI283</f>
        <v>Belum, Delay</v>
      </c>
      <c r="U282" s="7" t="str">
        <f ca="1">'Database MK'!ET283</f>
        <v>Belum, Delay</v>
      </c>
      <c r="V282" s="7" t="str">
        <f ca="1">'Database MK'!GA283</f>
        <v>Belum, Delay</v>
      </c>
      <c r="W282" s="7" t="str">
        <f ca="1">'Database MK'!GD283</f>
        <v>Sudah, Delay</v>
      </c>
      <c r="X282" s="7" t="str">
        <f ca="1">'Database MK'!GG283</f>
        <v>Sudah, OnSchedule</v>
      </c>
      <c r="Y282" s="7" t="str">
        <f ca="1">'Database MK'!GK283</f>
        <v>Sudah, OnSchedule</v>
      </c>
      <c r="Z282" s="7" t="str">
        <f ca="1">'Database MK'!HH283</f>
        <v>Belum, Delay</v>
      </c>
      <c r="AA282" s="7" t="str">
        <f ca="1">'Database MK'!HR283</f>
        <v>Belum, Delay</v>
      </c>
      <c r="AB282" s="7" t="str">
        <f ca="1">'Database MK'!HX283</f>
        <v>Belum, Delay</v>
      </c>
      <c r="AC282" s="7">
        <f>'Database MK'!DA283-'Database MK'!DB283</f>
        <v>110</v>
      </c>
      <c r="AD282" s="7">
        <f>'Database MK'!DA283-'Database MK'!DF283</f>
        <v>94</v>
      </c>
      <c r="AE282" s="7">
        <f>'Database MK'!DK283-'Database MK'!DL283</f>
        <v>131</v>
      </c>
      <c r="AF282" s="7">
        <f>'Database MK'!DK283-'Database MK'!DO283</f>
        <v>80</v>
      </c>
      <c r="AG282" s="7">
        <f>'Database MK'!DU283-'Database MK'!DW283</f>
        <v>110</v>
      </c>
      <c r="AH282" s="7" t="str">
        <f>IF('Database MK'!EB283="","Belum",'Database MK'!DU283-'Database MK'!EB283)</f>
        <v>Belum</v>
      </c>
      <c r="AI282" s="7" t="str">
        <f>IF('Database MK'!EN283="","Belum",'Database MK'!EL283-'Database MK'!EN283)</f>
        <v>Belum</v>
      </c>
      <c r="AJ282" s="7">
        <f>'Database MK'!FY283-'Database MK'!FZ283</f>
        <v>0</v>
      </c>
      <c r="AK282" s="7">
        <f>IF('Database MK'!GC283="","Belum",'Database MK'!GB283-'Database MK'!GC283)</f>
        <v>-3</v>
      </c>
      <c r="AL282" s="7">
        <f>IF('Database MK'!GF283="","Belum",'Database MK'!GE283-'Database MK'!GF283)</f>
        <v>4</v>
      </c>
      <c r="AM282" s="279">
        <f>IF('Database MK'!GJ283="","Belum",'Database MK'!GI283-'Database MK'!GJ283)</f>
        <v>2</v>
      </c>
      <c r="AN282" s="7" t="str">
        <f>IF('Database MK'!HG283="","Belum",'Database MK'!HF283-'Database MK'!HG283)</f>
        <v>Belum</v>
      </c>
      <c r="AO282" s="7" t="str">
        <f>IF('Database MK'!HQ283="","Belum",'Database MK'!HN283-'Database MK'!HQ283)</f>
        <v>Belum</v>
      </c>
      <c r="AP282" s="7" t="str">
        <f>IF('Database MK'!HW283="","Belum",'Database MK'!HU283-'Database MK'!HW283)</f>
        <v>Belum</v>
      </c>
    </row>
    <row r="283" spans="2:42" hidden="1" x14ac:dyDescent="0.25">
      <c r="B283" s="7">
        <f>SUBTOTAL(3,$C$4:C283)</f>
        <v>74</v>
      </c>
      <c r="C283" s="4" t="s">
        <v>244</v>
      </c>
      <c r="D283" s="4" t="s">
        <v>2243</v>
      </c>
      <c r="E283" s="4" t="s">
        <v>2244</v>
      </c>
      <c r="F283" s="270">
        <v>46113</v>
      </c>
      <c r="G283" s="4" t="s">
        <v>681</v>
      </c>
      <c r="H283" s="4" t="str">
        <f ca="1">'Database MK'!Q284</f>
        <v>Tes Com</v>
      </c>
      <c r="I283" s="24">
        <f>'Database MK'!S284</f>
        <v>1</v>
      </c>
      <c r="J283" s="24">
        <f>'Database MK'!T284</f>
        <v>1</v>
      </c>
      <c r="K283" s="571">
        <f>'Database MK'!U284</f>
        <v>0</v>
      </c>
      <c r="L283" s="561">
        <f>'Database MK'!V284</f>
        <v>55</v>
      </c>
      <c r="M283" s="561">
        <f>'Database MK'!W284</f>
        <v>71</v>
      </c>
      <c r="N283" s="561">
        <f>Table3[[#This Row],[Total Panjang Pipa Aktual]]-Table3[[#This Row],[Volume
BA MC-0]]</f>
        <v>16</v>
      </c>
      <c r="O283" s="7" t="str">
        <f ca="1">'Database MK'!DE284</f>
        <v>Sudah, OnSchedule</v>
      </c>
      <c r="P283" s="7" t="str">
        <f ca="1">'Database MK'!DI284</f>
        <v>Sudah, OnSchedule</v>
      </c>
      <c r="Q283" s="7" t="str">
        <f ca="1">'Database MK'!DN284</f>
        <v>Sudah, OnSchedule</v>
      </c>
      <c r="R283" s="7" t="str">
        <f ca="1">'Database MK'!DR284</f>
        <v>Sudah, OnSchedule</v>
      </c>
      <c r="S283" s="7" t="str">
        <f ca="1">'Database MK'!EA284</f>
        <v>Sudah, OnSchedule</v>
      </c>
      <c r="T283" s="7" t="str">
        <f ca="1">'Database MK'!EI284</f>
        <v>Belum, Delay</v>
      </c>
      <c r="U283" s="7" t="str">
        <f ca="1">'Database MK'!ET284</f>
        <v>Belum, Delay</v>
      </c>
      <c r="V283" s="7" t="str">
        <f ca="1">'Database MK'!GA284</f>
        <v>Belum, Delay</v>
      </c>
      <c r="W283" s="7" t="str">
        <f ca="1">'Database MK'!GD284</f>
        <v>Sudah, Delay</v>
      </c>
      <c r="X283" s="7" t="str">
        <f ca="1">'Database MK'!GG284</f>
        <v>Sudah, OnSchedule</v>
      </c>
      <c r="Y283" s="7" t="str">
        <f ca="1">'Database MK'!GK284</f>
        <v>Sudah, OnSchedule</v>
      </c>
      <c r="Z283" s="7" t="str">
        <f ca="1">'Database MK'!HH284</f>
        <v>Sudah, Delay</v>
      </c>
      <c r="AA283" s="7" t="str">
        <f ca="1">'Database MK'!HR284</f>
        <v>Belum, Delay</v>
      </c>
      <c r="AB283" s="7" t="str">
        <f ca="1">'Database MK'!HX284</f>
        <v>Belum, Delay</v>
      </c>
      <c r="AC283" s="7">
        <f>'Database MK'!DA284-'Database MK'!DB284</f>
        <v>110</v>
      </c>
      <c r="AD283" s="7">
        <f>'Database MK'!DA284-'Database MK'!DF284</f>
        <v>90</v>
      </c>
      <c r="AE283" s="7">
        <f>'Database MK'!DK284-'Database MK'!DL284</f>
        <v>124</v>
      </c>
      <c r="AF283" s="7">
        <f>'Database MK'!DK284-'Database MK'!DO284</f>
        <v>80</v>
      </c>
      <c r="AG283" s="7">
        <f>'Database MK'!DU284-'Database MK'!DW284</f>
        <v>103</v>
      </c>
      <c r="AH283" s="7" t="str">
        <f>IF('Database MK'!EB284="","Belum",'Database MK'!DU284-'Database MK'!EB284)</f>
        <v>Belum</v>
      </c>
      <c r="AI283" s="7" t="str">
        <f>IF('Database MK'!EN284="","Belum",'Database MK'!EL284-'Database MK'!EN284)</f>
        <v>Belum</v>
      </c>
      <c r="AJ283" s="7">
        <f>'Database MK'!FY284-'Database MK'!FZ284</f>
        <v>0</v>
      </c>
      <c r="AK283" s="7">
        <f>IF('Database MK'!GC284="","Belum",'Database MK'!GB284-'Database MK'!GC284)</f>
        <v>-1</v>
      </c>
      <c r="AL283" s="7">
        <f>IF('Database MK'!GF284="","Belum",'Database MK'!GE284-'Database MK'!GF284)</f>
        <v>6</v>
      </c>
      <c r="AM283" s="279">
        <f>IF('Database MK'!GJ284="","Belum",'Database MK'!GI284-'Database MK'!GJ284)</f>
        <v>12</v>
      </c>
      <c r="AN283" s="7">
        <f>IF('Database MK'!HG284="","Belum",'Database MK'!HF284-'Database MK'!HG284)</f>
        <v>-124</v>
      </c>
      <c r="AO283" s="7" t="str">
        <f>IF('Database MK'!HQ284="","Belum",'Database MK'!HN284-'Database MK'!HQ284)</f>
        <v>Belum</v>
      </c>
      <c r="AP283" s="7" t="str">
        <f>IF('Database MK'!HW284="","Belum",'Database MK'!HU284-'Database MK'!HW284)</f>
        <v>Belum</v>
      </c>
    </row>
    <row r="284" spans="2:42" hidden="1" x14ac:dyDescent="0.25">
      <c r="B284" s="7">
        <f>SUBTOTAL(3,$C$4:C284)</f>
        <v>74</v>
      </c>
      <c r="C284" s="4" t="s">
        <v>244</v>
      </c>
      <c r="D284" s="4" t="s">
        <v>2251</v>
      </c>
      <c r="E284" s="4" t="s">
        <v>2252</v>
      </c>
      <c r="F284" s="270">
        <v>46113</v>
      </c>
      <c r="G284" s="4" t="s">
        <v>681</v>
      </c>
      <c r="H284" s="4" t="str">
        <f ca="1">'Database MK'!Q285</f>
        <v>DPPP</v>
      </c>
      <c r="I284" s="24">
        <f>'Database MK'!S285</f>
        <v>1</v>
      </c>
      <c r="J284" s="24">
        <f>'Database MK'!T285</f>
        <v>1</v>
      </c>
      <c r="K284" s="571">
        <f>'Database MK'!U285</f>
        <v>0</v>
      </c>
      <c r="L284" s="561">
        <f>'Database MK'!V285</f>
        <v>98.4</v>
      </c>
      <c r="M284" s="561">
        <f>'Database MK'!W285</f>
        <v>90</v>
      </c>
      <c r="N284" s="561">
        <f>Table3[[#This Row],[Total Panjang Pipa Aktual]]-Table3[[#This Row],[Volume
BA MC-0]]</f>
        <v>-8.4000000000000057</v>
      </c>
      <c r="O284" s="7" t="str">
        <f ca="1">'Database MK'!DE285</f>
        <v>Sudah, OnSchedule</v>
      </c>
      <c r="P284" s="7" t="str">
        <f ca="1">'Database MK'!DI285</f>
        <v>Sudah, OnSchedule</v>
      </c>
      <c r="Q284" s="7" t="str">
        <f ca="1">'Database MK'!DN285</f>
        <v>Sudah, OnSchedule</v>
      </c>
      <c r="R284" s="7" t="str">
        <f ca="1">'Database MK'!DR285</f>
        <v>Sudah, OnSchedule</v>
      </c>
      <c r="S284" s="7" t="str">
        <f ca="1">'Database MK'!EA285</f>
        <v>Sudah, OnSchedule</v>
      </c>
      <c r="T284" s="7" t="str">
        <f ca="1">'Database MK'!EI285</f>
        <v>Sudah, Delay</v>
      </c>
      <c r="U284" s="7" t="str">
        <f ca="1">'Database MK'!ET285</f>
        <v>Sudah, Delay</v>
      </c>
      <c r="V284" s="7" t="str">
        <f ca="1">'Database MK'!GA285</f>
        <v>Belum, Delay</v>
      </c>
      <c r="W284" s="7" t="str">
        <f ca="1">'Database MK'!GD285</f>
        <v>Sudah, Delay</v>
      </c>
      <c r="X284" s="7" t="str">
        <f ca="1">'Database MK'!GG285</f>
        <v>Sudah, OnSchedule</v>
      </c>
      <c r="Y284" s="7" t="str">
        <f ca="1">'Database MK'!GK285</f>
        <v>Sudah, OnSchedule</v>
      </c>
      <c r="Z284" s="7" t="str">
        <f ca="1">'Database MK'!HH285</f>
        <v>Sudah, Delay</v>
      </c>
      <c r="AA284" s="7" t="str">
        <f ca="1">'Database MK'!HR285</f>
        <v>Sudah, Delay</v>
      </c>
      <c r="AB284" s="7" t="str">
        <f ca="1">'Database MK'!HX285</f>
        <v>Sudah, Delay</v>
      </c>
      <c r="AC284" s="7">
        <f>'Database MK'!DA285-'Database MK'!DB285</f>
        <v>110</v>
      </c>
      <c r="AD284" s="7">
        <f>'Database MK'!DA285-'Database MK'!DF285</f>
        <v>94</v>
      </c>
      <c r="AE284" s="7">
        <f>'Database MK'!DK285-'Database MK'!DL285</f>
        <v>120</v>
      </c>
      <c r="AF284" s="7">
        <f>'Database MK'!DK285-'Database MK'!DO285</f>
        <v>80</v>
      </c>
      <c r="AG284" s="7">
        <f>'Database MK'!DU285-'Database MK'!DW285</f>
        <v>99</v>
      </c>
      <c r="AH284" s="7">
        <f>IF('Database MK'!EB285="","Belum",'Database MK'!DU285-'Database MK'!EB285)</f>
        <v>-104</v>
      </c>
      <c r="AI284" s="7">
        <f>IF('Database MK'!EN285="","Belum",'Database MK'!EL285-'Database MK'!EN285)</f>
        <v>-107</v>
      </c>
      <c r="AJ284" s="7">
        <f>'Database MK'!FY285-'Database MK'!FZ285</f>
        <v>0</v>
      </c>
      <c r="AK284" s="7">
        <f>IF('Database MK'!GC285="","Belum",'Database MK'!GB285-'Database MK'!GC285)</f>
        <v>-1</v>
      </c>
      <c r="AL284" s="7">
        <f>IF('Database MK'!GF285="","Belum",'Database MK'!GE285-'Database MK'!GF285)</f>
        <v>6</v>
      </c>
      <c r="AM284" s="279">
        <f>IF('Database MK'!GJ285="","Belum",'Database MK'!GI285-'Database MK'!GJ285)</f>
        <v>12</v>
      </c>
      <c r="AN284" s="7">
        <f>IF('Database MK'!HG285="","Belum",'Database MK'!HF285-'Database MK'!HG285)</f>
        <v>-1</v>
      </c>
      <c r="AO284" s="7">
        <f>IF('Database MK'!HQ285="","Belum",'Database MK'!HN285-'Database MK'!HQ285)</f>
        <v>-47</v>
      </c>
      <c r="AP284" s="7">
        <f>IF('Database MK'!HW285="","Belum",'Database MK'!HU285-'Database MK'!HW285)</f>
        <v>-47</v>
      </c>
    </row>
    <row r="285" spans="2:42" hidden="1" x14ac:dyDescent="0.25">
      <c r="B285" s="7">
        <f>SUBTOTAL(3,$C$4:C285)</f>
        <v>74</v>
      </c>
      <c r="C285" s="4" t="s">
        <v>244</v>
      </c>
      <c r="D285" s="4" t="s">
        <v>2260</v>
      </c>
      <c r="E285" s="4" t="s">
        <v>2261</v>
      </c>
      <c r="F285" s="270">
        <v>46113</v>
      </c>
      <c r="G285" s="4" t="s">
        <v>681</v>
      </c>
      <c r="H285" s="4" t="str">
        <f ca="1">'Database MK'!Q286</f>
        <v>DPPP</v>
      </c>
      <c r="I285" s="24">
        <f>'Database MK'!S286</f>
        <v>1</v>
      </c>
      <c r="J285" s="24">
        <f>'Database MK'!T286</f>
        <v>1</v>
      </c>
      <c r="K285" s="571">
        <f>'Database MK'!U286</f>
        <v>0</v>
      </c>
      <c r="L285" s="561">
        <f>'Database MK'!V286</f>
        <v>70</v>
      </c>
      <c r="M285" s="561">
        <f>'Database MK'!W286</f>
        <v>114</v>
      </c>
      <c r="N285" s="561">
        <f>Table3[[#This Row],[Total Panjang Pipa Aktual]]-Table3[[#This Row],[Volume
BA MC-0]]</f>
        <v>44</v>
      </c>
      <c r="O285" s="7" t="str">
        <f ca="1">'Database MK'!DE286</f>
        <v>Sudah, OnSchedule</v>
      </c>
      <c r="P285" s="7" t="str">
        <f ca="1">'Database MK'!DI286</f>
        <v>Sudah, OnSchedule</v>
      </c>
      <c r="Q285" s="7" t="str">
        <f ca="1">'Database MK'!DN286</f>
        <v>Sudah, OnSchedule</v>
      </c>
      <c r="R285" s="7" t="str">
        <f ca="1">'Database MK'!DR286</f>
        <v>Sudah, OnSchedule</v>
      </c>
      <c r="S285" s="7" t="str">
        <f ca="1">'Database MK'!EA286</f>
        <v>Sudah, OnSchedule</v>
      </c>
      <c r="T285" s="7" t="str">
        <f ca="1">'Database MK'!EI286</f>
        <v>Sudah, Delay</v>
      </c>
      <c r="U285" s="7" t="str">
        <f ca="1">'Database MK'!ET286</f>
        <v>Sudah, Delay</v>
      </c>
      <c r="V285" s="7" t="str">
        <f ca="1">'Database MK'!GA286</f>
        <v>Belum, Delay</v>
      </c>
      <c r="W285" s="7" t="str">
        <f ca="1">'Database MK'!GD286</f>
        <v>Sudah, OnSchedule</v>
      </c>
      <c r="X285" s="7" t="str">
        <f ca="1">'Database MK'!GG286</f>
        <v>Sudah, OnSchedule</v>
      </c>
      <c r="Y285" s="7" t="str">
        <f ca="1">'Database MK'!GK286</f>
        <v>Sudah, OnSchedule</v>
      </c>
      <c r="Z285" s="7" t="str">
        <f ca="1">'Database MK'!HH286</f>
        <v>Sudah, Delay</v>
      </c>
      <c r="AA285" s="7" t="str">
        <f ca="1">'Database MK'!HR286</f>
        <v>Sudah, Delay</v>
      </c>
      <c r="AB285" s="7" t="str">
        <f ca="1">'Database MK'!HX286</f>
        <v>Sudah, Delay</v>
      </c>
      <c r="AC285" s="7">
        <f>'Database MK'!DA286-'Database MK'!DB286</f>
        <v>110</v>
      </c>
      <c r="AD285" s="7">
        <f>'Database MK'!DA286-'Database MK'!DF286</f>
        <v>94</v>
      </c>
      <c r="AE285" s="7">
        <f>'Database MK'!DK286-'Database MK'!DL286</f>
        <v>120</v>
      </c>
      <c r="AF285" s="7">
        <f>'Database MK'!DK286-'Database MK'!DO286</f>
        <v>80</v>
      </c>
      <c r="AG285" s="7">
        <f>'Database MK'!DU286-'Database MK'!DW286</f>
        <v>45</v>
      </c>
      <c r="AH285" s="7">
        <f>IF('Database MK'!EB286="","Belum",'Database MK'!DU286-'Database MK'!EB286)</f>
        <v>-104</v>
      </c>
      <c r="AI285" s="7">
        <f>IF('Database MK'!EN286="","Belum",'Database MK'!EL286-'Database MK'!EN286)</f>
        <v>-107</v>
      </c>
      <c r="AJ285" s="7">
        <f>'Database MK'!FY286-'Database MK'!FZ286</f>
        <v>0</v>
      </c>
      <c r="AK285" s="7">
        <f>IF('Database MK'!GC286="","Belum",'Database MK'!GB286-'Database MK'!GC286)</f>
        <v>36</v>
      </c>
      <c r="AL285" s="7">
        <f>IF('Database MK'!GF286="","Belum",'Database MK'!GE286-'Database MK'!GF286)</f>
        <v>43</v>
      </c>
      <c r="AM285" s="279">
        <f>IF('Database MK'!GJ286="","Belum",'Database MK'!GI286-'Database MK'!GJ286)</f>
        <v>27</v>
      </c>
      <c r="AN285" s="7">
        <f>IF('Database MK'!HG286="","Belum",'Database MK'!HF286-'Database MK'!HG286)</f>
        <v>-36</v>
      </c>
      <c r="AO285" s="7">
        <f>IF('Database MK'!HQ286="","Belum",'Database MK'!HN286-'Database MK'!HQ286)</f>
        <v>-96</v>
      </c>
      <c r="AP285" s="7">
        <f>IF('Database MK'!HW286="","Belum",'Database MK'!HU286-'Database MK'!HW286)</f>
        <v>-90</v>
      </c>
    </row>
    <row r="286" spans="2:42" hidden="1" x14ac:dyDescent="0.25">
      <c r="B286" s="7">
        <f>SUBTOTAL(3,$C$4:C286)</f>
        <v>74</v>
      </c>
      <c r="C286" s="4" t="s">
        <v>244</v>
      </c>
      <c r="D286" s="4" t="s">
        <v>2269</v>
      </c>
      <c r="E286" s="4" t="s">
        <v>2270</v>
      </c>
      <c r="F286" s="270">
        <v>46113</v>
      </c>
      <c r="G286" s="4" t="s">
        <v>681</v>
      </c>
      <c r="H286" s="4" t="str">
        <f ca="1">'Database MK'!Q287</f>
        <v>Tes Com</v>
      </c>
      <c r="I286" s="24">
        <f>'Database MK'!S287</f>
        <v>1</v>
      </c>
      <c r="J286" s="24">
        <f>'Database MK'!T287</f>
        <v>1</v>
      </c>
      <c r="K286" s="571">
        <f>'Database MK'!U287</f>
        <v>0</v>
      </c>
      <c r="L286" s="561">
        <f>'Database MK'!V287</f>
        <v>61.3</v>
      </c>
      <c r="M286" s="561">
        <f>'Database MK'!W287</f>
        <v>35</v>
      </c>
      <c r="N286" s="561">
        <f>Table3[[#This Row],[Total Panjang Pipa Aktual]]-Table3[[#This Row],[Volume
BA MC-0]]</f>
        <v>-26.299999999999997</v>
      </c>
      <c r="O286" s="7" t="str">
        <f ca="1">'Database MK'!DE287</f>
        <v>Sudah, OnSchedule</v>
      </c>
      <c r="P286" s="7" t="str">
        <f ca="1">'Database MK'!DI287</f>
        <v>Sudah, OnSchedule</v>
      </c>
      <c r="Q286" s="7" t="str">
        <f ca="1">'Database MK'!DN287</f>
        <v>Sudah, OnSchedule</v>
      </c>
      <c r="R286" s="7" t="str">
        <f ca="1">'Database MK'!DR287</f>
        <v>Sudah, OnSchedule</v>
      </c>
      <c r="S286" s="7" t="str">
        <f ca="1">'Database MK'!EA287</f>
        <v>Sudah, OnSchedule</v>
      </c>
      <c r="T286" s="7" t="str">
        <f ca="1">'Database MK'!EI287</f>
        <v>Belum, Delay</v>
      </c>
      <c r="U286" s="7" t="str">
        <f ca="1">'Database MK'!ET287</f>
        <v>Belum, Delay</v>
      </c>
      <c r="V286" s="7" t="str">
        <f ca="1">'Database MK'!GA287</f>
        <v>Belum, Delay</v>
      </c>
      <c r="W286" s="7" t="str">
        <f ca="1">'Database MK'!GD287</f>
        <v>Sudah, Delay</v>
      </c>
      <c r="X286" s="7" t="str">
        <f ca="1">'Database MK'!GG287</f>
        <v>Sudah, OnSchedule</v>
      </c>
      <c r="Y286" s="7" t="str">
        <f ca="1">'Database MK'!GK287</f>
        <v>Sudah, OnSchedule</v>
      </c>
      <c r="Z286" s="7" t="str">
        <f ca="1">'Database MK'!HH287</f>
        <v>Sudah, Delay</v>
      </c>
      <c r="AA286" s="7" t="str">
        <f ca="1">'Database MK'!HR287</f>
        <v>Belum, Delay</v>
      </c>
      <c r="AB286" s="7" t="str">
        <f ca="1">'Database MK'!HX287</f>
        <v>Belum, Delay</v>
      </c>
      <c r="AC286" s="7">
        <f>'Database MK'!DA287-'Database MK'!DB287</f>
        <v>110</v>
      </c>
      <c r="AD286" s="7">
        <f>'Database MK'!DA287-'Database MK'!DF287</f>
        <v>94</v>
      </c>
      <c r="AE286" s="7">
        <f>'Database MK'!DK287-'Database MK'!DL287</f>
        <v>132</v>
      </c>
      <c r="AF286" s="7">
        <f>'Database MK'!DK287-'Database MK'!DO287</f>
        <v>80</v>
      </c>
      <c r="AG286" s="7">
        <f>'Database MK'!DU287-'Database MK'!DW287</f>
        <v>111</v>
      </c>
      <c r="AH286" s="7" t="str">
        <f>IF('Database MK'!EB287="","Belum",'Database MK'!DU287-'Database MK'!EB287)</f>
        <v>Belum</v>
      </c>
      <c r="AI286" s="7" t="str">
        <f>IF('Database MK'!EN287="","Belum",'Database MK'!EL287-'Database MK'!EN287)</f>
        <v>Belum</v>
      </c>
      <c r="AJ286" s="7">
        <f>'Database MK'!FY287-'Database MK'!FZ287</f>
        <v>0</v>
      </c>
      <c r="AK286" s="7">
        <f>IF('Database MK'!GC287="","Belum",'Database MK'!GB287-'Database MK'!GC287)</f>
        <v>-1</v>
      </c>
      <c r="AL286" s="7">
        <f>IF('Database MK'!GF287="","Belum",'Database MK'!GE287-'Database MK'!GF287)</f>
        <v>6</v>
      </c>
      <c r="AM286" s="279">
        <f>IF('Database MK'!GJ287="","Belum",'Database MK'!GI287-'Database MK'!GJ287)</f>
        <v>13</v>
      </c>
      <c r="AN286" s="7">
        <f>IF('Database MK'!HG287="","Belum",'Database MK'!HF287-'Database MK'!HG287)</f>
        <v>-150</v>
      </c>
      <c r="AO286" s="7" t="str">
        <f>IF('Database MK'!HQ287="","Belum",'Database MK'!HN287-'Database MK'!HQ287)</f>
        <v>Belum</v>
      </c>
      <c r="AP286" s="7" t="str">
        <f>IF('Database MK'!HW287="","Belum",'Database MK'!HU287-'Database MK'!HW287)</f>
        <v>Belum</v>
      </c>
    </row>
    <row r="287" spans="2:42" hidden="1" x14ac:dyDescent="0.25">
      <c r="B287" s="7">
        <f>SUBTOTAL(3,$C$4:C287)</f>
        <v>74</v>
      </c>
      <c r="C287" s="4" t="s">
        <v>244</v>
      </c>
      <c r="D287" s="4" t="s">
        <v>2275</v>
      </c>
      <c r="E287" s="4" t="s">
        <v>2276</v>
      </c>
      <c r="F287" s="270">
        <v>46113</v>
      </c>
      <c r="G287" s="4" t="s">
        <v>681</v>
      </c>
      <c r="H287" s="4" t="str">
        <f ca="1">'Database MK'!Q288</f>
        <v>DPPP</v>
      </c>
      <c r="I287" s="24">
        <f>'Database MK'!S288</f>
        <v>1</v>
      </c>
      <c r="J287" s="24">
        <f>'Database MK'!T288</f>
        <v>1</v>
      </c>
      <c r="K287" s="571">
        <f>'Database MK'!U288</f>
        <v>0</v>
      </c>
      <c r="L287" s="561">
        <f>'Database MK'!V288</f>
        <v>525</v>
      </c>
      <c r="M287" s="561">
        <f>'Database MK'!W288</f>
        <v>489</v>
      </c>
      <c r="N287" s="561">
        <f>Table3[[#This Row],[Total Panjang Pipa Aktual]]-Table3[[#This Row],[Volume
BA MC-0]]</f>
        <v>-36</v>
      </c>
      <c r="O287" s="7" t="str">
        <f ca="1">'Database MK'!DE288</f>
        <v>Sudah, OnSchedule</v>
      </c>
      <c r="P287" s="7" t="str">
        <f ca="1">'Database MK'!DI288</f>
        <v>Sudah, OnSchedule</v>
      </c>
      <c r="Q287" s="7" t="str">
        <f ca="1">'Database MK'!DN288</f>
        <v>Sudah, OnSchedule</v>
      </c>
      <c r="R287" s="7" t="str">
        <f ca="1">'Database MK'!DR288</f>
        <v>Sudah, OnSchedule</v>
      </c>
      <c r="S287" s="7" t="str">
        <f ca="1">'Database MK'!EA288</f>
        <v>Sudah, OnSchedule</v>
      </c>
      <c r="T287" s="7" t="str">
        <f ca="1">'Database MK'!EI288</f>
        <v>Sudah, Delay</v>
      </c>
      <c r="U287" s="7" t="str">
        <f ca="1">'Database MK'!ET288</f>
        <v>Sudah, Delay</v>
      </c>
      <c r="V287" s="7" t="str">
        <f ca="1">'Database MK'!GA288</f>
        <v>Belum, Delay</v>
      </c>
      <c r="W287" s="7" t="str">
        <f ca="1">'Database MK'!GD288</f>
        <v>Sudah, OnSchedule</v>
      </c>
      <c r="X287" s="7" t="str">
        <f ca="1">'Database MK'!GG288</f>
        <v>Sudah, OnSchedule</v>
      </c>
      <c r="Y287" s="7" t="str">
        <f ca="1">'Database MK'!GK288</f>
        <v>Sudah, OnSchedule</v>
      </c>
      <c r="Z287" s="7" t="str">
        <f ca="1">'Database MK'!HH288</f>
        <v>Sudah, Delay</v>
      </c>
      <c r="AA287" s="7" t="str">
        <f ca="1">'Database MK'!HR288</f>
        <v>Sudah, Delay</v>
      </c>
      <c r="AB287" s="7" t="str">
        <f ca="1">'Database MK'!HX288</f>
        <v>Sudah, Delay</v>
      </c>
      <c r="AC287" s="7">
        <f>'Database MK'!DA288-'Database MK'!DB288</f>
        <v>45</v>
      </c>
      <c r="AD287" s="7">
        <f>'Database MK'!DA288-'Database MK'!DF288</f>
        <v>40</v>
      </c>
      <c r="AE287" s="7">
        <f>'Database MK'!DK288-'Database MK'!DL288</f>
        <v>86</v>
      </c>
      <c r="AF287" s="7">
        <f>'Database MK'!DK288-'Database MK'!DO288</f>
        <v>48</v>
      </c>
      <c r="AG287" s="7">
        <f>'Database MK'!DU288-'Database MK'!DW288</f>
        <v>65</v>
      </c>
      <c r="AH287" s="7">
        <f>IF('Database MK'!EB288="","Belum",'Database MK'!DU288-'Database MK'!EB288)</f>
        <v>-215</v>
      </c>
      <c r="AI287" s="7">
        <f>IF('Database MK'!EN288="","Belum",'Database MK'!EL288-'Database MK'!EN288)</f>
        <v>-192</v>
      </c>
      <c r="AJ287" s="7">
        <f>'Database MK'!FY288-'Database MK'!FZ288</f>
        <v>0</v>
      </c>
      <c r="AK287" s="7">
        <f>IF('Database MK'!GC288="","Belum",'Database MK'!GB288-'Database MK'!GC288)</f>
        <v>34</v>
      </c>
      <c r="AL287" s="7">
        <f>IF('Database MK'!GF288="","Belum",'Database MK'!GE288-'Database MK'!GF288)</f>
        <v>41</v>
      </c>
      <c r="AM287" s="279">
        <f>IF('Database MK'!GJ288="","Belum",'Database MK'!GI288-'Database MK'!GJ288)</f>
        <v>46</v>
      </c>
      <c r="AN287" s="7">
        <f>IF('Database MK'!HG288="","Belum",'Database MK'!HF288-'Database MK'!HG288)</f>
        <v>-98</v>
      </c>
      <c r="AO287" s="7">
        <f>IF('Database MK'!HQ288="","Belum",'Database MK'!HN288-'Database MK'!HQ288)</f>
        <v>-102</v>
      </c>
      <c r="AP287" s="7">
        <f>IF('Database MK'!HW288="","Belum",'Database MK'!HU288-'Database MK'!HW288)</f>
        <v>-97</v>
      </c>
    </row>
    <row r="288" spans="2:42" hidden="1" x14ac:dyDescent="0.25">
      <c r="B288" s="7">
        <f>SUBTOTAL(3,$C$4:C288)</f>
        <v>74</v>
      </c>
      <c r="C288" s="4" t="s">
        <v>244</v>
      </c>
      <c r="D288" s="4" t="s">
        <v>2286</v>
      </c>
      <c r="E288" s="4" t="s">
        <v>2287</v>
      </c>
      <c r="F288" s="270">
        <v>46113</v>
      </c>
      <c r="G288" s="4" t="s">
        <v>681</v>
      </c>
      <c r="H288" s="4" t="str">
        <f ca="1">'Database MK'!Q289</f>
        <v>Proses Konstruksi</v>
      </c>
      <c r="I288" s="24">
        <f>'Database MK'!S289</f>
        <v>1</v>
      </c>
      <c r="J288" s="24">
        <f>'Database MK'!T289</f>
        <v>0.44441597712839143</v>
      </c>
      <c r="K288" s="571">
        <f>'Database MK'!U289</f>
        <v>-0.55558402287160857</v>
      </c>
      <c r="L288" s="561">
        <f>'Database MK'!V289</f>
        <v>888.5</v>
      </c>
      <c r="M288" s="561">
        <f>'Database MK'!W289</f>
        <v>574.20000000000005</v>
      </c>
      <c r="N288" s="561">
        <f>Table3[[#This Row],[Total Panjang Pipa Aktual]]-Table3[[#This Row],[Volume
BA MC-0]]</f>
        <v>-314.29999999999995</v>
      </c>
      <c r="O288" s="7" t="str">
        <f ca="1">'Database MK'!DE289</f>
        <v>Sudah, OnSchedule</v>
      </c>
      <c r="P288" s="7" t="str">
        <f ca="1">'Database MK'!DI289</f>
        <v>Sudah, OnSchedule</v>
      </c>
      <c r="Q288" s="7" t="str">
        <f ca="1">'Database MK'!DN289</f>
        <v>Sudah, OnSchedule</v>
      </c>
      <c r="R288" s="7" t="str">
        <f ca="1">'Database MK'!DR289</f>
        <v>Sudah, OnSchedule</v>
      </c>
      <c r="S288" s="7" t="str">
        <f ca="1">'Database MK'!EA289</f>
        <v>Sudah, OnSchedule</v>
      </c>
      <c r="T288" s="7" t="str">
        <f ca="1">'Database MK'!EI289</f>
        <v>Belum, Delay</v>
      </c>
      <c r="U288" s="7" t="str">
        <f ca="1">'Database MK'!ET289</f>
        <v>Belum, Delay</v>
      </c>
      <c r="V288" s="7" t="str">
        <f ca="1">'Database MK'!GA289</f>
        <v>Belum, Delay</v>
      </c>
      <c r="W288" s="7" t="str">
        <f ca="1">'Database MK'!GD289</f>
        <v>Sudah, OnSchedule</v>
      </c>
      <c r="X288" s="7" t="str">
        <f ca="1">'Database MK'!GG289</f>
        <v>Sudah, OnSchedule</v>
      </c>
      <c r="Y288" s="7" t="str">
        <f ca="1">'Database MK'!GK289</f>
        <v>Sudah, OnSchedule</v>
      </c>
      <c r="Z288" s="7" t="str">
        <f ca="1">'Database MK'!HH289</f>
        <v>Belum, Delay</v>
      </c>
      <c r="AA288" s="7" t="str">
        <f ca="1">'Database MK'!HR289</f>
        <v>Belum, Delay</v>
      </c>
      <c r="AB288" s="7" t="str">
        <f ca="1">'Database MK'!HX289</f>
        <v>Belum, Delay</v>
      </c>
      <c r="AC288" s="7">
        <f>'Database MK'!DA289-'Database MK'!DB289</f>
        <v>45</v>
      </c>
      <c r="AD288" s="7">
        <f>'Database MK'!DA289-'Database MK'!DF289</f>
        <v>40</v>
      </c>
      <c r="AE288" s="7">
        <f>'Database MK'!DK289-'Database MK'!DL289</f>
        <v>81</v>
      </c>
      <c r="AF288" s="7">
        <f>'Database MK'!DK289-'Database MK'!DO289</f>
        <v>11</v>
      </c>
      <c r="AG288" s="7">
        <f>'Database MK'!DU289-'Database MK'!DW289</f>
        <v>60</v>
      </c>
      <c r="AH288" s="7" t="str">
        <f>IF('Database MK'!EB289="","Belum",'Database MK'!DU289-'Database MK'!EB289)</f>
        <v>Belum</v>
      </c>
      <c r="AI288" s="7" t="str">
        <f>IF('Database MK'!EN289="","Belum",'Database MK'!EL289-'Database MK'!EN289)</f>
        <v>Belum</v>
      </c>
      <c r="AJ288" s="7">
        <f>'Database MK'!FY289-'Database MK'!FZ289</f>
        <v>0</v>
      </c>
      <c r="AK288" s="7">
        <f>IF('Database MK'!GC289="","Belum",'Database MK'!GB289-'Database MK'!GC289)</f>
        <v>34</v>
      </c>
      <c r="AL288" s="7">
        <f>IF('Database MK'!GF289="","Belum",'Database MK'!GE289-'Database MK'!GF289)</f>
        <v>41</v>
      </c>
      <c r="AM288" s="279">
        <f>IF('Database MK'!GJ289="","Belum",'Database MK'!GI289-'Database MK'!GJ289)</f>
        <v>41</v>
      </c>
      <c r="AN288" s="7" t="str">
        <f>IF('Database MK'!HG289="","Belum",'Database MK'!HF289-'Database MK'!HG289)</f>
        <v>Belum</v>
      </c>
      <c r="AO288" s="7" t="str">
        <f>IF('Database MK'!HQ289="","Belum",'Database MK'!HN289-'Database MK'!HQ289)</f>
        <v>Belum</v>
      </c>
      <c r="AP288" s="7" t="str">
        <f>IF('Database MK'!HW289="","Belum",'Database MK'!HU289-'Database MK'!HW289)</f>
        <v>Belum</v>
      </c>
    </row>
    <row r="289" spans="2:42" hidden="1" x14ac:dyDescent="0.25">
      <c r="B289" s="7">
        <f>SUBTOTAL(3,$C$4:C289)</f>
        <v>74</v>
      </c>
      <c r="C289" s="4" t="s">
        <v>244</v>
      </c>
      <c r="D289" s="4" t="s">
        <v>2295</v>
      </c>
      <c r="E289" s="4" t="s">
        <v>2296</v>
      </c>
      <c r="F289" s="270">
        <v>46113</v>
      </c>
      <c r="G289" s="4" t="s">
        <v>681</v>
      </c>
      <c r="H289" s="4" t="str">
        <f ca="1">'Database MK'!Q290</f>
        <v>Proses Konstruksi</v>
      </c>
      <c r="I289" s="24">
        <f>'Database MK'!S290</f>
        <v>1</v>
      </c>
      <c r="J289" s="24">
        <f>'Database MK'!T290</f>
        <v>0.37463435534012463</v>
      </c>
      <c r="K289" s="571">
        <f>'Database MK'!U290</f>
        <v>-0.62536564465987543</v>
      </c>
      <c r="L289" s="561">
        <f>'Database MK'!V290</f>
        <v>390</v>
      </c>
      <c r="M289" s="561">
        <f>'Database MK'!W290</f>
        <v>282</v>
      </c>
      <c r="N289" s="561">
        <f>Table3[[#This Row],[Total Panjang Pipa Aktual]]-Table3[[#This Row],[Volume
BA MC-0]]</f>
        <v>-108</v>
      </c>
      <c r="O289" s="7" t="str">
        <f ca="1">'Database MK'!DE290</f>
        <v>Sudah, OnSchedule</v>
      </c>
      <c r="P289" s="7" t="str">
        <f ca="1">'Database MK'!DI290</f>
        <v>Sudah, OnSchedule</v>
      </c>
      <c r="Q289" s="7" t="str">
        <f ca="1">'Database MK'!DN290</f>
        <v>Sudah, OnSchedule</v>
      </c>
      <c r="R289" s="7" t="str">
        <f ca="1">'Database MK'!DR290</f>
        <v>Sudah, OnSchedule</v>
      </c>
      <c r="S289" s="7" t="str">
        <f ca="1">'Database MK'!EA290</f>
        <v>Sudah, OnSchedule</v>
      </c>
      <c r="T289" s="7" t="str">
        <f ca="1">'Database MK'!EI290</f>
        <v>Belum, Delay</v>
      </c>
      <c r="U289" s="7" t="str">
        <f ca="1">'Database MK'!ET290</f>
        <v>Belum, Delay</v>
      </c>
      <c r="V289" s="7" t="str">
        <f ca="1">'Database MK'!GA290</f>
        <v>Belum, Delay</v>
      </c>
      <c r="W289" s="7" t="str">
        <f ca="1">'Database MK'!GD290</f>
        <v>Sudah, OnSchedule</v>
      </c>
      <c r="X289" s="7" t="str">
        <f ca="1">'Database MK'!GG290</f>
        <v>Sudah, OnSchedule</v>
      </c>
      <c r="Y289" s="7" t="str">
        <f ca="1">'Database MK'!GK290</f>
        <v>Sudah, OnSchedule</v>
      </c>
      <c r="Z289" s="7" t="str">
        <f ca="1">'Database MK'!HH290</f>
        <v>Belum, Delay</v>
      </c>
      <c r="AA289" s="7" t="str">
        <f ca="1">'Database MK'!HR290</f>
        <v>Belum, Delay</v>
      </c>
      <c r="AB289" s="7" t="str">
        <f ca="1">'Database MK'!HX290</f>
        <v>Belum, Delay</v>
      </c>
      <c r="AC289" s="7">
        <f>'Database MK'!DA290-'Database MK'!DB290</f>
        <v>45</v>
      </c>
      <c r="AD289" s="7">
        <f>'Database MK'!DA290-'Database MK'!DF290</f>
        <v>40</v>
      </c>
      <c r="AE289" s="7">
        <f>'Database MK'!DK290-'Database MK'!DL290</f>
        <v>81</v>
      </c>
      <c r="AF289" s="7">
        <f>'Database MK'!DK290-'Database MK'!DO290</f>
        <v>11</v>
      </c>
      <c r="AG289" s="7">
        <f>'Database MK'!DU290-'Database MK'!DW290</f>
        <v>61</v>
      </c>
      <c r="AH289" s="7" t="str">
        <f>IF('Database MK'!EB290="","Belum",'Database MK'!DU290-'Database MK'!EB290)</f>
        <v>Belum</v>
      </c>
      <c r="AI289" s="7" t="str">
        <f>IF('Database MK'!EN290="","Belum",'Database MK'!EL290-'Database MK'!EN290)</f>
        <v>Belum</v>
      </c>
      <c r="AJ289" s="7">
        <f>'Database MK'!FY290-'Database MK'!FZ290</f>
        <v>0</v>
      </c>
      <c r="AK289" s="7">
        <f>IF('Database MK'!GC290="","Belum",'Database MK'!GB290-'Database MK'!GC290)</f>
        <v>34</v>
      </c>
      <c r="AL289" s="7">
        <f>IF('Database MK'!GF290="","Belum",'Database MK'!GE290-'Database MK'!GF290)</f>
        <v>41</v>
      </c>
      <c r="AM289" s="279">
        <f>IF('Database MK'!GJ290="","Belum",'Database MK'!GI290-'Database MK'!GJ290)</f>
        <v>41</v>
      </c>
      <c r="AN289" s="7" t="str">
        <f>IF('Database MK'!HG290="","Belum",'Database MK'!HF290-'Database MK'!HG290)</f>
        <v>Belum</v>
      </c>
      <c r="AO289" s="7" t="str">
        <f>IF('Database MK'!HQ290="","Belum",'Database MK'!HN290-'Database MK'!HQ290)</f>
        <v>Belum</v>
      </c>
      <c r="AP289" s="7" t="str">
        <f>IF('Database MK'!HW290="","Belum",'Database MK'!HU290-'Database MK'!HW290)</f>
        <v>Belum</v>
      </c>
    </row>
    <row r="290" spans="2:42" s="72" customFormat="1" hidden="1" x14ac:dyDescent="0.25">
      <c r="B290" s="277">
        <f>SUBTOTAL(3,$C$4:C290)</f>
        <v>74</v>
      </c>
      <c r="C290" s="72" t="s">
        <v>244</v>
      </c>
      <c r="D290" s="72" t="s">
        <v>2302</v>
      </c>
      <c r="E290" s="72" t="s">
        <v>2303</v>
      </c>
      <c r="F290" s="272">
        <v>46113</v>
      </c>
      <c r="G290" s="72" t="s">
        <v>681</v>
      </c>
      <c r="H290" s="72" t="str">
        <f>'Database MK'!Q291</f>
        <v>BATAL / CANCEL</v>
      </c>
      <c r="I290" s="572">
        <f>'Database MK'!S291</f>
        <v>1</v>
      </c>
      <c r="J290" s="572">
        <f>'Database MK'!T291</f>
        <v>0</v>
      </c>
      <c r="K290" s="573">
        <f>'Database MK'!U291</f>
        <v>-1</v>
      </c>
      <c r="L290" s="562">
        <f>'Database MK'!V291</f>
        <v>0</v>
      </c>
      <c r="M290" s="562">
        <f>'Database MK'!W291</f>
        <v>0</v>
      </c>
      <c r="N290" s="562">
        <f>Table3[[#This Row],[Total Panjang Pipa Aktual]]-Table3[[#This Row],[Volume
BA MC-0]]</f>
        <v>0</v>
      </c>
      <c r="O290" s="277" t="str">
        <f ca="1">'Database MK'!DE291</f>
        <v>Sudah, OnSchedule</v>
      </c>
      <c r="P290" s="277">
        <f>'Database MK'!DI291</f>
        <v>0</v>
      </c>
      <c r="Q290" s="277">
        <f>'Database MK'!DN291</f>
        <v>0</v>
      </c>
      <c r="R290" s="277">
        <f>'Database MK'!DR291</f>
        <v>0</v>
      </c>
      <c r="S290" s="277">
        <f>'Database MK'!EA291</f>
        <v>0</v>
      </c>
      <c r="T290" s="277" t="str">
        <f ca="1">'Database MK'!EI291</f>
        <v>Belum, Delay</v>
      </c>
      <c r="U290" s="277" t="str">
        <f ca="1">'Database MK'!ET291</f>
        <v>Belum, Delay</v>
      </c>
      <c r="V290" s="277" t="str">
        <f ca="1">'Database MK'!GA291</f>
        <v>Belum, Delay</v>
      </c>
      <c r="W290" s="277" t="str">
        <f ca="1">'Database MK'!GD291</f>
        <v>Sudah, OnSchedule</v>
      </c>
      <c r="X290" s="277" t="str">
        <f ca="1">'Database MK'!GG291</f>
        <v>Sudah, OnSchedule</v>
      </c>
      <c r="Y290" s="277" t="str">
        <f ca="1">'Database MK'!GK291</f>
        <v>Sudah, OnSchedule</v>
      </c>
      <c r="Z290" s="277" t="str">
        <f ca="1">'Database MK'!HH291</f>
        <v>Belum, Delay</v>
      </c>
      <c r="AA290" s="277" t="str">
        <f ca="1">'Database MK'!HR291</f>
        <v>Belum, Delay</v>
      </c>
      <c r="AB290" s="277" t="str">
        <f ca="1">'Database MK'!HX291</f>
        <v>Belum, Delay</v>
      </c>
      <c r="AC290" s="277"/>
      <c r="AD290" s="277"/>
      <c r="AE290" s="277"/>
      <c r="AF290" s="277"/>
      <c r="AG290" s="277"/>
      <c r="AH290" s="277"/>
      <c r="AI290" s="277"/>
      <c r="AJ290" s="277">
        <f>'Database MK'!FY291-'Database MK'!FZ291</f>
        <v>0</v>
      </c>
      <c r="AK290" s="277"/>
      <c r="AL290" s="277"/>
      <c r="AM290" s="280"/>
      <c r="AN290" s="277"/>
      <c r="AO290" s="277"/>
      <c r="AP290" s="277"/>
    </row>
    <row r="291" spans="2:42" ht="30" hidden="1" x14ac:dyDescent="0.25">
      <c r="B291" s="7">
        <f>SUBTOTAL(3,$C$4:C291)</f>
        <v>74</v>
      </c>
      <c r="C291" s="4" t="s">
        <v>244</v>
      </c>
      <c r="D291" s="4" t="s">
        <v>2311</v>
      </c>
      <c r="E291" s="6" t="s">
        <v>2312</v>
      </c>
      <c r="F291" s="270">
        <v>46113</v>
      </c>
      <c r="G291" s="4" t="s">
        <v>681</v>
      </c>
      <c r="H291" s="4" t="str">
        <f ca="1">'Database MK'!Q292</f>
        <v>Tes Com</v>
      </c>
      <c r="I291" s="24">
        <f>'Database MK'!S292</f>
        <v>1</v>
      </c>
      <c r="J291" s="24">
        <f>'Database MK'!T292</f>
        <v>6.8644169337324076E-2</v>
      </c>
      <c r="K291" s="571">
        <f>'Database MK'!U292</f>
        <v>-0.93135583066267591</v>
      </c>
      <c r="L291" s="561">
        <f>'Database MK'!V292</f>
        <v>4051</v>
      </c>
      <c r="M291" s="561">
        <f>'Database MK'!W292</f>
        <v>3705.66</v>
      </c>
      <c r="N291" s="561">
        <f>Table3[[#This Row],[Total Panjang Pipa Aktual]]-Table3[[#This Row],[Volume
BA MC-0]]</f>
        <v>-345.34000000000015</v>
      </c>
      <c r="O291" s="7" t="str">
        <f ca="1">'Database MK'!DE292</f>
        <v>Sudah, OnSchedule</v>
      </c>
      <c r="P291" s="7" t="str">
        <f ca="1">'Database MK'!DI292</f>
        <v>Sudah, OnSchedule</v>
      </c>
      <c r="Q291" s="7" t="str">
        <f ca="1">'Database MK'!DN292</f>
        <v>Sudah, OnSchedule</v>
      </c>
      <c r="R291" s="7" t="str">
        <f ca="1">'Database MK'!DR292</f>
        <v>Sudah, Delay</v>
      </c>
      <c r="S291" s="7" t="str">
        <f ca="1">'Database MK'!EA292</f>
        <v>Sudah, OnSchedule</v>
      </c>
      <c r="T291" s="7" t="str">
        <f ca="1">'Database MK'!EI292</f>
        <v>Sudah, Delay</v>
      </c>
      <c r="U291" s="7" t="str">
        <f ca="1">'Database MK'!ET292</f>
        <v>Belum, Delay</v>
      </c>
      <c r="V291" s="7" t="str">
        <f ca="1">'Database MK'!GA292</f>
        <v>Belum, Delay</v>
      </c>
      <c r="W291" s="7" t="str">
        <f ca="1">'Database MK'!GD292</f>
        <v>Sudah, OnSchedule</v>
      </c>
      <c r="X291" s="7" t="str">
        <f ca="1">'Database MK'!GG292</f>
        <v>Sudah, OnSchedule</v>
      </c>
      <c r="Y291" s="7" t="str">
        <f ca="1">'Database MK'!GK292</f>
        <v>Sudah, OnSchedule</v>
      </c>
      <c r="Z291" s="7" t="str">
        <f ca="1">'Database MK'!HH292</f>
        <v>Sudah, Delay</v>
      </c>
      <c r="AA291" s="7" t="str">
        <f ca="1">'Database MK'!HR292</f>
        <v>Belum, Delay</v>
      </c>
      <c r="AB291" s="7" t="str">
        <f ca="1">'Database MK'!HX292</f>
        <v>Belum, Delay</v>
      </c>
      <c r="AC291" s="7">
        <f>'Database MK'!DA292-'Database MK'!DB292</f>
        <v>45</v>
      </c>
      <c r="AD291" s="7">
        <f>'Database MK'!DA292-'Database MK'!DF292</f>
        <v>34</v>
      </c>
      <c r="AE291" s="7">
        <f>'Database MK'!DK292-'Database MK'!DL292</f>
        <v>32</v>
      </c>
      <c r="AF291" s="7">
        <f>'Database MK'!DK292-'Database MK'!DO292</f>
        <v>-22</v>
      </c>
      <c r="AG291" s="7">
        <f>'Database MK'!DU292-'Database MK'!DW292</f>
        <v>11</v>
      </c>
      <c r="AH291" s="7">
        <f>IF('Database MK'!EB292="","Belum",'Database MK'!DU292-'Database MK'!EB292)</f>
        <v>-99</v>
      </c>
      <c r="AI291" s="7" t="str">
        <f>IF('Database MK'!EN292="","Belum",'Database MK'!EL292-'Database MK'!EN292)</f>
        <v>Belum</v>
      </c>
      <c r="AJ291" s="7">
        <f>'Database MK'!FY292-'Database MK'!FZ292</f>
        <v>0</v>
      </c>
      <c r="AK291" s="7">
        <f>IF('Database MK'!GC292="","Belum",'Database MK'!GB292-'Database MK'!GC292)</f>
        <v>8</v>
      </c>
      <c r="AL291" s="7">
        <f>IF('Database MK'!GF292="","Belum",'Database MK'!GE292-'Database MK'!GF292)</f>
        <v>15</v>
      </c>
      <c r="AM291" s="279">
        <f>IF('Database MK'!GJ292="","Belum",'Database MK'!GI292-'Database MK'!GJ292)</f>
        <v>9</v>
      </c>
      <c r="AN291" s="7">
        <f>IF('Database MK'!HG292="","Belum",'Database MK'!HF292-'Database MK'!HG292)</f>
        <v>-82</v>
      </c>
      <c r="AO291" s="7" t="str">
        <f>IF('Database MK'!HQ292="","Belum",'Database MK'!HN292-'Database MK'!HQ292)</f>
        <v>Belum</v>
      </c>
      <c r="AP291" s="7" t="str">
        <f>IF('Database MK'!HW292="","Belum",'Database MK'!HU292-'Database MK'!HW292)</f>
        <v>Belum</v>
      </c>
    </row>
    <row r="292" spans="2:42" hidden="1" x14ac:dyDescent="0.25">
      <c r="B292" s="7">
        <f>SUBTOTAL(3,$C$4:C292)</f>
        <v>74</v>
      </c>
      <c r="C292" s="4" t="s">
        <v>244</v>
      </c>
      <c r="D292" s="4" t="s">
        <v>2323</v>
      </c>
      <c r="E292" s="4" t="s">
        <v>2324</v>
      </c>
      <c r="F292" s="270">
        <v>46113</v>
      </c>
      <c r="G292" s="4" t="s">
        <v>681</v>
      </c>
      <c r="H292" s="4" t="str">
        <f ca="1">'Database MK'!Q293</f>
        <v>DPPP</v>
      </c>
      <c r="I292" s="24">
        <f>'Database MK'!S293</f>
        <v>1</v>
      </c>
      <c r="J292" s="24">
        <f>'Database MK'!T293</f>
        <v>1</v>
      </c>
      <c r="K292" s="571">
        <f>'Database MK'!U293</f>
        <v>0</v>
      </c>
      <c r="L292" s="561">
        <f>'Database MK'!V293</f>
        <v>314</v>
      </c>
      <c r="M292" s="561">
        <f>'Database MK'!W293</f>
        <v>314</v>
      </c>
      <c r="N292" s="561">
        <f>Table3[[#This Row],[Total Panjang Pipa Aktual]]-Table3[[#This Row],[Volume
BA MC-0]]</f>
        <v>0</v>
      </c>
      <c r="O292" s="7" t="str">
        <f ca="1">'Database MK'!DE293</f>
        <v>Sudah, OnSchedule</v>
      </c>
      <c r="P292" s="7" t="str">
        <f ca="1">'Database MK'!DI293</f>
        <v>Sudah, OnSchedule</v>
      </c>
      <c r="Q292" s="7" t="str">
        <f ca="1">'Database MK'!DN293</f>
        <v>Sudah, OnSchedule</v>
      </c>
      <c r="R292" s="7" t="str">
        <f ca="1">'Database MK'!DR293</f>
        <v>Sudah, OnSchedule</v>
      </c>
      <c r="S292" s="7" t="str">
        <f ca="1">'Database MK'!EA293</f>
        <v>Sudah, OnSchedule</v>
      </c>
      <c r="T292" s="7" t="str">
        <f ca="1">'Database MK'!EI293</f>
        <v>Sudah, Delay</v>
      </c>
      <c r="U292" s="7" t="str">
        <f ca="1">'Database MK'!ET293</f>
        <v>Sudah, Delay</v>
      </c>
      <c r="V292" s="7" t="str">
        <f ca="1">'Database MK'!GA293</f>
        <v>Belum, Delay</v>
      </c>
      <c r="W292" s="7" t="str">
        <f ca="1">'Database MK'!GD293</f>
        <v>Sudah, OnSchedule</v>
      </c>
      <c r="X292" s="7" t="str">
        <f ca="1">'Database MK'!GG293</f>
        <v>Sudah, OnSchedule</v>
      </c>
      <c r="Y292" s="7" t="str">
        <f ca="1">'Database MK'!GK293</f>
        <v>Sudah, OnSchedule</v>
      </c>
      <c r="Z292" s="7" t="str">
        <f ca="1">'Database MK'!HH293</f>
        <v>Sudah, Delay</v>
      </c>
      <c r="AA292" s="7" t="str">
        <f ca="1">'Database MK'!HR293</f>
        <v>Sudah, Delay</v>
      </c>
      <c r="AB292" s="7" t="str">
        <f ca="1">'Database MK'!HX293</f>
        <v>Sudah, Delay</v>
      </c>
      <c r="AC292" s="7">
        <f>'Database MK'!DA293-'Database MK'!DB293</f>
        <v>45</v>
      </c>
      <c r="AD292" s="7">
        <f>'Database MK'!DA293-'Database MK'!DF293</f>
        <v>34</v>
      </c>
      <c r="AE292" s="7">
        <f>'Database MK'!DK293-'Database MK'!DL293</f>
        <v>86</v>
      </c>
      <c r="AF292" s="7">
        <f>'Database MK'!DK293-'Database MK'!DO293</f>
        <v>48</v>
      </c>
      <c r="AG292" s="7">
        <f>'Database MK'!DU293-'Database MK'!DW293</f>
        <v>65</v>
      </c>
      <c r="AH292" s="7">
        <f>IF('Database MK'!EB293="","Belum",'Database MK'!DU293-'Database MK'!EB293)</f>
        <v>-99</v>
      </c>
      <c r="AI292" s="7">
        <f>IF('Database MK'!EN293="","Belum",'Database MK'!EL293-'Database MK'!EN293)</f>
        <v>-200</v>
      </c>
      <c r="AJ292" s="7">
        <f>'Database MK'!FY293-'Database MK'!FZ293</f>
        <v>0</v>
      </c>
      <c r="AK292" s="7">
        <f>IF('Database MK'!GC293="","Belum",'Database MK'!GB293-'Database MK'!GC293)</f>
        <v>8</v>
      </c>
      <c r="AL292" s="7">
        <f>IF('Database MK'!GF293="","Belum",'Database MK'!GE293-'Database MK'!GF293)</f>
        <v>15</v>
      </c>
      <c r="AM292" s="279">
        <f>IF('Database MK'!GJ293="","Belum",'Database MK'!GI293-'Database MK'!GJ293)</f>
        <v>41</v>
      </c>
      <c r="AN292" s="7">
        <f>IF('Database MK'!HG293="","Belum",'Database MK'!HF293-'Database MK'!HG293)</f>
        <v>-67</v>
      </c>
      <c r="AO292" s="7">
        <f>IF('Database MK'!HQ293="","Belum",'Database MK'!HN293-'Database MK'!HQ293)</f>
        <v>-96</v>
      </c>
      <c r="AP292" s="7">
        <f>IF('Database MK'!HW293="","Belum",'Database MK'!HU293-'Database MK'!HW293)</f>
        <v>-91</v>
      </c>
    </row>
    <row r="293" spans="2:42" s="72" customFormat="1" hidden="1" x14ac:dyDescent="0.25">
      <c r="B293" s="277">
        <f>SUBTOTAL(3,$C$4:C293)</f>
        <v>74</v>
      </c>
      <c r="C293" s="72" t="s">
        <v>244</v>
      </c>
      <c r="D293" s="72" t="s">
        <v>2332</v>
      </c>
      <c r="E293" s="72" t="s">
        <v>2333</v>
      </c>
      <c r="F293" s="272">
        <v>46113</v>
      </c>
      <c r="G293" s="72" t="s">
        <v>681</v>
      </c>
      <c r="H293" s="72" t="str">
        <f>'Database MK'!Q294</f>
        <v>BATAL / CANCEL</v>
      </c>
      <c r="I293" s="572">
        <f>'Database MK'!S294</f>
        <v>1</v>
      </c>
      <c r="J293" s="572">
        <f>'Database MK'!T294</f>
        <v>0</v>
      </c>
      <c r="K293" s="573">
        <f>'Database MK'!U294</f>
        <v>-1</v>
      </c>
      <c r="L293" s="562">
        <f>'Database MK'!V294</f>
        <v>60</v>
      </c>
      <c r="M293" s="562">
        <f>'Database MK'!W294</f>
        <v>0</v>
      </c>
      <c r="N293" s="562">
        <f>Table3[[#This Row],[Total Panjang Pipa Aktual]]-Table3[[#This Row],[Volume
BA MC-0]]</f>
        <v>-60</v>
      </c>
      <c r="O293" s="277" t="str">
        <f ca="1">'Database MK'!DE294</f>
        <v>Sudah, OnSchedule</v>
      </c>
      <c r="P293" s="277">
        <f>'Database MK'!DI294</f>
        <v>0</v>
      </c>
      <c r="Q293" s="277">
        <f>'Database MK'!DN294</f>
        <v>0</v>
      </c>
      <c r="R293" s="277">
        <f>'Database MK'!DR294</f>
        <v>0</v>
      </c>
      <c r="S293" s="277">
        <f>'Database MK'!EA294</f>
        <v>0</v>
      </c>
      <c r="T293" s="277" t="str">
        <f ca="1">'Database MK'!EI294</f>
        <v>Belum, Delay</v>
      </c>
      <c r="U293" s="277" t="str">
        <f ca="1">'Database MK'!ET294</f>
        <v>Belum, Delay</v>
      </c>
      <c r="V293" s="277" t="str">
        <f ca="1">'Database MK'!GA294</f>
        <v>Belum, Delay</v>
      </c>
      <c r="W293" s="277" t="str">
        <f ca="1">'Database MK'!GD294</f>
        <v>Sudah, Delay</v>
      </c>
      <c r="X293" s="277" t="str">
        <f ca="1">'Database MK'!GG294</f>
        <v>Sudah, OnSchedule</v>
      </c>
      <c r="Y293" s="277" t="str">
        <f ca="1">'Database MK'!GK294</f>
        <v>Sudah, OnSchedule</v>
      </c>
      <c r="Z293" s="277" t="str">
        <f ca="1">'Database MK'!HH294</f>
        <v>Belum, Delay</v>
      </c>
      <c r="AA293" s="277" t="str">
        <f ca="1">'Database MK'!HR294</f>
        <v>Belum, Delay</v>
      </c>
      <c r="AB293" s="277" t="str">
        <f ca="1">'Database MK'!HX294</f>
        <v>Belum, Delay</v>
      </c>
      <c r="AC293" s="277"/>
      <c r="AD293" s="277"/>
      <c r="AE293" s="277"/>
      <c r="AF293" s="277"/>
      <c r="AG293" s="277"/>
      <c r="AH293" s="277"/>
      <c r="AI293" s="277"/>
      <c r="AJ293" s="277">
        <f>'Database MK'!FY294-'Database MK'!FZ294</f>
        <v>0</v>
      </c>
      <c r="AK293" s="277"/>
      <c r="AL293" s="277"/>
      <c r="AM293" s="280"/>
      <c r="AN293" s="277"/>
      <c r="AO293" s="277"/>
      <c r="AP293" s="277"/>
    </row>
    <row r="294" spans="2:42" hidden="1" x14ac:dyDescent="0.25">
      <c r="B294" s="7">
        <f>SUBTOTAL(3,$C$4:C294)</f>
        <v>74</v>
      </c>
      <c r="C294" s="4" t="s">
        <v>244</v>
      </c>
      <c r="D294" s="4" t="s">
        <v>2340</v>
      </c>
      <c r="E294" s="4" t="s">
        <v>2341</v>
      </c>
      <c r="F294" s="270">
        <v>46113</v>
      </c>
      <c r="G294" s="4" t="s">
        <v>681</v>
      </c>
      <c r="H294" s="4" t="str">
        <f ca="1">'Database MK'!Q295</f>
        <v>Flushing</v>
      </c>
      <c r="I294" s="24">
        <f>'Database MK'!S295</f>
        <v>1</v>
      </c>
      <c r="J294" s="24">
        <f>'Database MK'!T295</f>
        <v>0.14636874996210567</v>
      </c>
      <c r="K294" s="571">
        <f>'Database MK'!U295</f>
        <v>-0.85363125003789431</v>
      </c>
      <c r="L294" s="561">
        <f>'Database MK'!V295</f>
        <v>125</v>
      </c>
      <c r="M294" s="561">
        <f>'Database MK'!W295</f>
        <v>120</v>
      </c>
      <c r="N294" s="561">
        <f>Table3[[#This Row],[Total Panjang Pipa Aktual]]-Table3[[#This Row],[Volume
BA MC-0]]</f>
        <v>-5</v>
      </c>
      <c r="O294" s="7" t="str">
        <f ca="1">'Database MK'!DE295</f>
        <v>Sudah, OnSchedule</v>
      </c>
      <c r="P294" s="7" t="str">
        <f ca="1">'Database MK'!DI295</f>
        <v>Sudah, OnSchedule</v>
      </c>
      <c r="Q294" s="7" t="str">
        <f ca="1">'Database MK'!DN295</f>
        <v>Sudah, OnSchedule</v>
      </c>
      <c r="R294" s="7" t="str">
        <f ca="1">'Database MK'!DR295</f>
        <v>Sudah, OnSchedule</v>
      </c>
      <c r="S294" s="7" t="str">
        <f ca="1">'Database MK'!EA295</f>
        <v>Sudah, Delay</v>
      </c>
      <c r="T294" s="7" t="str">
        <f ca="1">'Database MK'!EI295</f>
        <v>Belum, Delay</v>
      </c>
      <c r="U294" s="7" t="str">
        <f ca="1">'Database MK'!ET295</f>
        <v>Belum, Delay</v>
      </c>
      <c r="V294" s="7" t="str">
        <f ca="1">'Database MK'!GA295</f>
        <v>Belum, Delay</v>
      </c>
      <c r="W294" s="7" t="str">
        <f ca="1">'Database MK'!GD295</f>
        <v>Sudah, Delay</v>
      </c>
      <c r="X294" s="7" t="str">
        <f ca="1">'Database MK'!GG295</f>
        <v>Sudah, OnSchedule</v>
      </c>
      <c r="Y294" s="7" t="str">
        <f ca="1">'Database MK'!GK295</f>
        <v>Sudah, OnSchedule</v>
      </c>
      <c r="Z294" s="7" t="str">
        <f ca="1">'Database MK'!HH295</f>
        <v>Belum, Delay</v>
      </c>
      <c r="AA294" s="7" t="str">
        <f ca="1">'Database MK'!HR295</f>
        <v>Belum, Delay</v>
      </c>
      <c r="AB294" s="7" t="str">
        <f ca="1">'Database MK'!HX295</f>
        <v>Belum, Delay</v>
      </c>
      <c r="AC294" s="7">
        <f>'Database MK'!DA295-'Database MK'!DB295</f>
        <v>34</v>
      </c>
      <c r="AD294" s="7">
        <f>'Database MK'!DA295-'Database MK'!DF295</f>
        <v>27</v>
      </c>
      <c r="AE294" s="7">
        <f>'Database MK'!DK295-'Database MK'!DL295</f>
        <v>13</v>
      </c>
      <c r="AF294" s="7">
        <f>'Database MK'!DK295-'Database MK'!DO295</f>
        <v>4</v>
      </c>
      <c r="AG294" s="7">
        <f>'Database MK'!DU295-'Database MK'!DW295</f>
        <v>-8</v>
      </c>
      <c r="AH294" s="7" t="str">
        <f>IF('Database MK'!EB295="","Belum",'Database MK'!DU295-'Database MK'!EB295)</f>
        <v>Belum</v>
      </c>
      <c r="AI294" s="7" t="str">
        <f>IF('Database MK'!EN295="","Belum",'Database MK'!EL295-'Database MK'!EN295)</f>
        <v>Belum</v>
      </c>
      <c r="AJ294" s="7">
        <f>'Database MK'!FY295-'Database MK'!FZ295</f>
        <v>0</v>
      </c>
      <c r="AK294" s="7">
        <f>IF('Database MK'!GC295="","Belum",'Database MK'!GB295-'Database MK'!GC295)</f>
        <v>-1</v>
      </c>
      <c r="AL294" s="7">
        <f>IF('Database MK'!GF295="","Belum",'Database MK'!GE295-'Database MK'!GF295)</f>
        <v>6</v>
      </c>
      <c r="AM294" s="279">
        <f>IF('Database MK'!GJ295="","Belum",'Database MK'!GI295-'Database MK'!GJ295)</f>
        <v>13</v>
      </c>
      <c r="AN294" s="7" t="str">
        <f>IF('Database MK'!HG295="","Belum",'Database MK'!HF295-'Database MK'!HG295)</f>
        <v>Belum</v>
      </c>
      <c r="AO294" s="7" t="str">
        <f>IF('Database MK'!HQ295="","Belum",'Database MK'!HN295-'Database MK'!HQ295)</f>
        <v>Belum</v>
      </c>
      <c r="AP294" s="7" t="str">
        <f>IF('Database MK'!HW295="","Belum",'Database MK'!HU295-'Database MK'!HW295)</f>
        <v>Belum</v>
      </c>
    </row>
    <row r="295" spans="2:42" s="72" customFormat="1" hidden="1" x14ac:dyDescent="0.25">
      <c r="B295" s="277">
        <f>SUBTOTAL(3,$C$4:C295)</f>
        <v>74</v>
      </c>
      <c r="C295" s="72" t="s">
        <v>244</v>
      </c>
      <c r="D295" s="72" t="s">
        <v>2348</v>
      </c>
      <c r="E295" s="72" t="s">
        <v>2349</v>
      </c>
      <c r="F295" s="272">
        <v>46113</v>
      </c>
      <c r="G295" s="72" t="s">
        <v>681</v>
      </c>
      <c r="H295" s="72" t="str">
        <f>'Database MK'!Q296</f>
        <v>BATAL / CANCEL</v>
      </c>
      <c r="I295" s="572">
        <f>'Database MK'!S296</f>
        <v>1</v>
      </c>
      <c r="J295" s="572">
        <f>'Database MK'!T296</f>
        <v>0</v>
      </c>
      <c r="K295" s="573">
        <f>'Database MK'!U296</f>
        <v>-1</v>
      </c>
      <c r="L295" s="562">
        <f>'Database MK'!V296</f>
        <v>0</v>
      </c>
      <c r="M295" s="562">
        <f>'Database MK'!W296</f>
        <v>0</v>
      </c>
      <c r="N295" s="562">
        <f>Table3[[#This Row],[Total Panjang Pipa Aktual]]-Table3[[#This Row],[Volume
BA MC-0]]</f>
        <v>0</v>
      </c>
      <c r="O295" s="277" t="str">
        <f ca="1">'Database MK'!DE296</f>
        <v>Belum, Delay</v>
      </c>
      <c r="P295" s="277">
        <f>'Database MK'!DI296</f>
        <v>0</v>
      </c>
      <c r="Q295" s="277">
        <f>'Database MK'!DN296</f>
        <v>0</v>
      </c>
      <c r="R295" s="277">
        <f>'Database MK'!DR296</f>
        <v>0</v>
      </c>
      <c r="S295" s="277">
        <f>'Database MK'!EA296</f>
        <v>0</v>
      </c>
      <c r="T295" s="277" t="str">
        <f ca="1">'Database MK'!EI296</f>
        <v>Belum, Delay</v>
      </c>
      <c r="U295" s="277" t="str">
        <f ca="1">'Database MK'!ET296</f>
        <v>Belum, Delay</v>
      </c>
      <c r="V295" s="277" t="str">
        <f ca="1">'Database MK'!GA296</f>
        <v>Belum, Delay</v>
      </c>
      <c r="W295" s="277" t="str">
        <f ca="1">'Database MK'!GD296</f>
        <v>Sudah, OnSchedule</v>
      </c>
      <c r="X295" s="277" t="str">
        <f ca="1">'Database MK'!GG296</f>
        <v>Sudah, OnSchedule</v>
      </c>
      <c r="Y295" s="277" t="str">
        <f ca="1">'Database MK'!GK296</f>
        <v>Belum, Delay</v>
      </c>
      <c r="Z295" s="277" t="str">
        <f ca="1">'Database MK'!HH296</f>
        <v>Belum, Delay</v>
      </c>
      <c r="AA295" s="277" t="str">
        <f ca="1">'Database MK'!HR296</f>
        <v>Belum, Delay</v>
      </c>
      <c r="AB295" s="277" t="str">
        <f ca="1">'Database MK'!HX296</f>
        <v>Belum, Delay</v>
      </c>
      <c r="AC295" s="277"/>
      <c r="AD295" s="277"/>
      <c r="AE295" s="277"/>
      <c r="AF295" s="277"/>
      <c r="AG295" s="277"/>
      <c r="AH295" s="277"/>
      <c r="AI295" s="277"/>
      <c r="AJ295" s="277">
        <f>'Database MK'!FY296-'Database MK'!FZ296</f>
        <v>0</v>
      </c>
      <c r="AK295" s="277"/>
      <c r="AL295" s="277"/>
      <c r="AM295" s="280"/>
      <c r="AN295" s="277"/>
      <c r="AO295" s="277"/>
      <c r="AP295" s="277"/>
    </row>
    <row r="296" spans="2:42" hidden="1" x14ac:dyDescent="0.25">
      <c r="B296" s="7">
        <f>SUBTOTAL(3,$C$4:C296)</f>
        <v>74</v>
      </c>
      <c r="C296" s="4" t="s">
        <v>244</v>
      </c>
      <c r="D296" s="4" t="s">
        <v>2351</v>
      </c>
      <c r="E296" s="4" t="s">
        <v>2352</v>
      </c>
      <c r="F296" s="270">
        <v>46113</v>
      </c>
      <c r="G296" s="4" t="s">
        <v>681</v>
      </c>
      <c r="H296" s="4" t="str">
        <f ca="1">'Database MK'!Q297</f>
        <v>DPPP</v>
      </c>
      <c r="I296" s="24">
        <f>'Database MK'!S297</f>
        <v>1</v>
      </c>
      <c r="J296" s="24">
        <f>'Database MK'!T297</f>
        <v>1</v>
      </c>
      <c r="K296" s="571">
        <f>'Database MK'!U297</f>
        <v>0</v>
      </c>
      <c r="L296" s="561">
        <f>'Database MK'!V297</f>
        <v>112.4</v>
      </c>
      <c r="M296" s="561">
        <f>'Database MK'!W297</f>
        <v>101.7</v>
      </c>
      <c r="N296" s="561">
        <f>Table3[[#This Row],[Total Panjang Pipa Aktual]]-Table3[[#This Row],[Volume
BA MC-0]]</f>
        <v>-10.700000000000003</v>
      </c>
      <c r="O296" s="7" t="str">
        <f ca="1">'Database MK'!DE297</f>
        <v>Sudah, OnSchedule</v>
      </c>
      <c r="P296" s="7" t="str">
        <f ca="1">'Database MK'!DI297</f>
        <v>Sudah, OnSchedule</v>
      </c>
      <c r="Q296" s="7" t="str">
        <f ca="1">'Database MK'!DN297</f>
        <v>Sudah, OnSchedule</v>
      </c>
      <c r="R296" s="7" t="str">
        <f ca="1">'Database MK'!DR297</f>
        <v>Sudah, OnSchedule</v>
      </c>
      <c r="S296" s="7" t="str">
        <f ca="1">'Database MK'!EA297</f>
        <v>Sudah, Delay</v>
      </c>
      <c r="T296" s="7" t="str">
        <f ca="1">'Database MK'!EI297</f>
        <v>Sudah, Delay</v>
      </c>
      <c r="U296" s="7" t="str">
        <f ca="1">'Database MK'!ET297</f>
        <v>Sudah, Delay</v>
      </c>
      <c r="V296" s="7" t="str">
        <f ca="1">'Database MK'!GA297</f>
        <v>Belum, Delay</v>
      </c>
      <c r="W296" s="7" t="str">
        <f ca="1">'Database MK'!GD297</f>
        <v>Sudah, Delay</v>
      </c>
      <c r="X296" s="7" t="str">
        <f ca="1">'Database MK'!GG297</f>
        <v>Sudah, OnSchedule</v>
      </c>
      <c r="Y296" s="7" t="str">
        <f ca="1">'Database MK'!GK297</f>
        <v>Sudah, OnSchedule</v>
      </c>
      <c r="Z296" s="7" t="str">
        <f ca="1">'Database MK'!HH297</f>
        <v>Sudah, Delay</v>
      </c>
      <c r="AA296" s="7" t="str">
        <f ca="1">'Database MK'!HR297</f>
        <v>Sudah, Delay</v>
      </c>
      <c r="AB296" s="7" t="str">
        <f ca="1">'Database MK'!HX297</f>
        <v>Sudah, Delay</v>
      </c>
      <c r="AC296" s="7">
        <f>'Database MK'!DA297-'Database MK'!DB297</f>
        <v>34</v>
      </c>
      <c r="AD296" s="7">
        <f>'Database MK'!DA297-'Database MK'!DF297</f>
        <v>30</v>
      </c>
      <c r="AE296" s="7">
        <f>'Database MK'!DK297-'Database MK'!DL297</f>
        <v>13</v>
      </c>
      <c r="AF296" s="7">
        <f>'Database MK'!DK297-'Database MK'!DO297</f>
        <v>3</v>
      </c>
      <c r="AG296" s="7">
        <f>'Database MK'!DU297-'Database MK'!DW297</f>
        <v>-8</v>
      </c>
      <c r="AH296" s="7">
        <f>IF('Database MK'!EB297="","Belum",'Database MK'!DU297-'Database MK'!EB297)</f>
        <v>-73</v>
      </c>
      <c r="AI296" s="7">
        <f>IF('Database MK'!EN297="","Belum",'Database MK'!EL297-'Database MK'!EN297)</f>
        <v>-80</v>
      </c>
      <c r="AJ296" s="7">
        <f>'Database MK'!FY297-'Database MK'!FZ297</f>
        <v>0</v>
      </c>
      <c r="AK296" s="7">
        <f>IF('Database MK'!GC297="","Belum",'Database MK'!GB297-'Database MK'!GC297)</f>
        <v>-1</v>
      </c>
      <c r="AL296" s="7">
        <f>IF('Database MK'!GF297="","Belum",'Database MK'!GE297-'Database MK'!GF297)</f>
        <v>6</v>
      </c>
      <c r="AM296" s="279">
        <f>IF('Database MK'!GJ297="","Belum",'Database MK'!GI297-'Database MK'!GJ297)</f>
        <v>11</v>
      </c>
      <c r="AN296" s="7">
        <f>IF('Database MK'!HG297="","Belum",'Database MK'!HF297-'Database MK'!HG297)</f>
        <v>-78</v>
      </c>
      <c r="AO296" s="7">
        <f>IF('Database MK'!HQ297="","Belum",'Database MK'!HN297-'Database MK'!HQ297)</f>
        <v>-85</v>
      </c>
      <c r="AP296" s="7">
        <f>IF('Database MK'!HW297="","Belum",'Database MK'!HU297-'Database MK'!HW297)</f>
        <v>-82</v>
      </c>
    </row>
    <row r="297" spans="2:42" hidden="1" x14ac:dyDescent="0.25">
      <c r="B297" s="7">
        <f>SUBTOTAL(3,$C$4:C297)</f>
        <v>74</v>
      </c>
      <c r="C297" s="4" t="s">
        <v>244</v>
      </c>
      <c r="D297" s="4" t="s">
        <v>2360</v>
      </c>
      <c r="E297" s="4" t="s">
        <v>2361</v>
      </c>
      <c r="F297" s="270">
        <v>46113</v>
      </c>
      <c r="G297" s="4" t="s">
        <v>681</v>
      </c>
      <c r="H297" s="4" t="str">
        <f ca="1">'Database MK'!Q298</f>
        <v>DPPP</v>
      </c>
      <c r="I297" s="24">
        <f>'Database MK'!S298</f>
        <v>1</v>
      </c>
      <c r="J297" s="24">
        <f>'Database MK'!T298</f>
        <v>1</v>
      </c>
      <c r="K297" s="571">
        <f>'Database MK'!U298</f>
        <v>0</v>
      </c>
      <c r="L297" s="561">
        <f>'Database MK'!V298</f>
        <v>50</v>
      </c>
      <c r="M297" s="561">
        <f>'Database MK'!W298</f>
        <v>50</v>
      </c>
      <c r="N297" s="561">
        <f>Table3[[#This Row],[Total Panjang Pipa Aktual]]-Table3[[#This Row],[Volume
BA MC-0]]</f>
        <v>0</v>
      </c>
      <c r="O297" s="7" t="str">
        <f ca="1">'Database MK'!DE298</f>
        <v>Sudah, OnSchedule</v>
      </c>
      <c r="P297" s="7" t="str">
        <f ca="1">'Database MK'!DI298</f>
        <v>Sudah, OnSchedule</v>
      </c>
      <c r="Q297" s="7" t="str">
        <f ca="1">'Database MK'!DN298</f>
        <v>Sudah, OnSchedule</v>
      </c>
      <c r="R297" s="7" t="str">
        <f ca="1">'Database MK'!DR298</f>
        <v>Sudah, OnSchedule</v>
      </c>
      <c r="S297" s="7" t="str">
        <f ca="1">'Database MK'!EA298</f>
        <v>Sudah, Delay</v>
      </c>
      <c r="T297" s="7" t="str">
        <f ca="1">'Database MK'!EI298</f>
        <v>Sudah, Delay</v>
      </c>
      <c r="U297" s="7" t="str">
        <f ca="1">'Database MK'!ET298</f>
        <v>Sudah, Delay</v>
      </c>
      <c r="V297" s="7" t="str">
        <f ca="1">'Database MK'!GA298</f>
        <v>Belum, Delay</v>
      </c>
      <c r="W297" s="7" t="str">
        <f ca="1">'Database MK'!GD298</f>
        <v>Sudah, OnSchedule</v>
      </c>
      <c r="X297" s="7" t="str">
        <f ca="1">'Database MK'!GG298</f>
        <v>Sudah, OnSchedule</v>
      </c>
      <c r="Y297" s="7" t="str">
        <f ca="1">'Database MK'!GK298</f>
        <v>Sudah, OnSchedule</v>
      </c>
      <c r="Z297" s="7" t="str">
        <f ca="1">'Database MK'!HH298</f>
        <v>Sudah, Delay</v>
      </c>
      <c r="AA297" s="7" t="str">
        <f ca="1">'Database MK'!HR298</f>
        <v>Sudah, Delay</v>
      </c>
      <c r="AB297" s="7" t="str">
        <f ca="1">'Database MK'!HX298</f>
        <v>Sudah, Delay</v>
      </c>
      <c r="AC297" s="7">
        <f>'Database MK'!DA298-'Database MK'!DB298</f>
        <v>33</v>
      </c>
      <c r="AD297" s="7">
        <f>'Database MK'!DA298-'Database MK'!DF298</f>
        <v>26</v>
      </c>
      <c r="AE297" s="7">
        <f>'Database MK'!DK298-'Database MK'!DL298</f>
        <v>13</v>
      </c>
      <c r="AF297" s="7">
        <f>'Database MK'!DK298-'Database MK'!DO298</f>
        <v>6</v>
      </c>
      <c r="AG297" s="7">
        <f>'Database MK'!DU298-'Database MK'!DW298</f>
        <v>-8</v>
      </c>
      <c r="AH297" s="7">
        <f>IF('Database MK'!EB298="","Belum",'Database MK'!DU298-'Database MK'!EB298)</f>
        <v>-71</v>
      </c>
      <c r="AI297" s="7">
        <f>IF('Database MK'!EN298="","Belum",'Database MK'!EL298-'Database MK'!EN298)</f>
        <v>-67</v>
      </c>
      <c r="AJ297" s="7">
        <f>'Database MK'!FY298-'Database MK'!FZ298</f>
        <v>0</v>
      </c>
      <c r="AK297" s="7">
        <f>IF('Database MK'!GC298="","Belum",'Database MK'!GB298-'Database MK'!GC298)</f>
        <v>49</v>
      </c>
      <c r="AL297" s="7">
        <f>IF('Database MK'!GF298="","Belum",'Database MK'!GE298-'Database MK'!GF298)</f>
        <v>56</v>
      </c>
      <c r="AM297" s="279">
        <f>IF('Database MK'!GJ298="","Belum",'Database MK'!GI298-'Database MK'!GJ298)</f>
        <v>26</v>
      </c>
      <c r="AN297" s="7">
        <f>IF('Database MK'!HG298="","Belum",'Database MK'!HF298-'Database MK'!HG298)</f>
        <v>-30</v>
      </c>
      <c r="AO297" s="7">
        <f>IF('Database MK'!HQ298="","Belum",'Database MK'!HN298-'Database MK'!HQ298)</f>
        <v>-85</v>
      </c>
      <c r="AP297" s="7">
        <f>IF('Database MK'!HW298="","Belum",'Database MK'!HU298-'Database MK'!HW298)</f>
        <v>-81</v>
      </c>
    </row>
    <row r="298" spans="2:42" hidden="1" x14ac:dyDescent="0.25">
      <c r="B298" s="7">
        <f>SUBTOTAL(3,$C$4:C298)</f>
        <v>74</v>
      </c>
      <c r="C298" s="4" t="s">
        <v>244</v>
      </c>
      <c r="D298" s="4" t="s">
        <v>2369</v>
      </c>
      <c r="E298" s="4" t="s">
        <v>2370</v>
      </c>
      <c r="F298" s="270">
        <v>46113</v>
      </c>
      <c r="G298" s="4" t="s">
        <v>681</v>
      </c>
      <c r="H298" s="4" t="str">
        <f ca="1">'Database MK'!Q299</f>
        <v>DPPP</v>
      </c>
      <c r="I298" s="24">
        <f>'Database MK'!S299</f>
        <v>1</v>
      </c>
      <c r="J298" s="24">
        <f>'Database MK'!T299</f>
        <v>1</v>
      </c>
      <c r="K298" s="571">
        <f>'Database MK'!U299</f>
        <v>0</v>
      </c>
      <c r="L298" s="561">
        <f>'Database MK'!V299</f>
        <v>217</v>
      </c>
      <c r="M298" s="561">
        <f>'Database MK'!W299</f>
        <v>171</v>
      </c>
      <c r="N298" s="561">
        <f>Table3[[#This Row],[Total Panjang Pipa Aktual]]-Table3[[#This Row],[Volume
BA MC-0]]</f>
        <v>-46</v>
      </c>
      <c r="O298" s="7" t="str">
        <f ca="1">'Database MK'!DE299</f>
        <v>Sudah, OnSchedule</v>
      </c>
      <c r="P298" s="7" t="str">
        <f ca="1">'Database MK'!DI299</f>
        <v>Sudah, OnSchedule</v>
      </c>
      <c r="Q298" s="7" t="str">
        <f ca="1">'Database MK'!DN299</f>
        <v>Sudah, OnSchedule</v>
      </c>
      <c r="R298" s="7" t="str">
        <f ca="1">'Database MK'!DR299</f>
        <v>Sudah, OnSchedule</v>
      </c>
      <c r="S298" s="7" t="str">
        <f ca="1">'Database MK'!EA299</f>
        <v>Sudah, OnSchedule</v>
      </c>
      <c r="T298" s="7" t="str">
        <f ca="1">'Database MK'!EI299</f>
        <v>Sudah, Delay</v>
      </c>
      <c r="U298" s="7" t="str">
        <f ca="1">'Database MK'!ET299</f>
        <v>Sudah, Delay</v>
      </c>
      <c r="V298" s="7" t="str">
        <f ca="1">'Database MK'!GA299</f>
        <v>Belum, Delay</v>
      </c>
      <c r="W298" s="7" t="str">
        <f ca="1">'Database MK'!GD299</f>
        <v>Sudah, OnSchedule</v>
      </c>
      <c r="X298" s="7" t="str">
        <f ca="1">'Database MK'!GG299</f>
        <v>Sudah, OnSchedule</v>
      </c>
      <c r="Y298" s="7" t="str">
        <f ca="1">'Database MK'!GK299</f>
        <v>Sudah, OnSchedule</v>
      </c>
      <c r="Z298" s="7" t="str">
        <f ca="1">'Database MK'!HH299</f>
        <v>Sudah, Delay</v>
      </c>
      <c r="AA298" s="7" t="str">
        <f ca="1">'Database MK'!HR299</f>
        <v>Sudah, Delay</v>
      </c>
      <c r="AB298" s="7" t="str">
        <f ca="1">'Database MK'!HX299</f>
        <v>Sudah, Delay</v>
      </c>
      <c r="AC298" s="7">
        <f>'Database MK'!DA299-'Database MK'!DB299</f>
        <v>26</v>
      </c>
      <c r="AD298" s="7">
        <f>'Database MK'!DA299-'Database MK'!DF299</f>
        <v>9</v>
      </c>
      <c r="AE298" s="7">
        <f>'Database MK'!DK299-'Database MK'!DL299</f>
        <v>46</v>
      </c>
      <c r="AF298" s="7">
        <f>'Database MK'!DK299-'Database MK'!DO299</f>
        <v>10</v>
      </c>
      <c r="AG298" s="7">
        <f>'Database MK'!DU299-'Database MK'!DW299</f>
        <v>25</v>
      </c>
      <c r="AH298" s="7">
        <f>IF('Database MK'!EB299="","Belum",'Database MK'!DU299-'Database MK'!EB299)</f>
        <v>-192</v>
      </c>
      <c r="AI298" s="7">
        <f>IF('Database MK'!EN299="","Belum",'Database MK'!EL299-'Database MK'!EN299)</f>
        <v>-164</v>
      </c>
      <c r="AJ298" s="7">
        <f>'Database MK'!FY299-'Database MK'!FZ299</f>
        <v>0</v>
      </c>
      <c r="AK298" s="7">
        <f>IF('Database MK'!GC299="","Belum",'Database MK'!GB299-'Database MK'!GC299)</f>
        <v>49</v>
      </c>
      <c r="AL298" s="7">
        <f>IF('Database MK'!GF299="","Belum",'Database MK'!GE299-'Database MK'!GF299)</f>
        <v>56</v>
      </c>
      <c r="AM298" s="279">
        <f>IF('Database MK'!GJ299="","Belum",'Database MK'!GI299-'Database MK'!GJ299)</f>
        <v>65</v>
      </c>
      <c r="AN298" s="7">
        <f>IF('Database MK'!HG299="","Belum",'Database MK'!HF299-'Database MK'!HG299)</f>
        <v>-31</v>
      </c>
      <c r="AO298" s="7">
        <f>IF('Database MK'!HQ299="","Belum",'Database MK'!HN299-'Database MK'!HQ299)</f>
        <v>-82</v>
      </c>
      <c r="AP298" s="7">
        <f>IF('Database MK'!HW299="","Belum",'Database MK'!HU299-'Database MK'!HW299)</f>
        <v>-81</v>
      </c>
    </row>
    <row r="299" spans="2:42" s="72" customFormat="1" hidden="1" x14ac:dyDescent="0.25">
      <c r="B299" s="277">
        <f>SUBTOTAL(3,$C$4:C299)</f>
        <v>74</v>
      </c>
      <c r="C299" s="72" t="s">
        <v>244</v>
      </c>
      <c r="D299" s="72" t="s">
        <v>2378</v>
      </c>
      <c r="E299" s="72" t="s">
        <v>2379</v>
      </c>
      <c r="F299" s="272">
        <v>46113</v>
      </c>
      <c r="G299" s="72" t="s">
        <v>681</v>
      </c>
      <c r="H299" s="72" t="str">
        <f>'Database MK'!Q300</f>
        <v>BATAL / CANCEL</v>
      </c>
      <c r="I299" s="572">
        <f>'Database MK'!S300</f>
        <v>1</v>
      </c>
      <c r="J299" s="572">
        <f>'Database MK'!T300</f>
        <v>0</v>
      </c>
      <c r="K299" s="573">
        <f>'Database MK'!U300</f>
        <v>-1</v>
      </c>
      <c r="L299" s="562">
        <f>'Database MK'!V300</f>
        <v>401.5</v>
      </c>
      <c r="M299" s="562">
        <f>'Database MK'!W300</f>
        <v>0</v>
      </c>
      <c r="N299" s="562">
        <f>Table3[[#This Row],[Total Panjang Pipa Aktual]]-Table3[[#This Row],[Volume
BA MC-0]]</f>
        <v>-401.5</v>
      </c>
      <c r="O299" s="277" t="str">
        <f ca="1">'Database MK'!DE300</f>
        <v>Sudah, OnSchedule</v>
      </c>
      <c r="P299" s="277">
        <f>'Database MK'!DI300</f>
        <v>0</v>
      </c>
      <c r="Q299" s="277">
        <f>'Database MK'!DN300</f>
        <v>0</v>
      </c>
      <c r="R299" s="277">
        <f>'Database MK'!DR300</f>
        <v>0</v>
      </c>
      <c r="S299" s="277">
        <f>'Database MK'!EA300</f>
        <v>0</v>
      </c>
      <c r="T299" s="277" t="str">
        <f ca="1">'Database MK'!EI300</f>
        <v>Belum, Delay</v>
      </c>
      <c r="U299" s="277" t="str">
        <f ca="1">'Database MK'!ET300</f>
        <v>Belum, Delay</v>
      </c>
      <c r="V299" s="277" t="str">
        <f ca="1">'Database MK'!GA300</f>
        <v>Belum, Delay</v>
      </c>
      <c r="W299" s="277" t="str">
        <f ca="1">'Database MK'!GD300</f>
        <v>Sudah, OnSchedule</v>
      </c>
      <c r="X299" s="277" t="str">
        <f ca="1">'Database MK'!GG300</f>
        <v>Sudah, OnSchedule</v>
      </c>
      <c r="Y299" s="277" t="str">
        <f ca="1">'Database MK'!GK300</f>
        <v>Sudah, OnSchedule</v>
      </c>
      <c r="Z299" s="277" t="str">
        <f ca="1">'Database MK'!HH300</f>
        <v>Belum, Delay</v>
      </c>
      <c r="AA299" s="277" t="str">
        <f ca="1">'Database MK'!HR300</f>
        <v>Belum, Delay</v>
      </c>
      <c r="AB299" s="277" t="str">
        <f ca="1">'Database MK'!HX300</f>
        <v>Belum, Delay</v>
      </c>
      <c r="AC299" s="277"/>
      <c r="AD299" s="277"/>
      <c r="AE299" s="277"/>
      <c r="AF299" s="277"/>
      <c r="AG299" s="277"/>
      <c r="AH299" s="277"/>
      <c r="AI299" s="277"/>
      <c r="AJ299" s="277">
        <f>'Database MK'!FY300-'Database MK'!FZ300</f>
        <v>0</v>
      </c>
      <c r="AK299" s="277"/>
      <c r="AL299" s="277"/>
      <c r="AM299" s="280"/>
      <c r="AN299" s="277"/>
      <c r="AO299" s="277"/>
      <c r="AP299" s="277"/>
    </row>
    <row r="300" spans="2:42" s="72" customFormat="1" hidden="1" x14ac:dyDescent="0.25">
      <c r="B300" s="277">
        <f>SUBTOTAL(3,$C$4:C300)</f>
        <v>74</v>
      </c>
      <c r="C300" s="72" t="s">
        <v>244</v>
      </c>
      <c r="D300" s="72" t="s">
        <v>2385</v>
      </c>
      <c r="E300" s="72" t="s">
        <v>2386</v>
      </c>
      <c r="F300" s="272">
        <v>46113</v>
      </c>
      <c r="G300" s="72" t="s">
        <v>681</v>
      </c>
      <c r="H300" s="72" t="str">
        <f>'Database MK'!Q301</f>
        <v>BATAL / CANCEL</v>
      </c>
      <c r="I300" s="572">
        <f>'Database MK'!S301</f>
        <v>1</v>
      </c>
      <c r="J300" s="572">
        <f>'Database MK'!T301</f>
        <v>0</v>
      </c>
      <c r="K300" s="573">
        <f>'Database MK'!U301</f>
        <v>-1</v>
      </c>
      <c r="L300" s="562">
        <f>'Database MK'!V301</f>
        <v>115</v>
      </c>
      <c r="M300" s="562">
        <f>'Database MK'!W301</f>
        <v>0</v>
      </c>
      <c r="N300" s="562">
        <f>Table3[[#This Row],[Total Panjang Pipa Aktual]]-Table3[[#This Row],[Volume
BA MC-0]]</f>
        <v>-115</v>
      </c>
      <c r="O300" s="277" t="str">
        <f ca="1">'Database MK'!DE301</f>
        <v>Sudah, OnSchedule</v>
      </c>
      <c r="P300" s="277">
        <f>'Database MK'!DI301</f>
        <v>0</v>
      </c>
      <c r="Q300" s="277">
        <f>'Database MK'!DN301</f>
        <v>0</v>
      </c>
      <c r="R300" s="277">
        <f>'Database MK'!DR301</f>
        <v>0</v>
      </c>
      <c r="S300" s="277">
        <f>'Database MK'!EA301</f>
        <v>0</v>
      </c>
      <c r="T300" s="277" t="str">
        <f ca="1">'Database MK'!EI301</f>
        <v>Belum, Delay</v>
      </c>
      <c r="U300" s="277" t="str">
        <f ca="1">'Database MK'!ET301</f>
        <v>Belum, Delay</v>
      </c>
      <c r="V300" s="277" t="str">
        <f ca="1">'Database MK'!GA301</f>
        <v>Belum, Delay</v>
      </c>
      <c r="W300" s="277" t="str">
        <f ca="1">'Database MK'!GD301</f>
        <v>Sudah, OnSchedule</v>
      </c>
      <c r="X300" s="277" t="str">
        <f ca="1">'Database MK'!GG301</f>
        <v>Sudah, OnSchedule</v>
      </c>
      <c r="Y300" s="277" t="str">
        <f ca="1">'Database MK'!GK301</f>
        <v>Sudah, OnSchedule</v>
      </c>
      <c r="Z300" s="277" t="str">
        <f ca="1">'Database MK'!HH301</f>
        <v>Belum, Delay</v>
      </c>
      <c r="AA300" s="277" t="str">
        <f ca="1">'Database MK'!HR301</f>
        <v>Belum, Delay</v>
      </c>
      <c r="AB300" s="277" t="str">
        <f ca="1">'Database MK'!HX301</f>
        <v>Belum, Delay</v>
      </c>
      <c r="AC300" s="277"/>
      <c r="AD300" s="277"/>
      <c r="AE300" s="277"/>
      <c r="AF300" s="277"/>
      <c r="AG300" s="277"/>
      <c r="AH300" s="277"/>
      <c r="AI300" s="277"/>
      <c r="AJ300" s="277">
        <f>'Database MK'!FY301-'Database MK'!FZ301</f>
        <v>0</v>
      </c>
      <c r="AK300" s="277"/>
      <c r="AL300" s="277"/>
      <c r="AM300" s="280"/>
      <c r="AN300" s="277"/>
      <c r="AO300" s="277"/>
      <c r="AP300" s="277"/>
    </row>
    <row r="301" spans="2:42" hidden="1" x14ac:dyDescent="0.25">
      <c r="B301" s="7">
        <f>SUBTOTAL(3,$C$4:C301)</f>
        <v>74</v>
      </c>
      <c r="C301" s="4" t="s">
        <v>244</v>
      </c>
      <c r="D301" s="4" t="s">
        <v>2392</v>
      </c>
      <c r="E301" s="4" t="s">
        <v>2393</v>
      </c>
      <c r="F301" s="270">
        <v>46113</v>
      </c>
      <c r="G301" s="4" t="s">
        <v>681</v>
      </c>
      <c r="H301" s="4" t="str">
        <f ca="1">'Database MK'!Q302</f>
        <v>DPPP</v>
      </c>
      <c r="I301" s="24">
        <f>'Database MK'!S302</f>
        <v>1</v>
      </c>
      <c r="J301" s="24">
        <f>'Database MK'!T302</f>
        <v>1</v>
      </c>
      <c r="K301" s="571">
        <f>'Database MK'!U302</f>
        <v>0</v>
      </c>
      <c r="L301" s="561">
        <f>'Database MK'!V302</f>
        <v>96.5</v>
      </c>
      <c r="M301" s="561">
        <f>'Database MK'!W302</f>
        <v>83</v>
      </c>
      <c r="N301" s="561">
        <f>Table3[[#This Row],[Total Panjang Pipa Aktual]]-Table3[[#This Row],[Volume
BA MC-0]]</f>
        <v>-13.5</v>
      </c>
      <c r="O301" s="7" t="str">
        <f ca="1">'Database MK'!DE302</f>
        <v>Sudah, Delay</v>
      </c>
      <c r="P301" s="7" t="str">
        <f ca="1">'Database MK'!DI302</f>
        <v>Sudah, Delay</v>
      </c>
      <c r="Q301" s="7" t="str">
        <f ca="1">'Database MK'!DN302</f>
        <v>Sudah, Delay</v>
      </c>
      <c r="R301" s="7" t="str">
        <f ca="1">'Database MK'!DR302</f>
        <v>Sudah, Delay</v>
      </c>
      <c r="S301" s="7" t="str">
        <f ca="1">'Database MK'!EA302</f>
        <v>Sudah, Delay</v>
      </c>
      <c r="T301" s="7" t="str">
        <f ca="1">'Database MK'!EI302</f>
        <v>Sudah, Delay</v>
      </c>
      <c r="U301" s="7" t="str">
        <f ca="1">'Database MK'!ET302</f>
        <v>Sudah, Delay</v>
      </c>
      <c r="V301" s="7" t="str">
        <f ca="1">'Database MK'!GA302</f>
        <v>Belum, Delay</v>
      </c>
      <c r="W301" s="7" t="str">
        <f ca="1">'Database MK'!GD302</f>
        <v>Sudah, Delay</v>
      </c>
      <c r="X301" s="7" t="str">
        <f ca="1">'Database MK'!GG302</f>
        <v>Sudah, Delay</v>
      </c>
      <c r="Y301" s="7" t="str">
        <f ca="1">'Database MK'!GK302</f>
        <v>Sudah, Delay</v>
      </c>
      <c r="Z301" s="7" t="str">
        <f ca="1">'Database MK'!HH302</f>
        <v>Sudah, Delay</v>
      </c>
      <c r="AA301" s="7" t="str">
        <f ca="1">'Database MK'!HR302</f>
        <v>Sudah, Delay</v>
      </c>
      <c r="AB301" s="7" t="str">
        <f ca="1">'Database MK'!HX302</f>
        <v>Sudah, Delay</v>
      </c>
      <c r="AC301" s="7">
        <f>'Database MK'!DA302-'Database MK'!DB302</f>
        <v>-50</v>
      </c>
      <c r="AD301" s="7">
        <f>'Database MK'!DA302-'Database MK'!DF302</f>
        <v>-64</v>
      </c>
      <c r="AE301" s="7">
        <f>'Database MK'!DK302-'Database MK'!DL302</f>
        <v>-8</v>
      </c>
      <c r="AF301" s="7">
        <f>'Database MK'!DK302-'Database MK'!DO302</f>
        <v>-12</v>
      </c>
      <c r="AG301" s="7">
        <f>'Database MK'!DU302-'Database MK'!DW302</f>
        <v>-29</v>
      </c>
      <c r="AH301" s="7">
        <f>IF('Database MK'!EB302="","Belum",'Database MK'!DU302-'Database MK'!EB302)</f>
        <v>-73</v>
      </c>
      <c r="AI301" s="7">
        <f>IF('Database MK'!EN302="","Belum",'Database MK'!EL302-'Database MK'!EN302)</f>
        <v>-107</v>
      </c>
      <c r="AJ301" s="7">
        <f>'Database MK'!FY302-'Database MK'!FZ302</f>
        <v>0</v>
      </c>
      <c r="AK301" s="7">
        <f>IF('Database MK'!GC302="","Belum",'Database MK'!GB302-'Database MK'!GC302)</f>
        <v>-20</v>
      </c>
      <c r="AL301" s="7">
        <f>IF('Database MK'!GF302="","Belum",'Database MK'!GE302-'Database MK'!GF302)</f>
        <v>-13</v>
      </c>
      <c r="AM301" s="279">
        <f>IF('Database MK'!GJ302="","Belum",'Database MK'!GI302-'Database MK'!GJ302)</f>
        <v>-5</v>
      </c>
      <c r="AN301" s="7">
        <f>IF('Database MK'!HG302="","Belum",'Database MK'!HF302-'Database MK'!HG302)</f>
        <v>-36</v>
      </c>
      <c r="AO301" s="7">
        <f>IF('Database MK'!HQ302="","Belum",'Database MK'!HN302-'Database MK'!HQ302)</f>
        <v>-85</v>
      </c>
      <c r="AP301" s="7">
        <f>IF('Database MK'!HW302="","Belum",'Database MK'!HU302-'Database MK'!HW302)</f>
        <v>-81</v>
      </c>
    </row>
    <row r="302" spans="2:42" hidden="1" x14ac:dyDescent="0.25">
      <c r="B302" s="7">
        <f>SUBTOTAL(3,$C$4:C302)</f>
        <v>74</v>
      </c>
      <c r="C302" s="4" t="s">
        <v>244</v>
      </c>
      <c r="D302" s="4" t="s">
        <v>2400</v>
      </c>
      <c r="E302" s="4" t="s">
        <v>2401</v>
      </c>
      <c r="F302" s="270">
        <v>46113</v>
      </c>
      <c r="G302" s="4" t="s">
        <v>681</v>
      </c>
      <c r="H302" s="4" t="str">
        <f ca="1">'Database MK'!Q303</f>
        <v>DPPP</v>
      </c>
      <c r="I302" s="24">
        <f>'Database MK'!S303</f>
        <v>1</v>
      </c>
      <c r="J302" s="24">
        <f>'Database MK'!T303</f>
        <v>1</v>
      </c>
      <c r="K302" s="571">
        <f>'Database MK'!U303</f>
        <v>0</v>
      </c>
      <c r="L302" s="561">
        <f>'Database MK'!V303</f>
        <v>268.5</v>
      </c>
      <c r="M302" s="561">
        <f>'Database MK'!W303</f>
        <v>263</v>
      </c>
      <c r="N302" s="561">
        <f>Table3[[#This Row],[Total Panjang Pipa Aktual]]-Table3[[#This Row],[Volume
BA MC-0]]</f>
        <v>-5.5</v>
      </c>
      <c r="O302" s="7" t="str">
        <f ca="1">'Database MK'!DE303</f>
        <v>Sudah, OnSchedule</v>
      </c>
      <c r="P302" s="7" t="str">
        <f ca="1">'Database MK'!DI303</f>
        <v>Sudah, OnSchedule</v>
      </c>
      <c r="Q302" s="7" t="str">
        <f ca="1">'Database MK'!DN303</f>
        <v>Sudah, OnSchedule</v>
      </c>
      <c r="R302" s="7" t="str">
        <f ca="1">'Database MK'!DR303</f>
        <v>Sudah, OnSchedule</v>
      </c>
      <c r="S302" s="7" t="str">
        <f ca="1">'Database MK'!EA303</f>
        <v>Sudah, OnSchedule</v>
      </c>
      <c r="T302" s="7" t="str">
        <f ca="1">'Database MK'!EI303</f>
        <v>Sudah, Delay</v>
      </c>
      <c r="U302" s="7" t="str">
        <f ca="1">'Database MK'!ET303</f>
        <v>Sudah, Delay</v>
      </c>
      <c r="V302" s="7" t="str">
        <f ca="1">'Database MK'!GA303</f>
        <v>Belum, Delay</v>
      </c>
      <c r="W302" s="7" t="str">
        <f ca="1">'Database MK'!GD303</f>
        <v>Sudah, OnSchedule</v>
      </c>
      <c r="X302" s="7" t="str">
        <f ca="1">'Database MK'!GG303</f>
        <v>Sudah, OnSchedule</v>
      </c>
      <c r="Y302" s="7" t="str">
        <f ca="1">'Database MK'!GK303</f>
        <v>Sudah, OnSchedule</v>
      </c>
      <c r="Z302" s="7" t="str">
        <f ca="1">'Database MK'!HH303</f>
        <v>Sudah, Delay</v>
      </c>
      <c r="AA302" s="7" t="str">
        <f ca="1">'Database MK'!HR303</f>
        <v>Sudah, Delay</v>
      </c>
      <c r="AB302" s="7" t="str">
        <f ca="1">'Database MK'!HX303</f>
        <v>Sudah, Delay</v>
      </c>
      <c r="AC302" s="7">
        <f>'Database MK'!DA303-'Database MK'!DB303</f>
        <v>28</v>
      </c>
      <c r="AD302" s="7">
        <f>'Database MK'!DA303-'Database MK'!DF303</f>
        <v>9</v>
      </c>
      <c r="AE302" s="7">
        <f>'Database MK'!DK303-'Database MK'!DL303</f>
        <v>22</v>
      </c>
      <c r="AF302" s="7">
        <f>'Database MK'!DK303-'Database MK'!DO303</f>
        <v>17</v>
      </c>
      <c r="AG302" s="7">
        <f>'Database MK'!DU303-'Database MK'!DW303</f>
        <v>1</v>
      </c>
      <c r="AH302" s="7">
        <f>IF('Database MK'!EB303="","Belum",'Database MK'!DU303-'Database MK'!EB303)</f>
        <v>-67</v>
      </c>
      <c r="AI302" s="7">
        <f>IF('Database MK'!EN303="","Belum",'Database MK'!EL303-'Database MK'!EN303)</f>
        <v>-107</v>
      </c>
      <c r="AJ302" s="7">
        <f>'Database MK'!FY303-'Database MK'!FZ303</f>
        <v>0</v>
      </c>
      <c r="AK302" s="7">
        <f>IF('Database MK'!GC303="","Belum",'Database MK'!GB303-'Database MK'!GC303)</f>
        <v>36</v>
      </c>
      <c r="AL302" s="7">
        <f>IF('Database MK'!GF303="","Belum",'Database MK'!GE303-'Database MK'!GF303)</f>
        <v>43</v>
      </c>
      <c r="AM302" s="279">
        <f>IF('Database MK'!GJ303="","Belum",'Database MK'!GI303-'Database MK'!GJ303)</f>
        <v>27</v>
      </c>
      <c r="AN302" s="7">
        <f>IF('Database MK'!HG303="","Belum",'Database MK'!HF303-'Database MK'!HG303)</f>
        <v>-30</v>
      </c>
      <c r="AO302" s="7">
        <f>IF('Database MK'!HQ303="","Belum",'Database MK'!HN303-'Database MK'!HQ303)</f>
        <v>-61</v>
      </c>
      <c r="AP302" s="7">
        <f>IF('Database MK'!HW303="","Belum",'Database MK'!HU303-'Database MK'!HW303)</f>
        <v>-61</v>
      </c>
    </row>
    <row r="303" spans="2:42" s="72" customFormat="1" hidden="1" x14ac:dyDescent="0.25">
      <c r="B303" s="277">
        <f>SUBTOTAL(3,$C$4:C303)</f>
        <v>74</v>
      </c>
      <c r="C303" s="72" t="s">
        <v>244</v>
      </c>
      <c r="D303" s="72" t="s">
        <v>2409</v>
      </c>
      <c r="E303" s="72" t="s">
        <v>2410</v>
      </c>
      <c r="F303" s="272">
        <v>46113</v>
      </c>
      <c r="G303" s="72" t="s">
        <v>681</v>
      </c>
      <c r="H303" s="72" t="str">
        <f>'Database MK'!Q304</f>
        <v>BATAL / CANCEL</v>
      </c>
      <c r="I303" s="572">
        <f>'Database MK'!S304</f>
        <v>1</v>
      </c>
      <c r="J303" s="572">
        <f>'Database MK'!T304</f>
        <v>0</v>
      </c>
      <c r="K303" s="573">
        <f>'Database MK'!U304</f>
        <v>-1</v>
      </c>
      <c r="L303" s="562">
        <f>'Database MK'!V304</f>
        <v>232.7</v>
      </c>
      <c r="M303" s="562">
        <f>'Database MK'!W304</f>
        <v>0</v>
      </c>
      <c r="N303" s="562">
        <f>Table3[[#This Row],[Total Panjang Pipa Aktual]]-Table3[[#This Row],[Volume
BA MC-0]]</f>
        <v>-232.7</v>
      </c>
      <c r="O303" s="277" t="str">
        <f ca="1">'Database MK'!DE304</f>
        <v>Sudah, OnSchedule</v>
      </c>
      <c r="P303" s="277">
        <f>'Database MK'!DI304</f>
        <v>0</v>
      </c>
      <c r="Q303" s="277">
        <f>'Database MK'!DN304</f>
        <v>0</v>
      </c>
      <c r="R303" s="277">
        <f>'Database MK'!DR304</f>
        <v>0</v>
      </c>
      <c r="S303" s="277">
        <f>'Database MK'!EA304</f>
        <v>0</v>
      </c>
      <c r="T303" s="277" t="str">
        <f ca="1">'Database MK'!EI304</f>
        <v>Belum, Delay</v>
      </c>
      <c r="U303" s="277" t="str">
        <f ca="1">'Database MK'!ET304</f>
        <v>Belum, Delay</v>
      </c>
      <c r="V303" s="277" t="str">
        <f ca="1">'Database MK'!GA304</f>
        <v>Belum, Delay</v>
      </c>
      <c r="W303" s="277" t="str">
        <f ca="1">'Database MK'!GD304</f>
        <v>Sudah, OnSchedule</v>
      </c>
      <c r="X303" s="277" t="str">
        <f ca="1">'Database MK'!GG304</f>
        <v>Sudah, OnSchedule</v>
      </c>
      <c r="Y303" s="277" t="str">
        <f ca="1">'Database MK'!GK304</f>
        <v>Sudah, OnSchedule</v>
      </c>
      <c r="Z303" s="277" t="str">
        <f ca="1">'Database MK'!HH304</f>
        <v>Belum, Delay</v>
      </c>
      <c r="AA303" s="277" t="str">
        <f ca="1">'Database MK'!HR304</f>
        <v>Belum, Delay</v>
      </c>
      <c r="AB303" s="277" t="str">
        <f ca="1">'Database MK'!HX304</f>
        <v>Belum, Delay</v>
      </c>
      <c r="AC303" s="277"/>
      <c r="AD303" s="277"/>
      <c r="AE303" s="277"/>
      <c r="AF303" s="277"/>
      <c r="AG303" s="277"/>
      <c r="AH303" s="277"/>
      <c r="AI303" s="277"/>
      <c r="AJ303" s="277">
        <f>'Database MK'!FY304-'Database MK'!FZ304</f>
        <v>0</v>
      </c>
      <c r="AK303" s="277"/>
      <c r="AL303" s="277"/>
      <c r="AM303" s="280"/>
      <c r="AN303" s="277"/>
      <c r="AO303" s="277"/>
      <c r="AP303" s="277"/>
    </row>
    <row r="304" spans="2:42" hidden="1" x14ac:dyDescent="0.25">
      <c r="B304" s="7">
        <f>SUBTOTAL(3,$C$4:C304)</f>
        <v>74</v>
      </c>
      <c r="C304" s="4" t="s">
        <v>244</v>
      </c>
      <c r="D304" s="4" t="s">
        <v>2417</v>
      </c>
      <c r="E304" s="4" t="s">
        <v>2418</v>
      </c>
      <c r="F304" s="270">
        <v>46113</v>
      </c>
      <c r="G304" s="4" t="s">
        <v>681</v>
      </c>
      <c r="H304" s="4" t="str">
        <f ca="1">'Database MK'!Q305</f>
        <v>DPPP</v>
      </c>
      <c r="I304" s="24">
        <f>'Database MK'!S305</f>
        <v>1</v>
      </c>
      <c r="J304" s="24">
        <f>'Database MK'!T305</f>
        <v>1</v>
      </c>
      <c r="K304" s="571">
        <f>'Database MK'!U305</f>
        <v>0</v>
      </c>
      <c r="L304" s="561">
        <f>'Database MK'!V305</f>
        <v>238</v>
      </c>
      <c r="M304" s="561">
        <f>'Database MK'!W305</f>
        <v>230</v>
      </c>
      <c r="N304" s="561">
        <f>Table3[[#This Row],[Total Panjang Pipa Aktual]]-Table3[[#This Row],[Volume
BA MC-0]]</f>
        <v>-8</v>
      </c>
      <c r="O304" s="7" t="str">
        <f ca="1">'Database MK'!DE305</f>
        <v>Sudah, OnSchedule</v>
      </c>
      <c r="P304" s="7" t="str">
        <f ca="1">'Database MK'!DI305</f>
        <v>Sudah, Delay</v>
      </c>
      <c r="Q304" s="7" t="str">
        <f ca="1">'Database MK'!DN305</f>
        <v>Sudah, OnSchedule</v>
      </c>
      <c r="R304" s="7" t="str">
        <f ca="1">'Database MK'!DR305</f>
        <v>Sudah, OnSchedule</v>
      </c>
      <c r="S304" s="7" t="str">
        <f ca="1">'Database MK'!EA305</f>
        <v>Sudah, Delay</v>
      </c>
      <c r="T304" s="7" t="str">
        <f ca="1">'Database MK'!EI305</f>
        <v>Sudah, Delay</v>
      </c>
      <c r="U304" s="7" t="str">
        <f ca="1">'Database MK'!ET305</f>
        <v>Sudah, Delay</v>
      </c>
      <c r="V304" s="7" t="str">
        <f ca="1">'Database MK'!GA305</f>
        <v>Belum, Delay</v>
      </c>
      <c r="W304" s="7" t="str">
        <f ca="1">'Database MK'!GD305</f>
        <v>Sudah, OnSchedule</v>
      </c>
      <c r="X304" s="7" t="str">
        <f ca="1">'Database MK'!GG305</f>
        <v>Sudah, OnSchedule</v>
      </c>
      <c r="Y304" s="7" t="str">
        <f ca="1">'Database MK'!GK305</f>
        <v>Sudah, OnSchedule</v>
      </c>
      <c r="Z304" s="7" t="str">
        <f ca="1">'Database MK'!HH305</f>
        <v>Sudah, Delay</v>
      </c>
      <c r="AA304" s="7" t="str">
        <f ca="1">'Database MK'!HR305</f>
        <v>Sudah, Delay</v>
      </c>
      <c r="AB304" s="7" t="str">
        <f ca="1">'Database MK'!HX305</f>
        <v>Sudah, Delay</v>
      </c>
      <c r="AC304" s="7">
        <f>'Database MK'!DA305-'Database MK'!DB305</f>
        <v>28</v>
      </c>
      <c r="AD304" s="7">
        <f>'Database MK'!DA305-'Database MK'!DF305</f>
        <v>-33</v>
      </c>
      <c r="AE304" s="7">
        <f>'Database MK'!DK305-'Database MK'!DL305</f>
        <v>20</v>
      </c>
      <c r="AF304" s="7">
        <f>'Database MK'!DK305-'Database MK'!DO305</f>
        <v>17</v>
      </c>
      <c r="AG304" s="7">
        <f>'Database MK'!DU305-'Database MK'!DW305</f>
        <v>-8</v>
      </c>
      <c r="AH304" s="7">
        <f>IF('Database MK'!EB305="","Belum",'Database MK'!DU305-'Database MK'!EB305)</f>
        <v>-71</v>
      </c>
      <c r="AI304" s="7">
        <f>IF('Database MK'!EN305="","Belum",'Database MK'!EL305-'Database MK'!EN305)</f>
        <v>-100</v>
      </c>
      <c r="AJ304" s="7">
        <f>'Database MK'!FY305-'Database MK'!FZ305</f>
        <v>0</v>
      </c>
      <c r="AK304" s="7">
        <f>IF('Database MK'!GC305="","Belum",'Database MK'!GB305-'Database MK'!GC305)</f>
        <v>43</v>
      </c>
      <c r="AL304" s="7">
        <f>IF('Database MK'!GF305="","Belum",'Database MK'!GE305-'Database MK'!GF305)</f>
        <v>50</v>
      </c>
      <c r="AM304" s="279">
        <f>IF('Database MK'!GJ305="","Belum",'Database MK'!GI305-'Database MK'!GJ305)</f>
        <v>34</v>
      </c>
      <c r="AN304" s="7">
        <f>IF('Database MK'!HG305="","Belum",'Database MK'!HF305-'Database MK'!HG305)</f>
        <v>-15</v>
      </c>
      <c r="AO304" s="7">
        <f>IF('Database MK'!HQ305="","Belum",'Database MK'!HN305-'Database MK'!HQ305)</f>
        <v>-60</v>
      </c>
      <c r="AP304" s="7">
        <f>IF('Database MK'!HW305="","Belum",'Database MK'!HU305-'Database MK'!HW305)</f>
        <v>-54</v>
      </c>
    </row>
    <row r="305" spans="2:42" hidden="1" x14ac:dyDescent="0.25">
      <c r="B305" s="7">
        <f>SUBTOTAL(3,$C$4:C305)</f>
        <v>74</v>
      </c>
      <c r="C305" s="4" t="s">
        <v>244</v>
      </c>
      <c r="D305" s="4" t="s">
        <v>2427</v>
      </c>
      <c r="E305" s="4" t="s">
        <v>2428</v>
      </c>
      <c r="F305" s="270">
        <v>46113</v>
      </c>
      <c r="G305" s="4" t="s">
        <v>681</v>
      </c>
      <c r="H305" s="4" t="str">
        <f ca="1">'Database MK'!Q306</f>
        <v>DPPP</v>
      </c>
      <c r="I305" s="24">
        <f>'Database MK'!S306</f>
        <v>1</v>
      </c>
      <c r="J305" s="24">
        <f>'Database MK'!T306</f>
        <v>1</v>
      </c>
      <c r="K305" s="571">
        <f>'Database MK'!U306</f>
        <v>0</v>
      </c>
      <c r="L305" s="561">
        <f>'Database MK'!V306</f>
        <v>120</v>
      </c>
      <c r="M305" s="561">
        <f>'Database MK'!W306</f>
        <v>94.5</v>
      </c>
      <c r="N305" s="561">
        <f>Table3[[#This Row],[Total Panjang Pipa Aktual]]-Table3[[#This Row],[Volume
BA MC-0]]</f>
        <v>-25.5</v>
      </c>
      <c r="O305" s="7" t="str">
        <f ca="1">'Database MK'!DE306</f>
        <v>Sudah, OnSchedule</v>
      </c>
      <c r="P305" s="7" t="str">
        <f ca="1">'Database MK'!DI306</f>
        <v>Sudah, OnSchedule</v>
      </c>
      <c r="Q305" s="7" t="str">
        <f ca="1">'Database MK'!DN306</f>
        <v>Sudah, OnSchedule</v>
      </c>
      <c r="R305" s="7" t="str">
        <f ca="1">'Database MK'!DR306</f>
        <v>Sudah, OnSchedule</v>
      </c>
      <c r="S305" s="7" t="str">
        <f ca="1">'Database MK'!EA306</f>
        <v>Sudah, OnSchedule</v>
      </c>
      <c r="T305" s="7" t="str">
        <f ca="1">'Database MK'!EI306</f>
        <v>Sudah, Delay</v>
      </c>
      <c r="U305" s="7" t="str">
        <f ca="1">'Database MK'!ET306</f>
        <v>Sudah, Delay</v>
      </c>
      <c r="V305" s="7" t="str">
        <f ca="1">'Database MK'!GA306</f>
        <v>Belum, Delay</v>
      </c>
      <c r="W305" s="7" t="str">
        <f ca="1">'Database MK'!GD306</f>
        <v>Sudah, OnSchedule</v>
      </c>
      <c r="X305" s="7" t="str">
        <f ca="1">'Database MK'!GG306</f>
        <v>Sudah, OnSchedule</v>
      </c>
      <c r="Y305" s="7" t="str">
        <f ca="1">'Database MK'!GK306</f>
        <v>Sudah, OnSchedule</v>
      </c>
      <c r="Z305" s="7" t="str">
        <f ca="1">'Database MK'!HH306</f>
        <v>Sudah, Delay</v>
      </c>
      <c r="AA305" s="7" t="str">
        <f ca="1">'Database MK'!HR306</f>
        <v>Sudah, Delay</v>
      </c>
      <c r="AB305" s="7" t="str">
        <f ca="1">'Database MK'!HX306</f>
        <v>Sudah, Delay</v>
      </c>
      <c r="AC305" s="7">
        <f>'Database MK'!DA306-'Database MK'!DB306</f>
        <v>28</v>
      </c>
      <c r="AD305" s="7">
        <f>'Database MK'!DA306-'Database MK'!DF306</f>
        <v>4</v>
      </c>
      <c r="AE305" s="7">
        <f>'Database MK'!DK306-'Database MK'!DL306</f>
        <v>59</v>
      </c>
      <c r="AF305" s="7">
        <f>'Database MK'!DK306-'Database MK'!DO306</f>
        <v>10</v>
      </c>
      <c r="AG305" s="7">
        <f>'Database MK'!DU306-'Database MK'!DW306</f>
        <v>38</v>
      </c>
      <c r="AH305" s="7">
        <f>IF('Database MK'!EB306="","Belum",'Database MK'!DU306-'Database MK'!EB306)</f>
        <v>-67</v>
      </c>
      <c r="AI305" s="7">
        <f>IF('Database MK'!EN306="","Belum",'Database MK'!EL306-'Database MK'!EN306)</f>
        <v>-107</v>
      </c>
      <c r="AJ305" s="7">
        <f>'Database MK'!FY306-'Database MK'!FZ306</f>
        <v>0</v>
      </c>
      <c r="AK305" s="7">
        <f>IF('Database MK'!GC306="","Belum",'Database MK'!GB306-'Database MK'!GC306)</f>
        <v>36</v>
      </c>
      <c r="AL305" s="7">
        <f>IF('Database MK'!GF306="","Belum",'Database MK'!GE306-'Database MK'!GF306)</f>
        <v>43</v>
      </c>
      <c r="AM305" s="279">
        <f>IF('Database MK'!GJ306="","Belum",'Database MK'!GI306-'Database MK'!GJ306)</f>
        <v>27</v>
      </c>
      <c r="AN305" s="7">
        <f>IF('Database MK'!HG306="","Belum",'Database MK'!HF306-'Database MK'!HG306)</f>
        <v>-30</v>
      </c>
      <c r="AO305" s="7">
        <f>IF('Database MK'!HQ306="","Belum",'Database MK'!HN306-'Database MK'!HQ306)</f>
        <v>-82</v>
      </c>
      <c r="AP305" s="7">
        <f>IF('Database MK'!HW306="","Belum",'Database MK'!HU306-'Database MK'!HW306)</f>
        <v>-81</v>
      </c>
    </row>
    <row r="306" spans="2:42" s="72" customFormat="1" hidden="1" x14ac:dyDescent="0.25">
      <c r="B306" s="277">
        <f>SUBTOTAL(3,$C$4:C306)</f>
        <v>74</v>
      </c>
      <c r="C306" s="72" t="s">
        <v>244</v>
      </c>
      <c r="D306" s="72" t="s">
        <v>2436</v>
      </c>
      <c r="E306" s="72" t="s">
        <v>2437</v>
      </c>
      <c r="F306" s="272">
        <v>46113</v>
      </c>
      <c r="G306" s="72" t="s">
        <v>681</v>
      </c>
      <c r="H306" s="72" t="str">
        <f>'Database MK'!Q307</f>
        <v>BATAL / CANCEL</v>
      </c>
      <c r="I306" s="572">
        <f>'Database MK'!S307</f>
        <v>1</v>
      </c>
      <c r="J306" s="572">
        <f>'Database MK'!T307</f>
        <v>0</v>
      </c>
      <c r="K306" s="573">
        <f>'Database MK'!U307</f>
        <v>-1</v>
      </c>
      <c r="L306" s="562">
        <f>'Database MK'!V307</f>
        <v>304.39999999999998</v>
      </c>
      <c r="M306" s="562">
        <f>'Database MK'!W307</f>
        <v>0</v>
      </c>
      <c r="N306" s="562">
        <f>Table3[[#This Row],[Total Panjang Pipa Aktual]]-Table3[[#This Row],[Volume
BA MC-0]]</f>
        <v>-304.39999999999998</v>
      </c>
      <c r="O306" s="277" t="str">
        <f ca="1">'Database MK'!DE307</f>
        <v>Sudah, OnSchedule</v>
      </c>
      <c r="P306" s="277">
        <f>'Database MK'!DI307</f>
        <v>0</v>
      </c>
      <c r="Q306" s="277">
        <f>'Database MK'!DN307</f>
        <v>0</v>
      </c>
      <c r="R306" s="277">
        <f>'Database MK'!DR307</f>
        <v>0</v>
      </c>
      <c r="S306" s="277">
        <f>'Database MK'!EA307</f>
        <v>0</v>
      </c>
      <c r="T306" s="277" t="str">
        <f ca="1">'Database MK'!EI307</f>
        <v>Belum, Delay</v>
      </c>
      <c r="U306" s="277" t="str">
        <f ca="1">'Database MK'!ET307</f>
        <v>Belum, Delay</v>
      </c>
      <c r="V306" s="277" t="str">
        <f ca="1">'Database MK'!GA307</f>
        <v>Belum, Delay</v>
      </c>
      <c r="W306" s="277" t="str">
        <f ca="1">'Database MK'!GD307</f>
        <v>Sudah, OnSchedule</v>
      </c>
      <c r="X306" s="277" t="str">
        <f ca="1">'Database MK'!GG307</f>
        <v>Sudah, OnSchedule</v>
      </c>
      <c r="Y306" s="277" t="str">
        <f ca="1">'Database MK'!GK307</f>
        <v>Sudah, OnSchedule</v>
      </c>
      <c r="Z306" s="277" t="str">
        <f ca="1">'Database MK'!HH307</f>
        <v>Belum, Delay</v>
      </c>
      <c r="AA306" s="277" t="str">
        <f ca="1">'Database MK'!HR307</f>
        <v>Belum, Delay</v>
      </c>
      <c r="AB306" s="277" t="str">
        <f ca="1">'Database MK'!HX307</f>
        <v>Belum, Delay</v>
      </c>
      <c r="AC306" s="277"/>
      <c r="AD306" s="277"/>
      <c r="AE306" s="277"/>
      <c r="AF306" s="277"/>
      <c r="AG306" s="277"/>
      <c r="AH306" s="277"/>
      <c r="AI306" s="277"/>
      <c r="AJ306" s="277">
        <f>'Database MK'!FY307-'Database MK'!FZ307</f>
        <v>0</v>
      </c>
      <c r="AK306" s="277"/>
      <c r="AL306" s="277"/>
      <c r="AM306" s="280"/>
      <c r="AN306" s="277"/>
      <c r="AO306" s="277"/>
      <c r="AP306" s="277"/>
    </row>
    <row r="307" spans="2:42" hidden="1" x14ac:dyDescent="0.25">
      <c r="B307" s="7">
        <f>SUBTOTAL(3,$C$4:C307)</f>
        <v>74</v>
      </c>
      <c r="C307" s="4" t="s">
        <v>244</v>
      </c>
      <c r="D307" s="4" t="s">
        <v>2445</v>
      </c>
      <c r="E307" s="4" t="s">
        <v>2446</v>
      </c>
      <c r="F307" s="270">
        <v>46113</v>
      </c>
      <c r="G307" s="4" t="s">
        <v>681</v>
      </c>
      <c r="H307" s="4" t="str">
        <f ca="1">'Database MK'!Q308</f>
        <v>Tes Com</v>
      </c>
      <c r="I307" s="24">
        <f>'Database MK'!S308</f>
        <v>1</v>
      </c>
      <c r="J307" s="24">
        <f>'Database MK'!T308</f>
        <v>1</v>
      </c>
      <c r="K307" s="571">
        <f>'Database MK'!U308</f>
        <v>0</v>
      </c>
      <c r="L307" s="561">
        <f>'Database MK'!V308</f>
        <v>274</v>
      </c>
      <c r="M307" s="561">
        <f>'Database MK'!W308</f>
        <v>262</v>
      </c>
      <c r="N307" s="561">
        <f>Table3[[#This Row],[Total Panjang Pipa Aktual]]-Table3[[#This Row],[Volume
BA MC-0]]</f>
        <v>-12</v>
      </c>
      <c r="O307" s="7" t="str">
        <f ca="1">'Database MK'!DE308</f>
        <v>Sudah, OnSchedule</v>
      </c>
      <c r="P307" s="7" t="str">
        <f ca="1">'Database MK'!DI308</f>
        <v>Sudah, Delay</v>
      </c>
      <c r="Q307" s="7" t="str">
        <f ca="1">'Database MK'!DN308</f>
        <v>Sudah, OnSchedule</v>
      </c>
      <c r="R307" s="7" t="str">
        <f ca="1">'Database MK'!DR308</f>
        <v>Sudah, Delay</v>
      </c>
      <c r="S307" s="7" t="str">
        <f ca="1">'Database MK'!EA308</f>
        <v>Sudah, Delay</v>
      </c>
      <c r="T307" s="7" t="str">
        <f ca="1">'Database MK'!EI308</f>
        <v>Belum, Delay</v>
      </c>
      <c r="U307" s="7" t="str">
        <f ca="1">'Database MK'!ET308</f>
        <v>Belum, Delay</v>
      </c>
      <c r="V307" s="7" t="str">
        <f ca="1">'Database MK'!GA308</f>
        <v>Belum, Delay</v>
      </c>
      <c r="W307" s="7" t="str">
        <f ca="1">'Database MK'!GD308</f>
        <v>Sudah, OnSchedule</v>
      </c>
      <c r="X307" s="7" t="str">
        <f ca="1">'Database MK'!GG308</f>
        <v>Sudah, OnSchedule</v>
      </c>
      <c r="Y307" s="7" t="str">
        <f ca="1">'Database MK'!GK308</f>
        <v>Sudah, OnSchedule</v>
      </c>
      <c r="Z307" s="7" t="str">
        <f ca="1">'Database MK'!HH308</f>
        <v>Sudah, Delay</v>
      </c>
      <c r="AA307" s="7" t="str">
        <f ca="1">'Database MK'!HR308</f>
        <v>Belum, Delay</v>
      </c>
      <c r="AB307" s="7" t="str">
        <f ca="1">'Database MK'!HX308</f>
        <v>Belum, Delay</v>
      </c>
      <c r="AC307" s="7">
        <f>'Database MK'!DA308-'Database MK'!DB308</f>
        <v>28</v>
      </c>
      <c r="AD307" s="7">
        <f>'Database MK'!DA308-'Database MK'!DF308</f>
        <v>-33</v>
      </c>
      <c r="AE307" s="7">
        <f>'Database MK'!DK308-'Database MK'!DL308</f>
        <v>20</v>
      </c>
      <c r="AF307" s="7">
        <f>'Database MK'!DK308-'Database MK'!DO308</f>
        <v>-3</v>
      </c>
      <c r="AG307" s="7">
        <f>'Database MK'!DU308-'Database MK'!DW308</f>
        <v>-8</v>
      </c>
      <c r="AH307" s="7" t="str">
        <f>IF('Database MK'!EB308="","Belum",'Database MK'!DU308-'Database MK'!EB308)</f>
        <v>Belum</v>
      </c>
      <c r="AI307" s="7" t="str">
        <f>IF('Database MK'!EN308="","Belum",'Database MK'!EL308-'Database MK'!EN308)</f>
        <v>Belum</v>
      </c>
      <c r="AJ307" s="7">
        <f>'Database MK'!FY308-'Database MK'!FZ308</f>
        <v>0</v>
      </c>
      <c r="AK307" s="7">
        <f>IF('Database MK'!GC308="","Belum",'Database MK'!GB308-'Database MK'!GC308)</f>
        <v>43</v>
      </c>
      <c r="AL307" s="7">
        <f>IF('Database MK'!GF308="","Belum",'Database MK'!GE308-'Database MK'!GF308)</f>
        <v>50</v>
      </c>
      <c r="AM307" s="279">
        <f>IF('Database MK'!GJ308="","Belum",'Database MK'!GI308-'Database MK'!GJ308)</f>
        <v>33</v>
      </c>
      <c r="AN307" s="7">
        <f>IF('Database MK'!HG308="","Belum",'Database MK'!HF308-'Database MK'!HG308)</f>
        <v>-136</v>
      </c>
      <c r="AO307" s="7" t="str">
        <f>IF('Database MK'!HQ308="","Belum",'Database MK'!HN308-'Database MK'!HQ308)</f>
        <v>Belum</v>
      </c>
      <c r="AP307" s="7" t="str">
        <f>IF('Database MK'!HW308="","Belum",'Database MK'!HU308-'Database MK'!HW308)</f>
        <v>Belum</v>
      </c>
    </row>
    <row r="308" spans="2:42" hidden="1" x14ac:dyDescent="0.25">
      <c r="B308" s="7">
        <f>SUBTOTAL(3,$C$4:C308)</f>
        <v>74</v>
      </c>
      <c r="C308" s="4" t="s">
        <v>244</v>
      </c>
      <c r="D308" s="4" t="s">
        <v>2453</v>
      </c>
      <c r="E308" s="4" t="s">
        <v>2454</v>
      </c>
      <c r="F308" s="270">
        <v>46113</v>
      </c>
      <c r="G308" s="4" t="s">
        <v>681</v>
      </c>
      <c r="H308" s="4" t="str">
        <f ca="1">'Database MK'!Q309</f>
        <v>DPPP</v>
      </c>
      <c r="I308" s="24">
        <f>'Database MK'!S309</f>
        <v>1</v>
      </c>
      <c r="J308" s="24">
        <f>'Database MK'!T309</f>
        <v>1</v>
      </c>
      <c r="K308" s="571">
        <f>'Database MK'!U309</f>
        <v>0</v>
      </c>
      <c r="L308" s="561">
        <f>'Database MK'!V309</f>
        <v>1668.7</v>
      </c>
      <c r="M308" s="561">
        <f>'Database MK'!W309</f>
        <v>1570</v>
      </c>
      <c r="N308" s="561">
        <f>Table3[[#This Row],[Total Panjang Pipa Aktual]]-Table3[[#This Row],[Volume
BA MC-0]]</f>
        <v>-98.700000000000045</v>
      </c>
      <c r="O308" s="7" t="str">
        <f ca="1">'Database MK'!DE309</f>
        <v>Sudah, Delay</v>
      </c>
      <c r="P308" s="7" t="str">
        <f ca="1">'Database MK'!DI309</f>
        <v>Sudah, Delay</v>
      </c>
      <c r="Q308" s="7" t="str">
        <f ca="1">'Database MK'!DN309</f>
        <v>Sudah, Delay</v>
      </c>
      <c r="R308" s="7" t="str">
        <f ca="1">'Database MK'!DR309</f>
        <v>Sudah, Delay</v>
      </c>
      <c r="S308" s="7" t="str">
        <f ca="1">'Database MK'!EA309</f>
        <v>Sudah, Delay</v>
      </c>
      <c r="T308" s="7" t="str">
        <f ca="1">'Database MK'!EI309</f>
        <v>Sudah, Delay</v>
      </c>
      <c r="U308" s="7" t="str">
        <f ca="1">'Database MK'!ET309</f>
        <v>Sudah, Delay</v>
      </c>
      <c r="V308" s="7" t="str">
        <f ca="1">'Database MK'!GA309</f>
        <v>Belum, Delay</v>
      </c>
      <c r="W308" s="7" t="str">
        <f ca="1">'Database MK'!GD309</f>
        <v>Sudah, OnSchedule</v>
      </c>
      <c r="X308" s="7" t="str">
        <f ca="1">'Database MK'!GG309</f>
        <v>Sudah, OnSchedule</v>
      </c>
      <c r="Y308" s="7" t="str">
        <f ca="1">'Database MK'!GK309</f>
        <v>Sudah, OnSchedule</v>
      </c>
      <c r="Z308" s="7" t="str">
        <f ca="1">'Database MK'!HH309</f>
        <v>Sudah, Delay</v>
      </c>
      <c r="AA308" s="7" t="str">
        <f ca="1">'Database MK'!HR309</f>
        <v>Sudah, Delay</v>
      </c>
      <c r="AB308" s="7" t="str">
        <f ca="1">'Database MK'!HX309</f>
        <v>Sudah, Delay</v>
      </c>
      <c r="AC308" s="7">
        <f>'Database MK'!DA309-'Database MK'!DB309</f>
        <v>-50</v>
      </c>
      <c r="AD308" s="7">
        <f>'Database MK'!DA309-'Database MK'!DF309</f>
        <v>-64</v>
      </c>
      <c r="AE308" s="7">
        <f>'Database MK'!DK309-'Database MK'!DL309</f>
        <v>-2</v>
      </c>
      <c r="AF308" s="7">
        <f>'Database MK'!DK309-'Database MK'!DO309</f>
        <v>-10</v>
      </c>
      <c r="AG308" s="7">
        <f>'Database MK'!DU309-'Database MK'!DW309</f>
        <v>-30</v>
      </c>
      <c r="AH308" s="7">
        <f>IF('Database MK'!EB309="","Belum",'Database MK'!DU309-'Database MK'!EB309)</f>
        <v>-74</v>
      </c>
      <c r="AI308" s="7">
        <f>IF('Database MK'!EN309="","Belum",'Database MK'!EL309-'Database MK'!EN309)</f>
        <v>-136</v>
      </c>
      <c r="AJ308" s="7">
        <f>'Database MK'!FY309-'Database MK'!FZ309</f>
        <v>0</v>
      </c>
      <c r="AK308" s="7">
        <f>IF('Database MK'!GC309="","Belum",'Database MK'!GB309-'Database MK'!GC309)</f>
        <v>43</v>
      </c>
      <c r="AL308" s="7">
        <f>IF('Database MK'!GF309="","Belum",'Database MK'!GE309-'Database MK'!GF309)</f>
        <v>50</v>
      </c>
      <c r="AM308" s="279">
        <f>IF('Database MK'!GJ309="","Belum",'Database MK'!GI309-'Database MK'!GJ309)</f>
        <v>255</v>
      </c>
      <c r="AN308" s="7">
        <f>IF('Database MK'!HG309="","Belum",'Database MK'!HF309-'Database MK'!HG309)</f>
        <v>-11</v>
      </c>
      <c r="AO308" s="7">
        <f>IF('Database MK'!HQ309="","Belum",'Database MK'!HN309-'Database MK'!HQ309)</f>
        <v>-42</v>
      </c>
      <c r="AP308" s="7">
        <f>IF('Database MK'!HW309="","Belum",'Database MK'!HU309-'Database MK'!HW309)</f>
        <v>-40</v>
      </c>
    </row>
    <row r="309" spans="2:42" hidden="1" x14ac:dyDescent="0.25">
      <c r="B309" s="7">
        <f>SUBTOTAL(3,$C$4:C309)</f>
        <v>74</v>
      </c>
      <c r="C309" s="4" t="s">
        <v>244</v>
      </c>
      <c r="D309" s="4" t="s">
        <v>2461</v>
      </c>
      <c r="E309" s="4" t="s">
        <v>2462</v>
      </c>
      <c r="F309" s="270">
        <v>46113</v>
      </c>
      <c r="G309" s="4" t="s">
        <v>681</v>
      </c>
      <c r="H309" s="4" t="str">
        <f ca="1">'Database MK'!Q310</f>
        <v>DPPP</v>
      </c>
      <c r="I309" s="24">
        <f>'Database MK'!S310</f>
        <v>1</v>
      </c>
      <c r="J309" s="24">
        <f>'Database MK'!T310</f>
        <v>1</v>
      </c>
      <c r="K309" s="571">
        <f>'Database MK'!U310</f>
        <v>0</v>
      </c>
      <c r="L309" s="561">
        <f>'Database MK'!V310</f>
        <v>90</v>
      </c>
      <c r="M309" s="561">
        <f>'Database MK'!W310</f>
        <v>90</v>
      </c>
      <c r="N309" s="561">
        <f>Table3[[#This Row],[Total Panjang Pipa Aktual]]-Table3[[#This Row],[Volume
BA MC-0]]</f>
        <v>0</v>
      </c>
      <c r="O309" s="7" t="str">
        <f ca="1">'Database MK'!DE310</f>
        <v>Sudah, OnSchedule</v>
      </c>
      <c r="P309" s="7" t="str">
        <f ca="1">'Database MK'!DI310</f>
        <v>Sudah, OnSchedule</v>
      </c>
      <c r="Q309" s="7" t="str">
        <f ca="1">'Database MK'!DN310</f>
        <v>Sudah, OnSchedule</v>
      </c>
      <c r="R309" s="7" t="str">
        <f ca="1">'Database MK'!DR310</f>
        <v>Sudah, OnSchedule</v>
      </c>
      <c r="S309" s="7" t="str">
        <f ca="1">'Database MK'!EA310</f>
        <v>Sudah, Delay</v>
      </c>
      <c r="T309" s="7" t="str">
        <f ca="1">'Database MK'!EI310</f>
        <v>Sudah, Delay</v>
      </c>
      <c r="U309" s="7" t="str">
        <f ca="1">'Database MK'!ET310</f>
        <v>Sudah, Delay</v>
      </c>
      <c r="V309" s="7" t="str">
        <f ca="1">'Database MK'!GA310</f>
        <v>Belum, Delay</v>
      </c>
      <c r="W309" s="7" t="str">
        <f ca="1">'Database MK'!GD310</f>
        <v>Sudah, Delay</v>
      </c>
      <c r="X309" s="7" t="str">
        <f ca="1">'Database MK'!GG310</f>
        <v>Sudah, OnSchedule</v>
      </c>
      <c r="Y309" s="7" t="str">
        <f ca="1">'Database MK'!GK310</f>
        <v>Sudah, OnSchedule</v>
      </c>
      <c r="Z309" s="7" t="str">
        <f ca="1">'Database MK'!HH310</f>
        <v>Sudah, Delay</v>
      </c>
      <c r="AA309" s="7" t="str">
        <f ca="1">'Database MK'!HR310</f>
        <v>Sudah, Delay</v>
      </c>
      <c r="AB309" s="7" t="str">
        <f ca="1">'Database MK'!HX310</f>
        <v>Sudah, Delay</v>
      </c>
      <c r="AC309" s="7">
        <f>'Database MK'!DA310-'Database MK'!DB310</f>
        <v>26</v>
      </c>
      <c r="AD309" s="7">
        <f>'Database MK'!DA310-'Database MK'!DF310</f>
        <v>4</v>
      </c>
      <c r="AE309" s="7">
        <f>'Database MK'!DK310-'Database MK'!DL310</f>
        <v>16</v>
      </c>
      <c r="AF309" s="7">
        <f>'Database MK'!DK310-'Database MK'!DO310</f>
        <v>6</v>
      </c>
      <c r="AG309" s="7">
        <f>'Database MK'!DU310-'Database MK'!DW310</f>
        <v>-5</v>
      </c>
      <c r="AH309" s="7">
        <f>IF('Database MK'!EB310="","Belum",'Database MK'!DU310-'Database MK'!EB310)</f>
        <v>-71</v>
      </c>
      <c r="AI309" s="7">
        <f>IF('Database MK'!EN310="","Belum",'Database MK'!EL310-'Database MK'!EN310)</f>
        <v>-77</v>
      </c>
      <c r="AJ309" s="7">
        <f>'Database MK'!FY310-'Database MK'!FZ310</f>
        <v>0</v>
      </c>
      <c r="AK309" s="7">
        <f>IF('Database MK'!GC310="","Belum",'Database MK'!GB310-'Database MK'!GC310)</f>
        <v>-1</v>
      </c>
      <c r="AL309" s="7">
        <f>IF('Database MK'!GF310="","Belum",'Database MK'!GE310-'Database MK'!GF310)</f>
        <v>6</v>
      </c>
      <c r="AM309" s="279">
        <f>IF('Database MK'!GJ310="","Belum",'Database MK'!GI310-'Database MK'!GJ310)</f>
        <v>13</v>
      </c>
      <c r="AN309" s="7">
        <f>IF('Database MK'!HG310="","Belum",'Database MK'!HF310-'Database MK'!HG310)</f>
        <v>-78</v>
      </c>
      <c r="AO309" s="7">
        <f>IF('Database MK'!HQ310="","Belum",'Database MK'!HN310-'Database MK'!HQ310)</f>
        <v>-88</v>
      </c>
      <c r="AP309" s="7">
        <f>IF('Database MK'!HW310="","Belum",'Database MK'!HU310-'Database MK'!HW310)</f>
        <v>-82</v>
      </c>
    </row>
    <row r="310" spans="2:42" hidden="1" x14ac:dyDescent="0.25">
      <c r="B310" s="7">
        <f>SUBTOTAL(3,$C$4:C310)</f>
        <v>74</v>
      </c>
      <c r="C310" s="4" t="s">
        <v>244</v>
      </c>
      <c r="D310" s="4" t="s">
        <v>2470</v>
      </c>
      <c r="E310" s="4" t="s">
        <v>2471</v>
      </c>
      <c r="F310" s="270">
        <v>46113</v>
      </c>
      <c r="G310" s="4" t="s">
        <v>681</v>
      </c>
      <c r="H310" s="4" t="str">
        <f ca="1">'Database MK'!Q311</f>
        <v>DPPP</v>
      </c>
      <c r="I310" s="24">
        <f>'Database MK'!S311</f>
        <v>1</v>
      </c>
      <c r="J310" s="24">
        <f>'Database MK'!T311</f>
        <v>1</v>
      </c>
      <c r="K310" s="571">
        <f>'Database MK'!U311</f>
        <v>0</v>
      </c>
      <c r="L310" s="561">
        <f>'Database MK'!V311</f>
        <v>87</v>
      </c>
      <c r="M310" s="561">
        <f>'Database MK'!W311</f>
        <v>89</v>
      </c>
      <c r="N310" s="561">
        <f>Table3[[#This Row],[Total Panjang Pipa Aktual]]-Table3[[#This Row],[Volume
BA MC-0]]</f>
        <v>2</v>
      </c>
      <c r="O310" s="7" t="str">
        <f ca="1">'Database MK'!DE311</f>
        <v>Sudah, OnSchedule</v>
      </c>
      <c r="P310" s="7" t="str">
        <f ca="1">'Database MK'!DI311</f>
        <v>Sudah, OnSchedule</v>
      </c>
      <c r="Q310" s="7" t="str">
        <f ca="1">'Database MK'!DN311</f>
        <v>Sudah, OnSchedule</v>
      </c>
      <c r="R310" s="7" t="str">
        <f ca="1">'Database MK'!DR311</f>
        <v>Sudah, OnSchedule</v>
      </c>
      <c r="S310" s="7" t="str">
        <f ca="1">'Database MK'!EA311</f>
        <v>Sudah, Delay</v>
      </c>
      <c r="T310" s="7" t="str">
        <f ca="1">'Database MK'!EI311</f>
        <v>Sudah, Delay</v>
      </c>
      <c r="U310" s="7" t="str">
        <f ca="1">'Database MK'!ET311</f>
        <v>Sudah, Delay</v>
      </c>
      <c r="V310" s="7" t="str">
        <f ca="1">'Database MK'!GA311</f>
        <v>Belum, Delay</v>
      </c>
      <c r="W310" s="7" t="str">
        <f ca="1">'Database MK'!GD311</f>
        <v>Sudah, Delay</v>
      </c>
      <c r="X310" s="7" t="str">
        <f ca="1">'Database MK'!GG311</f>
        <v>Sudah, OnSchedule</v>
      </c>
      <c r="Y310" s="7" t="str">
        <f ca="1">'Database MK'!GK311</f>
        <v>Sudah, OnSchedule</v>
      </c>
      <c r="Z310" s="7" t="str">
        <f ca="1">'Database MK'!HH311</f>
        <v>Sudah, Delay</v>
      </c>
      <c r="AA310" s="7" t="str">
        <f ca="1">'Database MK'!HR311</f>
        <v>Sudah, Delay</v>
      </c>
      <c r="AB310" s="7" t="str">
        <f ca="1">'Database MK'!HX311</f>
        <v>Sudah, Delay</v>
      </c>
      <c r="AC310" s="7">
        <f>'Database MK'!DA311-'Database MK'!DB311</f>
        <v>26</v>
      </c>
      <c r="AD310" s="7">
        <f>'Database MK'!DA311-'Database MK'!DF311</f>
        <v>4</v>
      </c>
      <c r="AE310" s="7">
        <f>'Database MK'!DK311-'Database MK'!DL311</f>
        <v>16</v>
      </c>
      <c r="AF310" s="7">
        <f>'Database MK'!DK311-'Database MK'!DO311</f>
        <v>6</v>
      </c>
      <c r="AG310" s="7">
        <f>'Database MK'!DU311-'Database MK'!DW311</f>
        <v>-5</v>
      </c>
      <c r="AH310" s="7">
        <f>IF('Database MK'!EB311="","Belum",'Database MK'!DU311-'Database MK'!EB311)</f>
        <v>-192</v>
      </c>
      <c r="AI310" s="7">
        <f>IF('Database MK'!EN311="","Belum",'Database MK'!EL311-'Database MK'!EN311)</f>
        <v>-164</v>
      </c>
      <c r="AJ310" s="7">
        <f>'Database MK'!FY311-'Database MK'!FZ311</f>
        <v>0</v>
      </c>
      <c r="AK310" s="7">
        <f>IF('Database MK'!GC311="","Belum",'Database MK'!GB311-'Database MK'!GC311)</f>
        <v>-1</v>
      </c>
      <c r="AL310" s="7">
        <f>IF('Database MK'!GF311="","Belum",'Database MK'!GE311-'Database MK'!GF311)</f>
        <v>6</v>
      </c>
      <c r="AM310" s="279">
        <f>IF('Database MK'!GJ311="","Belum",'Database MK'!GI311-'Database MK'!GJ311)</f>
        <v>13</v>
      </c>
      <c r="AN310" s="7">
        <f>IF('Database MK'!HG311="","Belum",'Database MK'!HF311-'Database MK'!HG311)</f>
        <v>-30</v>
      </c>
      <c r="AO310" s="7">
        <f>IF('Database MK'!HQ311="","Belum",'Database MK'!HN311-'Database MK'!HQ311)</f>
        <v>-96</v>
      </c>
      <c r="AP310" s="7">
        <f>IF('Database MK'!HW311="","Belum",'Database MK'!HU311-'Database MK'!HW311)</f>
        <v>-91</v>
      </c>
    </row>
    <row r="311" spans="2:42" hidden="1" x14ac:dyDescent="0.25">
      <c r="B311" s="7">
        <f>SUBTOTAL(3,$C$4:C311)</f>
        <v>74</v>
      </c>
      <c r="C311" s="4" t="s">
        <v>244</v>
      </c>
      <c r="D311" s="4" t="s">
        <v>2479</v>
      </c>
      <c r="E311" s="4" t="s">
        <v>2480</v>
      </c>
      <c r="F311" s="270">
        <v>46113</v>
      </c>
      <c r="G311" s="4" t="s">
        <v>681</v>
      </c>
      <c r="H311" s="4" t="str">
        <f ca="1">'Database MK'!Q312</f>
        <v>DPPP</v>
      </c>
      <c r="I311" s="24">
        <f>'Database MK'!S312</f>
        <v>1</v>
      </c>
      <c r="J311" s="24">
        <f>'Database MK'!T312</f>
        <v>1</v>
      </c>
      <c r="K311" s="571">
        <f>'Database MK'!U312</f>
        <v>0</v>
      </c>
      <c r="L311" s="561">
        <f>'Database MK'!V312</f>
        <v>80</v>
      </c>
      <c r="M311" s="561">
        <f>'Database MK'!W312</f>
        <v>80</v>
      </c>
      <c r="N311" s="561">
        <f>Table3[[#This Row],[Total Panjang Pipa Aktual]]-Table3[[#This Row],[Volume
BA MC-0]]</f>
        <v>0</v>
      </c>
      <c r="O311" s="7" t="str">
        <f ca="1">'Database MK'!DE312</f>
        <v>Sudah, OnSchedule</v>
      </c>
      <c r="P311" s="7" t="str">
        <f ca="1">'Database MK'!DI312</f>
        <v>Sudah, OnSchedule</v>
      </c>
      <c r="Q311" s="7" t="str">
        <f ca="1">'Database MK'!DN312</f>
        <v>Sudah, OnSchedule</v>
      </c>
      <c r="R311" s="7" t="str">
        <f ca="1">'Database MK'!DR312</f>
        <v>Sudah, OnSchedule</v>
      </c>
      <c r="S311" s="7" t="str">
        <f ca="1">'Database MK'!EA312</f>
        <v>Sudah, Delay</v>
      </c>
      <c r="T311" s="7" t="str">
        <f ca="1">'Database MK'!EI312</f>
        <v>Sudah, Delay</v>
      </c>
      <c r="U311" s="7" t="str">
        <f ca="1">'Database MK'!ET312</f>
        <v>Sudah, Delay</v>
      </c>
      <c r="V311" s="7" t="str">
        <f ca="1">'Database MK'!GA312</f>
        <v>Belum, Delay</v>
      </c>
      <c r="W311" s="7" t="str">
        <f ca="1">'Database MK'!GD312</f>
        <v>Sudah, OnSchedule</v>
      </c>
      <c r="X311" s="7" t="str">
        <f ca="1">'Database MK'!GG312</f>
        <v>Sudah, OnSchedule</v>
      </c>
      <c r="Y311" s="7" t="str">
        <f ca="1">'Database MK'!GK312</f>
        <v>Sudah, OnSchedule</v>
      </c>
      <c r="Z311" s="7" t="str">
        <f ca="1">'Database MK'!HH312</f>
        <v>Sudah, Delay</v>
      </c>
      <c r="AA311" s="7" t="str">
        <f ca="1">'Database MK'!HR312</f>
        <v>Sudah, Delay</v>
      </c>
      <c r="AB311" s="7" t="str">
        <f ca="1">'Database MK'!HX312</f>
        <v>Sudah, Delay</v>
      </c>
      <c r="AC311" s="7">
        <f>'Database MK'!DA312-'Database MK'!DB312</f>
        <v>26</v>
      </c>
      <c r="AD311" s="7">
        <f>'Database MK'!DA312-'Database MK'!DF312</f>
        <v>4</v>
      </c>
      <c r="AE311" s="7">
        <f>'Database MK'!DK312-'Database MK'!DL312</f>
        <v>16</v>
      </c>
      <c r="AF311" s="7">
        <f>'Database MK'!DK312-'Database MK'!DO312</f>
        <v>6</v>
      </c>
      <c r="AG311" s="7">
        <f>'Database MK'!DU312-'Database MK'!DW312</f>
        <v>-5</v>
      </c>
      <c r="AH311" s="7">
        <f>IF('Database MK'!EB312="","Belum",'Database MK'!DU312-'Database MK'!EB312)</f>
        <v>-192</v>
      </c>
      <c r="AI311" s="7">
        <f>IF('Database MK'!EN312="","Belum",'Database MK'!EL312-'Database MK'!EN312)</f>
        <v>-164</v>
      </c>
      <c r="AJ311" s="7">
        <f>'Database MK'!FY312-'Database MK'!FZ312</f>
        <v>0</v>
      </c>
      <c r="AK311" s="7">
        <f>IF('Database MK'!GC312="","Belum",'Database MK'!GB312-'Database MK'!GC312)</f>
        <v>49</v>
      </c>
      <c r="AL311" s="7">
        <f>IF('Database MK'!GF312="","Belum",'Database MK'!GE312-'Database MK'!GF312)</f>
        <v>56</v>
      </c>
      <c r="AM311" s="279">
        <f>IF('Database MK'!GJ312="","Belum",'Database MK'!GI312-'Database MK'!GJ312)</f>
        <v>26</v>
      </c>
      <c r="AN311" s="7">
        <f>IF('Database MK'!HG312="","Belum",'Database MK'!HF312-'Database MK'!HG312)</f>
        <v>-30</v>
      </c>
      <c r="AO311" s="7">
        <f>IF('Database MK'!HQ312="","Belum",'Database MK'!HN312-'Database MK'!HQ312)</f>
        <v>-47</v>
      </c>
      <c r="AP311" s="7">
        <f>IF('Database MK'!HW312="","Belum",'Database MK'!HU312-'Database MK'!HW312)</f>
        <v>-47</v>
      </c>
    </row>
    <row r="312" spans="2:42" hidden="1" x14ac:dyDescent="0.25">
      <c r="B312" s="7">
        <f>SUBTOTAL(3,$C$4:C312)</f>
        <v>74</v>
      </c>
      <c r="C312" s="4" t="s">
        <v>244</v>
      </c>
      <c r="D312" s="4" t="s">
        <v>2488</v>
      </c>
      <c r="E312" s="4" t="s">
        <v>2489</v>
      </c>
      <c r="F312" s="270">
        <v>46113</v>
      </c>
      <c r="G312" s="4" t="s">
        <v>681</v>
      </c>
      <c r="H312" s="4" t="str">
        <f ca="1">'Database MK'!Q313</f>
        <v>DPPP</v>
      </c>
      <c r="I312" s="24">
        <f>'Database MK'!S313</f>
        <v>1</v>
      </c>
      <c r="J312" s="24">
        <f>'Database MK'!T313</f>
        <v>1</v>
      </c>
      <c r="K312" s="571">
        <f>'Database MK'!U313</f>
        <v>0</v>
      </c>
      <c r="L312" s="561">
        <f>'Database MK'!V313</f>
        <v>305</v>
      </c>
      <c r="M312" s="561">
        <f>'Database MK'!W313</f>
        <v>305</v>
      </c>
      <c r="N312" s="561">
        <f>Table3[[#This Row],[Total Panjang Pipa Aktual]]-Table3[[#This Row],[Volume
BA MC-0]]</f>
        <v>0</v>
      </c>
      <c r="O312" s="7" t="str">
        <f ca="1">'Database MK'!DE313</f>
        <v>Sudah, OnSchedule</v>
      </c>
      <c r="P312" s="7" t="str">
        <f ca="1">'Database MK'!DI313</f>
        <v>Sudah, Delay</v>
      </c>
      <c r="Q312" s="7" t="str">
        <f ca="1">'Database MK'!DN313</f>
        <v>Sudah, OnSchedule</v>
      </c>
      <c r="R312" s="7" t="str">
        <f ca="1">'Database MK'!DR313</f>
        <v>Sudah, OnSchedule</v>
      </c>
      <c r="S312" s="7" t="str">
        <f ca="1">'Database MK'!EA313</f>
        <v>Sudah, OnSchedule</v>
      </c>
      <c r="T312" s="7" t="str">
        <f ca="1">'Database MK'!EI313</f>
        <v>Sudah, Delay</v>
      </c>
      <c r="U312" s="7" t="str">
        <f ca="1">'Database MK'!ET313</f>
        <v>Sudah, Delay</v>
      </c>
      <c r="V312" s="7" t="str">
        <f ca="1">'Database MK'!GA313</f>
        <v>Belum, Delay</v>
      </c>
      <c r="W312" s="7" t="str">
        <f ca="1">'Database MK'!GD313</f>
        <v>Sudah, OnSchedule</v>
      </c>
      <c r="X312" s="7" t="str">
        <f ca="1">'Database MK'!GG313</f>
        <v>Sudah, OnSchedule</v>
      </c>
      <c r="Y312" s="7" t="str">
        <f ca="1">'Database MK'!GK313</f>
        <v>Sudah, OnSchedule</v>
      </c>
      <c r="Z312" s="7" t="str">
        <f ca="1">'Database MK'!HH313</f>
        <v>Sudah, OnSchedule</v>
      </c>
      <c r="AA312" s="7" t="str">
        <f ca="1">'Database MK'!HR313</f>
        <v>Sudah, OnSchedule</v>
      </c>
      <c r="AB312" s="7" t="str">
        <f ca="1">'Database MK'!HX313</f>
        <v>Sudah, Delay</v>
      </c>
      <c r="AC312" s="7">
        <f>'Database MK'!DA313-'Database MK'!DB313</f>
        <v>6</v>
      </c>
      <c r="AD312" s="7">
        <f>'Database MK'!DA313-'Database MK'!DF313</f>
        <v>-4</v>
      </c>
      <c r="AE312" s="7">
        <f>'Database MK'!DK313-'Database MK'!DL313</f>
        <v>57</v>
      </c>
      <c r="AF312" s="7">
        <f>'Database MK'!DK313-'Database MK'!DO313</f>
        <v>48</v>
      </c>
      <c r="AG312" s="7">
        <f>'Database MK'!DU313-'Database MK'!DW313</f>
        <v>36</v>
      </c>
      <c r="AH312" s="7">
        <f>IF('Database MK'!EB313="","Belum",'Database MK'!DU313-'Database MK'!EB313)</f>
        <v>-186</v>
      </c>
      <c r="AI312" s="7">
        <f>IF('Database MK'!EN313="","Belum",'Database MK'!EL313-'Database MK'!EN313)</f>
        <v>-176</v>
      </c>
      <c r="AJ312" s="7">
        <f>'Database MK'!FY313-'Database MK'!FZ313</f>
        <v>0</v>
      </c>
      <c r="AK312" s="7">
        <f>IF('Database MK'!GC313="","Belum",'Database MK'!GB313-'Database MK'!GC313)</f>
        <v>62</v>
      </c>
      <c r="AL312" s="7">
        <f>IF('Database MK'!GF313="","Belum",'Database MK'!GE313-'Database MK'!GF313)</f>
        <v>69</v>
      </c>
      <c r="AM312" s="279">
        <f>IF('Database MK'!GJ313="","Belum",'Database MK'!GI313-'Database MK'!GJ313)</f>
        <v>75</v>
      </c>
      <c r="AN312" s="7">
        <f>IF('Database MK'!HG313="","Belum",'Database MK'!HF313-'Database MK'!HG313)</f>
        <v>88</v>
      </c>
      <c r="AO312" s="7">
        <f>IF('Database MK'!HQ313="","Belum",'Database MK'!HN313-'Database MK'!HQ313)</f>
        <v>81</v>
      </c>
      <c r="AP312" s="7">
        <f>IF('Database MK'!HW313="","Belum",'Database MK'!HU313-'Database MK'!HW313)</f>
        <v>-38</v>
      </c>
    </row>
    <row r="313" spans="2:42" s="72" customFormat="1" hidden="1" x14ac:dyDescent="0.25">
      <c r="B313" s="277">
        <f>SUBTOTAL(3,$C$4:C313)</f>
        <v>74</v>
      </c>
      <c r="C313" s="72" t="s">
        <v>244</v>
      </c>
      <c r="D313" s="72" t="s">
        <v>2497</v>
      </c>
      <c r="E313" s="72" t="s">
        <v>2498</v>
      </c>
      <c r="F313" s="272">
        <v>46113</v>
      </c>
      <c r="G313" s="72" t="s">
        <v>681</v>
      </c>
      <c r="H313" s="72" t="str">
        <f>'Database MK'!Q314</f>
        <v>BATAL / CANCEL</v>
      </c>
      <c r="I313" s="572">
        <f>'Database MK'!S314</f>
        <v>1</v>
      </c>
      <c r="J313" s="572">
        <f>'Database MK'!T314</f>
        <v>0</v>
      </c>
      <c r="K313" s="573">
        <f>'Database MK'!U314</f>
        <v>-1</v>
      </c>
      <c r="L313" s="562">
        <f>'Database MK'!V314</f>
        <v>60</v>
      </c>
      <c r="M313" s="562">
        <f>'Database MK'!W314</f>
        <v>0</v>
      </c>
      <c r="N313" s="562">
        <f>Table3[[#This Row],[Total Panjang Pipa Aktual]]-Table3[[#This Row],[Volume
BA MC-0]]</f>
        <v>-60</v>
      </c>
      <c r="O313" s="277" t="str">
        <f ca="1">'Database MK'!DE314</f>
        <v>Sudah, Delay</v>
      </c>
      <c r="P313" s="277">
        <f>'Database MK'!DI314</f>
        <v>0</v>
      </c>
      <c r="Q313" s="277">
        <f>'Database MK'!DN314</f>
        <v>0</v>
      </c>
      <c r="R313" s="277">
        <f>'Database MK'!DR314</f>
        <v>0</v>
      </c>
      <c r="S313" s="277">
        <f>'Database MK'!EA314</f>
        <v>0</v>
      </c>
      <c r="T313" s="277" t="str">
        <f ca="1">'Database MK'!EI314</f>
        <v>Belum, Delay</v>
      </c>
      <c r="U313" s="277" t="str">
        <f ca="1">'Database MK'!ET314</f>
        <v>Belum, Delay</v>
      </c>
      <c r="V313" s="277" t="str">
        <f ca="1">'Database MK'!GA314</f>
        <v>Belum, Delay</v>
      </c>
      <c r="W313" s="277" t="str">
        <f ca="1">'Database MK'!GD314</f>
        <v>Sudah, OnSchedule</v>
      </c>
      <c r="X313" s="277" t="str">
        <f ca="1">'Database MK'!GG314</f>
        <v>Sudah, OnSchedule</v>
      </c>
      <c r="Y313" s="277" t="str">
        <f ca="1">'Database MK'!GK314</f>
        <v>Sudah, OnSchedule</v>
      </c>
      <c r="Z313" s="277" t="str">
        <f ca="1">'Database MK'!HH314</f>
        <v>Belum, Delay</v>
      </c>
      <c r="AA313" s="277" t="str">
        <f ca="1">'Database MK'!HR314</f>
        <v>Belum, Delay</v>
      </c>
      <c r="AB313" s="277" t="str">
        <f ca="1">'Database MK'!HX314</f>
        <v>Belum, Delay</v>
      </c>
      <c r="AC313" s="277"/>
      <c r="AD313" s="277"/>
      <c r="AE313" s="277"/>
      <c r="AF313" s="277"/>
      <c r="AG313" s="277"/>
      <c r="AH313" s="277"/>
      <c r="AI313" s="277"/>
      <c r="AJ313" s="277">
        <f>'Database MK'!FY314-'Database MK'!FZ314</f>
        <v>0</v>
      </c>
      <c r="AK313" s="277"/>
      <c r="AL313" s="277"/>
      <c r="AM313" s="280"/>
      <c r="AN313" s="277"/>
      <c r="AO313" s="277"/>
      <c r="AP313" s="277"/>
    </row>
    <row r="314" spans="2:42" s="72" customFormat="1" hidden="1" x14ac:dyDescent="0.25">
      <c r="B314" s="277">
        <f>SUBTOTAL(3,$C$4:C314)</f>
        <v>74</v>
      </c>
      <c r="C314" s="72" t="s">
        <v>244</v>
      </c>
      <c r="D314" s="72" t="s">
        <v>2505</v>
      </c>
      <c r="E314" s="72" t="s">
        <v>2506</v>
      </c>
      <c r="F314" s="272">
        <v>46113</v>
      </c>
      <c r="G314" s="72" t="s">
        <v>681</v>
      </c>
      <c r="H314" s="72" t="str">
        <f>'Database MK'!Q315</f>
        <v>BATAL / CANCEL</v>
      </c>
      <c r="I314" s="572">
        <f>'Database MK'!S315</f>
        <v>1</v>
      </c>
      <c r="J314" s="572">
        <f>'Database MK'!T315</f>
        <v>0</v>
      </c>
      <c r="K314" s="573">
        <f>'Database MK'!U315</f>
        <v>-1</v>
      </c>
      <c r="L314" s="562">
        <f>'Database MK'!V315</f>
        <v>57.5</v>
      </c>
      <c r="M314" s="562">
        <f>'Database MK'!W315</f>
        <v>0</v>
      </c>
      <c r="N314" s="562">
        <f>Table3[[#This Row],[Total Panjang Pipa Aktual]]-Table3[[#This Row],[Volume
BA MC-0]]</f>
        <v>-57.5</v>
      </c>
      <c r="O314" s="277" t="str">
        <f ca="1">'Database MK'!DE315</f>
        <v>Sudah, OnSchedule</v>
      </c>
      <c r="P314" s="277">
        <f>'Database MK'!DI315</f>
        <v>0</v>
      </c>
      <c r="Q314" s="277">
        <f>'Database MK'!DN315</f>
        <v>0</v>
      </c>
      <c r="R314" s="277">
        <f>'Database MK'!DR315</f>
        <v>0</v>
      </c>
      <c r="S314" s="277">
        <f>'Database MK'!EA315</f>
        <v>0</v>
      </c>
      <c r="T314" s="277" t="str">
        <f ca="1">'Database MK'!EI315</f>
        <v>Belum, Delay</v>
      </c>
      <c r="U314" s="277" t="str">
        <f ca="1">'Database MK'!ET315</f>
        <v>Belum, Delay</v>
      </c>
      <c r="V314" s="277" t="str">
        <f ca="1">'Database MK'!GA315</f>
        <v>Belum, Delay</v>
      </c>
      <c r="W314" s="277" t="str">
        <f ca="1">'Database MK'!GD315</f>
        <v>Sudah, OnSchedule</v>
      </c>
      <c r="X314" s="277" t="str">
        <f ca="1">'Database MK'!GG315</f>
        <v>Sudah, OnSchedule</v>
      </c>
      <c r="Y314" s="277" t="str">
        <f ca="1">'Database MK'!GK315</f>
        <v>Sudah, OnSchedule</v>
      </c>
      <c r="Z314" s="277" t="str">
        <f ca="1">'Database MK'!HH315</f>
        <v>Belum, Delay</v>
      </c>
      <c r="AA314" s="277" t="str">
        <f ca="1">'Database MK'!HR315</f>
        <v>Belum, Delay</v>
      </c>
      <c r="AB314" s="277" t="str">
        <f ca="1">'Database MK'!HX315</f>
        <v>Belum, Delay</v>
      </c>
      <c r="AC314" s="277"/>
      <c r="AD314" s="277"/>
      <c r="AE314" s="277"/>
      <c r="AF314" s="277"/>
      <c r="AG314" s="277"/>
      <c r="AH314" s="277"/>
      <c r="AI314" s="277"/>
      <c r="AJ314" s="277">
        <f>'Database MK'!FY315-'Database MK'!FZ315</f>
        <v>0</v>
      </c>
      <c r="AK314" s="277"/>
      <c r="AL314" s="277"/>
      <c r="AM314" s="280"/>
      <c r="AN314" s="277"/>
      <c r="AO314" s="277"/>
      <c r="AP314" s="277"/>
    </row>
    <row r="315" spans="2:42" s="72" customFormat="1" hidden="1" x14ac:dyDescent="0.25">
      <c r="B315" s="277">
        <f>SUBTOTAL(3,$C$4:C315)</f>
        <v>74</v>
      </c>
      <c r="C315" s="72" t="s">
        <v>244</v>
      </c>
      <c r="D315" s="72" t="s">
        <v>2513</v>
      </c>
      <c r="E315" s="72" t="s">
        <v>2514</v>
      </c>
      <c r="F315" s="272">
        <v>46113</v>
      </c>
      <c r="G315" s="72" t="s">
        <v>681</v>
      </c>
      <c r="H315" s="72" t="str">
        <f>'Database MK'!Q316</f>
        <v>BATAL / CANCEL</v>
      </c>
      <c r="I315" s="572">
        <f>'Database MK'!S316</f>
        <v>1</v>
      </c>
      <c r="J315" s="572">
        <f>'Database MK'!T316</f>
        <v>0</v>
      </c>
      <c r="K315" s="573">
        <f>'Database MK'!U316</f>
        <v>-1</v>
      </c>
      <c r="L315" s="562">
        <f>'Database MK'!V316</f>
        <v>35.1</v>
      </c>
      <c r="M315" s="562">
        <f>'Database MK'!W316</f>
        <v>0</v>
      </c>
      <c r="N315" s="562">
        <f>Table3[[#This Row],[Total Panjang Pipa Aktual]]-Table3[[#This Row],[Volume
BA MC-0]]</f>
        <v>-35.1</v>
      </c>
      <c r="O315" s="277" t="str">
        <f ca="1">'Database MK'!DE316</f>
        <v>Sudah, Delay</v>
      </c>
      <c r="P315" s="277">
        <f>'Database MK'!DI316</f>
        <v>0</v>
      </c>
      <c r="Q315" s="277">
        <f>'Database MK'!DN316</f>
        <v>0</v>
      </c>
      <c r="R315" s="277">
        <f>'Database MK'!DR316</f>
        <v>0</v>
      </c>
      <c r="S315" s="277">
        <f>'Database MK'!EA316</f>
        <v>0</v>
      </c>
      <c r="T315" s="277" t="str">
        <f ca="1">'Database MK'!EI316</f>
        <v>Belum, Delay</v>
      </c>
      <c r="U315" s="277" t="str">
        <f ca="1">'Database MK'!ET316</f>
        <v>Belum, Delay</v>
      </c>
      <c r="V315" s="277" t="str">
        <f ca="1">'Database MK'!GA316</f>
        <v>Belum, Delay</v>
      </c>
      <c r="W315" s="277" t="str">
        <f ca="1">'Database MK'!GD316</f>
        <v>Sudah, OnSchedule</v>
      </c>
      <c r="X315" s="277" t="str">
        <f ca="1">'Database MK'!GG316</f>
        <v>Sudah, OnSchedule</v>
      </c>
      <c r="Y315" s="277" t="str">
        <f ca="1">'Database MK'!GK316</f>
        <v>Sudah, OnSchedule</v>
      </c>
      <c r="Z315" s="277" t="str">
        <f ca="1">'Database MK'!HH316</f>
        <v>Belum, Delay</v>
      </c>
      <c r="AA315" s="277" t="str">
        <f ca="1">'Database MK'!HR316</f>
        <v>Belum, Delay</v>
      </c>
      <c r="AB315" s="277" t="str">
        <f ca="1">'Database MK'!HX316</f>
        <v>Belum, Delay</v>
      </c>
      <c r="AC315" s="277"/>
      <c r="AD315" s="277"/>
      <c r="AE315" s="277"/>
      <c r="AF315" s="277"/>
      <c r="AG315" s="277"/>
      <c r="AH315" s="277"/>
      <c r="AI315" s="277"/>
      <c r="AJ315" s="277">
        <f>'Database MK'!FY316-'Database MK'!FZ316</f>
        <v>0</v>
      </c>
      <c r="AK315" s="277"/>
      <c r="AL315" s="277"/>
      <c r="AM315" s="280"/>
      <c r="AN315" s="277"/>
      <c r="AO315" s="277"/>
      <c r="AP315" s="277"/>
    </row>
    <row r="316" spans="2:42" hidden="1" x14ac:dyDescent="0.25">
      <c r="B316" s="7">
        <f>SUBTOTAL(3,$C$4:C316)</f>
        <v>74</v>
      </c>
      <c r="C316" s="4" t="s">
        <v>244</v>
      </c>
      <c r="D316" s="4" t="s">
        <v>2521</v>
      </c>
      <c r="E316" s="4" t="s">
        <v>2522</v>
      </c>
      <c r="F316" s="270">
        <v>46113</v>
      </c>
      <c r="G316" s="4" t="s">
        <v>681</v>
      </c>
      <c r="H316" s="4" t="str">
        <f ca="1">'Database MK'!Q317</f>
        <v>Tes Com</v>
      </c>
      <c r="I316" s="24">
        <f>'Database MK'!S317</f>
        <v>1</v>
      </c>
      <c r="J316" s="24">
        <f>'Database MK'!T317</f>
        <v>0.45601809846842045</v>
      </c>
      <c r="K316" s="571">
        <f>'Database MK'!U317</f>
        <v>-0.54398190153157955</v>
      </c>
      <c r="L316" s="561">
        <f>'Database MK'!V317</f>
        <v>271.7</v>
      </c>
      <c r="M316" s="561">
        <f>'Database MK'!W317</f>
        <v>160</v>
      </c>
      <c r="N316" s="561">
        <f>Table3[[#This Row],[Total Panjang Pipa Aktual]]-Table3[[#This Row],[Volume
BA MC-0]]</f>
        <v>-111.69999999999999</v>
      </c>
      <c r="O316" s="7" t="str">
        <f ca="1">'Database MK'!DE317</f>
        <v>Sudah, OnSchedule</v>
      </c>
      <c r="P316" s="7" t="str">
        <f ca="1">'Database MK'!DI317</f>
        <v>Sudah, OnSchedule</v>
      </c>
      <c r="Q316" s="7" t="str">
        <f ca="1">'Database MK'!DN317</f>
        <v>Sudah, OnSchedule</v>
      </c>
      <c r="R316" s="7" t="str">
        <f ca="1">'Database MK'!DR317</f>
        <v>Sudah, OnSchedule</v>
      </c>
      <c r="S316" s="7" t="str">
        <f ca="1">'Database MK'!EA317</f>
        <v>Sudah, OnSchedule</v>
      </c>
      <c r="T316" s="7" t="str">
        <f ca="1">'Database MK'!EI317</f>
        <v>Belum, Delay</v>
      </c>
      <c r="U316" s="7" t="str">
        <f ca="1">'Database MK'!ET317</f>
        <v>Belum, Delay</v>
      </c>
      <c r="V316" s="7" t="str">
        <f ca="1">'Database MK'!GA317</f>
        <v>Belum, Delay</v>
      </c>
      <c r="W316" s="7" t="str">
        <f ca="1">'Database MK'!GD317</f>
        <v>Sudah, OnSchedule</v>
      </c>
      <c r="X316" s="7" t="str">
        <f ca="1">'Database MK'!GG317</f>
        <v>Sudah, OnSchedule</v>
      </c>
      <c r="Y316" s="7" t="str">
        <f ca="1">'Database MK'!GK317</f>
        <v>Sudah, OnSchedule</v>
      </c>
      <c r="Z316" s="7" t="str">
        <f ca="1">'Database MK'!HH317</f>
        <v>Sudah, Delay</v>
      </c>
      <c r="AA316" s="7" t="str">
        <f ca="1">'Database MK'!HR317</f>
        <v>Belum, Delay</v>
      </c>
      <c r="AB316" s="7" t="str">
        <f ca="1">'Database MK'!HX317</f>
        <v>Belum, Delay</v>
      </c>
      <c r="AC316" s="7">
        <f>'Database MK'!DA317-'Database MK'!DB317</f>
        <v>17</v>
      </c>
      <c r="AD316" s="7">
        <f>'Database MK'!DA317-'Database MK'!DF317</f>
        <v>10</v>
      </c>
      <c r="AE316" s="7">
        <f>'Database MK'!DK317-'Database MK'!DL317</f>
        <v>109</v>
      </c>
      <c r="AF316" s="7">
        <f>'Database MK'!DK317-'Database MK'!DO317</f>
        <v>93</v>
      </c>
      <c r="AG316" s="7">
        <f>'Database MK'!DU317-'Database MK'!DW317</f>
        <v>88</v>
      </c>
      <c r="AH316" s="7" t="str">
        <f>IF('Database MK'!EB317="","Belum",'Database MK'!DU317-'Database MK'!EB317)</f>
        <v>Belum</v>
      </c>
      <c r="AI316" s="7" t="str">
        <f>IF('Database MK'!EN317="","Belum",'Database MK'!EL317-'Database MK'!EN317)</f>
        <v>Belum</v>
      </c>
      <c r="AJ316" s="7">
        <f>'Database MK'!FY317-'Database MK'!FZ317</f>
        <v>0</v>
      </c>
      <c r="AK316" s="7">
        <f>IF('Database MK'!GC317="","Belum",'Database MK'!GB317-'Database MK'!GC317)</f>
        <v>99</v>
      </c>
      <c r="AL316" s="7">
        <f>IF('Database MK'!GF317="","Belum",'Database MK'!GE317-'Database MK'!GF317)</f>
        <v>106</v>
      </c>
      <c r="AM316" s="279">
        <f>IF('Database MK'!GJ317="","Belum",'Database MK'!GI317-'Database MK'!GJ317)</f>
        <v>103</v>
      </c>
      <c r="AN316" s="7">
        <f>IF('Database MK'!HG317="","Belum",'Database MK'!HF317-'Database MK'!HG317)</f>
        <v>-132</v>
      </c>
      <c r="AO316" s="7" t="str">
        <f>IF('Database MK'!HQ317="","Belum",'Database MK'!HN317-'Database MK'!HQ317)</f>
        <v>Belum</v>
      </c>
      <c r="AP316" s="7" t="str">
        <f>IF('Database MK'!HW317="","Belum",'Database MK'!HU317-'Database MK'!HW317)</f>
        <v>Belum</v>
      </c>
    </row>
    <row r="317" spans="2:42" hidden="1" x14ac:dyDescent="0.25">
      <c r="B317" s="7">
        <f>SUBTOTAL(3,$C$4:C317)</f>
        <v>74</v>
      </c>
      <c r="C317" s="4" t="s">
        <v>244</v>
      </c>
      <c r="D317" s="4" t="s">
        <v>2532</v>
      </c>
      <c r="E317" s="4" t="s">
        <v>2533</v>
      </c>
      <c r="F317" s="270">
        <v>46113</v>
      </c>
      <c r="G317" s="4" t="s">
        <v>681</v>
      </c>
      <c r="H317" s="4" t="str">
        <f ca="1">'Database MK'!Q318</f>
        <v>DPPP</v>
      </c>
      <c r="I317" s="24">
        <f>'Database MK'!S318</f>
        <v>1</v>
      </c>
      <c r="J317" s="24">
        <f>'Database MK'!T318</f>
        <v>1</v>
      </c>
      <c r="K317" s="571">
        <f>'Database MK'!U318</f>
        <v>0</v>
      </c>
      <c r="L317" s="561">
        <f>'Database MK'!V318</f>
        <v>1701</v>
      </c>
      <c r="M317" s="561">
        <f>'Database MK'!W318</f>
        <v>1699</v>
      </c>
      <c r="N317" s="561">
        <f>Table3[[#This Row],[Total Panjang Pipa Aktual]]-Table3[[#This Row],[Volume
BA MC-0]]</f>
        <v>-2</v>
      </c>
      <c r="O317" s="7" t="str">
        <f ca="1">'Database MK'!DE318</f>
        <v>Sudah, Delay</v>
      </c>
      <c r="P317" s="7" t="str">
        <f ca="1">'Database MK'!DI318</f>
        <v>Sudah, Delay</v>
      </c>
      <c r="Q317" s="7" t="str">
        <f ca="1">'Database MK'!DN318</f>
        <v>Sudah, OnSchedule</v>
      </c>
      <c r="R317" s="7" t="str">
        <f ca="1">'Database MK'!DR318</f>
        <v>Sudah, OnSchedule</v>
      </c>
      <c r="S317" s="7" t="str">
        <f ca="1">'Database MK'!EA318</f>
        <v>Sudah, OnSchedule</v>
      </c>
      <c r="T317" s="7" t="str">
        <f ca="1">'Database MK'!EI318</f>
        <v>Sudah, Delay</v>
      </c>
      <c r="U317" s="7" t="str">
        <f ca="1">'Database MK'!ET318</f>
        <v>Sudah, Delay</v>
      </c>
      <c r="V317" s="7" t="str">
        <f ca="1">'Database MK'!GA318</f>
        <v>Belum, Delay</v>
      </c>
      <c r="W317" s="7" t="str">
        <f ca="1">'Database MK'!GD318</f>
        <v>Sudah, OnSchedule</v>
      </c>
      <c r="X317" s="7" t="str">
        <f ca="1">'Database MK'!GG318</f>
        <v>Sudah, OnSchedule</v>
      </c>
      <c r="Y317" s="7" t="str">
        <f ca="1">'Database MK'!GK318</f>
        <v>Sudah, OnSchedule</v>
      </c>
      <c r="Z317" s="7" t="str">
        <f ca="1">'Database MK'!HH318</f>
        <v>Sudah, OnSchedule</v>
      </c>
      <c r="AA317" s="7" t="str">
        <f ca="1">'Database MK'!HR318</f>
        <v>Sudah, Delay</v>
      </c>
      <c r="AB317" s="7" t="str">
        <f ca="1">'Database MK'!HX318</f>
        <v>Sudah, Delay</v>
      </c>
      <c r="AC317" s="7">
        <f>'Database MK'!DA318-'Database MK'!DB318</f>
        <v>-6</v>
      </c>
      <c r="AD317" s="7">
        <f>'Database MK'!DA318-'Database MK'!DF318</f>
        <v>-3</v>
      </c>
      <c r="AE317" s="7">
        <f>'Database MK'!DK318-'Database MK'!DL318</f>
        <v>102</v>
      </c>
      <c r="AF317" s="7">
        <f>'Database MK'!DK318-'Database MK'!DO318</f>
        <v>82</v>
      </c>
      <c r="AG317" s="7">
        <f>'Database MK'!DU318-'Database MK'!DW318</f>
        <v>81</v>
      </c>
      <c r="AH317" s="7">
        <f>IF('Database MK'!EB318="","Belum",'Database MK'!DU318-'Database MK'!EB318)</f>
        <v>-137</v>
      </c>
      <c r="AI317" s="7">
        <f>IF('Database MK'!EN318="","Belum",'Database MK'!EL318-'Database MK'!EN318)</f>
        <v>-92</v>
      </c>
      <c r="AJ317" s="7">
        <f>'Database MK'!FY318-'Database MK'!FZ318</f>
        <v>0</v>
      </c>
      <c r="AK317" s="7">
        <f>IF('Database MK'!GC318="","Belum",'Database MK'!GB318-'Database MK'!GC318)</f>
        <v>99</v>
      </c>
      <c r="AL317" s="7">
        <f>IF('Database MK'!GF318="","Belum",'Database MK'!GE318-'Database MK'!GF318)</f>
        <v>106</v>
      </c>
      <c r="AM317" s="279">
        <f>IF('Database MK'!GJ318="","Belum",'Database MK'!GI318-'Database MK'!GJ318)</f>
        <v>103</v>
      </c>
      <c r="AN317" s="7">
        <f>IF('Database MK'!HG318="","Belum",'Database MK'!HF318-'Database MK'!HG318)</f>
        <v>53</v>
      </c>
      <c r="AO317" s="7">
        <f>IF('Database MK'!HQ318="","Belum",'Database MK'!HN318-'Database MK'!HQ318)</f>
        <v>-13</v>
      </c>
      <c r="AP317" s="7">
        <f>IF('Database MK'!HW318="","Belum",'Database MK'!HU318-'Database MK'!HW318)</f>
        <v>-7</v>
      </c>
    </row>
    <row r="318" spans="2:42" s="72" customFormat="1" hidden="1" x14ac:dyDescent="0.25">
      <c r="B318" s="277">
        <f>SUBTOTAL(3,$C$4:C318)</f>
        <v>74</v>
      </c>
      <c r="C318" s="72" t="s">
        <v>673</v>
      </c>
      <c r="D318" s="72" t="s">
        <v>2542</v>
      </c>
      <c r="E318" s="72" t="s">
        <v>2543</v>
      </c>
      <c r="F318" s="272">
        <v>46113</v>
      </c>
      <c r="G318" s="72" t="s">
        <v>681</v>
      </c>
      <c r="H318" s="72" t="str">
        <f>'Database MK'!Q319</f>
        <v>BATAL / CANCEL</v>
      </c>
      <c r="I318" s="572">
        <f>'Database MK'!S319</f>
        <v>1</v>
      </c>
      <c r="J318" s="572">
        <f>'Database MK'!T319</f>
        <v>0</v>
      </c>
      <c r="K318" s="573">
        <f>'Database MK'!U319</f>
        <v>-1</v>
      </c>
      <c r="L318" s="562">
        <f>'Database MK'!V319</f>
        <v>75</v>
      </c>
      <c r="M318" s="562">
        <f>'Database MK'!W319</f>
        <v>0</v>
      </c>
      <c r="N318" s="562">
        <f>Table3[[#This Row],[Total Panjang Pipa Aktual]]-Table3[[#This Row],[Volume
BA MC-0]]</f>
        <v>-75</v>
      </c>
      <c r="O318" s="277" t="str">
        <f ca="1">'Database MK'!DE319</f>
        <v>Sudah, OnSchedule</v>
      </c>
      <c r="P318" s="277">
        <f>'Database MK'!DI319</f>
        <v>0</v>
      </c>
      <c r="Q318" s="277">
        <f>'Database MK'!DN319</f>
        <v>0</v>
      </c>
      <c r="R318" s="277">
        <f>'Database MK'!DR319</f>
        <v>0</v>
      </c>
      <c r="S318" s="277">
        <f>'Database MK'!EA319</f>
        <v>0</v>
      </c>
      <c r="T318" s="277" t="str">
        <f ca="1">'Database MK'!EI319</f>
        <v>Belum, Delay</v>
      </c>
      <c r="U318" s="277" t="str">
        <f ca="1">'Database MK'!ET319</f>
        <v>Belum, Delay</v>
      </c>
      <c r="V318" s="277" t="str">
        <f ca="1">'Database MK'!GA319</f>
        <v>Belum, Delay</v>
      </c>
      <c r="W318" s="277" t="str">
        <f ca="1">'Database MK'!GD319</f>
        <v>Sudah, Delay</v>
      </c>
      <c r="X318" s="277" t="str">
        <f ca="1">'Database MK'!GG319</f>
        <v>Sudah, Delay</v>
      </c>
      <c r="Y318" s="277" t="str">
        <f ca="1">'Database MK'!GK319</f>
        <v>Sudah, Delay</v>
      </c>
      <c r="Z318" s="277" t="str">
        <f ca="1">'Database MK'!HH319</f>
        <v>Belum, Delay</v>
      </c>
      <c r="AA318" s="277" t="str">
        <f ca="1">'Database MK'!HR319</f>
        <v>Belum, Delay</v>
      </c>
      <c r="AB318" s="277" t="str">
        <f ca="1">'Database MK'!HX319</f>
        <v>Belum, Delay</v>
      </c>
      <c r="AC318" s="277"/>
      <c r="AD318" s="277"/>
      <c r="AE318" s="277"/>
      <c r="AF318" s="277"/>
      <c r="AG318" s="277"/>
      <c r="AH318" s="277"/>
      <c r="AI318" s="277"/>
      <c r="AJ318" s="277">
        <f>'Database MK'!FY319-'Database MK'!FZ319</f>
        <v>0</v>
      </c>
      <c r="AK318" s="277"/>
      <c r="AL318" s="277"/>
      <c r="AM318" s="280"/>
      <c r="AN318" s="277"/>
      <c r="AO318" s="277"/>
      <c r="AP318" s="277"/>
    </row>
    <row r="319" spans="2:42" s="72" customFormat="1" hidden="1" x14ac:dyDescent="0.25">
      <c r="B319" s="277">
        <f>SUBTOTAL(3,$C$4:C319)</f>
        <v>74</v>
      </c>
      <c r="C319" s="72" t="s">
        <v>673</v>
      </c>
      <c r="D319" s="72" t="s">
        <v>2550</v>
      </c>
      <c r="E319" s="72" t="s">
        <v>2551</v>
      </c>
      <c r="F319" s="272">
        <v>46113</v>
      </c>
      <c r="G319" s="72" t="s">
        <v>681</v>
      </c>
      <c r="H319" s="72" t="str">
        <f>'Database MK'!Q320</f>
        <v>BATAL / CANCEL</v>
      </c>
      <c r="I319" s="572">
        <f>'Database MK'!S320</f>
        <v>1</v>
      </c>
      <c r="J319" s="572">
        <f>'Database MK'!T320</f>
        <v>0</v>
      </c>
      <c r="K319" s="573">
        <f>'Database MK'!U320</f>
        <v>-1</v>
      </c>
      <c r="L319" s="562">
        <f>'Database MK'!V320</f>
        <v>81</v>
      </c>
      <c r="M319" s="562">
        <f>'Database MK'!W320</f>
        <v>0</v>
      </c>
      <c r="N319" s="562">
        <f>Table3[[#This Row],[Total Panjang Pipa Aktual]]-Table3[[#This Row],[Volume
BA MC-0]]</f>
        <v>-81</v>
      </c>
      <c r="O319" s="277" t="str">
        <f ca="1">'Database MK'!DE320</f>
        <v>Sudah, OnSchedule</v>
      </c>
      <c r="P319" s="277" t="str">
        <f ca="1">'Database MK'!DI320</f>
        <v>Sudah, OnSchedule</v>
      </c>
      <c r="Q319" s="277" t="str">
        <f ca="1">'Database MK'!DN320</f>
        <v>Sudah, OnSchedule</v>
      </c>
      <c r="R319" s="277" t="str">
        <f ca="1">'Database MK'!DR320</f>
        <v>Sudah, Delay</v>
      </c>
      <c r="S319" s="277" t="str">
        <f ca="1">'Database MK'!EA320</f>
        <v>Sudah, OnSchedule</v>
      </c>
      <c r="T319" s="277" t="str">
        <f ca="1">'Database MK'!EI320</f>
        <v>Belum, Delay</v>
      </c>
      <c r="U319" s="277" t="str">
        <f ca="1">'Database MK'!ET320</f>
        <v>Belum, Delay</v>
      </c>
      <c r="V319" s="277" t="str">
        <f ca="1">'Database MK'!GA320</f>
        <v>Belum, Delay</v>
      </c>
      <c r="W319" s="277" t="str">
        <f ca="1">'Database MK'!GD320</f>
        <v>Sudah, Delay</v>
      </c>
      <c r="X319" s="277" t="str">
        <f ca="1">'Database MK'!GG320</f>
        <v>Sudah, Delay</v>
      </c>
      <c r="Y319" s="277" t="str">
        <f ca="1">'Database MK'!GK320</f>
        <v>Sudah, Delay</v>
      </c>
      <c r="Z319" s="277" t="str">
        <f ca="1">'Database MK'!HH320</f>
        <v>Belum, Delay</v>
      </c>
      <c r="AA319" s="277" t="str">
        <f ca="1">'Database MK'!HR320</f>
        <v>Belum, Delay</v>
      </c>
      <c r="AB319" s="277" t="str">
        <f ca="1">'Database MK'!HX320</f>
        <v>Belum, Delay</v>
      </c>
      <c r="AC319" s="277"/>
      <c r="AD319" s="277"/>
      <c r="AE319" s="277"/>
      <c r="AF319" s="277"/>
      <c r="AG319" s="277"/>
      <c r="AH319" s="277"/>
      <c r="AI319" s="277"/>
      <c r="AJ319" s="277">
        <f>'Database MK'!FY320-'Database MK'!FZ320</f>
        <v>0</v>
      </c>
      <c r="AK319" s="277"/>
      <c r="AL319" s="277"/>
      <c r="AM319" s="280"/>
      <c r="AN319" s="277"/>
      <c r="AO319" s="277"/>
      <c r="AP319" s="277"/>
    </row>
    <row r="320" spans="2:42" hidden="1" x14ac:dyDescent="0.25">
      <c r="B320" s="7">
        <f>SUBTOTAL(3,$C$4:C320)</f>
        <v>74</v>
      </c>
      <c r="C320" s="269" t="s">
        <v>673</v>
      </c>
      <c r="D320" s="4" t="s">
        <v>2558</v>
      </c>
      <c r="E320" s="4" t="s">
        <v>2559</v>
      </c>
      <c r="F320" s="270">
        <v>46113</v>
      </c>
      <c r="G320" s="4" t="s">
        <v>681</v>
      </c>
      <c r="H320" s="4" t="str">
        <f ca="1">'Database MK'!Q321</f>
        <v>Proses Konstruksi</v>
      </c>
      <c r="I320" s="24">
        <f>'Database MK'!S321</f>
        <v>1</v>
      </c>
      <c r="J320" s="24">
        <f>'Database MK'!T321</f>
        <v>0.78466543252645193</v>
      </c>
      <c r="K320" s="571">
        <f>'Database MK'!U321</f>
        <v>-0.21533456747354807</v>
      </c>
      <c r="L320" s="561">
        <f>'Database MK'!V321</f>
        <v>598</v>
      </c>
      <c r="M320" s="561">
        <f>'Database MK'!W321</f>
        <v>431</v>
      </c>
      <c r="N320" s="561">
        <f>Table3[[#This Row],[Total Panjang Pipa Aktual]]-Table3[[#This Row],[Volume
BA MC-0]]</f>
        <v>-167</v>
      </c>
      <c r="O320" s="7" t="str">
        <f ca="1">'Database MK'!DE321</f>
        <v>Sudah, OnSchedule</v>
      </c>
      <c r="P320" s="7" t="str">
        <f ca="1">'Database MK'!DI321</f>
        <v>Sudah, OnSchedule</v>
      </c>
      <c r="Q320" s="7" t="str">
        <f ca="1">'Database MK'!DN321</f>
        <v>Sudah, OnSchedule</v>
      </c>
      <c r="R320" s="7" t="str">
        <f ca="1">'Database MK'!DR321</f>
        <v>Sudah, Delay</v>
      </c>
      <c r="S320" s="7" t="str">
        <f ca="1">'Database MK'!EA321</f>
        <v>Sudah, OnSchedule</v>
      </c>
      <c r="T320" s="7" t="str">
        <f ca="1">'Database MK'!EI321</f>
        <v>Sudah, Delay</v>
      </c>
      <c r="U320" s="7" t="str">
        <f ca="1">'Database MK'!ET321</f>
        <v>Sudah, Delay</v>
      </c>
      <c r="V320" s="7" t="str">
        <f ca="1">'Database MK'!GA321</f>
        <v>Belum, Delay</v>
      </c>
      <c r="W320" s="7" t="str">
        <f ca="1">'Database MK'!GD321</f>
        <v>Sudah, Delay</v>
      </c>
      <c r="X320" s="7" t="str">
        <f ca="1">'Database MK'!GG321</f>
        <v>Sudah, Delay</v>
      </c>
      <c r="Y320" s="7" t="str">
        <f ca="1">'Database MK'!GK321</f>
        <v>Sudah, Delay</v>
      </c>
      <c r="Z320" s="7" t="str">
        <f ca="1">'Database MK'!HH321</f>
        <v>Belum, Delay</v>
      </c>
      <c r="AA320" s="7" t="str">
        <f ca="1">'Database MK'!HR321</f>
        <v>Belum, Delay</v>
      </c>
      <c r="AB320" s="7" t="str">
        <f ca="1">'Database MK'!HX321</f>
        <v>Belum, Delay</v>
      </c>
      <c r="AC320" s="7">
        <f>'Database MK'!DA321-'Database MK'!DB321</f>
        <v>33</v>
      </c>
      <c r="AD320" s="7">
        <f>'Database MK'!DA321-'Database MK'!DF321</f>
        <v>27</v>
      </c>
      <c r="AE320" s="7">
        <f>'Database MK'!DK321-'Database MK'!DL321</f>
        <v>32</v>
      </c>
      <c r="AF320" s="7">
        <f>'Database MK'!DK321-'Database MK'!DO321</f>
        <v>-37</v>
      </c>
      <c r="AG320" s="7">
        <f>'Database MK'!DU321-'Database MK'!DW321</f>
        <v>3</v>
      </c>
      <c r="AH320" s="7">
        <f>IF('Database MK'!EB321="","Belum",'Database MK'!DU321-'Database MK'!EB321)</f>
        <v>-255</v>
      </c>
      <c r="AI320" s="7">
        <f>IF('Database MK'!EN321="","Belum",'Database MK'!EL321-'Database MK'!EN321)</f>
        <v>-163</v>
      </c>
      <c r="AJ320" s="7">
        <f>'Database MK'!FY321-'Database MK'!FZ321</f>
        <v>0</v>
      </c>
      <c r="AK320" s="7">
        <f>IF('Database MK'!GC321="","Belum",'Database MK'!GB321-'Database MK'!GC321)</f>
        <v>-48</v>
      </c>
      <c r="AL320" s="7">
        <f>IF('Database MK'!GF321="","Belum",'Database MK'!GE321-'Database MK'!GF321)</f>
        <v>-41</v>
      </c>
      <c r="AM320" s="279">
        <f>IF('Database MK'!GJ321="","Belum",'Database MK'!GI321-'Database MK'!GJ321)</f>
        <v>-33</v>
      </c>
      <c r="AN320" s="7" t="str">
        <f>IF('Database MK'!HG321="","Belum",'Database MK'!HF321-'Database MK'!HG321)</f>
        <v>Belum</v>
      </c>
      <c r="AO320" s="7" t="str">
        <f>IF('Database MK'!HQ321="","Belum",'Database MK'!HN321-'Database MK'!HQ321)</f>
        <v>Belum</v>
      </c>
      <c r="AP320" s="7" t="str">
        <f>IF('Database MK'!HW321="","Belum",'Database MK'!HU321-'Database MK'!HW321)</f>
        <v>Belum</v>
      </c>
    </row>
    <row r="321" spans="2:42" s="72" customFormat="1" hidden="1" x14ac:dyDescent="0.25">
      <c r="B321" s="277">
        <f>SUBTOTAL(3,$C$4:C321)</f>
        <v>74</v>
      </c>
      <c r="C321" s="72" t="s">
        <v>673</v>
      </c>
      <c r="D321" s="72" t="s">
        <v>2567</v>
      </c>
      <c r="E321" s="72" t="s">
        <v>2568</v>
      </c>
      <c r="F321" s="272">
        <v>46113</v>
      </c>
      <c r="G321" s="72" t="s">
        <v>681</v>
      </c>
      <c r="H321" s="72" t="str">
        <f>'Database MK'!Q322</f>
        <v>BATAL / CANCEL</v>
      </c>
      <c r="I321" s="572">
        <f>'Database MK'!S322</f>
        <v>1</v>
      </c>
      <c r="J321" s="572">
        <f>'Database MK'!T322</f>
        <v>0</v>
      </c>
      <c r="K321" s="573">
        <f>'Database MK'!U322</f>
        <v>-1</v>
      </c>
      <c r="L321" s="562">
        <f>'Database MK'!V322</f>
        <v>0</v>
      </c>
      <c r="M321" s="562">
        <f>'Database MK'!W322</f>
        <v>0</v>
      </c>
      <c r="N321" s="562">
        <f>Table3[[#This Row],[Total Panjang Pipa Aktual]]-Table3[[#This Row],[Volume
BA MC-0]]</f>
        <v>0</v>
      </c>
      <c r="O321" s="277" t="str">
        <f ca="1">'Database MK'!DE322</f>
        <v>Sudah, OnSchedule</v>
      </c>
      <c r="P321" s="277">
        <f>'Database MK'!DI322</f>
        <v>0</v>
      </c>
      <c r="Q321" s="277">
        <f>'Database MK'!DN322</f>
        <v>0</v>
      </c>
      <c r="R321" s="277">
        <f>'Database MK'!DR322</f>
        <v>0</v>
      </c>
      <c r="S321" s="277">
        <f>'Database MK'!EA322</f>
        <v>0</v>
      </c>
      <c r="T321" s="277" t="str">
        <f ca="1">'Database MK'!EI322</f>
        <v>Belum, Delay</v>
      </c>
      <c r="U321" s="277" t="str">
        <f ca="1">'Database MK'!ET322</f>
        <v>Belum, Delay</v>
      </c>
      <c r="V321" s="277" t="str">
        <f ca="1">'Database MK'!GA322</f>
        <v>Belum, Delay</v>
      </c>
      <c r="W321" s="277" t="str">
        <f ca="1">'Database MK'!GD322</f>
        <v>Sudah, Delay</v>
      </c>
      <c r="X321" s="277" t="str">
        <f ca="1">'Database MK'!GG322</f>
        <v>Sudah, Delay</v>
      </c>
      <c r="Y321" s="277" t="str">
        <f ca="1">'Database MK'!GK322</f>
        <v>Sudah, Delay</v>
      </c>
      <c r="Z321" s="277" t="str">
        <f ca="1">'Database MK'!HH322</f>
        <v>Belum, Delay</v>
      </c>
      <c r="AA321" s="277" t="str">
        <f ca="1">'Database MK'!HR322</f>
        <v>Belum, Delay</v>
      </c>
      <c r="AB321" s="277" t="str">
        <f ca="1">'Database MK'!HX322</f>
        <v>Belum, Delay</v>
      </c>
      <c r="AC321" s="277"/>
      <c r="AD321" s="277"/>
      <c r="AE321" s="277"/>
      <c r="AF321" s="277"/>
      <c r="AG321" s="277"/>
      <c r="AH321" s="277"/>
      <c r="AI321" s="277"/>
      <c r="AJ321" s="277">
        <f>'Database MK'!FY322-'Database MK'!FZ322</f>
        <v>0</v>
      </c>
      <c r="AK321" s="277"/>
      <c r="AL321" s="277"/>
      <c r="AM321" s="280"/>
      <c r="AN321" s="277"/>
      <c r="AO321" s="277"/>
      <c r="AP321" s="277"/>
    </row>
    <row r="322" spans="2:42" hidden="1" x14ac:dyDescent="0.25">
      <c r="B322" s="7">
        <f>SUBTOTAL(3,$C$4:C322)</f>
        <v>74</v>
      </c>
      <c r="C322" s="269" t="s">
        <v>673</v>
      </c>
      <c r="D322" s="4" t="s">
        <v>2575</v>
      </c>
      <c r="E322" s="4" t="s">
        <v>2576</v>
      </c>
      <c r="F322" s="270">
        <v>46113</v>
      </c>
      <c r="G322" s="4" t="s">
        <v>681</v>
      </c>
      <c r="H322" s="4" t="str">
        <f ca="1">'Database MK'!Q323</f>
        <v>Proses Konstruksi</v>
      </c>
      <c r="I322" s="24">
        <f>'Database MK'!S323</f>
        <v>1</v>
      </c>
      <c r="J322" s="24">
        <f>'Database MK'!T323</f>
        <v>0.95010581512214953</v>
      </c>
      <c r="K322" s="571">
        <f>'Database MK'!U323</f>
        <v>-4.9894184877850467E-2</v>
      </c>
      <c r="L322" s="561">
        <f>'Database MK'!V323</f>
        <v>369</v>
      </c>
      <c r="M322" s="561">
        <f>'Database MK'!W323</f>
        <v>715</v>
      </c>
      <c r="N322" s="561">
        <f>Table3[[#This Row],[Total Panjang Pipa Aktual]]-Table3[[#This Row],[Volume
BA MC-0]]</f>
        <v>346</v>
      </c>
      <c r="O322" s="7" t="str">
        <f ca="1">'Database MK'!DE323</f>
        <v>Sudah, OnSchedule</v>
      </c>
      <c r="P322" s="7" t="str">
        <f ca="1">'Database MK'!DI323</f>
        <v>Sudah, OnSchedule</v>
      </c>
      <c r="Q322" s="7" t="str">
        <f ca="1">'Database MK'!DN323</f>
        <v>Sudah, OnSchedule</v>
      </c>
      <c r="R322" s="7" t="str">
        <f ca="1">'Database MK'!DR323</f>
        <v>Sudah, OnSchedule</v>
      </c>
      <c r="S322" s="7" t="str">
        <f ca="1">'Database MK'!EA323</f>
        <v>Sudah, OnSchedule</v>
      </c>
      <c r="T322" s="7" t="str">
        <f ca="1">'Database MK'!EI323</f>
        <v>Belum, Delay</v>
      </c>
      <c r="U322" s="7" t="str">
        <f ca="1">'Database MK'!ET323</f>
        <v>Belum, Delay</v>
      </c>
      <c r="V322" s="7" t="str">
        <f ca="1">'Database MK'!GA323</f>
        <v>Belum, Delay</v>
      </c>
      <c r="W322" s="7" t="str">
        <f ca="1">'Database MK'!GD323</f>
        <v>Sudah, Delay</v>
      </c>
      <c r="X322" s="7" t="str">
        <f ca="1">'Database MK'!GG323</f>
        <v>Sudah, Delay</v>
      </c>
      <c r="Y322" s="7" t="str">
        <f ca="1">'Database MK'!GK323</f>
        <v>Sudah, Delay</v>
      </c>
      <c r="Z322" s="7" t="str">
        <f ca="1">'Database MK'!HH323</f>
        <v>Belum, Delay</v>
      </c>
      <c r="AA322" s="7" t="str">
        <f ca="1">'Database MK'!HR323</f>
        <v>Belum, Delay</v>
      </c>
      <c r="AB322" s="7" t="str">
        <f ca="1">'Database MK'!HX323</f>
        <v>Belum, Delay</v>
      </c>
      <c r="AC322" s="7">
        <f>'Database MK'!DA323-'Database MK'!DB323</f>
        <v>33</v>
      </c>
      <c r="AD322" s="7">
        <f>'Database MK'!DA323-'Database MK'!DF323</f>
        <v>27</v>
      </c>
      <c r="AE322" s="7">
        <f>'Database MK'!DK323-'Database MK'!DL323</f>
        <v>60</v>
      </c>
      <c r="AF322" s="7">
        <f>'Database MK'!DK323-'Database MK'!DO323</f>
        <v>11</v>
      </c>
      <c r="AG322" s="7">
        <f>'Database MK'!DU323-'Database MK'!DW323</f>
        <v>32</v>
      </c>
      <c r="AH322" s="7" t="str">
        <f>IF('Database MK'!EB323="","Belum",'Database MK'!DU323-'Database MK'!EB323)</f>
        <v>Belum</v>
      </c>
      <c r="AI322" s="7" t="str">
        <f>IF('Database MK'!EN323="","Belum",'Database MK'!EL323-'Database MK'!EN323)</f>
        <v>Belum</v>
      </c>
      <c r="AJ322" s="7">
        <f>'Database MK'!FY323-'Database MK'!FZ323</f>
        <v>0</v>
      </c>
      <c r="AK322" s="7">
        <f>IF('Database MK'!GC323="","Belum",'Database MK'!GB323-'Database MK'!GC323)</f>
        <v>-49</v>
      </c>
      <c r="AL322" s="7">
        <f>IF('Database MK'!GF323="","Belum",'Database MK'!GE323-'Database MK'!GF323)</f>
        <v>-42</v>
      </c>
      <c r="AM322" s="279">
        <f>IF('Database MK'!GJ323="","Belum",'Database MK'!GI323-'Database MK'!GJ323)</f>
        <v>-43</v>
      </c>
      <c r="AN322" s="7" t="str">
        <f>IF('Database MK'!HG323="","Belum",'Database MK'!HF323-'Database MK'!HG323)</f>
        <v>Belum</v>
      </c>
      <c r="AO322" s="7" t="str">
        <f>IF('Database MK'!HQ323="","Belum",'Database MK'!HN323-'Database MK'!HQ323)</f>
        <v>Belum</v>
      </c>
      <c r="AP322" s="7" t="str">
        <f>IF('Database MK'!HW323="","Belum",'Database MK'!HU323-'Database MK'!HW323)</f>
        <v>Belum</v>
      </c>
    </row>
    <row r="323" spans="2:42" hidden="1" x14ac:dyDescent="0.25">
      <c r="B323" s="7">
        <f>SUBTOTAL(3,$C$4:C323)</f>
        <v>74</v>
      </c>
      <c r="C323" s="269" t="s">
        <v>673</v>
      </c>
      <c r="D323" s="4" t="s">
        <v>2585</v>
      </c>
      <c r="E323" s="4" t="s">
        <v>2586</v>
      </c>
      <c r="F323" s="270">
        <v>46113</v>
      </c>
      <c r="G323" s="4" t="s">
        <v>681</v>
      </c>
      <c r="H323" s="4" t="str">
        <f ca="1">'Database MK'!Q324</f>
        <v>DPPP</v>
      </c>
      <c r="I323" s="24">
        <f>'Database MK'!S324</f>
        <v>1</v>
      </c>
      <c r="J323" s="24">
        <f>'Database MK'!T324</f>
        <v>1</v>
      </c>
      <c r="K323" s="571">
        <f>'Database MK'!U324</f>
        <v>0</v>
      </c>
      <c r="L323" s="561">
        <f>'Database MK'!V324</f>
        <v>11652</v>
      </c>
      <c r="M323" s="561">
        <f>'Database MK'!W324</f>
        <v>10434</v>
      </c>
      <c r="N323" s="561">
        <f>Table3[[#This Row],[Total Panjang Pipa Aktual]]-Table3[[#This Row],[Volume
BA MC-0]]</f>
        <v>-1218</v>
      </c>
      <c r="O323" s="7" t="str">
        <f ca="1">'Database MK'!DE324</f>
        <v>Sudah, OnSchedule</v>
      </c>
      <c r="P323" s="7" t="str">
        <f ca="1">'Database MK'!DI324</f>
        <v>Sudah, OnSchedule</v>
      </c>
      <c r="Q323" s="7" t="str">
        <f ca="1">'Database MK'!DN324</f>
        <v>Sudah, OnSchedule</v>
      </c>
      <c r="R323" s="7" t="str">
        <f ca="1">'Database MK'!DR324</f>
        <v>Sudah, OnSchedule</v>
      </c>
      <c r="S323" s="7" t="str">
        <f ca="1">'Database MK'!EA324</f>
        <v>Sudah, OnSchedule</v>
      </c>
      <c r="T323" s="7" t="str">
        <f ca="1">'Database MK'!EI324</f>
        <v>Belum, Delay</v>
      </c>
      <c r="U323" s="7" t="str">
        <f ca="1">'Database MK'!ET324</f>
        <v>Belum, Delay</v>
      </c>
      <c r="V323" s="7" t="str">
        <f ca="1">'Database MK'!GA324</f>
        <v>Belum, Delay</v>
      </c>
      <c r="W323" s="7" t="str">
        <f ca="1">'Database MK'!GD324</f>
        <v>Sudah, Delay</v>
      </c>
      <c r="X323" s="7" t="str">
        <f ca="1">'Database MK'!GG324</f>
        <v>Sudah, Delay</v>
      </c>
      <c r="Y323" s="7" t="str">
        <f ca="1">'Database MK'!GK324</f>
        <v>Sudah, Delay</v>
      </c>
      <c r="Z323" s="7" t="str">
        <f ca="1">'Database MK'!HH324</f>
        <v>Sudah, Delay</v>
      </c>
      <c r="AA323" s="7" t="str">
        <f ca="1">'Database MK'!HR324</f>
        <v>Sudah, Delay</v>
      </c>
      <c r="AB323" s="7" t="str">
        <f ca="1">'Database MK'!HX324</f>
        <v>Sudah, Delay</v>
      </c>
      <c r="AC323" s="7">
        <f>'Database MK'!DA324-'Database MK'!DB324</f>
        <v>33</v>
      </c>
      <c r="AD323" s="7">
        <f>'Database MK'!DA324-'Database MK'!DF324</f>
        <v>27</v>
      </c>
      <c r="AE323" s="7">
        <f>'Database MK'!DK324-'Database MK'!DL324</f>
        <v>60</v>
      </c>
      <c r="AF323" s="7">
        <f>'Database MK'!DK324-'Database MK'!DO324</f>
        <v>11</v>
      </c>
      <c r="AG323" s="7">
        <f>'Database MK'!DU324-'Database MK'!DW324</f>
        <v>32</v>
      </c>
      <c r="AH323" s="7" t="str">
        <f>IF('Database MK'!EB324="","Belum",'Database MK'!DU324-'Database MK'!EB324)</f>
        <v>Belum</v>
      </c>
      <c r="AI323" s="7" t="str">
        <f>IF('Database MK'!EN324="","Belum",'Database MK'!EL324-'Database MK'!EN324)</f>
        <v>Belum</v>
      </c>
      <c r="AJ323" s="7">
        <f>'Database MK'!FY324-'Database MK'!FZ324</f>
        <v>0</v>
      </c>
      <c r="AK323" s="7">
        <f>IF('Database MK'!GC324="","Belum",'Database MK'!GB324-'Database MK'!GC324)</f>
        <v>-49</v>
      </c>
      <c r="AL323" s="7">
        <f>IF('Database MK'!GF324="","Belum",'Database MK'!GE324-'Database MK'!GF324)</f>
        <v>-42</v>
      </c>
      <c r="AM323" s="279">
        <f>IF('Database MK'!GJ324="","Belum",'Database MK'!GI324-'Database MK'!GJ324)</f>
        <v>-38</v>
      </c>
      <c r="AN323" s="7">
        <f>IF('Database MK'!HG324="","Belum",'Database MK'!HF324-'Database MK'!HG324)</f>
        <v>-120</v>
      </c>
      <c r="AO323" s="7">
        <f>IF('Database MK'!HQ324="","Belum",'Database MK'!HN324-'Database MK'!HQ324)</f>
        <v>-117</v>
      </c>
      <c r="AP323" s="7">
        <f>IF('Database MK'!HW324="","Belum",'Database MK'!HU324-'Database MK'!HW324)</f>
        <v>-119</v>
      </c>
    </row>
    <row r="324" spans="2:42" hidden="1" x14ac:dyDescent="0.25">
      <c r="B324" s="7">
        <f>SUBTOTAL(3,$C$4:C324)</f>
        <v>74</v>
      </c>
      <c r="C324" s="269" t="s">
        <v>673</v>
      </c>
      <c r="D324" s="4" t="s">
        <v>2593</v>
      </c>
      <c r="E324" s="4" t="s">
        <v>2594</v>
      </c>
      <c r="F324" s="270">
        <v>46113</v>
      </c>
      <c r="G324" s="4" t="s">
        <v>681</v>
      </c>
      <c r="H324" s="4" t="str">
        <f ca="1">'Database MK'!Q325</f>
        <v>Proses Konstruksi</v>
      </c>
      <c r="I324" s="24">
        <f>'Database MK'!S325</f>
        <v>1</v>
      </c>
      <c r="J324" s="24">
        <f>'Database MK'!T325</f>
        <v>0.91015659975971486</v>
      </c>
      <c r="K324" s="571">
        <f>'Database MK'!U325</f>
        <v>-8.9843400240285143E-2</v>
      </c>
      <c r="L324" s="561">
        <f>'Database MK'!V325</f>
        <v>6459</v>
      </c>
      <c r="M324" s="561">
        <f>'Database MK'!W325</f>
        <v>6393</v>
      </c>
      <c r="N324" s="561">
        <f>Table3[[#This Row],[Total Panjang Pipa Aktual]]-Table3[[#This Row],[Volume
BA MC-0]]</f>
        <v>-66</v>
      </c>
      <c r="O324" s="7" t="str">
        <f ca="1">'Database MK'!DE325</f>
        <v>Sudah, Delay</v>
      </c>
      <c r="P324" s="7" t="str">
        <f ca="1">'Database MK'!DI325</f>
        <v>Sudah, Delay</v>
      </c>
      <c r="Q324" s="7" t="str">
        <f ca="1">'Database MK'!DN325</f>
        <v>Sudah, OnSchedule</v>
      </c>
      <c r="R324" s="7" t="str">
        <f ca="1">'Database MK'!DR325</f>
        <v>Sudah, Delay</v>
      </c>
      <c r="S324" s="7" t="str">
        <f ca="1">'Database MK'!EA325</f>
        <v>Sudah, Delay</v>
      </c>
      <c r="T324" s="7" t="str">
        <f ca="1">'Database MK'!EI325</f>
        <v>Sudah, Delay</v>
      </c>
      <c r="U324" s="7" t="str">
        <f ca="1">'Database MK'!ET325</f>
        <v>Sudah, Delay</v>
      </c>
      <c r="V324" s="7" t="str">
        <f ca="1">'Database MK'!GA325</f>
        <v>Belum, Delay</v>
      </c>
      <c r="W324" s="7" t="str">
        <f ca="1">'Database MK'!GD325</f>
        <v>Sudah, Delay</v>
      </c>
      <c r="X324" s="7" t="str">
        <f ca="1">'Database MK'!GG325</f>
        <v>Sudah, Delay</v>
      </c>
      <c r="Y324" s="7" t="str">
        <f ca="1">'Database MK'!GK325</f>
        <v>Sudah, Delay</v>
      </c>
      <c r="Z324" s="7" t="str">
        <f ca="1">'Database MK'!HH325</f>
        <v>Belum, Delay</v>
      </c>
      <c r="AA324" s="7" t="str">
        <f ca="1">'Database MK'!HR325</f>
        <v>Belum, Delay</v>
      </c>
      <c r="AB324" s="7" t="str">
        <f ca="1">'Database MK'!HX325</f>
        <v>Belum, Delay</v>
      </c>
      <c r="AC324" s="7">
        <f>'Database MK'!DA325-'Database MK'!DB325</f>
        <v>-5</v>
      </c>
      <c r="AD324" s="7">
        <f>'Database MK'!DA325-'Database MK'!DF325</f>
        <v>-31</v>
      </c>
      <c r="AE324" s="7">
        <f>'Database MK'!DK325-'Database MK'!DL325</f>
        <v>10</v>
      </c>
      <c r="AF324" s="7">
        <f>'Database MK'!DK325-'Database MK'!DO325</f>
        <v>-10</v>
      </c>
      <c r="AG324" s="7">
        <f>'Database MK'!DU325-'Database MK'!DW325</f>
        <v>-12</v>
      </c>
      <c r="AH324" s="7">
        <f>IF('Database MK'!EB325="","Belum",'Database MK'!DU325-'Database MK'!EB325)</f>
        <v>-235</v>
      </c>
      <c r="AI324" s="7">
        <f>IF('Database MK'!EN325="","Belum",'Database MK'!EL325-'Database MK'!EN325)</f>
        <v>-131</v>
      </c>
      <c r="AJ324" s="7">
        <f>'Database MK'!FY325-'Database MK'!FZ325</f>
        <v>0</v>
      </c>
      <c r="AK324" s="7">
        <f>IF('Database MK'!GC325="","Belum",'Database MK'!GB325-'Database MK'!GC325)</f>
        <v>-41</v>
      </c>
      <c r="AL324" s="7">
        <f>IF('Database MK'!GF325="","Belum",'Database MK'!GE325-'Database MK'!GF325)</f>
        <v>-34</v>
      </c>
      <c r="AM324" s="279">
        <f>IF('Database MK'!GJ325="","Belum",'Database MK'!GI325-'Database MK'!GJ325)</f>
        <v>-24</v>
      </c>
      <c r="AN324" s="7" t="str">
        <f>IF('Database MK'!HG325="","Belum",'Database MK'!HF325-'Database MK'!HG325)</f>
        <v>Belum</v>
      </c>
      <c r="AO324" s="7" t="str">
        <f>IF('Database MK'!HQ325="","Belum",'Database MK'!HN325-'Database MK'!HQ325)</f>
        <v>Belum</v>
      </c>
      <c r="AP324" s="7" t="str">
        <f>IF('Database MK'!HW325="","Belum",'Database MK'!HU325-'Database MK'!HW325)</f>
        <v>Belum</v>
      </c>
    </row>
    <row r="325" spans="2:42" hidden="1" x14ac:dyDescent="0.25">
      <c r="B325" s="7">
        <f>SUBTOTAL(3,$C$4:C325)</f>
        <v>74</v>
      </c>
      <c r="C325" s="269" t="s">
        <v>673</v>
      </c>
      <c r="D325" s="4" t="s">
        <v>2601</v>
      </c>
      <c r="E325" s="4" t="s">
        <v>2602</v>
      </c>
      <c r="F325" s="270">
        <v>46113</v>
      </c>
      <c r="G325" s="4" t="s">
        <v>681</v>
      </c>
      <c r="H325" s="4" t="str">
        <f ca="1">'Database MK'!Q326</f>
        <v>DPPP</v>
      </c>
      <c r="I325" s="24">
        <f>'Database MK'!S326</f>
        <v>1</v>
      </c>
      <c r="J325" s="24">
        <f>'Database MK'!T326</f>
        <v>1</v>
      </c>
      <c r="K325" s="571">
        <f>'Database MK'!U326</f>
        <v>0</v>
      </c>
      <c r="L325" s="561">
        <f>'Database MK'!V326</f>
        <v>275</v>
      </c>
      <c r="M325" s="561">
        <f>'Database MK'!W326</f>
        <v>275</v>
      </c>
      <c r="N325" s="561">
        <f>Table3[[#This Row],[Total Panjang Pipa Aktual]]-Table3[[#This Row],[Volume
BA MC-0]]</f>
        <v>0</v>
      </c>
      <c r="O325" s="7" t="str">
        <f ca="1">'Database MK'!DE326</f>
        <v>Sudah, OnSchedule</v>
      </c>
      <c r="P325" s="7" t="str">
        <f ca="1">'Database MK'!DI326</f>
        <v>Sudah, OnSchedule</v>
      </c>
      <c r="Q325" s="7" t="str">
        <f ca="1">'Database MK'!DN326</f>
        <v>Sudah, OnSchedule</v>
      </c>
      <c r="R325" s="7" t="str">
        <f ca="1">'Database MK'!DR326</f>
        <v>Sudah, OnSchedule</v>
      </c>
      <c r="S325" s="7" t="str">
        <f ca="1">'Database MK'!EA326</f>
        <v>Sudah, OnSchedule</v>
      </c>
      <c r="T325" s="7" t="str">
        <f ca="1">'Database MK'!EI326</f>
        <v>Sudah, Delay</v>
      </c>
      <c r="U325" s="7" t="str">
        <f ca="1">'Database MK'!ET326</f>
        <v>Sudah, Delay</v>
      </c>
      <c r="V325" s="7" t="str">
        <f ca="1">'Database MK'!GA326</f>
        <v>Belum, Delay</v>
      </c>
      <c r="W325" s="7" t="str">
        <f ca="1">'Database MK'!GD326</f>
        <v>Sudah, OnSchedule</v>
      </c>
      <c r="X325" s="7" t="str">
        <f ca="1">'Database MK'!GG326</f>
        <v>Sudah, OnSchedule</v>
      </c>
      <c r="Y325" s="7" t="str">
        <f ca="1">'Database MK'!GK326</f>
        <v>Sudah, OnSchedule</v>
      </c>
      <c r="Z325" s="7" t="str">
        <f ca="1">'Database MK'!HH326</f>
        <v>Sudah, Delay</v>
      </c>
      <c r="AA325" s="7" t="str">
        <f ca="1">'Database MK'!HR326</f>
        <v>Sudah, Delay</v>
      </c>
      <c r="AB325" s="7" t="str">
        <f ca="1">'Database MK'!HX326</f>
        <v>Sudah, Delay</v>
      </c>
      <c r="AC325" s="7">
        <f>'Database MK'!DA326-'Database MK'!DB326</f>
        <v>47</v>
      </c>
      <c r="AD325" s="7">
        <f>'Database MK'!DA326-'Database MK'!DF326</f>
        <v>34</v>
      </c>
      <c r="AE325" s="7">
        <f>'Database MK'!DK326-'Database MK'!DL326</f>
        <v>65</v>
      </c>
      <c r="AF325" s="7">
        <f>'Database MK'!DK326-'Database MK'!DO326</f>
        <v>45</v>
      </c>
      <c r="AG325" s="7">
        <f>'Database MK'!DU326-'Database MK'!DW326</f>
        <v>44</v>
      </c>
      <c r="AH325" s="7">
        <f>IF('Database MK'!EB326="","Belum",'Database MK'!DU326-'Database MK'!EB326)</f>
        <v>-215</v>
      </c>
      <c r="AI325" s="7">
        <f>IF('Database MK'!EN326="","Belum",'Database MK'!EL326-'Database MK'!EN326)</f>
        <v>-204</v>
      </c>
      <c r="AJ325" s="7">
        <f>'Database MK'!FY326-'Database MK'!FZ326</f>
        <v>0</v>
      </c>
      <c r="AK325" s="7">
        <f>IF('Database MK'!GC326="","Belum",'Database MK'!GB326-'Database MK'!GC326)</f>
        <v>42</v>
      </c>
      <c r="AL325" s="7">
        <f>IF('Database MK'!GF326="","Belum",'Database MK'!GE326-'Database MK'!GF326)</f>
        <v>49</v>
      </c>
      <c r="AM325" s="279">
        <f>IF('Database MK'!GJ326="","Belum",'Database MK'!GI326-'Database MK'!GJ326)</f>
        <v>55</v>
      </c>
      <c r="AN325" s="7">
        <f>IF('Database MK'!HG326="","Belum",'Database MK'!HF326-'Database MK'!HG326)</f>
        <v>-103</v>
      </c>
      <c r="AO325" s="7">
        <f>IF('Database MK'!HQ326="","Belum",'Database MK'!HN326-'Database MK'!HQ326)</f>
        <v>-111</v>
      </c>
      <c r="AP325" s="7">
        <f>IF('Database MK'!HW326="","Belum",'Database MK'!HU326-'Database MK'!HW326)</f>
        <v>-110</v>
      </c>
    </row>
    <row r="326" spans="2:42" s="72" customFormat="1" hidden="1" x14ac:dyDescent="0.25">
      <c r="B326" s="277">
        <f>SUBTOTAL(3,$C$4:C326)</f>
        <v>74</v>
      </c>
      <c r="C326" s="72" t="s">
        <v>673</v>
      </c>
      <c r="D326" s="72" t="s">
        <v>2609</v>
      </c>
      <c r="E326" s="72" t="s">
        <v>2610</v>
      </c>
      <c r="F326" s="272">
        <v>46113</v>
      </c>
      <c r="G326" s="72" t="s">
        <v>681</v>
      </c>
      <c r="H326" s="72" t="str">
        <f>'Database MK'!Q327</f>
        <v>BATAL / CANCEL</v>
      </c>
      <c r="I326" s="572">
        <f>'Database MK'!S327</f>
        <v>1</v>
      </c>
      <c r="J326" s="572">
        <f>'Database MK'!T327</f>
        <v>0</v>
      </c>
      <c r="K326" s="573">
        <f>'Database MK'!U327</f>
        <v>-1</v>
      </c>
      <c r="L326" s="562">
        <f>'Database MK'!V327</f>
        <v>0</v>
      </c>
      <c r="M326" s="562">
        <f>'Database MK'!W327</f>
        <v>0</v>
      </c>
      <c r="N326" s="562">
        <f>Table3[[#This Row],[Total Panjang Pipa Aktual]]-Table3[[#This Row],[Volume
BA MC-0]]</f>
        <v>0</v>
      </c>
      <c r="O326" s="277" t="str">
        <f ca="1">'Database MK'!DE327</f>
        <v>Sudah, OnSchedule</v>
      </c>
      <c r="P326" s="277">
        <f>'Database MK'!DI327</f>
        <v>0</v>
      </c>
      <c r="Q326" s="277">
        <f>'Database MK'!DN327</f>
        <v>0</v>
      </c>
      <c r="R326" s="277">
        <f>'Database MK'!DR327</f>
        <v>0</v>
      </c>
      <c r="S326" s="277">
        <f>'Database MK'!EA327</f>
        <v>0</v>
      </c>
      <c r="T326" s="277" t="str">
        <f ca="1">'Database MK'!EI327</f>
        <v>Belum, Delay</v>
      </c>
      <c r="U326" s="277" t="str">
        <f ca="1">'Database MK'!ET327</f>
        <v>Belum, Delay</v>
      </c>
      <c r="V326" s="277" t="str">
        <f ca="1">'Database MK'!GA327</f>
        <v>Belum, Delay</v>
      </c>
      <c r="W326" s="277" t="str">
        <f ca="1">'Database MK'!GD327</f>
        <v>Sudah, OnSchedule</v>
      </c>
      <c r="X326" s="277" t="str">
        <f ca="1">'Database MK'!GG327</f>
        <v>Sudah, Delay</v>
      </c>
      <c r="Y326" s="277" t="str">
        <f ca="1">'Database MK'!GK327</f>
        <v>Belum, Delay</v>
      </c>
      <c r="Z326" s="277" t="str">
        <f ca="1">'Database MK'!HH327</f>
        <v>Belum, Delay</v>
      </c>
      <c r="AA326" s="277" t="str">
        <f ca="1">'Database MK'!HR327</f>
        <v>Belum, Delay</v>
      </c>
      <c r="AB326" s="277" t="str">
        <f ca="1">'Database MK'!HX327</f>
        <v>Belum, Delay</v>
      </c>
      <c r="AC326" s="277"/>
      <c r="AD326" s="277"/>
      <c r="AE326" s="277"/>
      <c r="AF326" s="277"/>
      <c r="AG326" s="277"/>
      <c r="AH326" s="277"/>
      <c r="AI326" s="277"/>
      <c r="AJ326" s="277">
        <f>'Database MK'!FY327-'Database MK'!FZ327</f>
        <v>0</v>
      </c>
      <c r="AK326" s="277"/>
      <c r="AL326" s="277"/>
      <c r="AM326" s="280"/>
      <c r="AN326" s="277"/>
      <c r="AO326" s="277"/>
      <c r="AP326" s="277"/>
    </row>
    <row r="327" spans="2:42" hidden="1" x14ac:dyDescent="0.25">
      <c r="B327" s="7">
        <f>SUBTOTAL(3,$C$4:C327)</f>
        <v>74</v>
      </c>
      <c r="C327" s="269" t="s">
        <v>673</v>
      </c>
      <c r="D327" s="4" t="s">
        <v>2616</v>
      </c>
      <c r="E327" s="4" t="s">
        <v>2617</v>
      </c>
      <c r="F327" s="270">
        <v>46113</v>
      </c>
      <c r="G327" s="4" t="s">
        <v>681</v>
      </c>
      <c r="H327" s="4" t="str">
        <f ca="1">'Database MK'!Q328</f>
        <v>Proses Konstruksi</v>
      </c>
      <c r="I327" s="24">
        <f>'Database MK'!S328</f>
        <v>1</v>
      </c>
      <c r="J327" s="24">
        <f>'Database MK'!T328</f>
        <v>0.27751642316180131</v>
      </c>
      <c r="K327" s="571">
        <f>'Database MK'!U328</f>
        <v>-0.72248357683819875</v>
      </c>
      <c r="L327" s="561">
        <f>'Database MK'!V328</f>
        <v>5219</v>
      </c>
      <c r="M327" s="561">
        <f>'Database MK'!W328</f>
        <v>3769</v>
      </c>
      <c r="N327" s="561">
        <f>Table3[[#This Row],[Total Panjang Pipa Aktual]]-Table3[[#This Row],[Volume
BA MC-0]]</f>
        <v>-1450</v>
      </c>
      <c r="O327" s="7" t="str">
        <f ca="1">'Database MK'!DE328</f>
        <v>Sudah, OnSchedule</v>
      </c>
      <c r="P327" s="7" t="str">
        <f ca="1">'Database MK'!DI328</f>
        <v>Sudah, OnSchedule</v>
      </c>
      <c r="Q327" s="7" t="str">
        <f ca="1">'Database MK'!DN328</f>
        <v>Sudah, OnSchedule</v>
      </c>
      <c r="R327" s="7" t="str">
        <f ca="1">'Database MK'!DR328</f>
        <v>Sudah, Delay</v>
      </c>
      <c r="S327" s="7" t="str">
        <f ca="1">'Database MK'!EA328</f>
        <v>Sudah, OnSchedule</v>
      </c>
      <c r="T327" s="7" t="str">
        <f ca="1">'Database MK'!EI328</f>
        <v>Belum, Delay</v>
      </c>
      <c r="U327" s="7" t="str">
        <f ca="1">'Database MK'!ET328</f>
        <v>Belum, Delay</v>
      </c>
      <c r="V327" s="7" t="str">
        <f ca="1">'Database MK'!GA328</f>
        <v>Belum, Delay</v>
      </c>
      <c r="W327" s="7" t="str">
        <f ca="1">'Database MK'!GD328</f>
        <v>Sudah, Delay</v>
      </c>
      <c r="X327" s="7" t="str">
        <f ca="1">'Database MK'!GG328</f>
        <v>Sudah, Delay</v>
      </c>
      <c r="Y327" s="7" t="str">
        <f ca="1">'Database MK'!GK328</f>
        <v>Sudah, Delay</v>
      </c>
      <c r="Z327" s="7" t="str">
        <f ca="1">'Database MK'!HH328</f>
        <v>Belum, Delay</v>
      </c>
      <c r="AA327" s="7" t="str">
        <f ca="1">'Database MK'!HR328</f>
        <v>Belum, Delay</v>
      </c>
      <c r="AB327" s="7" t="str">
        <f ca="1">'Database MK'!HX328</f>
        <v>Belum, Delay</v>
      </c>
      <c r="AC327" s="7">
        <f>'Database MK'!DA328-'Database MK'!DB328</f>
        <v>44</v>
      </c>
      <c r="AD327" s="7">
        <f>'Database MK'!DA328-'Database MK'!DF328</f>
        <v>34</v>
      </c>
      <c r="AE327" s="7">
        <f>'Database MK'!DK328-'Database MK'!DL328</f>
        <v>60</v>
      </c>
      <c r="AF327" s="7">
        <f>'Database MK'!DK328-'Database MK'!DO328</f>
        <v>-9</v>
      </c>
      <c r="AG327" s="7">
        <f>'Database MK'!DU328-'Database MK'!DW328</f>
        <v>44</v>
      </c>
      <c r="AH327" s="7" t="str">
        <f>IF('Database MK'!EB328="","Belum",'Database MK'!DU328-'Database MK'!EB328)</f>
        <v>Belum</v>
      </c>
      <c r="AI327" s="7" t="str">
        <f>IF('Database MK'!EN328="","Belum",'Database MK'!EL328-'Database MK'!EN328)</f>
        <v>Belum</v>
      </c>
      <c r="AJ327" s="7">
        <f>'Database MK'!FY328-'Database MK'!FZ328</f>
        <v>0</v>
      </c>
      <c r="AK327" s="7">
        <f>IF('Database MK'!GC328="","Belum",'Database MK'!GB328-'Database MK'!GC328)</f>
        <v>-7</v>
      </c>
      <c r="AL327" s="7">
        <f>IF('Database MK'!GF328="","Belum",'Database MK'!GE328-'Database MK'!GF328)</f>
        <v>-13</v>
      </c>
      <c r="AM327" s="279">
        <f>IF('Database MK'!GJ328="","Belum",'Database MK'!GI328-'Database MK'!GJ328)</f>
        <v>-5</v>
      </c>
      <c r="AN327" s="7" t="str">
        <f>IF('Database MK'!HG328="","Belum",'Database MK'!HF328-'Database MK'!HG328)</f>
        <v>Belum</v>
      </c>
      <c r="AO327" s="7" t="str">
        <f>IF('Database MK'!HQ328="","Belum",'Database MK'!HN328-'Database MK'!HQ328)</f>
        <v>Belum</v>
      </c>
      <c r="AP327" s="7" t="str">
        <f>IF('Database MK'!HW328="","Belum",'Database MK'!HU328-'Database MK'!HW328)</f>
        <v>Belum</v>
      </c>
    </row>
    <row r="328" spans="2:42" hidden="1" x14ac:dyDescent="0.25">
      <c r="B328" s="7">
        <f>SUBTOTAL(3,$C$4:C328)</f>
        <v>74</v>
      </c>
      <c r="C328" s="269" t="s">
        <v>673</v>
      </c>
      <c r="D328" s="4" t="s">
        <v>2624</v>
      </c>
      <c r="E328" s="4" t="s">
        <v>2625</v>
      </c>
      <c r="F328" s="270">
        <v>46113</v>
      </c>
      <c r="G328" s="4" t="s">
        <v>681</v>
      </c>
      <c r="H328" s="4" t="str">
        <f ca="1">'Database MK'!Q329</f>
        <v>Proses Konstruksi</v>
      </c>
      <c r="I328" s="24">
        <f>'Database MK'!S329</f>
        <v>1</v>
      </c>
      <c r="J328" s="24">
        <f>'Database MK'!T329</f>
        <v>0.87379175463756376</v>
      </c>
      <c r="K328" s="571">
        <f>'Database MK'!U329</f>
        <v>-0.12620824536243624</v>
      </c>
      <c r="L328" s="561">
        <f>'Database MK'!V329</f>
        <v>1206</v>
      </c>
      <c r="M328" s="561">
        <f>'Database MK'!W329</f>
        <v>1189</v>
      </c>
      <c r="N328" s="561">
        <f>Table3[[#This Row],[Total Panjang Pipa Aktual]]-Table3[[#This Row],[Volume
BA MC-0]]</f>
        <v>-17</v>
      </c>
      <c r="O328" s="7" t="str">
        <f ca="1">'Database MK'!DE329</f>
        <v>Sudah, OnSchedule</v>
      </c>
      <c r="P328" s="7" t="str">
        <f ca="1">'Database MK'!DI329</f>
        <v>Sudah, OnSchedule</v>
      </c>
      <c r="Q328" s="7" t="str">
        <f ca="1">'Database MK'!DN329</f>
        <v>Sudah, OnSchedule</v>
      </c>
      <c r="R328" s="7" t="str">
        <f ca="1">'Database MK'!DR329</f>
        <v>Sudah, OnSchedule</v>
      </c>
      <c r="S328" s="7" t="str">
        <f ca="1">'Database MK'!EA329</f>
        <v>Sudah, OnSchedule</v>
      </c>
      <c r="T328" s="7" t="str">
        <f ca="1">'Database MK'!EI329</f>
        <v>Belum, Delay</v>
      </c>
      <c r="U328" s="7" t="str">
        <f ca="1">'Database MK'!ET329</f>
        <v>Belum, Delay</v>
      </c>
      <c r="V328" s="7" t="str">
        <f ca="1">'Database MK'!GA329</f>
        <v>Belum, Delay</v>
      </c>
      <c r="W328" s="7" t="str">
        <f ca="1">'Database MK'!GD329</f>
        <v>Sudah, Delay</v>
      </c>
      <c r="X328" s="7" t="str">
        <f ca="1">'Database MK'!GG329</f>
        <v>Sudah, Delay</v>
      </c>
      <c r="Y328" s="7" t="str">
        <f ca="1">'Database MK'!GK329</f>
        <v>Sudah, Delay</v>
      </c>
      <c r="Z328" s="7" t="str">
        <f ca="1">'Database MK'!HH329</f>
        <v>Belum, Delay</v>
      </c>
      <c r="AA328" s="7" t="str">
        <f ca="1">'Database MK'!HR329</f>
        <v>Belum, Delay</v>
      </c>
      <c r="AB328" s="7" t="str">
        <f ca="1">'Database MK'!HX329</f>
        <v>Belum, Delay</v>
      </c>
      <c r="AC328" s="7">
        <f>'Database MK'!DA329-'Database MK'!DB329</f>
        <v>44</v>
      </c>
      <c r="AD328" s="7">
        <f>'Database MK'!DA329-'Database MK'!DF329</f>
        <v>34</v>
      </c>
      <c r="AE328" s="7">
        <f>'Database MK'!DK329-'Database MK'!DL329</f>
        <v>60</v>
      </c>
      <c r="AF328" s="7">
        <f>'Database MK'!DK329-'Database MK'!DO329</f>
        <v>11</v>
      </c>
      <c r="AG328" s="7">
        <f>'Database MK'!DU329-'Database MK'!DW329</f>
        <v>44</v>
      </c>
      <c r="AH328" s="7" t="str">
        <f>IF('Database MK'!EB329="","Belum",'Database MK'!DU329-'Database MK'!EB329)</f>
        <v>Belum</v>
      </c>
      <c r="AI328" s="7" t="str">
        <f>IF('Database MK'!EN329="","Belum",'Database MK'!EL329-'Database MK'!EN329)</f>
        <v>Belum</v>
      </c>
      <c r="AJ328" s="7">
        <f>'Database MK'!FY329-'Database MK'!FZ329</f>
        <v>0</v>
      </c>
      <c r="AK328" s="7">
        <f>IF('Database MK'!GC329="","Belum",'Database MK'!GB329-'Database MK'!GC329)</f>
        <v>-7</v>
      </c>
      <c r="AL328" s="7">
        <f>IF('Database MK'!GF329="","Belum",'Database MK'!GE329-'Database MK'!GF329)</f>
        <v>-14</v>
      </c>
      <c r="AM328" s="279">
        <f>IF('Database MK'!GJ329="","Belum",'Database MK'!GI329-'Database MK'!GJ329)</f>
        <v>-10</v>
      </c>
      <c r="AN328" s="7" t="str">
        <f>IF('Database MK'!HG329="","Belum",'Database MK'!HF329-'Database MK'!HG329)</f>
        <v>Belum</v>
      </c>
      <c r="AO328" s="7" t="str">
        <f>IF('Database MK'!HQ329="","Belum",'Database MK'!HN329-'Database MK'!HQ329)</f>
        <v>Belum</v>
      </c>
      <c r="AP328" s="7" t="str">
        <f>IF('Database MK'!HW329="","Belum",'Database MK'!HU329-'Database MK'!HW329)</f>
        <v>Belum</v>
      </c>
    </row>
    <row r="329" spans="2:42" hidden="1" x14ac:dyDescent="0.25">
      <c r="B329" s="7">
        <f>SUBTOTAL(3,$C$4:C329)</f>
        <v>74</v>
      </c>
      <c r="C329" s="269" t="s">
        <v>673</v>
      </c>
      <c r="D329" s="4" t="s">
        <v>2632</v>
      </c>
      <c r="E329" s="4" t="s">
        <v>2633</v>
      </c>
      <c r="F329" s="270">
        <v>46113</v>
      </c>
      <c r="G329" s="4" t="s">
        <v>681</v>
      </c>
      <c r="H329" s="4" t="str">
        <f ca="1">'Database MK'!Q330</f>
        <v>Proses Konstruksi</v>
      </c>
      <c r="I329" s="24">
        <f>'Database MK'!S330</f>
        <v>1</v>
      </c>
      <c r="J329" s="24">
        <f>'Database MK'!T330</f>
        <v>0.81679471466471965</v>
      </c>
      <c r="K329" s="571">
        <f>'Database MK'!U330</f>
        <v>-0.18320528533528035</v>
      </c>
      <c r="L329" s="561">
        <f>'Database MK'!V330</f>
        <v>360</v>
      </c>
      <c r="M329" s="561">
        <f>'Database MK'!W330</f>
        <v>300</v>
      </c>
      <c r="N329" s="561">
        <f>Table3[[#This Row],[Total Panjang Pipa Aktual]]-Table3[[#This Row],[Volume
BA MC-0]]</f>
        <v>-60</v>
      </c>
      <c r="O329" s="7" t="str">
        <f ca="1">'Database MK'!DE330</f>
        <v>Sudah, Delay</v>
      </c>
      <c r="P329" s="7" t="str">
        <f ca="1">'Database MK'!DI330</f>
        <v>Sudah, Delay</v>
      </c>
      <c r="Q329" s="7" t="str">
        <f ca="1">'Database MK'!DN330</f>
        <v>Sudah, OnSchedule</v>
      </c>
      <c r="R329" s="7" t="str">
        <f ca="1">'Database MK'!DR330</f>
        <v>Sudah, OnSchedule</v>
      </c>
      <c r="S329" s="7" t="str">
        <f ca="1">'Database MK'!EA330</f>
        <v>Sudah, Delay</v>
      </c>
      <c r="T329" s="7" t="str">
        <f ca="1">'Database MK'!EI330</f>
        <v>Belum, Delay</v>
      </c>
      <c r="U329" s="7" t="str">
        <f ca="1">'Database MK'!ET330</f>
        <v>Belum, Delay</v>
      </c>
      <c r="V329" s="7" t="str">
        <f ca="1">'Database MK'!GA330</f>
        <v>Belum, Delay</v>
      </c>
      <c r="W329" s="7" t="str">
        <f ca="1">'Database MK'!GD330</f>
        <v>Sudah, OnSchedule</v>
      </c>
      <c r="X329" s="7" t="str">
        <f ca="1">'Database MK'!GG330</f>
        <v>Sudah, OnSchedule</v>
      </c>
      <c r="Y329" s="7" t="str">
        <f ca="1">'Database MK'!GK330</f>
        <v>Sudah, OnSchedule</v>
      </c>
      <c r="Z329" s="7" t="str">
        <f ca="1">'Database MK'!HH330</f>
        <v>Belum, Delay</v>
      </c>
      <c r="AA329" s="7" t="str">
        <f ca="1">'Database MK'!HR330</f>
        <v>Belum, Delay</v>
      </c>
      <c r="AB329" s="7" t="str">
        <f ca="1">'Database MK'!HX330</f>
        <v>Belum, Delay</v>
      </c>
      <c r="AC329" s="7">
        <f>'Database MK'!DA330-'Database MK'!DB330</f>
        <v>-8</v>
      </c>
      <c r="AD329" s="7">
        <f>'Database MK'!DA330-'Database MK'!DF330</f>
        <v>-22</v>
      </c>
      <c r="AE329" s="7">
        <f>'Database MK'!DK330-'Database MK'!DL330</f>
        <v>26</v>
      </c>
      <c r="AF329" s="7">
        <f>'Database MK'!DK330-'Database MK'!DO330</f>
        <v>17</v>
      </c>
      <c r="AG329" s="7">
        <f>'Database MK'!DU330-'Database MK'!DW330</f>
        <v>-2</v>
      </c>
      <c r="AH329" s="7" t="str">
        <f>IF('Database MK'!EB330="","Belum",'Database MK'!DU330-'Database MK'!EB330)</f>
        <v>Belum</v>
      </c>
      <c r="AI329" s="7" t="str">
        <f>IF('Database MK'!EN330="","Belum",'Database MK'!EL330-'Database MK'!EN330)</f>
        <v>Belum</v>
      </c>
      <c r="AJ329" s="7">
        <f>'Database MK'!FY330-'Database MK'!FZ330</f>
        <v>0</v>
      </c>
      <c r="AK329" s="7">
        <f>IF('Database MK'!GC330="","Belum",'Database MK'!GB330-'Database MK'!GC330)</f>
        <v>15</v>
      </c>
      <c r="AL329" s="7">
        <f>IF('Database MK'!GF330="","Belum",'Database MK'!GE330-'Database MK'!GF330)</f>
        <v>22</v>
      </c>
      <c r="AM329" s="279">
        <f>IF('Database MK'!GJ330="","Belum",'Database MK'!GI330-'Database MK'!GJ330)</f>
        <v>30</v>
      </c>
      <c r="AN329" s="7" t="str">
        <f>IF('Database MK'!HG330="","Belum",'Database MK'!HF330-'Database MK'!HG330)</f>
        <v>Belum</v>
      </c>
      <c r="AO329" s="7" t="str">
        <f>IF('Database MK'!HQ330="","Belum",'Database MK'!HN330-'Database MK'!HQ330)</f>
        <v>Belum</v>
      </c>
      <c r="AP329" s="7" t="str">
        <f>IF('Database MK'!HW330="","Belum",'Database MK'!HU330-'Database MK'!HW330)</f>
        <v>Belum</v>
      </c>
    </row>
    <row r="330" spans="2:42" hidden="1" x14ac:dyDescent="0.25">
      <c r="B330" s="7">
        <f>SUBTOTAL(3,$C$4:C330)</f>
        <v>74</v>
      </c>
      <c r="C330" s="269" t="s">
        <v>673</v>
      </c>
      <c r="D330" s="4" t="s">
        <v>2640</v>
      </c>
      <c r="E330" s="4" t="s">
        <v>2641</v>
      </c>
      <c r="F330" s="270">
        <v>46113</v>
      </c>
      <c r="G330" s="4" t="s">
        <v>681</v>
      </c>
      <c r="H330" s="4" t="str">
        <f ca="1">'Database MK'!Q331</f>
        <v>DPPP</v>
      </c>
      <c r="I330" s="24">
        <f>'Database MK'!S331</f>
        <v>1</v>
      </c>
      <c r="J330" s="24">
        <f>'Database MK'!T331</f>
        <v>1</v>
      </c>
      <c r="K330" s="571">
        <f>'Database MK'!U331</f>
        <v>0</v>
      </c>
      <c r="L330" s="561">
        <f>'Database MK'!V331</f>
        <v>200</v>
      </c>
      <c r="M330" s="561">
        <f>'Database MK'!W331</f>
        <v>200</v>
      </c>
      <c r="N330" s="561">
        <f>Table3[[#This Row],[Total Panjang Pipa Aktual]]-Table3[[#This Row],[Volume
BA MC-0]]</f>
        <v>0</v>
      </c>
      <c r="O330" s="7" t="str">
        <f ca="1">'Database MK'!DE331</f>
        <v>Sudah, Delay</v>
      </c>
      <c r="P330" s="7" t="str">
        <f ca="1">'Database MK'!DI331</f>
        <v>Sudah, Delay</v>
      </c>
      <c r="Q330" s="7" t="str">
        <f ca="1">'Database MK'!DN331</f>
        <v>Sudah, OnSchedule</v>
      </c>
      <c r="R330" s="7" t="str">
        <f ca="1">'Database MK'!DR331</f>
        <v>Sudah, Delay</v>
      </c>
      <c r="S330" s="7" t="str">
        <f ca="1">'Database MK'!EA331</f>
        <v>Sudah, Delay</v>
      </c>
      <c r="T330" s="7" t="str">
        <f ca="1">'Database MK'!EI331</f>
        <v>Sudah, Delay</v>
      </c>
      <c r="U330" s="7" t="str">
        <f ca="1">'Database MK'!ET331</f>
        <v>Sudah, Delay</v>
      </c>
      <c r="V330" s="7" t="str">
        <f ca="1">'Database MK'!GA331</f>
        <v>Belum, Delay</v>
      </c>
      <c r="W330" s="7" t="str">
        <f ca="1">'Database MK'!GD331</f>
        <v>Sudah, Delay</v>
      </c>
      <c r="X330" s="7" t="str">
        <f ca="1">'Database MK'!GG331</f>
        <v>Sudah, OnSchedule</v>
      </c>
      <c r="Y330" s="7" t="str">
        <f ca="1">'Database MK'!GK331</f>
        <v>Sudah, OnSchedule</v>
      </c>
      <c r="Z330" s="7" t="str">
        <f ca="1">'Database MK'!HH331</f>
        <v>Sudah, Delay</v>
      </c>
      <c r="AA330" s="7" t="str">
        <f ca="1">'Database MK'!HR331</f>
        <v>Sudah, Delay</v>
      </c>
      <c r="AB330" s="7" t="str">
        <f ca="1">'Database MK'!HX331</f>
        <v>Sudah, Delay</v>
      </c>
      <c r="AC330" s="7">
        <f>'Database MK'!DA331-'Database MK'!DB331</f>
        <v>-8</v>
      </c>
      <c r="AD330" s="7">
        <f>'Database MK'!DA331-'Database MK'!DF331</f>
        <v>-22</v>
      </c>
      <c r="AE330" s="7">
        <f>'Database MK'!DK331-'Database MK'!DL331</f>
        <v>19</v>
      </c>
      <c r="AF330" s="7">
        <f>'Database MK'!DK331-'Database MK'!DO331</f>
        <v>-4</v>
      </c>
      <c r="AG330" s="7">
        <f>'Database MK'!DU331-'Database MK'!DW331</f>
        <v>-2</v>
      </c>
      <c r="AH330" s="7">
        <f>IF('Database MK'!EB331="","Belum",'Database MK'!DU331-'Database MK'!EB331)</f>
        <v>-192</v>
      </c>
      <c r="AI330" s="7">
        <f>IF('Database MK'!EN331="","Belum",'Database MK'!EL331-'Database MK'!EN331)</f>
        <v>-165</v>
      </c>
      <c r="AJ330" s="7">
        <f>'Database MK'!FY331-'Database MK'!FZ331</f>
        <v>0</v>
      </c>
      <c r="AK330" s="7">
        <f>IF('Database MK'!GC331="","Belum",'Database MK'!GB331-'Database MK'!GC331)</f>
        <v>-7</v>
      </c>
      <c r="AL330" s="7">
        <f>IF('Database MK'!GF331="","Belum",'Database MK'!GE331-'Database MK'!GF331)</f>
        <v>14</v>
      </c>
      <c r="AM330" s="279">
        <f>IF('Database MK'!GJ331="","Belum",'Database MK'!GI331-'Database MK'!GJ331)</f>
        <v>18</v>
      </c>
      <c r="AN330" s="7">
        <f>IF('Database MK'!HG331="","Belum",'Database MK'!HF331-'Database MK'!HG331)</f>
        <v>-5</v>
      </c>
      <c r="AO330" s="7">
        <f>IF('Database MK'!HQ331="","Belum",'Database MK'!HN331-'Database MK'!HQ331)</f>
        <v>-34</v>
      </c>
      <c r="AP330" s="7">
        <f>IF('Database MK'!HW331="","Belum",'Database MK'!HU331-'Database MK'!HW331)</f>
        <v>-39</v>
      </c>
    </row>
    <row r="331" spans="2:42" s="72" customFormat="1" hidden="1" x14ac:dyDescent="0.25">
      <c r="B331" s="277">
        <f>SUBTOTAL(3,$C$4:C331)</f>
        <v>74</v>
      </c>
      <c r="C331" s="72" t="s">
        <v>673</v>
      </c>
      <c r="D331" s="72" t="s">
        <v>2649</v>
      </c>
      <c r="E331" s="72" t="s">
        <v>2650</v>
      </c>
      <c r="F331" s="272">
        <v>46113</v>
      </c>
      <c r="G331" s="72" t="s">
        <v>681</v>
      </c>
      <c r="H331" s="72" t="str">
        <f>'Database MK'!Q332</f>
        <v>BATAL / CANCEL</v>
      </c>
      <c r="I331" s="572">
        <f>'Database MK'!S332</f>
        <v>1</v>
      </c>
      <c r="J331" s="572">
        <f>'Database MK'!T332</f>
        <v>0</v>
      </c>
      <c r="K331" s="573">
        <f>'Database MK'!U332</f>
        <v>-1</v>
      </c>
      <c r="L331" s="562">
        <f>'Database MK'!V332</f>
        <v>0</v>
      </c>
      <c r="M331" s="562">
        <f>'Database MK'!W332</f>
        <v>0</v>
      </c>
      <c r="N331" s="562">
        <f>Table3[[#This Row],[Total Panjang Pipa Aktual]]-Table3[[#This Row],[Volume
BA MC-0]]</f>
        <v>0</v>
      </c>
      <c r="O331" s="277" t="str">
        <f ca="1">'Database MK'!DE332</f>
        <v>Sudah, Delay</v>
      </c>
      <c r="P331" s="277">
        <f>'Database MK'!DI332</f>
        <v>0</v>
      </c>
      <c r="Q331" s="277">
        <f>'Database MK'!DN332</f>
        <v>0</v>
      </c>
      <c r="R331" s="277">
        <f>'Database MK'!DR332</f>
        <v>0</v>
      </c>
      <c r="S331" s="277">
        <f>'Database MK'!EA332</f>
        <v>0</v>
      </c>
      <c r="T331" s="277" t="str">
        <f ca="1">'Database MK'!EI332</f>
        <v>Belum, Delay</v>
      </c>
      <c r="U331" s="277" t="str">
        <f ca="1">'Database MK'!ET332</f>
        <v>Belum, Delay</v>
      </c>
      <c r="V331" s="277" t="str">
        <f ca="1">'Database MK'!GA332</f>
        <v>Belum, Delay</v>
      </c>
      <c r="W331" s="277" t="str">
        <f ca="1">'Database MK'!GD332</f>
        <v>Sudah, Delay</v>
      </c>
      <c r="X331" s="277" t="str">
        <f ca="1">'Database MK'!GG332</f>
        <v>Sudah, OnSchedule</v>
      </c>
      <c r="Y331" s="277" t="str">
        <f ca="1">'Database MK'!GK332</f>
        <v>Belum, Delay</v>
      </c>
      <c r="Z331" s="277" t="str">
        <f ca="1">'Database MK'!HH332</f>
        <v>Belum, Delay</v>
      </c>
      <c r="AA331" s="277" t="str">
        <f ca="1">'Database MK'!HR332</f>
        <v>Belum, Delay</v>
      </c>
      <c r="AB331" s="277" t="str">
        <f ca="1">'Database MK'!HX332</f>
        <v>Belum, Delay</v>
      </c>
      <c r="AC331" s="277"/>
      <c r="AD331" s="277"/>
      <c r="AE331" s="277"/>
      <c r="AF331" s="277"/>
      <c r="AG331" s="277"/>
      <c r="AH331" s="277"/>
      <c r="AI331" s="277"/>
      <c r="AJ331" s="277">
        <f>'Database MK'!FY332-'Database MK'!FZ332</f>
        <v>0</v>
      </c>
      <c r="AK331" s="277"/>
      <c r="AL331" s="277"/>
      <c r="AM331" s="280"/>
      <c r="AN331" s="277"/>
      <c r="AO331" s="277"/>
      <c r="AP331" s="277"/>
    </row>
    <row r="332" spans="2:42" s="72" customFormat="1" hidden="1" x14ac:dyDescent="0.25">
      <c r="B332" s="277">
        <f>SUBTOTAL(3,$C$4:C332)</f>
        <v>74</v>
      </c>
      <c r="C332" s="72" t="s">
        <v>673</v>
      </c>
      <c r="D332" s="72" t="s">
        <v>2657</v>
      </c>
      <c r="E332" s="72" t="s">
        <v>2658</v>
      </c>
      <c r="F332" s="272">
        <v>46113</v>
      </c>
      <c r="G332" s="72" t="s">
        <v>681</v>
      </c>
      <c r="H332" s="72" t="str">
        <f>'Database MK'!Q333</f>
        <v>BATAL / CANCEL</v>
      </c>
      <c r="I332" s="572">
        <f>'Database MK'!S333</f>
        <v>1</v>
      </c>
      <c r="J332" s="572">
        <f>'Database MK'!T333</f>
        <v>0</v>
      </c>
      <c r="K332" s="573">
        <f>'Database MK'!U333</f>
        <v>-1</v>
      </c>
      <c r="L332" s="562">
        <f>'Database MK'!V333</f>
        <v>100</v>
      </c>
      <c r="M332" s="562">
        <f>'Database MK'!W333</f>
        <v>0</v>
      </c>
      <c r="N332" s="562">
        <f>Table3[[#This Row],[Total Panjang Pipa Aktual]]-Table3[[#This Row],[Volume
BA MC-0]]</f>
        <v>-100</v>
      </c>
      <c r="O332" s="277" t="str">
        <f ca="1">'Database MK'!DE333</f>
        <v>Sudah, Delay</v>
      </c>
      <c r="P332" s="277" t="str">
        <f ca="1">'Database MK'!DI333</f>
        <v>Sudah, Delay</v>
      </c>
      <c r="Q332" s="277" t="str">
        <f ca="1">'Database MK'!DN333</f>
        <v>Sudah, Delay</v>
      </c>
      <c r="R332" s="277" t="str">
        <f ca="1">'Database MK'!DR333</f>
        <v>Sudah, Delay</v>
      </c>
      <c r="S332" s="277" t="str">
        <f ca="1">'Database MK'!EA333</f>
        <v>Sudah, Delay</v>
      </c>
      <c r="T332" s="277" t="str">
        <f ca="1">'Database MK'!EI333</f>
        <v>Belum, Delay</v>
      </c>
      <c r="U332" s="277" t="str">
        <f ca="1">'Database MK'!ET333</f>
        <v>Belum, Delay</v>
      </c>
      <c r="V332" s="277" t="str">
        <f ca="1">'Database MK'!GA333</f>
        <v>Belum, Delay</v>
      </c>
      <c r="W332" s="277" t="str">
        <f ca="1">'Database MK'!GD333</f>
        <v>Sudah, OnSchedule</v>
      </c>
      <c r="X332" s="277" t="str">
        <f ca="1">'Database MK'!GG333</f>
        <v>Sudah, OnSchedule</v>
      </c>
      <c r="Y332" s="277" t="str">
        <f ca="1">'Database MK'!GK333</f>
        <v>Sudah, OnSchedule</v>
      </c>
      <c r="Z332" s="277" t="str">
        <f ca="1">'Database MK'!HH333</f>
        <v>Belum, Delay</v>
      </c>
      <c r="AA332" s="277" t="str">
        <f ca="1">'Database MK'!HR333</f>
        <v>Belum, Delay</v>
      </c>
      <c r="AB332" s="277" t="str">
        <f ca="1">'Database MK'!HX333</f>
        <v>Belum, Delay</v>
      </c>
      <c r="AC332" s="277"/>
      <c r="AD332" s="277"/>
      <c r="AE332" s="277"/>
      <c r="AF332" s="277"/>
      <c r="AG332" s="277"/>
      <c r="AH332" s="277"/>
      <c r="AI332" s="277"/>
      <c r="AJ332" s="277">
        <f>'Database MK'!FY333-'Database MK'!FZ333</f>
        <v>0</v>
      </c>
      <c r="AK332" s="277"/>
      <c r="AL332" s="277"/>
      <c r="AM332" s="280"/>
      <c r="AN332" s="277"/>
      <c r="AO332" s="277"/>
      <c r="AP332" s="277"/>
    </row>
    <row r="333" spans="2:42" hidden="1" x14ac:dyDescent="0.25">
      <c r="B333" s="7">
        <f>SUBTOTAL(3,$C$4:C333)</f>
        <v>74</v>
      </c>
      <c r="C333" s="269" t="s">
        <v>673</v>
      </c>
      <c r="D333" s="4" t="s">
        <v>2665</v>
      </c>
      <c r="E333" s="4" t="s">
        <v>2666</v>
      </c>
      <c r="F333" s="270">
        <v>46113</v>
      </c>
      <c r="G333" s="4" t="s">
        <v>681</v>
      </c>
      <c r="H333" s="4" t="str">
        <f ca="1">'Database MK'!Q334</f>
        <v>Proses Konstruksi</v>
      </c>
      <c r="I333" s="24">
        <f>'Database MK'!S334</f>
        <v>1</v>
      </c>
      <c r="J333" s="24">
        <f>'Database MK'!T334</f>
        <v>0.93261965807520808</v>
      </c>
      <c r="K333" s="571">
        <f>'Database MK'!U334</f>
        <v>-6.738034192479192E-2</v>
      </c>
      <c r="L333" s="561">
        <f>'Database MK'!V334</f>
        <v>332</v>
      </c>
      <c r="M333" s="561">
        <f>'Database MK'!W334</f>
        <v>174</v>
      </c>
      <c r="N333" s="561">
        <f>Table3[[#This Row],[Total Panjang Pipa Aktual]]-Table3[[#This Row],[Volume
BA MC-0]]</f>
        <v>-158</v>
      </c>
      <c r="O333" s="7" t="str">
        <f ca="1">'Database MK'!DE334</f>
        <v>Sudah, Delay</v>
      </c>
      <c r="P333" s="7" t="str">
        <f ca="1">'Database MK'!DI334</f>
        <v>Sudah, Delay</v>
      </c>
      <c r="Q333" s="7" t="str">
        <f ca="1">'Database MK'!DN334</f>
        <v>Sudah, OnSchedule</v>
      </c>
      <c r="R333" s="7" t="str">
        <f ca="1">'Database MK'!DR334</f>
        <v>Sudah, OnSchedule</v>
      </c>
      <c r="S333" s="7" t="str">
        <f ca="1">'Database MK'!EA334</f>
        <v>Sudah, Delay</v>
      </c>
      <c r="T333" s="7" t="str">
        <f ca="1">'Database MK'!EI334</f>
        <v>Sudah, Delay</v>
      </c>
      <c r="U333" s="7" t="str">
        <f ca="1">'Database MK'!ET334</f>
        <v>Sudah, Delay</v>
      </c>
      <c r="V333" s="7" t="str">
        <f ca="1">'Database MK'!GA334</f>
        <v>Belum, Delay</v>
      </c>
      <c r="W333" s="7" t="str">
        <f ca="1">'Database MK'!GD334</f>
        <v>Sudah, Delay</v>
      </c>
      <c r="X333" s="7" t="str">
        <f ca="1">'Database MK'!GG334</f>
        <v>Sudah, OnSchedule</v>
      </c>
      <c r="Y333" s="7" t="str">
        <f ca="1">'Database MK'!GK334</f>
        <v>Sudah, OnSchedule</v>
      </c>
      <c r="Z333" s="7" t="str">
        <f ca="1">'Database MK'!HH334</f>
        <v>Belum, Delay</v>
      </c>
      <c r="AA333" s="7" t="str">
        <f ca="1">'Database MK'!HR334</f>
        <v>Belum, Delay</v>
      </c>
      <c r="AB333" s="7" t="str">
        <f ca="1">'Database MK'!HX334</f>
        <v>Belum, Delay</v>
      </c>
      <c r="AC333" s="7">
        <f>'Database MK'!DA334-'Database MK'!DB334</f>
        <v>-9</v>
      </c>
      <c r="AD333" s="7">
        <f>'Database MK'!DA334-'Database MK'!DF334</f>
        <v>-22</v>
      </c>
      <c r="AE333" s="7">
        <f>'Database MK'!DK334-'Database MK'!DL334</f>
        <v>19</v>
      </c>
      <c r="AF333" s="7">
        <f>'Database MK'!DK334-'Database MK'!DO334</f>
        <v>12</v>
      </c>
      <c r="AG333" s="7">
        <f>'Database MK'!DU334-'Database MK'!DW334</f>
        <v>-2</v>
      </c>
      <c r="AH333" s="7">
        <f>IF('Database MK'!EB334="","Belum",'Database MK'!DU334-'Database MK'!EB334)</f>
        <v>-32</v>
      </c>
      <c r="AI333" s="7">
        <f>IF('Database MK'!EN334="","Belum",'Database MK'!EL334-'Database MK'!EN334)</f>
        <v>-57</v>
      </c>
      <c r="AJ333" s="7">
        <f>'Database MK'!FY334-'Database MK'!FZ334</f>
        <v>0</v>
      </c>
      <c r="AK333" s="7">
        <f>IF('Database MK'!GC334="","Belum",'Database MK'!GB334-'Database MK'!GC334)</f>
        <v>-7</v>
      </c>
      <c r="AL333" s="7">
        <f>IF('Database MK'!GF334="","Belum",'Database MK'!GE334-'Database MK'!GF334)</f>
        <v>15</v>
      </c>
      <c r="AM333" s="279">
        <f>IF('Database MK'!GJ334="","Belum",'Database MK'!GI334-'Database MK'!GJ334)</f>
        <v>23</v>
      </c>
      <c r="AN333" s="7" t="str">
        <f>IF('Database MK'!HG334="","Belum",'Database MK'!HF334-'Database MK'!HG334)</f>
        <v>Belum</v>
      </c>
      <c r="AO333" s="7" t="str">
        <f>IF('Database MK'!HQ334="","Belum",'Database MK'!HN334-'Database MK'!HQ334)</f>
        <v>Belum</v>
      </c>
      <c r="AP333" s="7" t="str">
        <f>IF('Database MK'!HW334="","Belum",'Database MK'!HU334-'Database MK'!HW334)</f>
        <v>Belum</v>
      </c>
    </row>
    <row r="334" spans="2:42" hidden="1" x14ac:dyDescent="0.25">
      <c r="B334" s="7">
        <f>SUBTOTAL(3,$C$4:C334)</f>
        <v>74</v>
      </c>
      <c r="C334" s="269" t="s">
        <v>673</v>
      </c>
      <c r="D334" s="4" t="s">
        <v>2674</v>
      </c>
      <c r="E334" s="4" t="s">
        <v>2675</v>
      </c>
      <c r="F334" s="270">
        <v>46113</v>
      </c>
      <c r="G334" s="4" t="s">
        <v>681</v>
      </c>
      <c r="H334" s="4" t="str">
        <f ca="1">'Database MK'!Q335</f>
        <v>DPPP</v>
      </c>
      <c r="I334" s="24">
        <f>'Database MK'!S335</f>
        <v>1</v>
      </c>
      <c r="J334" s="24">
        <f>'Database MK'!T335</f>
        <v>1</v>
      </c>
      <c r="K334" s="571">
        <f>'Database MK'!U335</f>
        <v>0</v>
      </c>
      <c r="L334" s="561">
        <f>'Database MK'!V335</f>
        <v>52</v>
      </c>
      <c r="M334" s="561">
        <f>'Database MK'!W335</f>
        <v>54</v>
      </c>
      <c r="N334" s="561">
        <f>Table3[[#This Row],[Total Panjang Pipa Aktual]]-Table3[[#This Row],[Volume
BA MC-0]]</f>
        <v>2</v>
      </c>
      <c r="O334" s="7" t="str">
        <f ca="1">'Database MK'!DE335</f>
        <v>Sudah, Delay</v>
      </c>
      <c r="P334" s="7" t="str">
        <f ca="1">'Database MK'!DI335</f>
        <v>Sudah, Delay</v>
      </c>
      <c r="Q334" s="7" t="str">
        <f ca="1">'Database MK'!DN335</f>
        <v>Sudah, OnSchedule</v>
      </c>
      <c r="R334" s="7" t="str">
        <f ca="1">'Database MK'!DR335</f>
        <v>Sudah, Delay</v>
      </c>
      <c r="S334" s="7" t="str">
        <f ca="1">'Database MK'!EA335</f>
        <v>Sudah, Delay</v>
      </c>
      <c r="T334" s="7" t="str">
        <f ca="1">'Database MK'!EI335</f>
        <v>Sudah, Delay</v>
      </c>
      <c r="U334" s="7" t="str">
        <f ca="1">'Database MK'!ET335</f>
        <v>Sudah, Delay</v>
      </c>
      <c r="V334" s="7" t="str">
        <f ca="1">'Database MK'!GA335</f>
        <v>Belum, Delay</v>
      </c>
      <c r="W334" s="7" t="str">
        <f ca="1">'Database MK'!GD335</f>
        <v>Sudah, Delay</v>
      </c>
      <c r="X334" s="7" t="str">
        <f ca="1">'Database MK'!GG335</f>
        <v>Sudah, OnSchedule</v>
      </c>
      <c r="Y334" s="7" t="str">
        <f ca="1">'Database MK'!GK335</f>
        <v>Sudah, OnSchedule</v>
      </c>
      <c r="Z334" s="7" t="str">
        <f ca="1">'Database MK'!HH335</f>
        <v>Sudah, Delay</v>
      </c>
      <c r="AA334" s="7" t="str">
        <f ca="1">'Database MK'!HR335</f>
        <v>Sudah, Delay</v>
      </c>
      <c r="AB334" s="7" t="str">
        <f ca="1">'Database MK'!HX335</f>
        <v>Sudah, Delay</v>
      </c>
      <c r="AC334" s="7">
        <f>'Database MK'!DA335-'Database MK'!DB335</f>
        <v>-9</v>
      </c>
      <c r="AD334" s="7">
        <f>'Database MK'!DA335-'Database MK'!DF335</f>
        <v>-26</v>
      </c>
      <c r="AE334" s="7">
        <f>'Database MK'!DK335-'Database MK'!DL335</f>
        <v>18</v>
      </c>
      <c r="AF334" s="7">
        <f>'Database MK'!DK335-'Database MK'!DO335</f>
        <v>-10</v>
      </c>
      <c r="AG334" s="7">
        <f>'Database MK'!DU335-'Database MK'!DW335</f>
        <v>-3</v>
      </c>
      <c r="AH334" s="7">
        <f>IF('Database MK'!EB335="","Belum",'Database MK'!DU335-'Database MK'!EB335)</f>
        <v>-71</v>
      </c>
      <c r="AI334" s="7">
        <f>IF('Database MK'!EN335="","Belum",'Database MK'!EL335-'Database MK'!EN335)</f>
        <v>-55</v>
      </c>
      <c r="AJ334" s="7">
        <f>'Database MK'!FY335-'Database MK'!FZ335</f>
        <v>0</v>
      </c>
      <c r="AK334" s="7">
        <f>IF('Database MK'!GC335="","Belum",'Database MK'!GB335-'Database MK'!GC335)</f>
        <v>-7</v>
      </c>
      <c r="AL334" s="7">
        <f>IF('Database MK'!GF335="","Belum",'Database MK'!GE335-'Database MK'!GF335)</f>
        <v>1</v>
      </c>
      <c r="AM334" s="279">
        <f>IF('Database MK'!GJ335="","Belum",'Database MK'!GI335-'Database MK'!GJ335)</f>
        <v>9</v>
      </c>
      <c r="AN334" s="7">
        <f>IF('Database MK'!HG335="","Belum",'Database MK'!HF335-'Database MK'!HG335)</f>
        <v>-86</v>
      </c>
      <c r="AO334" s="7">
        <f>IF('Database MK'!HQ335="","Belum",'Database MK'!HN335-'Database MK'!HQ335)</f>
        <v>-83</v>
      </c>
      <c r="AP334" s="7">
        <f>IF('Database MK'!HW335="","Belum",'Database MK'!HU335-'Database MK'!HW335)</f>
        <v>-82</v>
      </c>
    </row>
    <row r="335" spans="2:42" hidden="1" x14ac:dyDescent="0.25">
      <c r="B335" s="7">
        <f>SUBTOTAL(3,$C$4:C335)</f>
        <v>74</v>
      </c>
      <c r="C335" s="269" t="s">
        <v>673</v>
      </c>
      <c r="D335" s="4" t="s">
        <v>2684</v>
      </c>
      <c r="E335" s="4" t="s">
        <v>2685</v>
      </c>
      <c r="F335" s="270">
        <v>46113</v>
      </c>
      <c r="G335" s="4" t="s">
        <v>681</v>
      </c>
      <c r="H335" s="4" t="str">
        <f ca="1">'Database MK'!Q336</f>
        <v>Proses Konstruksi</v>
      </c>
      <c r="I335" s="24">
        <f>'Database MK'!S336</f>
        <v>1</v>
      </c>
      <c r="J335" s="24">
        <f>'Database MK'!T336</f>
        <v>0.40543083784313005</v>
      </c>
      <c r="K335" s="571">
        <f>'Database MK'!U336</f>
        <v>-0.59456916215686995</v>
      </c>
      <c r="L335" s="561">
        <f>'Database MK'!V336</f>
        <v>739</v>
      </c>
      <c r="M335" s="561">
        <f>'Database MK'!W336</f>
        <v>569</v>
      </c>
      <c r="N335" s="561">
        <f>Table3[[#This Row],[Total Panjang Pipa Aktual]]-Table3[[#This Row],[Volume
BA MC-0]]</f>
        <v>-170</v>
      </c>
      <c r="O335" s="7" t="str">
        <f ca="1">'Database MK'!DE336</f>
        <v>Sudah, Delay</v>
      </c>
      <c r="P335" s="7" t="str">
        <f ca="1">'Database MK'!DI336</f>
        <v>Sudah, Delay</v>
      </c>
      <c r="Q335" s="7" t="str">
        <f ca="1">'Database MK'!DN336</f>
        <v>Sudah, OnSchedule</v>
      </c>
      <c r="R335" s="7" t="str">
        <f ca="1">'Database MK'!DR336</f>
        <v>Sudah, OnSchedule</v>
      </c>
      <c r="S335" s="7" t="str">
        <f ca="1">'Database MK'!EA336</f>
        <v>Sudah, Delay</v>
      </c>
      <c r="T335" s="7" t="str">
        <f ca="1">'Database MK'!EI336</f>
        <v>Belum, Delay</v>
      </c>
      <c r="U335" s="7" t="str">
        <f ca="1">'Database MK'!ET336</f>
        <v>Belum, Delay</v>
      </c>
      <c r="V335" s="7" t="str">
        <f ca="1">'Database MK'!GA336</f>
        <v>Belum, Delay</v>
      </c>
      <c r="W335" s="7" t="str">
        <f ca="1">'Database MK'!GD336</f>
        <v>Sudah, Delay</v>
      </c>
      <c r="X335" s="7" t="str">
        <f ca="1">'Database MK'!GG336</f>
        <v>Sudah, OnSchedule</v>
      </c>
      <c r="Y335" s="7" t="str">
        <f ca="1">'Database MK'!GK336</f>
        <v>Sudah, OnSchedule</v>
      </c>
      <c r="Z335" s="7" t="str">
        <f ca="1">'Database MK'!HH336</f>
        <v>Belum, Delay</v>
      </c>
      <c r="AA335" s="7" t="str">
        <f ca="1">'Database MK'!HR336</f>
        <v>Belum, Delay</v>
      </c>
      <c r="AB335" s="7" t="str">
        <f ca="1">'Database MK'!HX336</f>
        <v>Belum, Delay</v>
      </c>
      <c r="AC335" s="7">
        <f>'Database MK'!DA336-'Database MK'!DB336</f>
        <v>-8</v>
      </c>
      <c r="AD335" s="7">
        <f>'Database MK'!DA336-'Database MK'!DF336</f>
        <v>-22</v>
      </c>
      <c r="AE335" s="7">
        <f>'Database MK'!DK336-'Database MK'!DL336</f>
        <v>26</v>
      </c>
      <c r="AF335" s="7">
        <f>'Database MK'!DK336-'Database MK'!DO336</f>
        <v>17</v>
      </c>
      <c r="AG335" s="7">
        <f>'Database MK'!DU336-'Database MK'!DW336</f>
        <v>-2</v>
      </c>
      <c r="AH335" s="7" t="str">
        <f>IF('Database MK'!EB336="","Belum",'Database MK'!DU336-'Database MK'!EB336)</f>
        <v>Belum</v>
      </c>
      <c r="AI335" s="7" t="str">
        <f>IF('Database MK'!EN336="","Belum",'Database MK'!EL336-'Database MK'!EN336)</f>
        <v>Belum</v>
      </c>
      <c r="AJ335" s="7">
        <f>'Database MK'!FY336-'Database MK'!FZ336</f>
        <v>0</v>
      </c>
      <c r="AK335" s="7">
        <f>IF('Database MK'!GC336="","Belum",'Database MK'!GB336-'Database MK'!GC336)</f>
        <v>-7</v>
      </c>
      <c r="AL335" s="7">
        <f>IF('Database MK'!GF336="","Belum",'Database MK'!GE336-'Database MK'!GF336)</f>
        <v>8</v>
      </c>
      <c r="AM335" s="279">
        <f>IF('Database MK'!GJ336="","Belum",'Database MK'!GI336-'Database MK'!GJ336)</f>
        <v>16</v>
      </c>
      <c r="AN335" s="7" t="str">
        <f>IF('Database MK'!HG336="","Belum",'Database MK'!HF336-'Database MK'!HG336)</f>
        <v>Belum</v>
      </c>
      <c r="AO335" s="7" t="str">
        <f>IF('Database MK'!HQ336="","Belum",'Database MK'!HN336-'Database MK'!HQ336)</f>
        <v>Belum</v>
      </c>
      <c r="AP335" s="7" t="str">
        <f>IF('Database MK'!HW336="","Belum",'Database MK'!HU336-'Database MK'!HW336)</f>
        <v>Belum</v>
      </c>
    </row>
    <row r="336" spans="2:42" hidden="1" x14ac:dyDescent="0.25">
      <c r="B336" s="7">
        <f>SUBTOTAL(3,$C$4:C336)</f>
        <v>74</v>
      </c>
      <c r="C336" s="269" t="s">
        <v>673</v>
      </c>
      <c r="D336" s="4" t="s">
        <v>2693</v>
      </c>
      <c r="E336" s="4" t="s">
        <v>2694</v>
      </c>
      <c r="F336" s="270">
        <v>46113</v>
      </c>
      <c r="G336" s="4" t="s">
        <v>681</v>
      </c>
      <c r="H336" s="4" t="str">
        <f ca="1">'Database MK'!Q337</f>
        <v>Proses Konstruksi</v>
      </c>
      <c r="I336" s="24">
        <f>'Database MK'!S337</f>
        <v>1</v>
      </c>
      <c r="J336" s="24">
        <f>'Database MK'!T337</f>
        <v>0</v>
      </c>
      <c r="K336" s="571">
        <f>'Database MK'!U337</f>
        <v>-1</v>
      </c>
      <c r="L336" s="561">
        <f>'Database MK'!V337</f>
        <v>1</v>
      </c>
      <c r="M336" s="561">
        <f>'Database MK'!W337</f>
        <v>1</v>
      </c>
      <c r="N336" s="561">
        <f>Table3[[#This Row],[Total Panjang Pipa Aktual]]-Table3[[#This Row],[Volume
BA MC-0]]</f>
        <v>0</v>
      </c>
      <c r="O336" s="7" t="str">
        <f ca="1">'Database MK'!DE337</f>
        <v>Sudah, Delay</v>
      </c>
      <c r="P336" s="7" t="str">
        <f ca="1">'Database MK'!DI337</f>
        <v>Sudah, Delay</v>
      </c>
      <c r="Q336" s="7" t="str">
        <f ca="1">'Database MK'!DN337</f>
        <v>Sudah, OnSchedule</v>
      </c>
      <c r="R336" s="7" t="str">
        <f ca="1">'Database MK'!DR337</f>
        <v>Sudah, OnSchedule</v>
      </c>
      <c r="S336" s="7" t="str">
        <f ca="1">'Database MK'!EA337</f>
        <v>Sudah, OnSchedule</v>
      </c>
      <c r="T336" s="7" t="str">
        <f ca="1">'Database MK'!EI337</f>
        <v>Sudah, Delay</v>
      </c>
      <c r="U336" s="7" t="str">
        <f ca="1">'Database MK'!ET337</f>
        <v>Sudah, Delay</v>
      </c>
      <c r="V336" s="7" t="str">
        <f ca="1">'Database MK'!GA337</f>
        <v>Belum, Delay</v>
      </c>
      <c r="W336" s="7" t="str">
        <f ca="1">'Database MK'!GD337</f>
        <v>Sudah, OnSchedule</v>
      </c>
      <c r="X336" s="7" t="str">
        <f ca="1">'Database MK'!GG337</f>
        <v>Sudah, OnSchedule</v>
      </c>
      <c r="Y336" s="7" t="str">
        <f ca="1">'Database MK'!GK337</f>
        <v>Sudah, OnSchedule</v>
      </c>
      <c r="Z336" s="7" t="str">
        <f ca="1">'Database MK'!HH337</f>
        <v>Belum, Delay</v>
      </c>
      <c r="AA336" s="7" t="str">
        <f ca="1">'Database MK'!HR337</f>
        <v>Belum, Delay</v>
      </c>
      <c r="AB336" s="7" t="str">
        <f ca="1">'Database MK'!HX337</f>
        <v>Belum, Delay</v>
      </c>
      <c r="AC336" s="7">
        <f>'Database MK'!DA337-'Database MK'!DB337</f>
        <v>-96</v>
      </c>
      <c r="AD336" s="7">
        <f>'Database MK'!DA337-'Database MK'!DF337</f>
        <v>-23</v>
      </c>
      <c r="AE336" s="7">
        <f>'Database MK'!DK337-'Database MK'!DL337</f>
        <v>129</v>
      </c>
      <c r="AF336" s="7">
        <f>'Database MK'!DK337-'Database MK'!DO337</f>
        <v>109</v>
      </c>
      <c r="AG336" s="7">
        <f>'Database MK'!DU337-'Database MK'!DW337</f>
        <v>45</v>
      </c>
      <c r="AH336" s="7">
        <f>IF('Database MK'!EB337="","Belum",'Database MK'!DU337-'Database MK'!EB337)</f>
        <v>-116</v>
      </c>
      <c r="AI336" s="7">
        <f>IF('Database MK'!EN337="","Belum",'Database MK'!EL337-'Database MK'!EN337)</f>
        <v>-75</v>
      </c>
      <c r="AJ336" s="7">
        <f>'Database MK'!FY337-'Database MK'!FZ337</f>
        <v>0</v>
      </c>
      <c r="AK336" s="7">
        <f>IF('Database MK'!GC337="","Belum",'Database MK'!GB337-'Database MK'!GC337)</f>
        <v>78</v>
      </c>
      <c r="AL336" s="7">
        <f>IF('Database MK'!GF337="","Belum",'Database MK'!GE337-'Database MK'!GF337)</f>
        <v>85</v>
      </c>
      <c r="AM336" s="279">
        <f>IF('Database MK'!GJ337="","Belum",'Database MK'!GI337-'Database MK'!GJ337)</f>
        <v>95</v>
      </c>
      <c r="AN336" s="7" t="str">
        <f>IF('Database MK'!HG337="","Belum",'Database MK'!HF337-'Database MK'!HG337)</f>
        <v>Belum</v>
      </c>
      <c r="AO336" s="7" t="str">
        <f>IF('Database MK'!HQ337="","Belum",'Database MK'!HN337-'Database MK'!HQ337)</f>
        <v>Belum</v>
      </c>
      <c r="AP336" s="7" t="str">
        <f>IF('Database MK'!HW337="","Belum",'Database MK'!HU337-'Database MK'!HW337)</f>
        <v>Belum</v>
      </c>
    </row>
    <row r="337" spans="2:42" hidden="1" x14ac:dyDescent="0.25">
      <c r="B337" s="7">
        <f>SUBTOTAL(3,$C$4:C337)</f>
        <v>74</v>
      </c>
      <c r="C337" s="269" t="s">
        <v>673</v>
      </c>
      <c r="D337" s="4" t="s">
        <v>2699</v>
      </c>
      <c r="E337" s="4" t="s">
        <v>2700</v>
      </c>
      <c r="F337" s="270">
        <v>46113</v>
      </c>
      <c r="G337" s="4" t="s">
        <v>681</v>
      </c>
      <c r="H337" s="4" t="str">
        <f ca="1">'Database MK'!Q338</f>
        <v>DPPP</v>
      </c>
      <c r="I337" s="24">
        <f>'Database MK'!S338</f>
        <v>1</v>
      </c>
      <c r="J337" s="24">
        <f>'Database MK'!T338</f>
        <v>1</v>
      </c>
      <c r="K337" s="571">
        <f>'Database MK'!U338</f>
        <v>0</v>
      </c>
      <c r="L337" s="561">
        <f>'Database MK'!V338</f>
        <v>2426</v>
      </c>
      <c r="M337" s="561">
        <f>'Database MK'!W338</f>
        <v>2396</v>
      </c>
      <c r="N337" s="561">
        <f>Table3[[#This Row],[Total Panjang Pipa Aktual]]-Table3[[#This Row],[Volume
BA MC-0]]</f>
        <v>-30</v>
      </c>
      <c r="O337" s="7" t="str">
        <f ca="1">'Database MK'!DE338</f>
        <v>Sudah, OnSchedule</v>
      </c>
      <c r="P337" s="7" t="str">
        <f ca="1">'Database MK'!DI338</f>
        <v>Sudah, Delay</v>
      </c>
      <c r="Q337" s="7" t="str">
        <f ca="1">'Database MK'!DN338</f>
        <v>Sudah, OnSchedule</v>
      </c>
      <c r="R337" s="7" t="str">
        <f ca="1">'Database MK'!DR338</f>
        <v>Sudah, OnSchedule</v>
      </c>
      <c r="S337" s="7" t="str">
        <f ca="1">'Database MK'!EA338</f>
        <v>Sudah, OnSchedule</v>
      </c>
      <c r="T337" s="7" t="str">
        <f ca="1">'Database MK'!EI338</f>
        <v>Sudah, Delay</v>
      </c>
      <c r="U337" s="7" t="str">
        <f ca="1">'Database MK'!ET338</f>
        <v>Sudah, OnSchedule</v>
      </c>
      <c r="V337" s="7" t="str">
        <f ca="1">'Database MK'!GA338</f>
        <v>Belum, Delay</v>
      </c>
      <c r="W337" s="7" t="str">
        <f ca="1">'Database MK'!GD338</f>
        <v>Sudah, OnSchedule</v>
      </c>
      <c r="X337" s="7" t="str">
        <f ca="1">'Database MK'!GG338</f>
        <v>Sudah, OnSchedule</v>
      </c>
      <c r="Y337" s="7" t="str">
        <f ca="1">'Database MK'!GK338</f>
        <v>Sudah, OnSchedule</v>
      </c>
      <c r="Z337" s="7" t="str">
        <f ca="1">'Database MK'!HH338</f>
        <v>Sudah, Delay</v>
      </c>
      <c r="AA337" s="7" t="str">
        <f ca="1">'Database MK'!HR338</f>
        <v>Sudah, Delay</v>
      </c>
      <c r="AB337" s="7" t="str">
        <f ca="1">'Database MK'!HX338</f>
        <v>Sudah, Delay</v>
      </c>
      <c r="AC337" s="7">
        <f>'Database MK'!DA338-'Database MK'!DB338</f>
        <v>10</v>
      </c>
      <c r="AD337" s="7">
        <f>'Database MK'!DA338-'Database MK'!DF338</f>
        <v>-23</v>
      </c>
      <c r="AE337" s="7">
        <f>'Database MK'!DK338-'Database MK'!DL338</f>
        <v>37</v>
      </c>
      <c r="AF337" s="7">
        <f>'Database MK'!DK338-'Database MK'!DO338</f>
        <v>19</v>
      </c>
      <c r="AG337" s="7">
        <f>'Database MK'!DU338-'Database MK'!DW338</f>
        <v>9</v>
      </c>
      <c r="AH337" s="7">
        <f>IF('Database MK'!EB338="","Belum",'Database MK'!DU338-'Database MK'!EB338)</f>
        <v>-39</v>
      </c>
      <c r="AI337" s="7">
        <f>IF('Database MK'!EN338="","Belum",'Database MK'!EL338-'Database MK'!EN338)</f>
        <v>34</v>
      </c>
      <c r="AJ337" s="7">
        <f>'Database MK'!FY338-'Database MK'!FZ338</f>
        <v>0</v>
      </c>
      <c r="AK337" s="7">
        <f>IF('Database MK'!GC338="","Belum",'Database MK'!GB338-'Database MK'!GC338)</f>
        <v>15</v>
      </c>
      <c r="AL337" s="7">
        <f>IF('Database MK'!GF338="","Belum",'Database MK'!GE338-'Database MK'!GF338)</f>
        <v>22</v>
      </c>
      <c r="AM337" s="279">
        <f>IF('Database MK'!GJ338="","Belum",'Database MK'!GI338-'Database MK'!GJ338)</f>
        <v>32</v>
      </c>
      <c r="AN337" s="7">
        <f>IF('Database MK'!HG338="","Belum",'Database MK'!HF338-'Database MK'!HG338)</f>
        <v>-30</v>
      </c>
      <c r="AO337" s="7">
        <f>IF('Database MK'!HQ338="","Belum",'Database MK'!HN338-'Database MK'!HQ338)</f>
        <v>-27</v>
      </c>
      <c r="AP337" s="7">
        <f>IF('Database MK'!HW338="","Belum",'Database MK'!HU338-'Database MK'!HW338)</f>
        <v>-26</v>
      </c>
    </row>
    <row r="338" spans="2:42" hidden="1" x14ac:dyDescent="0.25">
      <c r="B338" s="7">
        <f>SUBTOTAL(3,$C$4:C338)</f>
        <v>74</v>
      </c>
      <c r="C338" s="269" t="s">
        <v>673</v>
      </c>
      <c r="D338" s="4" t="s">
        <v>2708</v>
      </c>
      <c r="E338" s="4" t="s">
        <v>2709</v>
      </c>
      <c r="F338" s="270">
        <v>46113</v>
      </c>
      <c r="G338" s="4" t="s">
        <v>681</v>
      </c>
      <c r="H338" s="4" t="str">
        <f ca="1">'Database MK'!Q339</f>
        <v>DPPP</v>
      </c>
      <c r="I338" s="24">
        <f>'Database MK'!S339</f>
        <v>1</v>
      </c>
      <c r="J338" s="24">
        <f>'Database MK'!T339</f>
        <v>1</v>
      </c>
      <c r="K338" s="571">
        <f>'Database MK'!U339</f>
        <v>0</v>
      </c>
      <c r="L338" s="561">
        <f>'Database MK'!V339</f>
        <v>546</v>
      </c>
      <c r="M338" s="561">
        <f>'Database MK'!W339</f>
        <v>527</v>
      </c>
      <c r="N338" s="561">
        <f>Table3[[#This Row],[Total Panjang Pipa Aktual]]-Table3[[#This Row],[Volume
BA MC-0]]</f>
        <v>-19</v>
      </c>
      <c r="O338" s="7" t="str">
        <f ca="1">'Database MK'!DE339</f>
        <v>Sudah, OnSchedule</v>
      </c>
      <c r="P338" s="7" t="str">
        <f ca="1">'Database MK'!DI339</f>
        <v>Sudah, OnSchedule</v>
      </c>
      <c r="Q338" s="7" t="str">
        <f ca="1">'Database MK'!DN339</f>
        <v>Sudah, OnSchedule</v>
      </c>
      <c r="R338" s="7" t="str">
        <f ca="1">'Database MK'!DR339</f>
        <v>Sudah, OnSchedule</v>
      </c>
      <c r="S338" s="7" t="str">
        <f ca="1">'Database MK'!EA339</f>
        <v>Sudah, OnSchedule</v>
      </c>
      <c r="T338" s="7" t="str">
        <f ca="1">'Database MK'!EI339</f>
        <v>Sudah, OnSchedule</v>
      </c>
      <c r="U338" s="7" t="str">
        <f ca="1">'Database MK'!ET339</f>
        <v>Sudah, Delay</v>
      </c>
      <c r="V338" s="7" t="str">
        <f ca="1">'Database MK'!GA339</f>
        <v>Belum, Delay</v>
      </c>
      <c r="W338" s="7" t="str">
        <f ca="1">'Database MK'!GD339</f>
        <v>Sudah, OnSchedule</v>
      </c>
      <c r="X338" s="7" t="str">
        <f ca="1">'Database MK'!GG339</f>
        <v>Sudah, OnSchedule</v>
      </c>
      <c r="Y338" s="7" t="str">
        <f ca="1">'Database MK'!GK339</f>
        <v>Sudah, OnSchedule</v>
      </c>
      <c r="Z338" s="7" t="str">
        <f ca="1">'Database MK'!HH339</f>
        <v>Sudah, Delay</v>
      </c>
      <c r="AA338" s="7" t="str">
        <f ca="1">'Database MK'!HR339</f>
        <v>Sudah, Delay</v>
      </c>
      <c r="AB338" s="7" t="str">
        <f ca="1">'Database MK'!HX339</f>
        <v>Sudah, Delay</v>
      </c>
      <c r="AC338" s="7">
        <f>'Database MK'!DA339-'Database MK'!DB339</f>
        <v>27</v>
      </c>
      <c r="AD338" s="7">
        <f>'Database MK'!DA339-'Database MK'!DF339</f>
        <v>13</v>
      </c>
      <c r="AE338" s="7">
        <f>'Database MK'!DK339-'Database MK'!DL339</f>
        <v>61</v>
      </c>
      <c r="AF338" s="7">
        <f>'Database MK'!DK339-'Database MK'!DO339</f>
        <v>47</v>
      </c>
      <c r="AG338" s="7">
        <f>'Database MK'!DU339-'Database MK'!DW339</f>
        <v>40</v>
      </c>
      <c r="AH338" s="7">
        <f>IF('Database MK'!EB339="","Belum",'Database MK'!DU339-'Database MK'!EB339)</f>
        <v>3</v>
      </c>
      <c r="AI338" s="7">
        <f>IF('Database MK'!EN339="","Belum",'Database MK'!EL339-'Database MK'!EN339)</f>
        <v>-65</v>
      </c>
      <c r="AJ338" s="7">
        <f>'Database MK'!FY339-'Database MK'!FZ339</f>
        <v>0</v>
      </c>
      <c r="AK338" s="7">
        <f>IF('Database MK'!GC339="","Belum",'Database MK'!GB339-'Database MK'!GC339)</f>
        <v>32</v>
      </c>
      <c r="AL338" s="7">
        <f>IF('Database MK'!GF339="","Belum",'Database MK'!GE339-'Database MK'!GF339)</f>
        <v>39</v>
      </c>
      <c r="AM338" s="279">
        <f>IF('Database MK'!GJ339="","Belum",'Database MK'!GI339-'Database MK'!GJ339)</f>
        <v>48</v>
      </c>
      <c r="AN338" s="7">
        <f>IF('Database MK'!HG339="","Belum",'Database MK'!HF339-'Database MK'!HG339)</f>
        <v>-26</v>
      </c>
      <c r="AO338" s="7">
        <f>IF('Database MK'!HQ339="","Belum",'Database MK'!HN339-'Database MK'!HQ339)</f>
        <v>-27</v>
      </c>
      <c r="AP338" s="7">
        <f>IF('Database MK'!HW339="","Belum",'Database MK'!HU339-'Database MK'!HW339)</f>
        <v>-26</v>
      </c>
    </row>
    <row r="339" spans="2:42" hidden="1" x14ac:dyDescent="0.25">
      <c r="B339" s="7">
        <f>SUBTOTAL(3,$C$4:C339)</f>
        <v>74</v>
      </c>
      <c r="C339" s="269" t="s">
        <v>673</v>
      </c>
      <c r="D339" s="4" t="s">
        <v>2717</v>
      </c>
      <c r="E339" s="4" t="s">
        <v>2718</v>
      </c>
      <c r="F339" s="270">
        <v>46113</v>
      </c>
      <c r="G339" s="4" t="s">
        <v>681</v>
      </c>
      <c r="H339" s="4" t="str">
        <f ca="1">'Database MK'!Q340</f>
        <v>Proses Konstruksi</v>
      </c>
      <c r="I339" s="24">
        <f>'Database MK'!S340</f>
        <v>1</v>
      </c>
      <c r="J339" s="24">
        <f>'Database MK'!T340</f>
        <v>0.27070733631921118</v>
      </c>
      <c r="K339" s="571">
        <f>'Database MK'!U340</f>
        <v>-0.72929266368078882</v>
      </c>
      <c r="L339" s="561">
        <f>'Database MK'!V340</f>
        <v>100</v>
      </c>
      <c r="M339" s="561">
        <f>'Database MK'!W340</f>
        <v>1</v>
      </c>
      <c r="N339" s="561">
        <f>Table3[[#This Row],[Total Panjang Pipa Aktual]]-Table3[[#This Row],[Volume
BA MC-0]]</f>
        <v>-99</v>
      </c>
      <c r="O339" s="7" t="str">
        <f ca="1">'Database MK'!DE340</f>
        <v>Sudah, OnSchedule</v>
      </c>
      <c r="P339" s="7" t="str">
        <f ca="1">'Database MK'!DI340</f>
        <v>Sudah, OnSchedule</v>
      </c>
      <c r="Q339" s="7" t="str">
        <f ca="1">'Database MK'!DN340</f>
        <v>Sudah, OnSchedule</v>
      </c>
      <c r="R339" s="7" t="str">
        <f ca="1">'Database MK'!DR340</f>
        <v>Sudah, OnSchedule</v>
      </c>
      <c r="S339" s="7" t="str">
        <f ca="1">'Database MK'!EA340</f>
        <v>Sudah, OnSchedule</v>
      </c>
      <c r="T339" s="7" t="str">
        <f ca="1">'Database MK'!EI340</f>
        <v>Sudah, Delay</v>
      </c>
      <c r="U339" s="7" t="str">
        <f ca="1">'Database MK'!ET340</f>
        <v>Sudah, Delay</v>
      </c>
      <c r="V339" s="7" t="str">
        <f ca="1">'Database MK'!GA340</f>
        <v>Belum, Delay</v>
      </c>
      <c r="W339" s="7" t="str">
        <f ca="1">'Database MK'!GD340</f>
        <v>Sudah, OnSchedule</v>
      </c>
      <c r="X339" s="7" t="str">
        <f ca="1">'Database MK'!GG340</f>
        <v>Sudah, OnSchedule</v>
      </c>
      <c r="Y339" s="7" t="str">
        <f ca="1">'Database MK'!GK340</f>
        <v>Sudah, OnSchedule</v>
      </c>
      <c r="Z339" s="7" t="str">
        <f ca="1">'Database MK'!HH340</f>
        <v>Belum, Delay</v>
      </c>
      <c r="AA339" s="7" t="str">
        <f ca="1">'Database MK'!HR340</f>
        <v>Belum, Delay</v>
      </c>
      <c r="AB339" s="7" t="str">
        <f ca="1">'Database MK'!HX340</f>
        <v>Belum, Delay</v>
      </c>
      <c r="AC339" s="7">
        <f>'Database MK'!DA340-'Database MK'!DB340</f>
        <v>27</v>
      </c>
      <c r="AD339" s="7">
        <f>'Database MK'!DA340-'Database MK'!DF340</f>
        <v>13</v>
      </c>
      <c r="AE339" s="7">
        <f>'Database MK'!DK340-'Database MK'!DL340</f>
        <v>55</v>
      </c>
      <c r="AF339" s="7">
        <f>'Database MK'!DK340-'Database MK'!DO340</f>
        <v>23</v>
      </c>
      <c r="AG339" s="7">
        <f>'Database MK'!DU340-'Database MK'!DW340</f>
        <v>34</v>
      </c>
      <c r="AH339" s="7">
        <f>IF('Database MK'!EB340="","Belum",'Database MK'!DU340-'Database MK'!EB340)</f>
        <v>-36</v>
      </c>
      <c r="AI339" s="7">
        <f>IF('Database MK'!EN340="","Belum",'Database MK'!EL340-'Database MK'!EN340)</f>
        <v>-96</v>
      </c>
      <c r="AJ339" s="7">
        <f>'Database MK'!FY340-'Database MK'!FZ340</f>
        <v>0</v>
      </c>
      <c r="AK339" s="7">
        <f>IF('Database MK'!GC340="","Belum",'Database MK'!GB340-'Database MK'!GC340)</f>
        <v>29</v>
      </c>
      <c r="AL339" s="7">
        <f>IF('Database MK'!GF340="","Belum",'Database MK'!GE340-'Database MK'!GF340)</f>
        <v>36</v>
      </c>
      <c r="AM339" s="279">
        <f>IF('Database MK'!GJ340="","Belum",'Database MK'!GI340-'Database MK'!GJ340)</f>
        <v>44</v>
      </c>
      <c r="AN339" s="7" t="str">
        <f>IF('Database MK'!HG340="","Belum",'Database MK'!HF340-'Database MK'!HG340)</f>
        <v>Belum</v>
      </c>
      <c r="AO339" s="7" t="str">
        <f>IF('Database MK'!HQ340="","Belum",'Database MK'!HN340-'Database MK'!HQ340)</f>
        <v>Belum</v>
      </c>
      <c r="AP339" s="7" t="str">
        <f>IF('Database MK'!HW340="","Belum",'Database MK'!HU340-'Database MK'!HW340)</f>
        <v>Belum</v>
      </c>
    </row>
    <row r="340" spans="2:42" hidden="1" x14ac:dyDescent="0.25">
      <c r="B340" s="7">
        <f>SUBTOTAL(3,$C$4:C340)</f>
        <v>74</v>
      </c>
      <c r="C340" s="269" t="s">
        <v>673</v>
      </c>
      <c r="D340" s="4" t="s">
        <v>2726</v>
      </c>
      <c r="E340" s="4" t="s">
        <v>2727</v>
      </c>
      <c r="F340" s="270">
        <v>46113</v>
      </c>
      <c r="G340" s="4" t="s">
        <v>681</v>
      </c>
      <c r="H340" s="4" t="str">
        <f ca="1">'Database MK'!Q341</f>
        <v>DPPP</v>
      </c>
      <c r="I340" s="24">
        <f>'Database MK'!S341</f>
        <v>1</v>
      </c>
      <c r="J340" s="24">
        <f>'Database MK'!T341</f>
        <v>1</v>
      </c>
      <c r="K340" s="571">
        <f>'Database MK'!U341</f>
        <v>0</v>
      </c>
      <c r="L340" s="561">
        <f>'Database MK'!V341</f>
        <v>981</v>
      </c>
      <c r="M340" s="561">
        <f>'Database MK'!W341</f>
        <v>856</v>
      </c>
      <c r="N340" s="561">
        <f>Table3[[#This Row],[Total Panjang Pipa Aktual]]-Table3[[#This Row],[Volume
BA MC-0]]</f>
        <v>-125</v>
      </c>
      <c r="O340" s="7" t="str">
        <f ca="1">'Database MK'!DE341</f>
        <v>Sudah, OnSchedule</v>
      </c>
      <c r="P340" s="7" t="str">
        <f ca="1">'Database MK'!DI341</f>
        <v>Sudah, OnSchedule</v>
      </c>
      <c r="Q340" s="7" t="str">
        <f ca="1">'Database MK'!DN341</f>
        <v>Sudah, OnSchedule</v>
      </c>
      <c r="R340" s="7" t="str">
        <f ca="1">'Database MK'!DR341</f>
        <v>Sudah, OnSchedule</v>
      </c>
      <c r="S340" s="7" t="str">
        <f ca="1">'Database MK'!EA341</f>
        <v>Sudah, OnSchedule</v>
      </c>
      <c r="T340" s="7" t="str">
        <f ca="1">'Database MK'!EI341</f>
        <v>Sudah, Delay</v>
      </c>
      <c r="U340" s="7" t="str">
        <f ca="1">'Database MK'!ET341</f>
        <v>Sudah, Delay</v>
      </c>
      <c r="V340" s="7" t="str">
        <f ca="1">'Database MK'!GA341</f>
        <v>Belum, Delay</v>
      </c>
      <c r="W340" s="7" t="str">
        <f ca="1">'Database MK'!GD341</f>
        <v>Sudah, OnSchedule</v>
      </c>
      <c r="X340" s="7" t="str">
        <f ca="1">'Database MK'!GG341</f>
        <v>Sudah, OnSchedule</v>
      </c>
      <c r="Y340" s="7" t="str">
        <f ca="1">'Database MK'!GK341</f>
        <v>Sudah, OnSchedule</v>
      </c>
      <c r="Z340" s="7" t="str">
        <f ca="1">'Database MK'!HH341</f>
        <v>Sudah, Delay</v>
      </c>
      <c r="AA340" s="7" t="str">
        <f ca="1">'Database MK'!HR341</f>
        <v>Sudah, Delay</v>
      </c>
      <c r="AB340" s="7" t="str">
        <f ca="1">'Database MK'!HX341</f>
        <v>Sudah, Delay</v>
      </c>
      <c r="AC340" s="7">
        <f>'Database MK'!DA341-'Database MK'!DB341</f>
        <v>42</v>
      </c>
      <c r="AD340" s="7">
        <f>'Database MK'!DA341-'Database MK'!DF341</f>
        <v>13</v>
      </c>
      <c r="AE340" s="7">
        <f>'Database MK'!DK341-'Database MK'!DL341</f>
        <v>72</v>
      </c>
      <c r="AF340" s="7">
        <f>'Database MK'!DK341-'Database MK'!DO341</f>
        <v>65</v>
      </c>
      <c r="AG340" s="7">
        <f>'Database MK'!DU341-'Database MK'!DW341</f>
        <v>51</v>
      </c>
      <c r="AH340" s="7">
        <f>IF('Database MK'!EB341="","Belum",'Database MK'!DU341-'Database MK'!EB341)</f>
        <v>-36</v>
      </c>
      <c r="AI340" s="7">
        <f>IF('Database MK'!EN341="","Belum",'Database MK'!EL341-'Database MK'!EN341)</f>
        <v>-130</v>
      </c>
      <c r="AJ340" s="7">
        <f>'Database MK'!FY341-'Database MK'!FZ341</f>
        <v>0</v>
      </c>
      <c r="AK340" s="7">
        <f>IF('Database MK'!GC341="","Belum",'Database MK'!GB341-'Database MK'!GC341)</f>
        <v>43</v>
      </c>
      <c r="AL340" s="7">
        <f>IF('Database MK'!GF341="","Belum",'Database MK'!GE341-'Database MK'!GF341)</f>
        <v>50</v>
      </c>
      <c r="AM340" s="279">
        <f>IF('Database MK'!GJ341="","Belum",'Database MK'!GI341-'Database MK'!GJ341)</f>
        <v>60</v>
      </c>
      <c r="AN340" s="7">
        <f>IF('Database MK'!HG341="","Belum",'Database MK'!HF341-'Database MK'!HG341)</f>
        <v>-37</v>
      </c>
      <c r="AO340" s="7">
        <f>IF('Database MK'!HQ341="","Belum",'Database MK'!HN341-'Database MK'!HQ341)</f>
        <v>-27</v>
      </c>
      <c r="AP340" s="7">
        <f>IF('Database MK'!HW341="","Belum",'Database MK'!HU341-'Database MK'!HW341)</f>
        <v>-26</v>
      </c>
    </row>
    <row r="341" spans="2:42" hidden="1" x14ac:dyDescent="0.25">
      <c r="B341" s="7">
        <f>SUBTOTAL(3,$C$4:C341)</f>
        <v>74</v>
      </c>
      <c r="C341" s="269" t="s">
        <v>673</v>
      </c>
      <c r="D341" s="4" t="s">
        <v>2735</v>
      </c>
      <c r="E341" s="4" t="s">
        <v>2736</v>
      </c>
      <c r="F341" s="270">
        <v>46113</v>
      </c>
      <c r="G341" s="4" t="s">
        <v>681</v>
      </c>
      <c r="H341" s="4" t="str">
        <f ca="1">'Database MK'!Q342</f>
        <v>DPPP</v>
      </c>
      <c r="I341" s="24">
        <f>'Database MK'!S342</f>
        <v>1</v>
      </c>
      <c r="J341" s="24">
        <f>'Database MK'!T342</f>
        <v>1</v>
      </c>
      <c r="K341" s="571">
        <f>'Database MK'!U342</f>
        <v>0</v>
      </c>
      <c r="L341" s="561">
        <f>'Database MK'!V342</f>
        <v>310</v>
      </c>
      <c r="M341" s="561">
        <f>'Database MK'!W342</f>
        <v>310</v>
      </c>
      <c r="N341" s="561">
        <f>Table3[[#This Row],[Total Panjang Pipa Aktual]]-Table3[[#This Row],[Volume
BA MC-0]]</f>
        <v>0</v>
      </c>
      <c r="O341" s="7" t="str">
        <f ca="1">'Database MK'!DE342</f>
        <v>Sudah, OnSchedule</v>
      </c>
      <c r="P341" s="7" t="str">
        <f ca="1">'Database MK'!DI342</f>
        <v>Sudah, OnSchedule</v>
      </c>
      <c r="Q341" s="7" t="str">
        <f ca="1">'Database MK'!DN342</f>
        <v>Sudah, OnSchedule</v>
      </c>
      <c r="R341" s="7" t="str">
        <f ca="1">'Database MK'!DR342</f>
        <v>Sudah, OnSchedule</v>
      </c>
      <c r="S341" s="7" t="str">
        <f ca="1">'Database MK'!EA342</f>
        <v>Sudah, OnSchedule</v>
      </c>
      <c r="T341" s="7" t="str">
        <f ca="1">'Database MK'!EI342</f>
        <v>Sudah, Delay</v>
      </c>
      <c r="U341" s="7" t="str">
        <f ca="1">'Database MK'!ET342</f>
        <v>Sudah, Delay</v>
      </c>
      <c r="V341" s="7" t="str">
        <f ca="1">'Database MK'!GA342</f>
        <v>Belum, Delay</v>
      </c>
      <c r="W341" s="7" t="str">
        <f ca="1">'Database MK'!GD342</f>
        <v>Sudah, OnSchedule</v>
      </c>
      <c r="X341" s="7" t="str">
        <f ca="1">'Database MK'!GG342</f>
        <v>Sudah, OnSchedule</v>
      </c>
      <c r="Y341" s="7" t="str">
        <f ca="1">'Database MK'!GK342</f>
        <v>Sudah, OnSchedule</v>
      </c>
      <c r="Z341" s="7" t="str">
        <f ca="1">'Database MK'!HH342</f>
        <v>Sudah, OnSchedule</v>
      </c>
      <c r="AA341" s="7" t="str">
        <f ca="1">'Database MK'!HR342</f>
        <v>Sudah, Delay</v>
      </c>
      <c r="AB341" s="7" t="str">
        <f ca="1">'Database MK'!HX342</f>
        <v>Sudah, Delay</v>
      </c>
      <c r="AC341" s="7">
        <f>'Database MK'!DA342-'Database MK'!DB342</f>
        <v>42</v>
      </c>
      <c r="AD341" s="7">
        <f>'Database MK'!DA342-'Database MK'!DF342</f>
        <v>13</v>
      </c>
      <c r="AE341" s="7">
        <f>'Database MK'!DK342-'Database MK'!DL342</f>
        <v>73</v>
      </c>
      <c r="AF341" s="7">
        <f>'Database MK'!DK342-'Database MK'!DO342</f>
        <v>65</v>
      </c>
      <c r="AG341" s="7">
        <f>'Database MK'!DU342-'Database MK'!DW342</f>
        <v>52</v>
      </c>
      <c r="AH341" s="7">
        <f>IF('Database MK'!EB342="","Belum",'Database MK'!DU342-'Database MK'!EB342)</f>
        <v>-38</v>
      </c>
      <c r="AI341" s="7">
        <f>IF('Database MK'!EN342="","Belum",'Database MK'!EL342-'Database MK'!EN342)</f>
        <v>-65</v>
      </c>
      <c r="AJ341" s="7">
        <f>'Database MK'!FY342-'Database MK'!FZ342</f>
        <v>0</v>
      </c>
      <c r="AK341" s="7">
        <f>IF('Database MK'!GC342="","Belum",'Database MK'!GB342-'Database MK'!GC342)</f>
        <v>42</v>
      </c>
      <c r="AL341" s="7">
        <f>IF('Database MK'!GF342="","Belum",'Database MK'!GE342-'Database MK'!GF342)</f>
        <v>49</v>
      </c>
      <c r="AM341" s="279">
        <f>IF('Database MK'!GJ342="","Belum",'Database MK'!GI342-'Database MK'!GJ342)</f>
        <v>48</v>
      </c>
      <c r="AN341" s="7">
        <f>IF('Database MK'!HG342="","Belum",'Database MK'!HF342-'Database MK'!HG342)</f>
        <v>23</v>
      </c>
      <c r="AO341" s="7">
        <f>IF('Database MK'!HQ342="","Belum",'Database MK'!HN342-'Database MK'!HQ342)</f>
        <v>-6</v>
      </c>
      <c r="AP341" s="7">
        <f>IF('Database MK'!HW342="","Belum",'Database MK'!HU342-'Database MK'!HW342)</f>
        <v>-14</v>
      </c>
    </row>
    <row r="342" spans="2:42" hidden="1" x14ac:dyDescent="0.25">
      <c r="B342" s="7">
        <f>SUBTOTAL(3,$C$4:C342)</f>
        <v>74</v>
      </c>
      <c r="C342" s="269" t="s">
        <v>673</v>
      </c>
      <c r="D342" s="4" t="s">
        <v>2743</v>
      </c>
      <c r="E342" s="4" t="s">
        <v>2744</v>
      </c>
      <c r="F342" s="270">
        <v>46113</v>
      </c>
      <c r="G342" s="4" t="s">
        <v>681</v>
      </c>
      <c r="H342" s="4" t="str">
        <f ca="1">'Database MK'!Q343</f>
        <v>DPPP</v>
      </c>
      <c r="I342" s="24">
        <f>'Database MK'!S343</f>
        <v>1</v>
      </c>
      <c r="J342" s="24">
        <f>'Database MK'!T343</f>
        <v>1</v>
      </c>
      <c r="K342" s="571">
        <f>'Database MK'!U343</f>
        <v>0</v>
      </c>
      <c r="L342" s="561">
        <f>'Database MK'!V343</f>
        <v>39</v>
      </c>
      <c r="M342" s="561">
        <f>'Database MK'!W343</f>
        <v>39</v>
      </c>
      <c r="N342" s="561">
        <f>Table3[[#This Row],[Total Panjang Pipa Aktual]]-Table3[[#This Row],[Volume
BA MC-0]]</f>
        <v>0</v>
      </c>
      <c r="O342" s="7" t="str">
        <f ca="1">'Database MK'!DE343</f>
        <v>Sudah, OnSchedule</v>
      </c>
      <c r="P342" s="7" t="str">
        <f ca="1">'Database MK'!DI343</f>
        <v>Sudah, OnSchedule</v>
      </c>
      <c r="Q342" s="7" t="str">
        <f ca="1">'Database MK'!DN343</f>
        <v>Sudah, OnSchedule</v>
      </c>
      <c r="R342" s="7" t="str">
        <f ca="1">'Database MK'!DR343</f>
        <v>Sudah, OnSchedule</v>
      </c>
      <c r="S342" s="7" t="str">
        <f ca="1">'Database MK'!EA343</f>
        <v>Sudah, OnSchedule</v>
      </c>
      <c r="T342" s="7" t="str">
        <f ca="1">'Database MK'!EI343</f>
        <v>Sudah, Delay</v>
      </c>
      <c r="U342" s="7" t="str">
        <f ca="1">'Database MK'!ET343</f>
        <v>Sudah, Delay</v>
      </c>
      <c r="V342" s="7" t="str">
        <f ca="1">'Database MK'!GA343</f>
        <v>Belum, Delay</v>
      </c>
      <c r="W342" s="7" t="str">
        <f ca="1">'Database MK'!GD343</f>
        <v>Sudah, OnSchedule</v>
      </c>
      <c r="X342" s="7" t="str">
        <f ca="1">'Database MK'!GG343</f>
        <v>Sudah, OnSchedule</v>
      </c>
      <c r="Y342" s="7" t="str">
        <f ca="1">'Database MK'!GK343</f>
        <v>Sudah, OnSchedule</v>
      </c>
      <c r="Z342" s="7" t="str">
        <f ca="1">'Database MK'!HH343</f>
        <v>Sudah, OnSchedule</v>
      </c>
      <c r="AA342" s="7" t="str">
        <f ca="1">'Database MK'!HR343</f>
        <v>Sudah, Delay</v>
      </c>
      <c r="AB342" s="7" t="str">
        <f ca="1">'Database MK'!HX343</f>
        <v>Sudah, Delay</v>
      </c>
      <c r="AC342" s="7">
        <f>'Database MK'!DA343-'Database MK'!DB343</f>
        <v>26</v>
      </c>
      <c r="AD342" s="7">
        <f>'Database MK'!DA343-'Database MK'!DF343</f>
        <v>13</v>
      </c>
      <c r="AE342" s="7">
        <f>'Database MK'!DK343-'Database MK'!DL343</f>
        <v>73</v>
      </c>
      <c r="AF342" s="7">
        <f>'Database MK'!DK343-'Database MK'!DO343</f>
        <v>65</v>
      </c>
      <c r="AG342" s="7">
        <f>'Database MK'!DU343-'Database MK'!DW343</f>
        <v>52</v>
      </c>
      <c r="AH342" s="7">
        <f>IF('Database MK'!EB343="","Belum",'Database MK'!DU343-'Database MK'!EB343)</f>
        <v>-38</v>
      </c>
      <c r="AI342" s="7">
        <f>IF('Database MK'!EN343="","Belum",'Database MK'!EL343-'Database MK'!EN343)</f>
        <v>-38</v>
      </c>
      <c r="AJ342" s="7">
        <f>'Database MK'!FY343-'Database MK'!FZ343</f>
        <v>0</v>
      </c>
      <c r="AK342" s="7">
        <f>IF('Database MK'!GC343="","Belum",'Database MK'!GB343-'Database MK'!GC343)</f>
        <v>42</v>
      </c>
      <c r="AL342" s="7">
        <f>IF('Database MK'!GF343="","Belum",'Database MK'!GE343-'Database MK'!GF343)</f>
        <v>49</v>
      </c>
      <c r="AM342" s="279">
        <f>IF('Database MK'!GJ343="","Belum",'Database MK'!GI343-'Database MK'!GJ343)</f>
        <v>48</v>
      </c>
      <c r="AN342" s="7">
        <f>IF('Database MK'!HG343="","Belum",'Database MK'!HF343-'Database MK'!HG343)</f>
        <v>23</v>
      </c>
      <c r="AO342" s="7">
        <f>IF('Database MK'!HQ343="","Belum",'Database MK'!HN343-'Database MK'!HQ343)</f>
        <v>-6</v>
      </c>
      <c r="AP342" s="7">
        <f>IF('Database MK'!HW343="","Belum",'Database MK'!HU343-'Database MK'!HW343)</f>
        <v>-14</v>
      </c>
    </row>
    <row r="343" spans="2:42" hidden="1" x14ac:dyDescent="0.25">
      <c r="B343" s="7">
        <f>SUBTOTAL(3,$C$4:C343)</f>
        <v>74</v>
      </c>
      <c r="C343" s="269" t="s">
        <v>673</v>
      </c>
      <c r="D343" s="4" t="s">
        <v>2752</v>
      </c>
      <c r="E343" s="4" t="s">
        <v>2753</v>
      </c>
      <c r="F343" s="270">
        <v>46113</v>
      </c>
      <c r="G343" s="4" t="s">
        <v>681</v>
      </c>
      <c r="H343" s="4" t="str">
        <f ca="1">'Database MK'!Q344</f>
        <v>DPPP</v>
      </c>
      <c r="I343" s="24">
        <f>'Database MK'!S344</f>
        <v>1</v>
      </c>
      <c r="J343" s="24">
        <f>'Database MK'!T344</f>
        <v>1</v>
      </c>
      <c r="K343" s="571">
        <f>'Database MK'!U344</f>
        <v>0</v>
      </c>
      <c r="L343" s="561">
        <f>'Database MK'!V344</f>
        <v>403</v>
      </c>
      <c r="M343" s="561">
        <f>'Database MK'!W344</f>
        <v>403</v>
      </c>
      <c r="N343" s="561">
        <f>Table3[[#This Row],[Total Panjang Pipa Aktual]]-Table3[[#This Row],[Volume
BA MC-0]]</f>
        <v>0</v>
      </c>
      <c r="O343" s="7" t="str">
        <f ca="1">'Database MK'!DE344</f>
        <v>Sudah, OnSchedule</v>
      </c>
      <c r="P343" s="7" t="str">
        <f ca="1">'Database MK'!DI344</f>
        <v>Sudah, OnSchedule</v>
      </c>
      <c r="Q343" s="7" t="str">
        <f ca="1">'Database MK'!DN344</f>
        <v>Sudah, OnSchedule</v>
      </c>
      <c r="R343" s="7" t="str">
        <f ca="1">'Database MK'!DR344</f>
        <v>Sudah, OnSchedule</v>
      </c>
      <c r="S343" s="7" t="str">
        <f ca="1">'Database MK'!EA344</f>
        <v>Sudah, OnSchedule</v>
      </c>
      <c r="T343" s="7" t="str">
        <f ca="1">'Database MK'!EI344</f>
        <v>Sudah, Delay</v>
      </c>
      <c r="U343" s="7" t="str">
        <f ca="1">'Database MK'!ET344</f>
        <v>Sudah, Delay</v>
      </c>
      <c r="V343" s="7" t="str">
        <f ca="1">'Database MK'!GA344</f>
        <v>Belum, Delay</v>
      </c>
      <c r="W343" s="7" t="str">
        <f ca="1">'Database MK'!GD344</f>
        <v>Sudah, OnSchedule</v>
      </c>
      <c r="X343" s="7" t="str">
        <f ca="1">'Database MK'!GG344</f>
        <v>Sudah, OnSchedule</v>
      </c>
      <c r="Y343" s="7" t="str">
        <f ca="1">'Database MK'!GK344</f>
        <v>Sudah, OnSchedule</v>
      </c>
      <c r="Z343" s="7" t="str">
        <f ca="1">'Database MK'!HH344</f>
        <v>Sudah, OnSchedule</v>
      </c>
      <c r="AA343" s="7" t="str">
        <f ca="1">'Database MK'!HR344</f>
        <v>Sudah, OnSchedule</v>
      </c>
      <c r="AB343" s="7" t="str">
        <f ca="1">'Database MK'!HX344</f>
        <v>Sudah, OnSchedule</v>
      </c>
      <c r="AC343" s="7">
        <f>'Database MK'!DA344-'Database MK'!DB344</f>
        <v>40</v>
      </c>
      <c r="AD343" s="7">
        <f>'Database MK'!DA344-'Database MK'!DF344</f>
        <v>12</v>
      </c>
      <c r="AE343" s="7">
        <f>'Database MK'!DK344-'Database MK'!DL344</f>
        <v>102</v>
      </c>
      <c r="AF343" s="7">
        <f>'Database MK'!DK344-'Database MK'!DO344</f>
        <v>79</v>
      </c>
      <c r="AG343" s="7">
        <f>'Database MK'!DU344-'Database MK'!DW344</f>
        <v>80</v>
      </c>
      <c r="AH343" s="7">
        <f>IF('Database MK'!EB344="","Belum",'Database MK'!DU344-'Database MK'!EB344)</f>
        <v>-10</v>
      </c>
      <c r="AI343" s="7">
        <f>IF('Database MK'!EN344="","Belum",'Database MK'!EL344-'Database MK'!EN344)</f>
        <v>-13</v>
      </c>
      <c r="AJ343" s="7">
        <f>'Database MK'!FY344-'Database MK'!FZ344</f>
        <v>0</v>
      </c>
      <c r="AK343" s="7">
        <f>IF('Database MK'!GC344="","Belum",'Database MK'!GB344-'Database MK'!GC344)</f>
        <v>71</v>
      </c>
      <c r="AL343" s="7">
        <f>IF('Database MK'!GF344="","Belum",'Database MK'!GE344-'Database MK'!GF344)</f>
        <v>78</v>
      </c>
      <c r="AM343" s="279">
        <f>IF('Database MK'!GJ344="","Belum",'Database MK'!GI344-'Database MK'!GJ344)</f>
        <v>88</v>
      </c>
      <c r="AN343" s="7">
        <f>IF('Database MK'!HG344="","Belum",'Database MK'!HF344-'Database MK'!HG344)</f>
        <v>88</v>
      </c>
      <c r="AO343" s="7">
        <f>IF('Database MK'!HQ344="","Belum",'Database MK'!HN344-'Database MK'!HQ344)</f>
        <v>57</v>
      </c>
      <c r="AP343" s="7">
        <f>IF('Database MK'!HW344="","Belum",'Database MK'!HU344-'Database MK'!HW344)</f>
        <v>51</v>
      </c>
    </row>
    <row r="344" spans="2:42" hidden="1" x14ac:dyDescent="0.25">
      <c r="B344" s="7">
        <f>SUBTOTAL(3,$C$4:C344)</f>
        <v>74</v>
      </c>
      <c r="C344" s="269" t="s">
        <v>244</v>
      </c>
      <c r="D344" s="269" t="s">
        <v>2761</v>
      </c>
      <c r="E344" s="4" t="s">
        <v>2762</v>
      </c>
      <c r="F344" s="270">
        <v>46296</v>
      </c>
      <c r="G344" s="4" t="s">
        <v>247</v>
      </c>
      <c r="H344" s="4" t="str">
        <f ca="1">'Database MK'!Q345</f>
        <v>MC-0</v>
      </c>
      <c r="I344" s="24">
        <f>'Database MK'!S345</f>
        <v>0.67507128807150785</v>
      </c>
      <c r="J344" s="24">
        <f>'Database MK'!T345</f>
        <v>6.1813827374598902E-2</v>
      </c>
      <c r="K344" s="571">
        <f>'Database MK'!U345</f>
        <v>-0.6132574606969089</v>
      </c>
      <c r="L344" s="561">
        <f>'Database MK'!V345</f>
        <v>0</v>
      </c>
      <c r="M344" s="561">
        <f>'Database MK'!W345</f>
        <v>0</v>
      </c>
      <c r="N344" s="561">
        <f>Table3[[#This Row],[Total Panjang Pipa Aktual]]-Table3[[#This Row],[Volume
BA MC-0]]</f>
        <v>0</v>
      </c>
      <c r="O344" s="7" t="str">
        <f ca="1">'Database MK'!DE345</f>
        <v>Sudah, OnSchedule</v>
      </c>
      <c r="P344" s="7" t="str">
        <f ca="1">'Database MK'!DI345</f>
        <v>Sudah, OnSchedule</v>
      </c>
      <c r="Q344" s="7" t="str">
        <f ca="1">'Database MK'!DN345</f>
        <v>Sudah, OnSchedule</v>
      </c>
      <c r="R344" s="7" t="str">
        <f ca="1">'Database MK'!DR345</f>
        <v>Sudah, OnSchedule</v>
      </c>
      <c r="S344" s="7" t="str">
        <f ca="1">'Database MK'!EA345</f>
        <v>Sudah, OnSchedule</v>
      </c>
      <c r="T344" s="7" t="str">
        <f ca="1">'Database MK'!EI345</f>
        <v>Belum, Delay</v>
      </c>
      <c r="U344" s="7" t="str">
        <f ca="1">'Database MK'!ET345</f>
        <v>Belum, Delay</v>
      </c>
      <c r="V344" s="7" t="str">
        <f ca="1">'Database MK'!GA345</f>
        <v>Sudah, OnSchedule</v>
      </c>
      <c r="W344" s="7" t="str">
        <f ca="1">'Database MK'!GD345</f>
        <v>Sudah, OnSchedule</v>
      </c>
      <c r="X344" s="7" t="str">
        <f ca="1">'Database MK'!GG345</f>
        <v>Sudah, OnSchedule</v>
      </c>
      <c r="Y344" s="7" t="str">
        <f ca="1">'Database MK'!GK345</f>
        <v>Sudah, OnSchedule</v>
      </c>
      <c r="Z344" s="7" t="str">
        <f ca="1">'Database MK'!HH345</f>
        <v>Belum, OnSchedule</v>
      </c>
      <c r="AA344" s="7" t="str">
        <f ca="1">'Database MK'!HR345</f>
        <v>Belum, OnSchedule</v>
      </c>
      <c r="AB344" s="7" t="str">
        <f ca="1">'Database MK'!HX345</f>
        <v>Belum, OnSchedule</v>
      </c>
      <c r="AC344" s="7">
        <f>'Database MK'!DA345-'Database MK'!DB345</f>
        <v>723</v>
      </c>
      <c r="AD344" s="7">
        <f>'Database MK'!DA345-'Database MK'!DF345</f>
        <v>713</v>
      </c>
      <c r="AE344" s="7">
        <f>'Database MK'!DK345-'Database MK'!DL345</f>
        <v>804</v>
      </c>
      <c r="AF344" s="7">
        <f>'Database MK'!DK345-'Database MK'!DO345</f>
        <v>60</v>
      </c>
      <c r="AG344" s="7">
        <f>'Database MK'!DU345-'Database MK'!DW345</f>
        <v>723</v>
      </c>
      <c r="AH344" s="7" t="str">
        <f>IF('Database MK'!EB345="","Belum",'Database MK'!DU345-'Database MK'!EB345)</f>
        <v>Belum</v>
      </c>
      <c r="AI344" s="7" t="str">
        <f>IF('Database MK'!EN345="","Belum",'Database MK'!EL345-'Database MK'!EN345)</f>
        <v>Belum</v>
      </c>
      <c r="AJ344" s="7">
        <f>'Database MK'!FY345-'Database MK'!FZ345</f>
        <v>48</v>
      </c>
      <c r="AK344" s="7">
        <f>IF('Database MK'!GC345="","Belum",'Database MK'!GB345-'Database MK'!GC345)</f>
        <v>61</v>
      </c>
      <c r="AL344" s="7">
        <f>IF('Database MK'!GF345="","Belum",'Database MK'!GE345-'Database MK'!GF345)</f>
        <v>68</v>
      </c>
      <c r="AM344" s="279">
        <f>IF('Database MK'!GJ345="","Belum",'Database MK'!GI345-'Database MK'!GJ345)</f>
        <v>72</v>
      </c>
      <c r="AN344" s="7" t="str">
        <f>IF('Database MK'!HG345="","Belum",'Database MK'!HF345-'Database MK'!HG345)</f>
        <v>Belum</v>
      </c>
      <c r="AO344" s="7" t="str">
        <f>IF('Database MK'!HQ345="","Belum",'Database MK'!HN345-'Database MK'!HQ345)</f>
        <v>Belum</v>
      </c>
      <c r="AP344" s="7" t="str">
        <f>IF('Database MK'!HW345="","Belum",'Database MK'!HU345-'Database MK'!HW345)</f>
        <v>Belum</v>
      </c>
    </row>
    <row r="345" spans="2:42" hidden="1" x14ac:dyDescent="0.25">
      <c r="B345" s="7">
        <f>SUBTOTAL(3,$C$4:C345)</f>
        <v>74</v>
      </c>
      <c r="C345" s="269" t="s">
        <v>244</v>
      </c>
      <c r="D345" s="269" t="s">
        <v>2770</v>
      </c>
      <c r="E345" s="4" t="s">
        <v>2771</v>
      </c>
      <c r="F345" s="270">
        <v>46296</v>
      </c>
      <c r="G345" s="4" t="s">
        <v>247</v>
      </c>
      <c r="H345" s="4" t="str">
        <f ca="1">'Database MK'!Q346</f>
        <v>Kick Off Meeting</v>
      </c>
      <c r="I345" s="24">
        <f>'Database MK'!S346</f>
        <v>0.57735849056195421</v>
      </c>
      <c r="J345" s="24">
        <f>'Database MK'!T346</f>
        <v>0</v>
      </c>
      <c r="K345" s="571">
        <f>'Database MK'!U346</f>
        <v>-0.57735849056195421</v>
      </c>
      <c r="L345" s="561">
        <f>'Database MK'!V346</f>
        <v>0</v>
      </c>
      <c r="M345" s="561">
        <f>'Database MK'!W346</f>
        <v>0</v>
      </c>
      <c r="N345" s="561">
        <f>Table3[[#This Row],[Total Panjang Pipa Aktual]]-Table3[[#This Row],[Volume
BA MC-0]]</f>
        <v>0</v>
      </c>
      <c r="O345" s="7" t="str">
        <f ca="1">'Database MK'!DE346</f>
        <v>Sudah, Delay</v>
      </c>
      <c r="P345" s="7" t="str">
        <f ca="1">'Database MK'!DI346</f>
        <v>Sudah, Delay</v>
      </c>
      <c r="Q345" s="7" t="str">
        <f ca="1">'Database MK'!DN346</f>
        <v>Sudah, OnSchedule</v>
      </c>
      <c r="R345" s="7" t="str">
        <f ca="1">'Database MK'!DR346</f>
        <v>Sudah, Delay</v>
      </c>
      <c r="S345" s="7" t="str">
        <f ca="1">'Database MK'!EA346</f>
        <v>Sudah, Delay</v>
      </c>
      <c r="T345" s="7" t="str">
        <f ca="1">'Database MK'!EI346</f>
        <v>Belum, Delay</v>
      </c>
      <c r="U345" s="7" t="str">
        <f ca="1">'Database MK'!ET346</f>
        <v>Belum, Delay</v>
      </c>
      <c r="V345" s="7" t="str">
        <f ca="1">'Database MK'!GA346</f>
        <v>Sudah, OnSchedule</v>
      </c>
      <c r="W345" s="7" t="str">
        <f ca="1">'Database MK'!GD346</f>
        <v>Sudah, Delay</v>
      </c>
      <c r="X345" s="7" t="str">
        <f ca="1">'Database MK'!GG346</f>
        <v>Sudah, Delay</v>
      </c>
      <c r="Y345" s="7" t="str">
        <f ca="1">'Database MK'!GK346</f>
        <v>Belum, Delay</v>
      </c>
      <c r="Z345" s="7" t="str">
        <f ca="1">'Database MK'!HH346</f>
        <v>Belum, OnSchedule</v>
      </c>
      <c r="AA345" s="7" t="str">
        <f ca="1">'Database MK'!HR346</f>
        <v>Belum, OnSchedule</v>
      </c>
      <c r="AB345" s="7" t="str">
        <f ca="1">'Database MK'!HX346</f>
        <v>Belum, OnSchedule</v>
      </c>
      <c r="AC345" s="7">
        <f>'Database MK'!DA346-'Database MK'!DB346</f>
        <v>-1</v>
      </c>
      <c r="AD345" s="7">
        <f>'Database MK'!DA346-'Database MK'!DF346</f>
        <v>-36</v>
      </c>
      <c r="AE345" s="7">
        <f>'Database MK'!DK346-'Database MK'!DL346</f>
        <v>53</v>
      </c>
      <c r="AF345" s="7">
        <f>'Database MK'!DK346-'Database MK'!DO346</f>
        <v>-45</v>
      </c>
      <c r="AG345" s="7">
        <f>'Database MK'!DU346-'Database MK'!DW346</f>
        <v>-44</v>
      </c>
      <c r="AH345" s="7" t="str">
        <f>IF('Database MK'!EB346="","Belum",'Database MK'!DU346-'Database MK'!EB346)</f>
        <v>Belum</v>
      </c>
      <c r="AI345" s="7" t="str">
        <f>IF('Database MK'!EN346="","Belum",'Database MK'!EL346-'Database MK'!EN346)</f>
        <v>Belum</v>
      </c>
      <c r="AJ345" s="7">
        <f>'Database MK'!FY346-'Database MK'!FZ346</f>
        <v>0</v>
      </c>
      <c r="AK345" s="7">
        <f>IF('Database MK'!GC346="","Belum",'Database MK'!GB346-'Database MK'!GC346)</f>
        <v>-51</v>
      </c>
      <c r="AL345" s="7">
        <f>IF('Database MK'!GF346="","Belum",'Database MK'!GE346-'Database MK'!GF346)</f>
        <v>-44</v>
      </c>
      <c r="AM345" s="279" t="str">
        <f>IF('Database MK'!GJ346="","Belum",'Database MK'!GI346-'Database MK'!GJ346)</f>
        <v>Belum</v>
      </c>
      <c r="AN345" s="7" t="str">
        <f>IF('Database MK'!HG346="","Belum",'Database MK'!HF346-'Database MK'!HG346)</f>
        <v>Belum</v>
      </c>
      <c r="AO345" s="7" t="str">
        <f>IF('Database MK'!HQ346="","Belum",'Database MK'!HN346-'Database MK'!HQ346)</f>
        <v>Belum</v>
      </c>
      <c r="AP345" s="7" t="str">
        <f>IF('Database MK'!HW346="","Belum",'Database MK'!HU346-'Database MK'!HW346)</f>
        <v>Belum</v>
      </c>
    </row>
    <row r="346" spans="2:42" hidden="1" x14ac:dyDescent="0.25">
      <c r="B346" s="7">
        <f>SUBTOTAL(3,$C$4:C346)</f>
        <v>74</v>
      </c>
      <c r="C346" s="269" t="s">
        <v>244</v>
      </c>
      <c r="D346" s="269" t="s">
        <v>2782</v>
      </c>
      <c r="E346" s="4" t="s">
        <v>2783</v>
      </c>
      <c r="F346" s="270">
        <v>46296</v>
      </c>
      <c r="G346" s="4" t="s">
        <v>247</v>
      </c>
      <c r="H346" s="4" t="str">
        <f ca="1">'Database MK'!Q347</f>
        <v>Proses MOS</v>
      </c>
      <c r="I346" s="24">
        <f>'Database MK'!S347</f>
        <v>0.65938280301251961</v>
      </c>
      <c r="J346" s="24">
        <f>'Database MK'!T347</f>
        <v>7.0282360733240914E-2</v>
      </c>
      <c r="K346" s="571">
        <f>'Database MK'!U347</f>
        <v>-0.58910044227927871</v>
      </c>
      <c r="L346" s="561">
        <f>'Database MK'!V347</f>
        <v>0</v>
      </c>
      <c r="M346" s="561">
        <f>'Database MK'!W347</f>
        <v>0</v>
      </c>
      <c r="N346" s="561">
        <f>Table3[[#This Row],[Total Panjang Pipa Aktual]]-Table3[[#This Row],[Volume
BA MC-0]]</f>
        <v>0</v>
      </c>
      <c r="O346" s="7" t="str">
        <f ca="1">'Database MK'!DE347</f>
        <v>Sudah, Delay</v>
      </c>
      <c r="P346" s="7" t="str">
        <f ca="1">'Database MK'!DI347</f>
        <v>Sudah, Delay</v>
      </c>
      <c r="Q346" s="7" t="str">
        <f ca="1">'Database MK'!DN347</f>
        <v>Sudah, Delay</v>
      </c>
      <c r="R346" s="7" t="str">
        <f ca="1">'Database MK'!DR347</f>
        <v>Sudah, Delay</v>
      </c>
      <c r="S346" s="7" t="str">
        <f ca="1">'Database MK'!EA347</f>
        <v>Sudah, Delay</v>
      </c>
      <c r="T346" s="7" t="str">
        <f ca="1">'Database MK'!EI347</f>
        <v>Belum, Delay</v>
      </c>
      <c r="U346" s="7" t="str">
        <f ca="1">'Database MK'!ET347</f>
        <v>Belum, Delay</v>
      </c>
      <c r="V346" s="7" t="str">
        <f ca="1">'Database MK'!GA347</f>
        <v>Sudah, Delay</v>
      </c>
      <c r="W346" s="7" t="str">
        <f ca="1">'Database MK'!GD347</f>
        <v>Belum, Delay</v>
      </c>
      <c r="X346" s="7" t="str">
        <f ca="1">'Database MK'!GG347</f>
        <v>Belum, Delay</v>
      </c>
      <c r="Y346" s="7" t="str">
        <f ca="1">'Database MK'!GK347</f>
        <v>Belum, Delay</v>
      </c>
      <c r="Z346" s="7" t="str">
        <f ca="1">'Database MK'!HH347</f>
        <v>Belum, OnSchedule</v>
      </c>
      <c r="AA346" s="7" t="str">
        <f ca="1">'Database MK'!HR347</f>
        <v>Belum, OnSchedule</v>
      </c>
      <c r="AB346" s="7" t="str">
        <f ca="1">'Database MK'!HX347</f>
        <v>Belum, OnSchedule</v>
      </c>
      <c r="AC346" s="7">
        <f>'Database MK'!DA347-'Database MK'!DB347</f>
        <v>-113</v>
      </c>
      <c r="AD346" s="7">
        <f>'Database MK'!DA347-'Database MK'!DF347</f>
        <v>-123</v>
      </c>
      <c r="AE346" s="7">
        <f>'Database MK'!DK347-'Database MK'!DL347</f>
        <v>-14</v>
      </c>
      <c r="AF346" s="7">
        <f>'Database MK'!DK347-'Database MK'!DO347</f>
        <v>-54</v>
      </c>
      <c r="AG346" s="7">
        <f>'Database MK'!DU347-'Database MK'!DW347</f>
        <v>-81</v>
      </c>
      <c r="AH346" s="7" t="str">
        <f>IF('Database MK'!EB347="","Belum",'Database MK'!DU347-'Database MK'!EB347)</f>
        <v>Belum</v>
      </c>
      <c r="AI346" s="7" t="str">
        <f>IF('Database MK'!EN347="","Belum",'Database MK'!EL347-'Database MK'!EN347)</f>
        <v>Belum</v>
      </c>
      <c r="AJ346" s="7" t="e">
        <f>'Database MK'!FY347-'Database MK'!FZ347</f>
        <v>#VALUE!</v>
      </c>
      <c r="AK346" s="7" t="str">
        <f>IF('Database MK'!GC347="","Belum",'Database MK'!GB347-'Database MK'!GC347)</f>
        <v>Belum</v>
      </c>
      <c r="AL346" s="7" t="str">
        <f>IF('Database MK'!GF347="","Belum",'Database MK'!GE347-'Database MK'!GF347)</f>
        <v>Belum</v>
      </c>
      <c r="AM346" s="279" t="str">
        <f>IF('Database MK'!GJ347="","Belum",'Database MK'!GI347-'Database MK'!GJ347)</f>
        <v>Belum</v>
      </c>
      <c r="AN346" s="7" t="str">
        <f>IF('Database MK'!HG347="","Belum",'Database MK'!HF347-'Database MK'!HG347)</f>
        <v>Belum</v>
      </c>
      <c r="AO346" s="7" t="str">
        <f>IF('Database MK'!HQ347="","Belum",'Database MK'!HN347-'Database MK'!HQ347)</f>
        <v>Belum</v>
      </c>
      <c r="AP346" s="7" t="str">
        <f>IF('Database MK'!HW347="","Belum",'Database MK'!HU347-'Database MK'!HW347)</f>
        <v>Belum</v>
      </c>
    </row>
    <row r="347" spans="2:42" hidden="1" x14ac:dyDescent="0.25">
      <c r="B347" s="7">
        <f>SUBTOTAL(3,$C$4:C347)</f>
        <v>74</v>
      </c>
      <c r="C347" s="269" t="s">
        <v>244</v>
      </c>
      <c r="D347" s="269" t="s">
        <v>2790</v>
      </c>
      <c r="E347" s="4" t="s">
        <v>2791</v>
      </c>
      <c r="F347" s="270">
        <v>46296</v>
      </c>
      <c r="G347" s="4" t="s">
        <v>247</v>
      </c>
      <c r="H347" s="4" t="str">
        <f ca="1">'Database MK'!Q348</f>
        <v>Proses MOS</v>
      </c>
      <c r="I347" s="24">
        <f>'Database MK'!S348</f>
        <v>0.63098598174765042</v>
      </c>
      <c r="J347" s="24">
        <f>'Database MK'!T348</f>
        <v>4.6577953502206303E-2</v>
      </c>
      <c r="K347" s="571">
        <f>'Database MK'!U348</f>
        <v>-0.58440802824544413</v>
      </c>
      <c r="L347" s="561">
        <f>'Database MK'!V348</f>
        <v>0</v>
      </c>
      <c r="M347" s="561">
        <f>'Database MK'!W348</f>
        <v>0</v>
      </c>
      <c r="N347" s="561">
        <f>Table3[[#This Row],[Total Panjang Pipa Aktual]]-Table3[[#This Row],[Volume
BA MC-0]]</f>
        <v>0</v>
      </c>
      <c r="O347" s="7" t="str">
        <f ca="1">'Database MK'!DE348</f>
        <v>Sudah, Delay</v>
      </c>
      <c r="P347" s="7" t="str">
        <f ca="1">'Database MK'!DI348</f>
        <v>Sudah, Delay</v>
      </c>
      <c r="Q347" s="7" t="str">
        <f ca="1">'Database MK'!DN348</f>
        <v>Sudah, Delay</v>
      </c>
      <c r="R347" s="7" t="str">
        <f ca="1">'Database MK'!DR348</f>
        <v>Sudah, Delay</v>
      </c>
      <c r="S347" s="7" t="str">
        <f ca="1">'Database MK'!EA348</f>
        <v>Sudah, Delay</v>
      </c>
      <c r="T347" s="7" t="str">
        <f ca="1">'Database MK'!EI348</f>
        <v>Belum, Delay</v>
      </c>
      <c r="U347" s="7" t="str">
        <f ca="1">'Database MK'!ET348</f>
        <v>Belum, Delay</v>
      </c>
      <c r="V347" s="7" t="str">
        <f ca="1">'Database MK'!GA348</f>
        <v>Sudah, Delay</v>
      </c>
      <c r="W347" s="7" t="str">
        <f ca="1">'Database MK'!GD348</f>
        <v>Belum, Delay</v>
      </c>
      <c r="X347" s="7" t="str">
        <f ca="1">'Database MK'!GG348</f>
        <v>Belum, Delay</v>
      </c>
      <c r="Y347" s="7" t="str">
        <f ca="1">'Database MK'!GK348</f>
        <v>Belum, Delay</v>
      </c>
      <c r="Z347" s="7" t="str">
        <f ca="1">'Database MK'!HH348</f>
        <v>Belum, OnSchedule</v>
      </c>
      <c r="AA347" s="7" t="str">
        <f ca="1">'Database MK'!HR348</f>
        <v>Belum, OnSchedule</v>
      </c>
      <c r="AB347" s="7" t="str">
        <f ca="1">'Database MK'!HX348</f>
        <v>Belum, OnSchedule</v>
      </c>
      <c r="AC347" s="7">
        <f>'Database MK'!DA348-'Database MK'!DB348</f>
        <v>-113</v>
      </c>
      <c r="AD347" s="7">
        <f>'Database MK'!DA348-'Database MK'!DF348</f>
        <v>-128</v>
      </c>
      <c r="AE347" s="7">
        <f>'Database MK'!DK348-'Database MK'!DL348</f>
        <v>-11</v>
      </c>
      <c r="AF347" s="7">
        <f>'Database MK'!DK348-'Database MK'!DO348</f>
        <v>-54</v>
      </c>
      <c r="AG347" s="7">
        <f>'Database MK'!DU348-'Database MK'!DW348</f>
        <v>-109</v>
      </c>
      <c r="AH347" s="7" t="str">
        <f>IF('Database MK'!EB348="","Belum",'Database MK'!DU348-'Database MK'!EB348)</f>
        <v>Belum</v>
      </c>
      <c r="AI347" s="7" t="str">
        <f>IF('Database MK'!EN348="","Belum",'Database MK'!EL348-'Database MK'!EN348)</f>
        <v>Belum</v>
      </c>
      <c r="AJ347" s="7" t="e">
        <f>'Database MK'!FY348-'Database MK'!FZ348</f>
        <v>#VALUE!</v>
      </c>
      <c r="AK347" s="7" t="str">
        <f>IF('Database MK'!GC348="","Belum",'Database MK'!GB348-'Database MK'!GC348)</f>
        <v>Belum</v>
      </c>
      <c r="AL347" s="7" t="str">
        <f>IF('Database MK'!GF348="","Belum",'Database MK'!GE348-'Database MK'!GF348)</f>
        <v>Belum</v>
      </c>
      <c r="AM347" s="279" t="str">
        <f>IF('Database MK'!GJ348="","Belum",'Database MK'!GI348-'Database MK'!GJ348)</f>
        <v>Belum</v>
      </c>
      <c r="AN347" s="7" t="str">
        <f>IF('Database MK'!HG348="","Belum",'Database MK'!HF348-'Database MK'!HG348)</f>
        <v>Belum</v>
      </c>
      <c r="AO347" s="7" t="str">
        <f>IF('Database MK'!HQ348="","Belum",'Database MK'!HN348-'Database MK'!HQ348)</f>
        <v>Belum</v>
      </c>
      <c r="AP347" s="7" t="str">
        <f>IF('Database MK'!HW348="","Belum",'Database MK'!HU348-'Database MK'!HW348)</f>
        <v>Belum</v>
      </c>
    </row>
    <row r="348" spans="2:42" hidden="1" x14ac:dyDescent="0.25">
      <c r="B348" s="7">
        <f>SUBTOTAL(3,$C$4:C348)</f>
        <v>74</v>
      </c>
      <c r="C348" s="269" t="s">
        <v>244</v>
      </c>
      <c r="D348" s="269" t="s">
        <v>2797</v>
      </c>
      <c r="E348" s="4" t="s">
        <v>2798</v>
      </c>
      <c r="F348" s="270">
        <v>46296</v>
      </c>
      <c r="G348" s="4" t="s">
        <v>247</v>
      </c>
      <c r="H348" s="4" t="str">
        <f ca="1">'Database MK'!Q349</f>
        <v>Proses MOS</v>
      </c>
      <c r="I348" s="24">
        <f>'Database MK'!S349</f>
        <v>0.69177470740482172</v>
      </c>
      <c r="J348" s="24">
        <f>'Database MK'!T349</f>
        <v>6.9696502888516892E-2</v>
      </c>
      <c r="K348" s="571">
        <f>'Database MK'!U349</f>
        <v>-0.6220782045163048</v>
      </c>
      <c r="L348" s="561">
        <f>'Database MK'!V349</f>
        <v>0</v>
      </c>
      <c r="M348" s="561">
        <f>'Database MK'!W349</f>
        <v>0</v>
      </c>
      <c r="N348" s="561">
        <f>Table3[[#This Row],[Total Panjang Pipa Aktual]]-Table3[[#This Row],[Volume
BA MC-0]]</f>
        <v>0</v>
      </c>
      <c r="O348" s="7" t="str">
        <f ca="1">'Database MK'!DE349</f>
        <v>Sudah, Delay</v>
      </c>
      <c r="P348" s="7" t="str">
        <f ca="1">'Database MK'!DI349</f>
        <v>Sudah, Delay</v>
      </c>
      <c r="Q348" s="7" t="str">
        <f ca="1">'Database MK'!DN349</f>
        <v>Sudah, Delay</v>
      </c>
      <c r="R348" s="7" t="str">
        <f ca="1">'Database MK'!DR349</f>
        <v>Sudah, Delay</v>
      </c>
      <c r="S348" s="7" t="str">
        <f ca="1">'Database MK'!EA349</f>
        <v>Sudah, Delay</v>
      </c>
      <c r="T348" s="7" t="str">
        <f ca="1">'Database MK'!EI349</f>
        <v>Belum, Delay</v>
      </c>
      <c r="U348" s="7" t="str">
        <f ca="1">'Database MK'!ET349</f>
        <v>Belum, Delay</v>
      </c>
      <c r="V348" s="7" t="str">
        <f ca="1">'Database MK'!GA349</f>
        <v>Sudah, Delay</v>
      </c>
      <c r="W348" s="7" t="str">
        <f ca="1">'Database MK'!GD349</f>
        <v>Belum, Delay</v>
      </c>
      <c r="X348" s="7" t="str">
        <f ca="1">'Database MK'!GG349</f>
        <v>Belum, Delay</v>
      </c>
      <c r="Y348" s="7" t="str">
        <f ca="1">'Database MK'!GK349</f>
        <v>Belum, Delay</v>
      </c>
      <c r="Z348" s="7" t="str">
        <f ca="1">'Database MK'!HH349</f>
        <v>Belum, OnSchedule</v>
      </c>
      <c r="AA348" s="7" t="str">
        <f ca="1">'Database MK'!HR349</f>
        <v>Belum, OnSchedule</v>
      </c>
      <c r="AB348" s="7" t="str">
        <f ca="1">'Database MK'!HX349</f>
        <v>Belum, OnSchedule</v>
      </c>
      <c r="AC348" s="7">
        <f>'Database MK'!DA349-'Database MK'!DB349</f>
        <v>-113</v>
      </c>
      <c r="AD348" s="7">
        <f>'Database MK'!DA349-'Database MK'!DF349</f>
        <v>-128</v>
      </c>
      <c r="AE348" s="7">
        <f>'Database MK'!DK349-'Database MK'!DL349</f>
        <v>-15</v>
      </c>
      <c r="AF348" s="7">
        <f>'Database MK'!DK349-'Database MK'!DO349</f>
        <v>-54</v>
      </c>
      <c r="AG348" s="7">
        <f>'Database MK'!DU349-'Database MK'!DW349</f>
        <v>-113</v>
      </c>
      <c r="AH348" s="7" t="str">
        <f>IF('Database MK'!EB349="","Belum",'Database MK'!DU349-'Database MK'!EB349)</f>
        <v>Belum</v>
      </c>
      <c r="AI348" s="7" t="str">
        <f>IF('Database MK'!EN349="","Belum",'Database MK'!EL349-'Database MK'!EN349)</f>
        <v>Belum</v>
      </c>
      <c r="AJ348" s="7" t="e">
        <f>'Database MK'!FY349-'Database MK'!FZ349</f>
        <v>#VALUE!</v>
      </c>
      <c r="AK348" s="7" t="str">
        <f>IF('Database MK'!GC349="","Belum",'Database MK'!GB349-'Database MK'!GC349)</f>
        <v>Belum</v>
      </c>
      <c r="AL348" s="7" t="str">
        <f>IF('Database MK'!GF349="","Belum",'Database MK'!GE349-'Database MK'!GF349)</f>
        <v>Belum</v>
      </c>
      <c r="AM348" s="279" t="str">
        <f>IF('Database MK'!GJ349="","Belum",'Database MK'!GI349-'Database MK'!GJ349)</f>
        <v>Belum</v>
      </c>
      <c r="AN348" s="7" t="str">
        <f>IF('Database MK'!HG349="","Belum",'Database MK'!HF349-'Database MK'!HG349)</f>
        <v>Belum</v>
      </c>
      <c r="AO348" s="7" t="str">
        <f>IF('Database MK'!HQ349="","Belum",'Database MK'!HN349-'Database MK'!HQ349)</f>
        <v>Belum</v>
      </c>
      <c r="AP348" s="7" t="str">
        <f>IF('Database MK'!HW349="","Belum",'Database MK'!HU349-'Database MK'!HW349)</f>
        <v>Belum</v>
      </c>
    </row>
    <row r="349" spans="2:42" hidden="1" x14ac:dyDescent="0.25">
      <c r="B349" s="7">
        <f>SUBTOTAL(3,$C$4:C349)</f>
        <v>74</v>
      </c>
      <c r="C349" s="269" t="s">
        <v>244</v>
      </c>
      <c r="D349" s="269" t="s">
        <v>2805</v>
      </c>
      <c r="E349" s="4" t="s">
        <v>2806</v>
      </c>
      <c r="F349" s="270">
        <v>46296</v>
      </c>
      <c r="G349" s="4" t="s">
        <v>247</v>
      </c>
      <c r="H349" s="4" t="str">
        <f ca="1">'Database MK'!Q350</f>
        <v>Proses MOS</v>
      </c>
      <c r="I349" s="24">
        <f>'Database MK'!S350</f>
        <v>0.66401934107112603</v>
      </c>
      <c r="J349" s="24">
        <f>'Database MK'!T350</f>
        <v>4.5809422753730851E-2</v>
      </c>
      <c r="K349" s="571">
        <f>'Database MK'!U350</f>
        <v>-0.61820991831739514</v>
      </c>
      <c r="L349" s="561">
        <f>'Database MK'!V350</f>
        <v>0</v>
      </c>
      <c r="M349" s="561">
        <f>'Database MK'!W350</f>
        <v>0</v>
      </c>
      <c r="N349" s="561">
        <f>Table3[[#This Row],[Total Panjang Pipa Aktual]]-Table3[[#This Row],[Volume
BA MC-0]]</f>
        <v>0</v>
      </c>
      <c r="O349" s="7" t="str">
        <f ca="1">'Database MK'!DE350</f>
        <v>Sudah, Delay</v>
      </c>
      <c r="P349" s="7" t="str">
        <f ca="1">'Database MK'!DI350</f>
        <v>Sudah, Delay</v>
      </c>
      <c r="Q349" s="7" t="str">
        <f ca="1">'Database MK'!DN350</f>
        <v>Sudah, Delay</v>
      </c>
      <c r="R349" s="7" t="str">
        <f ca="1">'Database MK'!DR350</f>
        <v>Sudah, Delay</v>
      </c>
      <c r="S349" s="7" t="str">
        <f ca="1">'Database MK'!EA350</f>
        <v>Sudah, Delay</v>
      </c>
      <c r="T349" s="7" t="str">
        <f ca="1">'Database MK'!EI350</f>
        <v>Belum, Delay</v>
      </c>
      <c r="U349" s="7" t="str">
        <f ca="1">'Database MK'!ET350</f>
        <v>Belum, Delay</v>
      </c>
      <c r="V349" s="7" t="str">
        <f ca="1">'Database MK'!GA350</f>
        <v>Sudah, Delay</v>
      </c>
      <c r="W349" s="7" t="str">
        <f ca="1">'Database MK'!GD350</f>
        <v>Belum, Delay</v>
      </c>
      <c r="X349" s="7" t="str">
        <f ca="1">'Database MK'!GG350</f>
        <v>Belum, Delay</v>
      </c>
      <c r="Y349" s="7" t="str">
        <f ca="1">'Database MK'!GK350</f>
        <v>Belum, Delay</v>
      </c>
      <c r="Z349" s="7" t="str">
        <f ca="1">'Database MK'!HH350</f>
        <v>Belum, OnSchedule</v>
      </c>
      <c r="AA349" s="7" t="str">
        <f ca="1">'Database MK'!HR350</f>
        <v>Belum, OnSchedule</v>
      </c>
      <c r="AB349" s="7" t="str">
        <f ca="1">'Database MK'!HX350</f>
        <v>Belum, OnSchedule</v>
      </c>
      <c r="AC349" s="7">
        <f>'Database MK'!DA350-'Database MK'!DB350</f>
        <v>-113</v>
      </c>
      <c r="AD349" s="7">
        <f>'Database MK'!DA350-'Database MK'!DF350</f>
        <v>-128</v>
      </c>
      <c r="AE349" s="7">
        <f>'Database MK'!DK350-'Database MK'!DL350</f>
        <v>-15</v>
      </c>
      <c r="AF349" s="7">
        <f>'Database MK'!DK350-'Database MK'!DO350</f>
        <v>-54</v>
      </c>
      <c r="AG349" s="7">
        <f>'Database MK'!DU350-'Database MK'!DW350</f>
        <v>-113</v>
      </c>
      <c r="AH349" s="7" t="str">
        <f>IF('Database MK'!EB350="","Belum",'Database MK'!DU350-'Database MK'!EB350)</f>
        <v>Belum</v>
      </c>
      <c r="AI349" s="7" t="str">
        <f>IF('Database MK'!EN350="","Belum",'Database MK'!EL350-'Database MK'!EN350)</f>
        <v>Belum</v>
      </c>
      <c r="AJ349" s="7" t="e">
        <f>'Database MK'!FY350-'Database MK'!FZ350</f>
        <v>#VALUE!</v>
      </c>
      <c r="AK349" s="7" t="str">
        <f>IF('Database MK'!GC350="","Belum",'Database MK'!GB350-'Database MK'!GC350)</f>
        <v>Belum</v>
      </c>
      <c r="AL349" s="7" t="str">
        <f>IF('Database MK'!GF350="","Belum",'Database MK'!GE350-'Database MK'!GF350)</f>
        <v>Belum</v>
      </c>
      <c r="AM349" s="279" t="str">
        <f>IF('Database MK'!GJ350="","Belum",'Database MK'!GI350-'Database MK'!GJ350)</f>
        <v>Belum</v>
      </c>
      <c r="AN349" s="7" t="str">
        <f>IF('Database MK'!HG350="","Belum",'Database MK'!HF350-'Database MK'!HG350)</f>
        <v>Belum</v>
      </c>
      <c r="AO349" s="7" t="str">
        <f>IF('Database MK'!HQ350="","Belum",'Database MK'!HN350-'Database MK'!HQ350)</f>
        <v>Belum</v>
      </c>
      <c r="AP349" s="7" t="str">
        <f>IF('Database MK'!HW350="","Belum",'Database MK'!HU350-'Database MK'!HW350)</f>
        <v>Belum</v>
      </c>
    </row>
    <row r="350" spans="2:42" hidden="1" x14ac:dyDescent="0.25">
      <c r="B350" s="7">
        <f>SUBTOTAL(3,$C$4:C350)</f>
        <v>74</v>
      </c>
      <c r="C350" s="269" t="s">
        <v>244</v>
      </c>
      <c r="D350" s="269" t="s">
        <v>2813</v>
      </c>
      <c r="E350" s="4" t="s">
        <v>2814</v>
      </c>
      <c r="F350" s="270">
        <v>46296</v>
      </c>
      <c r="G350" s="4" t="s">
        <v>247</v>
      </c>
      <c r="H350" s="4" t="str">
        <f ca="1">'Database MK'!Q351</f>
        <v>Proses MOS</v>
      </c>
      <c r="I350" s="24">
        <f>'Database MK'!S351</f>
        <v>0.70464682947756607</v>
      </c>
      <c r="J350" s="24">
        <f>'Database MK'!T351</f>
        <v>5.260935318980009E-2</v>
      </c>
      <c r="K350" s="571">
        <f>'Database MK'!U351</f>
        <v>-0.65203747628776598</v>
      </c>
      <c r="L350" s="561">
        <f>'Database MK'!V351</f>
        <v>0</v>
      </c>
      <c r="M350" s="561">
        <f>'Database MK'!W351</f>
        <v>0</v>
      </c>
      <c r="N350" s="561">
        <f>Table3[[#This Row],[Total Panjang Pipa Aktual]]-Table3[[#This Row],[Volume
BA MC-0]]</f>
        <v>0</v>
      </c>
      <c r="O350" s="7" t="str">
        <f ca="1">'Database MK'!DE351</f>
        <v>Sudah, Delay</v>
      </c>
      <c r="P350" s="7" t="str">
        <f ca="1">'Database MK'!DI351</f>
        <v>Sudah, Delay</v>
      </c>
      <c r="Q350" s="7" t="str">
        <f ca="1">'Database MK'!DN351</f>
        <v>Sudah, Delay</v>
      </c>
      <c r="R350" s="7" t="str">
        <f ca="1">'Database MK'!DR351</f>
        <v>Sudah, Delay</v>
      </c>
      <c r="S350" s="7" t="str">
        <f ca="1">'Database MK'!EA351</f>
        <v>Sudah, Delay</v>
      </c>
      <c r="T350" s="7" t="str">
        <f ca="1">'Database MK'!EI351</f>
        <v>Belum, Delay</v>
      </c>
      <c r="U350" s="7" t="str">
        <f ca="1">'Database MK'!ET351</f>
        <v>Belum, Delay</v>
      </c>
      <c r="V350" s="7" t="str">
        <f ca="1">'Database MK'!GA351</f>
        <v>Sudah, Delay</v>
      </c>
      <c r="W350" s="7" t="str">
        <f ca="1">'Database MK'!GD351</f>
        <v>Belum, Delay</v>
      </c>
      <c r="X350" s="7" t="str">
        <f ca="1">'Database MK'!GG351</f>
        <v>Belum, Delay</v>
      </c>
      <c r="Y350" s="7" t="str">
        <f ca="1">'Database MK'!GK351</f>
        <v>Belum, Delay</v>
      </c>
      <c r="Z350" s="7" t="str">
        <f ca="1">'Database MK'!HH351</f>
        <v>Belum, OnSchedule</v>
      </c>
      <c r="AA350" s="7" t="str">
        <f ca="1">'Database MK'!HR351</f>
        <v>Belum, OnSchedule</v>
      </c>
      <c r="AB350" s="7" t="str">
        <f ca="1">'Database MK'!HX351</f>
        <v>Belum, OnSchedule</v>
      </c>
      <c r="AC350" s="7">
        <f>'Database MK'!DA351-'Database MK'!DB351</f>
        <v>-113</v>
      </c>
      <c r="AD350" s="7">
        <f>'Database MK'!DA351-'Database MK'!DF351</f>
        <v>-128</v>
      </c>
      <c r="AE350" s="7">
        <f>'Database MK'!DK351-'Database MK'!DL351</f>
        <v>-30.766273148146865</v>
      </c>
      <c r="AF350" s="7">
        <f>'Database MK'!DK351-'Database MK'!DO351</f>
        <v>-54</v>
      </c>
      <c r="AG350" s="7">
        <f>'Database MK'!DU351-'Database MK'!DW351</f>
        <v>-128</v>
      </c>
      <c r="AH350" s="7" t="str">
        <f>IF('Database MK'!EB351="","Belum",'Database MK'!DU351-'Database MK'!EB351)</f>
        <v>Belum</v>
      </c>
      <c r="AI350" s="7" t="str">
        <f>IF('Database MK'!EN351="","Belum",'Database MK'!EL351-'Database MK'!EN351)</f>
        <v>Belum</v>
      </c>
      <c r="AJ350" s="7" t="e">
        <f>'Database MK'!FY351-'Database MK'!FZ351</f>
        <v>#VALUE!</v>
      </c>
      <c r="AK350" s="7" t="str">
        <f>IF('Database MK'!GC351="","Belum",'Database MK'!GB351-'Database MK'!GC351)</f>
        <v>Belum</v>
      </c>
      <c r="AL350" s="7" t="str">
        <f>IF('Database MK'!GF351="","Belum",'Database MK'!GE351-'Database MK'!GF351)</f>
        <v>Belum</v>
      </c>
      <c r="AM350" s="279" t="str">
        <f>IF('Database MK'!GJ351="","Belum",'Database MK'!GI351-'Database MK'!GJ351)</f>
        <v>Belum</v>
      </c>
      <c r="AN350" s="7" t="str">
        <f>IF('Database MK'!HG351="","Belum",'Database MK'!HF351-'Database MK'!HG351)</f>
        <v>Belum</v>
      </c>
      <c r="AO350" s="7" t="str">
        <f>IF('Database MK'!HQ351="","Belum",'Database MK'!HN351-'Database MK'!HQ351)</f>
        <v>Belum</v>
      </c>
      <c r="AP350" s="7" t="str">
        <f>IF('Database MK'!HW351="","Belum",'Database MK'!HU351-'Database MK'!HW351)</f>
        <v>Belum</v>
      </c>
    </row>
    <row r="351" spans="2:42" hidden="1" x14ac:dyDescent="0.25">
      <c r="B351" s="7">
        <f>SUBTOTAL(3,$C$4:C351)</f>
        <v>74</v>
      </c>
      <c r="C351" s="269" t="s">
        <v>244</v>
      </c>
      <c r="D351" s="269" t="s">
        <v>2820</v>
      </c>
      <c r="E351" s="4" t="s">
        <v>2821</v>
      </c>
      <c r="F351" s="270">
        <v>46296</v>
      </c>
      <c r="G351" s="4" t="s">
        <v>247</v>
      </c>
      <c r="H351" s="4" t="str">
        <f ca="1">'Database MK'!Q352</f>
        <v>MC-0</v>
      </c>
      <c r="I351" s="24">
        <f>'Database MK'!S352</f>
        <v>0.99329055046677861</v>
      </c>
      <c r="J351" s="24">
        <f>'Database MK'!T352</f>
        <v>6.5688385579552311E-2</v>
      </c>
      <c r="K351" s="571">
        <f>'Database MK'!U352</f>
        <v>-0.92760216488722635</v>
      </c>
      <c r="L351" s="561">
        <f>'Database MK'!V352</f>
        <v>1074</v>
      </c>
      <c r="M351" s="561">
        <f>'Database MK'!W352</f>
        <v>0</v>
      </c>
      <c r="N351" s="561">
        <f>Table3[[#This Row],[Total Panjang Pipa Aktual]]-Table3[[#This Row],[Volume
BA MC-0]]</f>
        <v>-1074</v>
      </c>
      <c r="O351" s="7" t="str">
        <f ca="1">'Database MK'!DE352</f>
        <v>Sudah, OnSchedule</v>
      </c>
      <c r="P351" s="7" t="str">
        <f ca="1">'Database MK'!DI352</f>
        <v>Sudah, OnSchedule</v>
      </c>
      <c r="Q351" s="7" t="str">
        <f ca="1">'Database MK'!DN352</f>
        <v>Sudah, OnSchedule</v>
      </c>
      <c r="R351" s="7" t="str">
        <f ca="1">'Database MK'!DR352</f>
        <v>Sudah, OnSchedule</v>
      </c>
      <c r="S351" s="7" t="str">
        <f ca="1">'Database MK'!EA352</f>
        <v>Sudah, OnSchedule</v>
      </c>
      <c r="T351" s="7" t="str">
        <f ca="1">'Database MK'!EI352</f>
        <v>Belum, Delay</v>
      </c>
      <c r="U351" s="7" t="str">
        <f ca="1">'Database MK'!ET352</f>
        <v>Belum, Delay</v>
      </c>
      <c r="V351" s="7" t="str">
        <f ca="1">'Database MK'!GA352</f>
        <v>Sudah, OnSchedule</v>
      </c>
      <c r="W351" s="7" t="str">
        <f ca="1">'Database MK'!GD352</f>
        <v>Sudah, Delay</v>
      </c>
      <c r="X351" s="7" t="str">
        <f ca="1">'Database MK'!GG352</f>
        <v>Sudah, OnSchedule</v>
      </c>
      <c r="Y351" s="7" t="str">
        <f ca="1">'Database MK'!GK352</f>
        <v>Sudah, OnSchedule</v>
      </c>
      <c r="Z351" s="7" t="str">
        <f ca="1">'Database MK'!HH352</f>
        <v>Belum, Delay</v>
      </c>
      <c r="AA351" s="7" t="str">
        <f ca="1">'Database MK'!HR352</f>
        <v>Belum, Delay</v>
      </c>
      <c r="AB351" s="7" t="str">
        <f ca="1">'Database MK'!HX352</f>
        <v>Belum, OnSchedule</v>
      </c>
      <c r="AC351" s="7">
        <f>'Database MK'!DA352-'Database MK'!DB352</f>
        <v>101</v>
      </c>
      <c r="AD351" s="7">
        <f>'Database MK'!DA352-'Database MK'!DF352</f>
        <v>90</v>
      </c>
      <c r="AE351" s="7">
        <f>'Database MK'!DK352-'Database MK'!DL352</f>
        <v>60</v>
      </c>
      <c r="AF351" s="7">
        <f>'Database MK'!DK352-'Database MK'!DO352</f>
        <v>23</v>
      </c>
      <c r="AG351" s="7">
        <f>'Database MK'!DU352-'Database MK'!DW352</f>
        <v>39</v>
      </c>
      <c r="AH351" s="7" t="str">
        <f>IF('Database MK'!EB352="","Belum",'Database MK'!DU352-'Database MK'!EB352)</f>
        <v>Belum</v>
      </c>
      <c r="AI351" s="7" t="str">
        <f>IF('Database MK'!EN352="","Belum",'Database MK'!EL352-'Database MK'!EN352)</f>
        <v>Belum</v>
      </c>
      <c r="AJ351" s="7">
        <f>'Database MK'!FY352-'Database MK'!FZ352</f>
        <v>0</v>
      </c>
      <c r="AK351" s="7">
        <f>IF('Database MK'!GC352="","Belum",'Database MK'!GB352-'Database MK'!GC352)</f>
        <v>-7</v>
      </c>
      <c r="AL351" s="7">
        <f>IF('Database MK'!GF352="","Belum",'Database MK'!GE352-'Database MK'!GF352)</f>
        <v>0</v>
      </c>
      <c r="AM351" s="279">
        <f>IF('Database MK'!GJ352="","Belum",'Database MK'!GI352-'Database MK'!GJ352)</f>
        <v>6</v>
      </c>
      <c r="AN351" s="7" t="str">
        <f>IF('Database MK'!HG352="","Belum",'Database MK'!HF352-'Database MK'!HG352)</f>
        <v>Belum</v>
      </c>
      <c r="AO351" s="7" t="str">
        <f>IF('Database MK'!HQ352="","Belum",'Database MK'!HN352-'Database MK'!HQ352)</f>
        <v>Belum</v>
      </c>
      <c r="AP351" s="7" t="str">
        <f>IF('Database MK'!HW352="","Belum",'Database MK'!HU352-'Database MK'!HW352)</f>
        <v>Belum</v>
      </c>
    </row>
    <row r="352" spans="2:42" hidden="1" x14ac:dyDescent="0.25">
      <c r="B352" s="7">
        <f>SUBTOTAL(3,$C$4:C352)</f>
        <v>74</v>
      </c>
      <c r="C352" s="269" t="s">
        <v>244</v>
      </c>
      <c r="D352" s="269" t="s">
        <v>2828</v>
      </c>
      <c r="E352" s="4" t="s">
        <v>2829</v>
      </c>
      <c r="F352" s="270">
        <v>46296</v>
      </c>
      <c r="G352" s="4" t="s">
        <v>247</v>
      </c>
      <c r="H352" s="4" t="str">
        <f ca="1">'Database MK'!Q353</f>
        <v>MC-0</v>
      </c>
      <c r="I352" s="24">
        <f>'Database MK'!S353</f>
        <v>1.0000000000000002</v>
      </c>
      <c r="J352" s="24">
        <f>'Database MK'!T353</f>
        <v>3.7693695404389174E-2</v>
      </c>
      <c r="K352" s="571">
        <f>'Database MK'!U353</f>
        <v>-0.96230630459561106</v>
      </c>
      <c r="L352" s="561">
        <f>'Database MK'!V353</f>
        <v>0</v>
      </c>
      <c r="M352" s="561">
        <f>'Database MK'!W353</f>
        <v>0</v>
      </c>
      <c r="N352" s="561">
        <f>Table3[[#This Row],[Total Panjang Pipa Aktual]]-Table3[[#This Row],[Volume
BA MC-0]]</f>
        <v>0</v>
      </c>
      <c r="O352" s="7" t="str">
        <f ca="1">'Database MK'!DE353</f>
        <v>Sudah, OnSchedule</v>
      </c>
      <c r="P352" s="7" t="str">
        <f ca="1">'Database MK'!DI353</f>
        <v>Sudah, Delay</v>
      </c>
      <c r="Q352" s="7" t="str">
        <f ca="1">'Database MK'!DN353</f>
        <v>Sudah, Delay</v>
      </c>
      <c r="R352" s="7" t="str">
        <f ca="1">'Database MK'!DR353</f>
        <v>Sudah, Delay</v>
      </c>
      <c r="S352" s="7" t="str">
        <f ca="1">'Database MK'!EA353</f>
        <v>Sudah, Delay</v>
      </c>
      <c r="T352" s="7" t="str">
        <f ca="1">'Database MK'!EI353</f>
        <v>Belum, Delay</v>
      </c>
      <c r="U352" s="7" t="str">
        <f ca="1">'Database MK'!ET353</f>
        <v>Belum, Delay</v>
      </c>
      <c r="V352" s="7" t="str">
        <f ca="1">'Database MK'!GA353</f>
        <v>Sudah, OnSchedule</v>
      </c>
      <c r="W352" s="7" t="str">
        <f ca="1">'Database MK'!GD353</f>
        <v>Sudah, Delay</v>
      </c>
      <c r="X352" s="7" t="str">
        <f ca="1">'Database MK'!GG353</f>
        <v>Sudah, Delay</v>
      </c>
      <c r="Y352" s="7" t="str">
        <f ca="1">'Database MK'!GK353</f>
        <v>Sudah, Delay</v>
      </c>
      <c r="Z352" s="7" t="str">
        <f ca="1">'Database MK'!HH353</f>
        <v>Belum, Delay</v>
      </c>
      <c r="AA352" s="7" t="str">
        <f ca="1">'Database MK'!HR353</f>
        <v>Belum, Delay</v>
      </c>
      <c r="AB352" s="7" t="str">
        <f ca="1">'Database MK'!HX353</f>
        <v>Belum, Delay</v>
      </c>
      <c r="AC352" s="7">
        <f>'Database MK'!DA353-'Database MK'!DB353</f>
        <v>6</v>
      </c>
      <c r="AD352" s="7">
        <f>'Database MK'!DA353-'Database MK'!DF353</f>
        <v>-16</v>
      </c>
      <c r="AE352" s="7">
        <f>'Database MK'!DK353-'Database MK'!DL353</f>
        <v>-11</v>
      </c>
      <c r="AF352" s="7">
        <f>'Database MK'!DK353-'Database MK'!DO353</f>
        <v>-94</v>
      </c>
      <c r="AG352" s="7">
        <f>'Database MK'!DU353-'Database MK'!DW353</f>
        <v>-4</v>
      </c>
      <c r="AH352" s="7" t="str">
        <f>IF('Database MK'!EB353="","Belum",'Database MK'!DU353-'Database MK'!EB353)</f>
        <v>Belum</v>
      </c>
      <c r="AI352" s="7" t="str">
        <f>IF('Database MK'!EN353="","Belum",'Database MK'!EL353-'Database MK'!EN353)</f>
        <v>Belum</v>
      </c>
      <c r="AJ352" s="7">
        <f>'Database MK'!FY353-'Database MK'!FZ353</f>
        <v>54</v>
      </c>
      <c r="AK352" s="7">
        <f>IF('Database MK'!GC353="","Belum",'Database MK'!GB353-'Database MK'!GC353)</f>
        <v>-126</v>
      </c>
      <c r="AL352" s="7">
        <f>IF('Database MK'!GF353="","Belum",'Database MK'!GE353-'Database MK'!GF353)</f>
        <v>-119</v>
      </c>
      <c r="AM352" s="279">
        <f>IF('Database MK'!GJ353="","Belum",'Database MK'!GI353-'Database MK'!GJ353)</f>
        <v>-121</v>
      </c>
      <c r="AN352" s="7" t="str">
        <f>IF('Database MK'!HG353="","Belum",'Database MK'!HF353-'Database MK'!HG353)</f>
        <v>Belum</v>
      </c>
      <c r="AO352" s="7" t="str">
        <f>IF('Database MK'!HQ353="","Belum",'Database MK'!HN353-'Database MK'!HQ353)</f>
        <v>Belum</v>
      </c>
      <c r="AP352" s="7" t="str">
        <f>IF('Database MK'!HW353="","Belum",'Database MK'!HU353-'Database MK'!HW353)</f>
        <v>Belum</v>
      </c>
    </row>
    <row r="353" spans="2:42" hidden="1" x14ac:dyDescent="0.25">
      <c r="B353" s="7">
        <f>SUBTOTAL(3,$C$4:C353)</f>
        <v>74</v>
      </c>
      <c r="C353" s="269" t="s">
        <v>244</v>
      </c>
      <c r="D353" s="269" t="s">
        <v>2835</v>
      </c>
      <c r="E353" s="4" t="s">
        <v>2836</v>
      </c>
      <c r="F353" s="270">
        <v>46296</v>
      </c>
      <c r="G353" s="4" t="s">
        <v>247</v>
      </c>
      <c r="H353" s="4" t="str">
        <f ca="1">'Database MK'!Q354</f>
        <v>MC-0</v>
      </c>
      <c r="I353" s="24">
        <f>'Database MK'!S354</f>
        <v>1</v>
      </c>
      <c r="J353" s="24">
        <f>'Database MK'!T354</f>
        <v>4.5675856901957926E-2</v>
      </c>
      <c r="K353" s="571">
        <f>'Database MK'!U354</f>
        <v>-0.95432414309804203</v>
      </c>
      <c r="L353" s="561">
        <f>'Database MK'!V354</f>
        <v>0</v>
      </c>
      <c r="M353" s="561">
        <f>'Database MK'!W354</f>
        <v>0</v>
      </c>
      <c r="N353" s="561">
        <f>Table3[[#This Row],[Total Panjang Pipa Aktual]]-Table3[[#This Row],[Volume
BA MC-0]]</f>
        <v>0</v>
      </c>
      <c r="O353" s="7" t="str">
        <f ca="1">'Database MK'!DE354</f>
        <v>Sudah, OnSchedule</v>
      </c>
      <c r="P353" s="7" t="str">
        <f ca="1">'Database MK'!DI354</f>
        <v>Sudah, Delay</v>
      </c>
      <c r="Q353" s="7" t="str">
        <f ca="1">'Database MK'!DN354</f>
        <v>Sudah, Delay</v>
      </c>
      <c r="R353" s="7" t="str">
        <f ca="1">'Database MK'!DR354</f>
        <v>Sudah, Delay</v>
      </c>
      <c r="S353" s="7" t="str">
        <f ca="1">'Database MK'!EA354</f>
        <v>Sudah, Delay</v>
      </c>
      <c r="T353" s="7" t="str">
        <f ca="1">'Database MK'!EI354</f>
        <v>Belum, Delay</v>
      </c>
      <c r="U353" s="7" t="str">
        <f ca="1">'Database MK'!ET354</f>
        <v>Belum, Delay</v>
      </c>
      <c r="V353" s="7" t="str">
        <f ca="1">'Database MK'!GA354</f>
        <v>Sudah, OnSchedule</v>
      </c>
      <c r="W353" s="7" t="str">
        <f ca="1">'Database MK'!GD354</f>
        <v>Sudah, Delay</v>
      </c>
      <c r="X353" s="7" t="str">
        <f ca="1">'Database MK'!GG354</f>
        <v>Sudah, Delay</v>
      </c>
      <c r="Y353" s="7" t="str">
        <f ca="1">'Database MK'!GK354</f>
        <v>Sudah, Delay</v>
      </c>
      <c r="Z353" s="7" t="str">
        <f ca="1">'Database MK'!HH354</f>
        <v>Belum, Delay</v>
      </c>
      <c r="AA353" s="7" t="str">
        <f ca="1">'Database MK'!HR354</f>
        <v>Belum, Delay</v>
      </c>
      <c r="AB353" s="7" t="str">
        <f ca="1">'Database MK'!HX354</f>
        <v>Belum, Delay</v>
      </c>
      <c r="AC353" s="7">
        <f>'Database MK'!DA354-'Database MK'!DB354</f>
        <v>6</v>
      </c>
      <c r="AD353" s="7">
        <f>'Database MK'!DA354-'Database MK'!DF354</f>
        <v>-1</v>
      </c>
      <c r="AE353" s="7">
        <f>'Database MK'!DK354-'Database MK'!DL354</f>
        <v>-22</v>
      </c>
      <c r="AF353" s="7">
        <f>'Database MK'!DK354-'Database MK'!DO354</f>
        <v>-67.291666666664241</v>
      </c>
      <c r="AG353" s="7">
        <f>'Database MK'!DU354-'Database MK'!DW354</f>
        <v>-43</v>
      </c>
      <c r="AH353" s="7" t="str">
        <f>IF('Database MK'!EB354="","Belum",'Database MK'!DU354-'Database MK'!EB354)</f>
        <v>Belum</v>
      </c>
      <c r="AI353" s="7" t="str">
        <f>IF('Database MK'!EN354="","Belum",'Database MK'!EL354-'Database MK'!EN354)</f>
        <v>Belum</v>
      </c>
      <c r="AJ353" s="7">
        <f>'Database MK'!FY354-'Database MK'!FZ354</f>
        <v>39</v>
      </c>
      <c r="AK353" s="7">
        <f>IF('Database MK'!GC354="","Belum",'Database MK'!GB354-'Database MK'!GC354)</f>
        <v>-98</v>
      </c>
      <c r="AL353" s="7">
        <f>IF('Database MK'!GF354="","Belum",'Database MK'!GE354-'Database MK'!GF354)</f>
        <v>-91</v>
      </c>
      <c r="AM353" s="279">
        <f>IF('Database MK'!GJ354="","Belum",'Database MK'!GI354-'Database MK'!GJ354)</f>
        <v>-93</v>
      </c>
      <c r="AN353" s="7" t="str">
        <f>IF('Database MK'!HG354="","Belum",'Database MK'!HF354-'Database MK'!HG354)</f>
        <v>Belum</v>
      </c>
      <c r="AO353" s="7" t="str">
        <f>IF('Database MK'!HQ354="","Belum",'Database MK'!HN354-'Database MK'!HQ354)</f>
        <v>Belum</v>
      </c>
      <c r="AP353" s="7" t="str">
        <f>IF('Database MK'!HW354="","Belum",'Database MK'!HU354-'Database MK'!HW354)</f>
        <v>Belum</v>
      </c>
    </row>
    <row r="354" spans="2:42" hidden="1" x14ac:dyDescent="0.25">
      <c r="B354" s="7">
        <f>SUBTOTAL(3,$C$4:C354)</f>
        <v>74</v>
      </c>
      <c r="C354" s="269" t="s">
        <v>244</v>
      </c>
      <c r="D354" s="269" t="s">
        <v>2843</v>
      </c>
      <c r="E354" s="4" t="s">
        <v>2844</v>
      </c>
      <c r="F354" s="270">
        <v>46296</v>
      </c>
      <c r="G354" s="4" t="s">
        <v>247</v>
      </c>
      <c r="H354" s="4" t="str">
        <f ca="1">'Database MK'!Q355</f>
        <v>MC-0</v>
      </c>
      <c r="I354" s="24">
        <f>'Database MK'!S355</f>
        <v>0.99999999999999989</v>
      </c>
      <c r="J354" s="24">
        <f>'Database MK'!T355</f>
        <v>5.7841537517054432E-2</v>
      </c>
      <c r="K354" s="571">
        <f>'Database MK'!U355</f>
        <v>-0.94215846248294544</v>
      </c>
      <c r="L354" s="561">
        <f>'Database MK'!V355</f>
        <v>0</v>
      </c>
      <c r="M354" s="561">
        <f>'Database MK'!W355</f>
        <v>0</v>
      </c>
      <c r="N354" s="561">
        <f>Table3[[#This Row],[Total Panjang Pipa Aktual]]-Table3[[#This Row],[Volume
BA MC-0]]</f>
        <v>0</v>
      </c>
      <c r="O354" s="7" t="str">
        <f ca="1">'Database MK'!DE355</f>
        <v>Sudah, OnSchedule</v>
      </c>
      <c r="P354" s="7" t="str">
        <f ca="1">'Database MK'!DI355</f>
        <v>Sudah, Delay</v>
      </c>
      <c r="Q354" s="7" t="str">
        <f ca="1">'Database MK'!DN355</f>
        <v>Sudah, Delay</v>
      </c>
      <c r="R354" s="7" t="str">
        <f ca="1">'Database MK'!DR355</f>
        <v>Sudah, Delay</v>
      </c>
      <c r="S354" s="7" t="str">
        <f ca="1">'Database MK'!EA355</f>
        <v>Sudah, Delay</v>
      </c>
      <c r="T354" s="7" t="str">
        <f ca="1">'Database MK'!EI355</f>
        <v>Belum, Delay</v>
      </c>
      <c r="U354" s="7" t="str">
        <f ca="1">'Database MK'!ET355</f>
        <v>Belum, Delay</v>
      </c>
      <c r="V354" s="7" t="str">
        <f ca="1">'Database MK'!GA355</f>
        <v>Sudah, OnSchedule</v>
      </c>
      <c r="W354" s="7" t="str">
        <f ca="1">'Database MK'!GD355</f>
        <v>Sudah, Delay</v>
      </c>
      <c r="X354" s="7" t="str">
        <f ca="1">'Database MK'!GG355</f>
        <v>Sudah, Delay</v>
      </c>
      <c r="Y354" s="7" t="str">
        <f ca="1">'Database MK'!GK355</f>
        <v>Sudah, Delay</v>
      </c>
      <c r="Z354" s="7" t="str">
        <f ca="1">'Database MK'!HH355</f>
        <v>Belum, Delay</v>
      </c>
      <c r="AA354" s="7" t="str">
        <f ca="1">'Database MK'!HR355</f>
        <v>Belum, Delay</v>
      </c>
      <c r="AB354" s="7" t="str">
        <f ca="1">'Database MK'!HX355</f>
        <v>Belum, Delay</v>
      </c>
      <c r="AC354" s="7">
        <f>'Database MK'!DA355-'Database MK'!DB355</f>
        <v>6</v>
      </c>
      <c r="AD354" s="7">
        <f>'Database MK'!DA355-'Database MK'!DF355</f>
        <v>-1</v>
      </c>
      <c r="AE354" s="7">
        <f>'Database MK'!DK355-'Database MK'!DL355</f>
        <v>-26</v>
      </c>
      <c r="AF354" s="7">
        <f>'Database MK'!DK355-'Database MK'!DO355</f>
        <v>-67.291666666664241</v>
      </c>
      <c r="AG354" s="7">
        <f>'Database MK'!DU355-'Database MK'!DW355</f>
        <v>-47</v>
      </c>
      <c r="AH354" s="7" t="str">
        <f>IF('Database MK'!EB355="","Belum",'Database MK'!DU355-'Database MK'!EB355)</f>
        <v>Belum</v>
      </c>
      <c r="AI354" s="7" t="str">
        <f>IF('Database MK'!EN355="","Belum",'Database MK'!EL355-'Database MK'!EN355)</f>
        <v>Belum</v>
      </c>
      <c r="AJ354" s="7">
        <f>'Database MK'!FY355-'Database MK'!FZ355</f>
        <v>39</v>
      </c>
      <c r="AK354" s="7">
        <f>IF('Database MK'!GC355="","Belum",'Database MK'!GB355-'Database MK'!GC355)</f>
        <v>-92</v>
      </c>
      <c r="AL354" s="7">
        <f>IF('Database MK'!GF355="","Belum",'Database MK'!GE355-'Database MK'!GF355)</f>
        <v>-85</v>
      </c>
      <c r="AM354" s="279">
        <f>IF('Database MK'!GJ355="","Belum",'Database MK'!GI355-'Database MK'!GJ355)</f>
        <v>-78</v>
      </c>
      <c r="AN354" s="7" t="str">
        <f>IF('Database MK'!HG355="","Belum",'Database MK'!HF355-'Database MK'!HG355)</f>
        <v>Belum</v>
      </c>
      <c r="AO354" s="7" t="str">
        <f>IF('Database MK'!HQ355="","Belum",'Database MK'!HN355-'Database MK'!HQ355)</f>
        <v>Belum</v>
      </c>
      <c r="AP354" s="7" t="str">
        <f>IF('Database MK'!HW355="","Belum",'Database MK'!HU355-'Database MK'!HW355)</f>
        <v>Belum</v>
      </c>
    </row>
    <row r="355" spans="2:42" hidden="1" x14ac:dyDescent="0.25">
      <c r="B355" s="7">
        <f>SUBTOTAL(3,$C$4:C355)</f>
        <v>74</v>
      </c>
      <c r="C355" s="269" t="s">
        <v>244</v>
      </c>
      <c r="D355" s="269" t="s">
        <v>2849</v>
      </c>
      <c r="E355" s="4" t="s">
        <v>2850</v>
      </c>
      <c r="F355" s="270">
        <v>46296</v>
      </c>
      <c r="G355" s="4" t="s">
        <v>247</v>
      </c>
      <c r="H355" s="4" t="str">
        <f ca="1">'Database MK'!Q356</f>
        <v>MC-0</v>
      </c>
      <c r="I355" s="24">
        <f>'Database MK'!S356</f>
        <v>0.99999999999999989</v>
      </c>
      <c r="J355" s="24">
        <f>'Database MK'!T356</f>
        <v>5.4254715574814323E-2</v>
      </c>
      <c r="K355" s="571">
        <f>'Database MK'!U356</f>
        <v>-0.94574528442518557</v>
      </c>
      <c r="L355" s="561">
        <f>'Database MK'!V356</f>
        <v>0</v>
      </c>
      <c r="M355" s="561">
        <f>'Database MK'!W356</f>
        <v>0</v>
      </c>
      <c r="N355" s="561">
        <f>Table3[[#This Row],[Total Panjang Pipa Aktual]]-Table3[[#This Row],[Volume
BA MC-0]]</f>
        <v>0</v>
      </c>
      <c r="O355" s="7" t="str">
        <f ca="1">'Database MK'!DE356</f>
        <v>Sudah, Delay</v>
      </c>
      <c r="P355" s="7" t="str">
        <f ca="1">'Database MK'!DI356</f>
        <v>Sudah, Delay</v>
      </c>
      <c r="Q355" s="7" t="str">
        <f ca="1">'Database MK'!DN356</f>
        <v>Sudah, Delay</v>
      </c>
      <c r="R355" s="7" t="str">
        <f ca="1">'Database MK'!DR356</f>
        <v>Sudah, Delay</v>
      </c>
      <c r="S355" s="7" t="str">
        <f ca="1">'Database MK'!EA356</f>
        <v>Sudah, Delay</v>
      </c>
      <c r="T355" s="7" t="str">
        <f ca="1">'Database MK'!EI356</f>
        <v>Belum, Delay</v>
      </c>
      <c r="U355" s="7" t="str">
        <f ca="1">'Database MK'!ET356</f>
        <v>Belum, Delay</v>
      </c>
      <c r="V355" s="7" t="str">
        <f ca="1">'Database MK'!GA356</f>
        <v>Sudah, Delay</v>
      </c>
      <c r="W355" s="7" t="str">
        <f ca="1">'Database MK'!GD356</f>
        <v>Sudah, Delay</v>
      </c>
      <c r="X355" s="7" t="str">
        <f ca="1">'Database MK'!GG356</f>
        <v>Sudah, Delay</v>
      </c>
      <c r="Y355" s="7" t="str">
        <f ca="1">'Database MK'!GK356</f>
        <v>Sudah, Delay</v>
      </c>
      <c r="Z355" s="7" t="str">
        <f ca="1">'Database MK'!HH356</f>
        <v>Belum, Delay</v>
      </c>
      <c r="AA355" s="7" t="str">
        <f ca="1">'Database MK'!HR356</f>
        <v>Belum, Delay</v>
      </c>
      <c r="AB355" s="7" t="str">
        <f ca="1">'Database MK'!HX356</f>
        <v>Belum, Delay</v>
      </c>
      <c r="AC355" s="7">
        <f>'Database MK'!DA356-'Database MK'!DB356</f>
        <v>-43</v>
      </c>
      <c r="AD355" s="7">
        <f>'Database MK'!DA356-'Database MK'!DF356</f>
        <v>-57</v>
      </c>
      <c r="AE355" s="7">
        <f>'Database MK'!DK356-'Database MK'!DL356</f>
        <v>-30</v>
      </c>
      <c r="AF355" s="7">
        <f>'Database MK'!DK356-'Database MK'!DO356</f>
        <v>-67.291666666664241</v>
      </c>
      <c r="AG355" s="7">
        <f>'Database MK'!DU356-'Database MK'!DW356</f>
        <v>-66</v>
      </c>
      <c r="AH355" s="7" t="str">
        <f>IF('Database MK'!EB356="","Belum",'Database MK'!DU356-'Database MK'!EB356)</f>
        <v>Belum</v>
      </c>
      <c r="AI355" s="7" t="str">
        <f>IF('Database MK'!EN356="","Belum",'Database MK'!EL356-'Database MK'!EN356)</f>
        <v>Belum</v>
      </c>
      <c r="AJ355" s="7">
        <f>'Database MK'!FY356-'Database MK'!FZ356</f>
        <v>-44</v>
      </c>
      <c r="AK355" s="7">
        <f>IF('Database MK'!GC356="","Belum",'Database MK'!GB356-'Database MK'!GC356)</f>
        <v>-92</v>
      </c>
      <c r="AL355" s="7">
        <f>IF('Database MK'!GF356="","Belum",'Database MK'!GE356-'Database MK'!GF356)</f>
        <v>-85</v>
      </c>
      <c r="AM355" s="279">
        <f>IF('Database MK'!GJ356="","Belum",'Database MK'!GI356-'Database MK'!GJ356)</f>
        <v>-87</v>
      </c>
      <c r="AN355" s="7" t="str">
        <f>IF('Database MK'!HG356="","Belum",'Database MK'!HF356-'Database MK'!HG356)</f>
        <v>Belum</v>
      </c>
      <c r="AO355" s="7" t="str">
        <f>IF('Database MK'!HQ356="","Belum",'Database MK'!HN356-'Database MK'!HQ356)</f>
        <v>Belum</v>
      </c>
      <c r="AP355" s="7" t="str">
        <f>IF('Database MK'!HW356="","Belum",'Database MK'!HU356-'Database MK'!HW356)</f>
        <v>Belum</v>
      </c>
    </row>
    <row r="356" spans="2:42" hidden="1" x14ac:dyDescent="0.25">
      <c r="B356" s="7">
        <f>SUBTOTAL(3,$C$4:C356)</f>
        <v>74</v>
      </c>
      <c r="C356" s="269" t="s">
        <v>244</v>
      </c>
      <c r="D356" s="269" t="s">
        <v>2855</v>
      </c>
      <c r="E356" s="4" t="s">
        <v>2856</v>
      </c>
      <c r="F356" s="270">
        <v>46296</v>
      </c>
      <c r="G356" s="4" t="s">
        <v>247</v>
      </c>
      <c r="H356" s="4" t="str">
        <f ca="1">'Database MK'!Q357</f>
        <v>MC-0</v>
      </c>
      <c r="I356" s="24">
        <f>'Database MK'!S357</f>
        <v>1</v>
      </c>
      <c r="J356" s="24">
        <f>'Database MK'!T357</f>
        <v>7.3630365127859906E-2</v>
      </c>
      <c r="K356" s="571">
        <f>'Database MK'!U357</f>
        <v>-0.92636963487214008</v>
      </c>
      <c r="L356" s="561">
        <f>'Database MK'!V357</f>
        <v>1681.3</v>
      </c>
      <c r="M356" s="561">
        <f>'Database MK'!W357</f>
        <v>0</v>
      </c>
      <c r="N356" s="561">
        <f>Table3[[#This Row],[Total Panjang Pipa Aktual]]-Table3[[#This Row],[Volume
BA MC-0]]</f>
        <v>-1681.3</v>
      </c>
      <c r="O356" s="7" t="str">
        <f ca="1">'Database MK'!DE357</f>
        <v>Sudah, Delay</v>
      </c>
      <c r="P356" s="7" t="str">
        <f ca="1">'Database MK'!DI357</f>
        <v>Sudah, Delay</v>
      </c>
      <c r="Q356" s="7" t="str">
        <f ca="1">'Database MK'!DN357</f>
        <v>Sudah, Delay</v>
      </c>
      <c r="R356" s="7" t="str">
        <f ca="1">'Database MK'!DR357</f>
        <v>Sudah, Delay</v>
      </c>
      <c r="S356" s="7" t="str">
        <f ca="1">'Database MK'!EA357</f>
        <v>Sudah, Delay</v>
      </c>
      <c r="T356" s="7" t="str">
        <f ca="1">'Database MK'!EI357</f>
        <v>Belum, Delay</v>
      </c>
      <c r="U356" s="7" t="str">
        <f ca="1">'Database MK'!ET357</f>
        <v>Belum, Delay</v>
      </c>
      <c r="V356" s="7" t="str">
        <f ca="1">'Database MK'!GA357</f>
        <v>Sudah, Delay</v>
      </c>
      <c r="W356" s="7" t="str">
        <f ca="1">'Database MK'!GD357</f>
        <v>Sudah, Delay</v>
      </c>
      <c r="X356" s="7" t="str">
        <f ca="1">'Database MK'!GG357</f>
        <v>Sudah, Delay</v>
      </c>
      <c r="Y356" s="7" t="str">
        <f ca="1">'Database MK'!GK357</f>
        <v>Sudah, Delay</v>
      </c>
      <c r="Z356" s="7" t="str">
        <f ca="1">'Database MK'!HH357</f>
        <v>Belum, Delay</v>
      </c>
      <c r="AA356" s="7" t="str">
        <f ca="1">'Database MK'!HR357</f>
        <v>Belum, Delay</v>
      </c>
      <c r="AB356" s="7" t="str">
        <f ca="1">'Database MK'!HX357</f>
        <v>Belum, Delay</v>
      </c>
      <c r="AC356" s="7">
        <f>'Database MK'!DA357-'Database MK'!DB357</f>
        <v>-43</v>
      </c>
      <c r="AD356" s="7">
        <f>'Database MK'!DA357-'Database MK'!DF357</f>
        <v>-57</v>
      </c>
      <c r="AE356" s="7">
        <f>'Database MK'!DK357-'Database MK'!DL357</f>
        <v>-31</v>
      </c>
      <c r="AF356" s="7">
        <f>'Database MK'!DK357-'Database MK'!DO357</f>
        <v>-66</v>
      </c>
      <c r="AG356" s="7">
        <f>'Database MK'!DU357-'Database MK'!DW357</f>
        <v>-52</v>
      </c>
      <c r="AH356" s="7" t="str">
        <f>IF('Database MK'!EB357="","Belum",'Database MK'!DU357-'Database MK'!EB357)</f>
        <v>Belum</v>
      </c>
      <c r="AI356" s="7" t="str">
        <f>IF('Database MK'!EN357="","Belum",'Database MK'!EL357-'Database MK'!EN357)</f>
        <v>Belum</v>
      </c>
      <c r="AJ356" s="7">
        <f>'Database MK'!FY357-'Database MK'!FZ357</f>
        <v>-44</v>
      </c>
      <c r="AK356" s="7">
        <f>IF('Database MK'!GC357="","Belum",'Database MK'!GB357-'Database MK'!GC357)</f>
        <v>-93</v>
      </c>
      <c r="AL356" s="7">
        <f>IF('Database MK'!GF357="","Belum",'Database MK'!GE357-'Database MK'!GF357)</f>
        <v>-86</v>
      </c>
      <c r="AM356" s="279">
        <f>IF('Database MK'!GJ357="","Belum",'Database MK'!GI357-'Database MK'!GJ357)</f>
        <v>-79</v>
      </c>
      <c r="AN356" s="7" t="str">
        <f>IF('Database MK'!HG357="","Belum",'Database MK'!HF357-'Database MK'!HG357)</f>
        <v>Belum</v>
      </c>
      <c r="AO356" s="7" t="str">
        <f>IF('Database MK'!HQ357="","Belum",'Database MK'!HN357-'Database MK'!HQ357)</f>
        <v>Belum</v>
      </c>
      <c r="AP356" s="7" t="str">
        <f>IF('Database MK'!HW357="","Belum",'Database MK'!HU357-'Database MK'!HW357)</f>
        <v>Belum</v>
      </c>
    </row>
    <row r="357" spans="2:42" hidden="1" x14ac:dyDescent="0.25">
      <c r="B357" s="7">
        <f>SUBTOTAL(3,$C$4:C357)</f>
        <v>74</v>
      </c>
      <c r="C357" s="269" t="s">
        <v>244</v>
      </c>
      <c r="D357" s="269" t="s">
        <v>2862</v>
      </c>
      <c r="E357" s="4" t="s">
        <v>2863</v>
      </c>
      <c r="F357" s="270">
        <v>46296</v>
      </c>
      <c r="G357" s="4" t="s">
        <v>247</v>
      </c>
      <c r="H357" s="4" t="str">
        <f ca="1">'Database MK'!Q358</f>
        <v>MC-0</v>
      </c>
      <c r="I357" s="24">
        <f>'Database MK'!S358</f>
        <v>1</v>
      </c>
      <c r="J357" s="24">
        <f>'Database MK'!T358</f>
        <v>4.8743133978417792E-2</v>
      </c>
      <c r="K357" s="571">
        <f>'Database MK'!U358</f>
        <v>-0.95125686602158221</v>
      </c>
      <c r="L357" s="561">
        <f>'Database MK'!V358</f>
        <v>659.5</v>
      </c>
      <c r="M357" s="561">
        <f>'Database MK'!W358</f>
        <v>0</v>
      </c>
      <c r="N357" s="561">
        <f>Table3[[#This Row],[Total Panjang Pipa Aktual]]-Table3[[#This Row],[Volume
BA MC-0]]</f>
        <v>-659.5</v>
      </c>
      <c r="O357" s="7" t="str">
        <f ca="1">'Database MK'!DE358</f>
        <v>Sudah, Delay</v>
      </c>
      <c r="P357" s="7" t="str">
        <f ca="1">'Database MK'!DI358</f>
        <v>Sudah, Delay</v>
      </c>
      <c r="Q357" s="7" t="str">
        <f ca="1">'Database MK'!DN358</f>
        <v>Sudah, Delay</v>
      </c>
      <c r="R357" s="7" t="str">
        <f ca="1">'Database MK'!DR358</f>
        <v>Sudah, Delay</v>
      </c>
      <c r="S357" s="7" t="str">
        <f ca="1">'Database MK'!EA358</f>
        <v>Sudah, Delay</v>
      </c>
      <c r="T357" s="7" t="str">
        <f ca="1">'Database MK'!EI358</f>
        <v>Belum, Delay</v>
      </c>
      <c r="U357" s="7" t="str">
        <f ca="1">'Database MK'!ET358</f>
        <v>Belum, Delay</v>
      </c>
      <c r="V357" s="7" t="str">
        <f ca="1">'Database MK'!GA358</f>
        <v>Sudah, Delay</v>
      </c>
      <c r="W357" s="7" t="str">
        <f ca="1">'Database MK'!GD358</f>
        <v>Sudah, Delay</v>
      </c>
      <c r="X357" s="7" t="str">
        <f ca="1">'Database MK'!GG358</f>
        <v>Sudah, Delay</v>
      </c>
      <c r="Y357" s="7" t="str">
        <f ca="1">'Database MK'!GK358</f>
        <v>Sudah, Delay</v>
      </c>
      <c r="Z357" s="7" t="str">
        <f ca="1">'Database MK'!HH358</f>
        <v>Belum, Delay</v>
      </c>
      <c r="AA357" s="7" t="str">
        <f ca="1">'Database MK'!HR358</f>
        <v>Belum, Delay</v>
      </c>
      <c r="AB357" s="7" t="str">
        <f ca="1">'Database MK'!HX358</f>
        <v>Belum, Delay</v>
      </c>
      <c r="AC357" s="7">
        <f>'Database MK'!DA358-'Database MK'!DB358</f>
        <v>-43</v>
      </c>
      <c r="AD357" s="7">
        <f>'Database MK'!DA358-'Database MK'!DF358</f>
        <v>-72</v>
      </c>
      <c r="AE357" s="7">
        <f>'Database MK'!DK358-'Database MK'!DL358</f>
        <v>-43</v>
      </c>
      <c r="AF357" s="7">
        <f>'Database MK'!DK358-'Database MK'!DO358</f>
        <v>-66</v>
      </c>
      <c r="AG357" s="7">
        <f>'Database MK'!DU358-'Database MK'!DW358</f>
        <v>-64</v>
      </c>
      <c r="AH357" s="7" t="str">
        <f>IF('Database MK'!EB358="","Belum",'Database MK'!DU358-'Database MK'!EB358)</f>
        <v>Belum</v>
      </c>
      <c r="AI357" s="7" t="str">
        <f>IF('Database MK'!EN358="","Belum",'Database MK'!EL358-'Database MK'!EN358)</f>
        <v>Belum</v>
      </c>
      <c r="AJ357" s="7">
        <f>'Database MK'!FY358-'Database MK'!FZ358</f>
        <v>-44</v>
      </c>
      <c r="AK357" s="7">
        <f>IF('Database MK'!GC358="","Belum",'Database MK'!GB358-'Database MK'!GC358)</f>
        <v>-93</v>
      </c>
      <c r="AL357" s="7">
        <f>IF('Database MK'!GF358="","Belum",'Database MK'!GE358-'Database MK'!GF358)</f>
        <v>-86</v>
      </c>
      <c r="AM357" s="279">
        <f>IF('Database MK'!GJ358="","Belum",'Database MK'!GI358-'Database MK'!GJ358)</f>
        <v>-79</v>
      </c>
      <c r="AN357" s="7" t="str">
        <f>IF('Database MK'!HG358="","Belum",'Database MK'!HF358-'Database MK'!HG358)</f>
        <v>Belum</v>
      </c>
      <c r="AO357" s="7" t="str">
        <f>IF('Database MK'!HQ358="","Belum",'Database MK'!HN358-'Database MK'!HQ358)</f>
        <v>Belum</v>
      </c>
      <c r="AP357" s="7" t="str">
        <f>IF('Database MK'!HW358="","Belum",'Database MK'!HU358-'Database MK'!HW358)</f>
        <v>Belum</v>
      </c>
    </row>
    <row r="358" spans="2:42" hidden="1" x14ac:dyDescent="0.25">
      <c r="B358" s="7">
        <f>SUBTOTAL(3,$C$4:C358)</f>
        <v>74</v>
      </c>
      <c r="C358" s="269" t="s">
        <v>244</v>
      </c>
      <c r="D358" s="269" t="s">
        <v>2869</v>
      </c>
      <c r="E358" s="4" t="s">
        <v>2870</v>
      </c>
      <c r="F358" s="270">
        <v>46296</v>
      </c>
      <c r="G358" s="4" t="s">
        <v>247</v>
      </c>
      <c r="H358" s="4" t="str">
        <f ca="1">'Database MK'!Q359</f>
        <v>MC-0</v>
      </c>
      <c r="I358" s="24">
        <f>'Database MK'!S359</f>
        <v>1</v>
      </c>
      <c r="J358" s="24">
        <f>'Database MK'!T359</f>
        <v>5.3324955065416353E-2</v>
      </c>
      <c r="K358" s="571">
        <f>'Database MK'!U359</f>
        <v>-0.94667504493458365</v>
      </c>
      <c r="L358" s="561">
        <f>'Database MK'!V359</f>
        <v>1800</v>
      </c>
      <c r="M358" s="561">
        <f>'Database MK'!W359</f>
        <v>0</v>
      </c>
      <c r="N358" s="561">
        <f>Table3[[#This Row],[Total Panjang Pipa Aktual]]-Table3[[#This Row],[Volume
BA MC-0]]</f>
        <v>-1800</v>
      </c>
      <c r="O358" s="7" t="str">
        <f ca="1">'Database MK'!DE359</f>
        <v>Sudah, Delay</v>
      </c>
      <c r="P358" s="7" t="str">
        <f ca="1">'Database MK'!DI359</f>
        <v>Sudah, Delay</v>
      </c>
      <c r="Q358" s="7" t="str">
        <f ca="1">'Database MK'!DN359</f>
        <v>Sudah, Delay</v>
      </c>
      <c r="R358" s="7" t="str">
        <f ca="1">'Database MK'!DR359</f>
        <v>Sudah, Delay</v>
      </c>
      <c r="S358" s="7" t="str">
        <f ca="1">'Database MK'!EA359</f>
        <v>Sudah, Delay</v>
      </c>
      <c r="T358" s="7" t="str">
        <f ca="1">'Database MK'!EI359</f>
        <v>Belum, Delay</v>
      </c>
      <c r="U358" s="7" t="str">
        <f ca="1">'Database MK'!ET359</f>
        <v>Belum, Delay</v>
      </c>
      <c r="V358" s="7" t="str">
        <f ca="1">'Database MK'!GA359</f>
        <v>Sudah, Delay</v>
      </c>
      <c r="W358" s="7" t="str">
        <f ca="1">'Database MK'!GD359</f>
        <v>Sudah, Delay</v>
      </c>
      <c r="X358" s="7" t="str">
        <f ca="1">'Database MK'!GG359</f>
        <v>Sudah, Delay</v>
      </c>
      <c r="Y358" s="7" t="str">
        <f ca="1">'Database MK'!GK359</f>
        <v>Sudah, Delay</v>
      </c>
      <c r="Z358" s="7" t="str">
        <f ca="1">'Database MK'!HH359</f>
        <v>Belum, Delay</v>
      </c>
      <c r="AA358" s="7" t="str">
        <f ca="1">'Database MK'!HR359</f>
        <v>Belum, Delay</v>
      </c>
      <c r="AB358" s="7" t="str">
        <f ca="1">'Database MK'!HX359</f>
        <v>Belum, Delay</v>
      </c>
      <c r="AC358" s="7">
        <f>'Database MK'!DA359-'Database MK'!DB359</f>
        <v>-64</v>
      </c>
      <c r="AD358" s="7">
        <f>'Database MK'!DA359-'Database MK'!DF359</f>
        <v>-93</v>
      </c>
      <c r="AE358" s="7">
        <f>'Database MK'!DK359-'Database MK'!DL359</f>
        <v>-44</v>
      </c>
      <c r="AF358" s="7">
        <f>'Database MK'!DK359-'Database MK'!DO359</f>
        <v>-67.291666666664241</v>
      </c>
      <c r="AG358" s="7">
        <f>'Database MK'!DU359-'Database MK'!DW359</f>
        <v>-65</v>
      </c>
      <c r="AH358" s="7" t="str">
        <f>IF('Database MK'!EB359="","Belum",'Database MK'!DU359-'Database MK'!EB359)</f>
        <v>Belum</v>
      </c>
      <c r="AI358" s="7" t="str">
        <f>IF('Database MK'!EN359="","Belum",'Database MK'!EL359-'Database MK'!EN359)</f>
        <v>Belum</v>
      </c>
      <c r="AJ358" s="7">
        <f>'Database MK'!FY359-'Database MK'!FZ359</f>
        <v>-44</v>
      </c>
      <c r="AK358" s="7">
        <f>IF('Database MK'!GC359="","Belum",'Database MK'!GB359-'Database MK'!GC359)</f>
        <v>-92</v>
      </c>
      <c r="AL358" s="7">
        <f>IF('Database MK'!GF359="","Belum",'Database MK'!GE359-'Database MK'!GF359)</f>
        <v>-85</v>
      </c>
      <c r="AM358" s="279">
        <f>IF('Database MK'!GJ359="","Belum",'Database MK'!GI359-'Database MK'!GJ359)</f>
        <v>-79</v>
      </c>
      <c r="AN358" s="7" t="str">
        <f>IF('Database MK'!HG359="","Belum",'Database MK'!HF359-'Database MK'!HG359)</f>
        <v>Belum</v>
      </c>
      <c r="AO358" s="7" t="str">
        <f>IF('Database MK'!HQ359="","Belum",'Database MK'!HN359-'Database MK'!HQ359)</f>
        <v>Belum</v>
      </c>
      <c r="AP358" s="7" t="str">
        <f>IF('Database MK'!HW359="","Belum",'Database MK'!HU359-'Database MK'!HW359)</f>
        <v>Belum</v>
      </c>
    </row>
    <row r="359" spans="2:42" hidden="1" x14ac:dyDescent="0.25">
      <c r="B359" s="7">
        <f>SUBTOTAL(3,$C$4:C359)</f>
        <v>74</v>
      </c>
      <c r="C359" s="269" t="s">
        <v>244</v>
      </c>
      <c r="D359" s="269" t="s">
        <v>2877</v>
      </c>
      <c r="E359" s="4" t="s">
        <v>2878</v>
      </c>
      <c r="F359" s="270">
        <v>46296</v>
      </c>
      <c r="G359" s="4" t="s">
        <v>247</v>
      </c>
      <c r="H359" s="4" t="str">
        <f ca="1">'Database MK'!Q360</f>
        <v>MC-0</v>
      </c>
      <c r="I359" s="24">
        <f>'Database MK'!S360</f>
        <v>1</v>
      </c>
      <c r="J359" s="24">
        <f>'Database MK'!T360</f>
        <v>8.4481158046790961E-2</v>
      </c>
      <c r="K359" s="571">
        <f>'Database MK'!U360</f>
        <v>-0.91551884195320898</v>
      </c>
      <c r="L359" s="561">
        <f>'Database MK'!V360</f>
        <v>758.5</v>
      </c>
      <c r="M359" s="561">
        <f>'Database MK'!W360</f>
        <v>0</v>
      </c>
      <c r="N359" s="561">
        <f>Table3[[#This Row],[Total Panjang Pipa Aktual]]-Table3[[#This Row],[Volume
BA MC-0]]</f>
        <v>-758.5</v>
      </c>
      <c r="O359" s="7" t="str">
        <f ca="1">'Database MK'!DE360</f>
        <v>Sudah, OnSchedule</v>
      </c>
      <c r="P359" s="7" t="str">
        <f ca="1">'Database MK'!DI360</f>
        <v>Sudah, Delay</v>
      </c>
      <c r="Q359" s="7" t="str">
        <f ca="1">'Database MK'!DN360</f>
        <v>Sudah, OnSchedule</v>
      </c>
      <c r="R359" s="7" t="str">
        <f ca="1">'Database MK'!DR360</f>
        <v>Sudah, Delay</v>
      </c>
      <c r="S359" s="7" t="str">
        <f ca="1">'Database MK'!EA360</f>
        <v>Sudah, OnSchedule</v>
      </c>
      <c r="T359" s="7" t="str">
        <f ca="1">'Database MK'!EI360</f>
        <v>Belum, Delay</v>
      </c>
      <c r="U359" s="7" t="str">
        <f ca="1">'Database MK'!ET360</f>
        <v>Belum, Delay</v>
      </c>
      <c r="V359" s="7" t="str">
        <f ca="1">'Database MK'!GA360</f>
        <v>Sudah, Delay</v>
      </c>
      <c r="W359" s="7" t="str">
        <f ca="1">'Database MK'!GD360</f>
        <v>Sudah, Delay</v>
      </c>
      <c r="X359" s="7" t="str">
        <f ca="1">'Database MK'!GG360</f>
        <v>Sudah, Delay</v>
      </c>
      <c r="Y359" s="7" t="str">
        <f ca="1">'Database MK'!GK360</f>
        <v>Sudah, Delay</v>
      </c>
      <c r="Z359" s="7" t="str">
        <f ca="1">'Database MK'!HH360</f>
        <v>Belum, Delay</v>
      </c>
      <c r="AA359" s="7" t="str">
        <f ca="1">'Database MK'!HR360</f>
        <v>Belum, Delay</v>
      </c>
      <c r="AB359" s="7" t="str">
        <f ca="1">'Database MK'!HX360</f>
        <v>Belum, Delay</v>
      </c>
      <c r="AC359" s="7">
        <f>'Database MK'!DA360-'Database MK'!DB360</f>
        <v>69</v>
      </c>
      <c r="AD359" s="7">
        <f>'Database MK'!DA360-'Database MK'!DF360</f>
        <v>-30</v>
      </c>
      <c r="AE359" s="7">
        <f>'Database MK'!DK360-'Database MK'!DL360</f>
        <v>23</v>
      </c>
      <c r="AF359" s="7">
        <f>'Database MK'!DK360-'Database MK'!DO360</f>
        <v>-5</v>
      </c>
      <c r="AG359" s="7">
        <f>'Database MK'!DU360-'Database MK'!DW360</f>
        <v>2</v>
      </c>
      <c r="AH359" s="7" t="str">
        <f>IF('Database MK'!EB360="","Belum",'Database MK'!DU360-'Database MK'!EB360)</f>
        <v>Belum</v>
      </c>
      <c r="AI359" s="7" t="str">
        <f>IF('Database MK'!EN360="","Belum",'Database MK'!EL360-'Database MK'!EN360)</f>
        <v>Belum</v>
      </c>
      <c r="AJ359" s="7">
        <f>'Database MK'!FY360-'Database MK'!FZ360</f>
        <v>-56</v>
      </c>
      <c r="AK359" s="7">
        <f>IF('Database MK'!GC360="","Belum",'Database MK'!GB360-'Database MK'!GC360)</f>
        <v>-30</v>
      </c>
      <c r="AL359" s="7">
        <f>IF('Database MK'!GF360="","Belum",'Database MK'!GE360-'Database MK'!GF360)</f>
        <v>-23</v>
      </c>
      <c r="AM359" s="279">
        <f>IF('Database MK'!GJ360="","Belum",'Database MK'!GI360-'Database MK'!GJ360)</f>
        <v>-24</v>
      </c>
      <c r="AN359" s="7" t="str">
        <f>IF('Database MK'!HG360="","Belum",'Database MK'!HF360-'Database MK'!HG360)</f>
        <v>Belum</v>
      </c>
      <c r="AO359" s="7" t="str">
        <f>IF('Database MK'!HQ360="","Belum",'Database MK'!HN360-'Database MK'!HQ360)</f>
        <v>Belum</v>
      </c>
      <c r="AP359" s="7" t="str">
        <f>IF('Database MK'!HW360="","Belum",'Database MK'!HU360-'Database MK'!HW360)</f>
        <v>Belum</v>
      </c>
    </row>
    <row r="360" spans="2:42" hidden="1" x14ac:dyDescent="0.25">
      <c r="B360" s="7">
        <f>SUBTOTAL(3,$C$4:C360)</f>
        <v>74</v>
      </c>
      <c r="C360" s="269" t="s">
        <v>244</v>
      </c>
      <c r="D360" s="269" t="s">
        <v>2884</v>
      </c>
      <c r="E360" s="4" t="s">
        <v>2885</v>
      </c>
      <c r="F360" s="270">
        <v>46296</v>
      </c>
      <c r="G360" s="4" t="s">
        <v>247</v>
      </c>
      <c r="H360" s="4" t="str">
        <f ca="1">'Database MK'!Q361</f>
        <v>MC-0</v>
      </c>
      <c r="I360" s="24">
        <f>'Database MK'!S361</f>
        <v>0.99999999999999989</v>
      </c>
      <c r="J360" s="24">
        <f>'Database MK'!T361</f>
        <v>9.8593003831892928E-2</v>
      </c>
      <c r="K360" s="571">
        <f>'Database MK'!U361</f>
        <v>-0.90140699616810693</v>
      </c>
      <c r="L360" s="561">
        <f>'Database MK'!V361</f>
        <v>801.5</v>
      </c>
      <c r="M360" s="561">
        <f>'Database MK'!W361</f>
        <v>0</v>
      </c>
      <c r="N360" s="561">
        <f>Table3[[#This Row],[Total Panjang Pipa Aktual]]-Table3[[#This Row],[Volume
BA MC-0]]</f>
        <v>-801.5</v>
      </c>
      <c r="O360" s="7" t="str">
        <f ca="1">'Database MK'!DE361</f>
        <v>Sudah, OnSchedule</v>
      </c>
      <c r="P360" s="7" t="str">
        <f ca="1">'Database MK'!DI361</f>
        <v>Sudah, OnSchedule</v>
      </c>
      <c r="Q360" s="7" t="str">
        <f ca="1">'Database MK'!DN361</f>
        <v>Sudah, OnSchedule</v>
      </c>
      <c r="R360" s="7" t="str">
        <f ca="1">'Database MK'!DR361</f>
        <v>Sudah, Delay</v>
      </c>
      <c r="S360" s="7" t="str">
        <f ca="1">'Database MK'!EA361</f>
        <v>Sudah, OnSchedule</v>
      </c>
      <c r="T360" s="7" t="str">
        <f ca="1">'Database MK'!EI361</f>
        <v>Belum, Delay</v>
      </c>
      <c r="U360" s="7" t="str">
        <f ca="1">'Database MK'!ET361</f>
        <v>Belum, Delay</v>
      </c>
      <c r="V360" s="7" t="str">
        <f ca="1">'Database MK'!GA361</f>
        <v>Sudah, Delay</v>
      </c>
      <c r="W360" s="7" t="str">
        <f ca="1">'Database MK'!GD361</f>
        <v>Sudah, Delay</v>
      </c>
      <c r="X360" s="7" t="str">
        <f ca="1">'Database MK'!GG361</f>
        <v>Sudah, Delay</v>
      </c>
      <c r="Y360" s="7" t="str">
        <f ca="1">'Database MK'!GK361</f>
        <v>Sudah, Delay</v>
      </c>
      <c r="Z360" s="7" t="str">
        <f ca="1">'Database MK'!HH361</f>
        <v>Belum, Delay</v>
      </c>
      <c r="AA360" s="7" t="str">
        <f ca="1">'Database MK'!HR361</f>
        <v>Belum, Delay</v>
      </c>
      <c r="AB360" s="7" t="str">
        <f ca="1">'Database MK'!HX361</f>
        <v>Belum, Delay</v>
      </c>
      <c r="AC360" s="7">
        <f>'Database MK'!DA361-'Database MK'!DB361</f>
        <v>68</v>
      </c>
      <c r="AD360" s="7">
        <f>'Database MK'!DA361-'Database MK'!DF361</f>
        <v>47</v>
      </c>
      <c r="AE360" s="7">
        <f>'Database MK'!DK361-'Database MK'!DL361</f>
        <v>32</v>
      </c>
      <c r="AF360" s="7">
        <f>'Database MK'!DK361-'Database MK'!DO361</f>
        <v>-11</v>
      </c>
      <c r="AG360" s="7">
        <f>'Database MK'!DU361-'Database MK'!DW361</f>
        <v>11</v>
      </c>
      <c r="AH360" s="7" t="str">
        <f>IF('Database MK'!EB361="","Belum",'Database MK'!DU361-'Database MK'!EB361)</f>
        <v>Belum</v>
      </c>
      <c r="AI360" s="7" t="str">
        <f>IF('Database MK'!EN361="","Belum",'Database MK'!EL361-'Database MK'!EN361)</f>
        <v>Belum</v>
      </c>
      <c r="AJ360" s="7">
        <f>'Database MK'!FY361-'Database MK'!FZ361</f>
        <v>-56</v>
      </c>
      <c r="AK360" s="7">
        <f>IF('Database MK'!GC361="","Belum",'Database MK'!GB361-'Database MK'!GC361)</f>
        <v>-29</v>
      </c>
      <c r="AL360" s="7">
        <f>IF('Database MK'!GF361="","Belum",'Database MK'!GE361-'Database MK'!GF361)</f>
        <v>-22</v>
      </c>
      <c r="AM360" s="279">
        <f>IF('Database MK'!GJ361="","Belum",'Database MK'!GI361-'Database MK'!GJ361)</f>
        <v>-17</v>
      </c>
      <c r="AN360" s="7" t="str">
        <f>IF('Database MK'!HG361="","Belum",'Database MK'!HF361-'Database MK'!HG361)</f>
        <v>Belum</v>
      </c>
      <c r="AO360" s="7" t="str">
        <f>IF('Database MK'!HQ361="","Belum",'Database MK'!HN361-'Database MK'!HQ361)</f>
        <v>Belum</v>
      </c>
      <c r="AP360" s="7" t="str">
        <f>IF('Database MK'!HW361="","Belum",'Database MK'!HU361-'Database MK'!HW361)</f>
        <v>Belum</v>
      </c>
    </row>
    <row r="361" spans="2:42" hidden="1" x14ac:dyDescent="0.25">
      <c r="B361" s="7">
        <f>SUBTOTAL(3,$C$4:C361)</f>
        <v>74</v>
      </c>
      <c r="C361" s="269" t="s">
        <v>244</v>
      </c>
      <c r="D361" s="269" t="s">
        <v>2892</v>
      </c>
      <c r="E361" s="4" t="s">
        <v>2893</v>
      </c>
      <c r="F361" s="270">
        <v>46296</v>
      </c>
      <c r="G361" s="4" t="s">
        <v>247</v>
      </c>
      <c r="H361" s="4" t="str">
        <f ca="1">'Database MK'!Q362</f>
        <v>MC-0</v>
      </c>
      <c r="I361" s="24">
        <f>'Database MK'!S362</f>
        <v>1</v>
      </c>
      <c r="J361" s="24">
        <f>'Database MK'!T362</f>
        <v>5.313733860809524E-2</v>
      </c>
      <c r="K361" s="571">
        <f>'Database MK'!U362</f>
        <v>-0.94686266139190478</v>
      </c>
      <c r="L361" s="561">
        <f>'Database MK'!V362</f>
        <v>479</v>
      </c>
      <c r="M361" s="561">
        <f>'Database MK'!W362</f>
        <v>0</v>
      </c>
      <c r="N361" s="561">
        <f>Table3[[#This Row],[Total Panjang Pipa Aktual]]-Table3[[#This Row],[Volume
BA MC-0]]</f>
        <v>-479</v>
      </c>
      <c r="O361" s="7" t="str">
        <f ca="1">'Database MK'!DE362</f>
        <v>Sudah, OnSchedule</v>
      </c>
      <c r="P361" s="7" t="str">
        <f ca="1">'Database MK'!DI362</f>
        <v>Sudah, Delay</v>
      </c>
      <c r="Q361" s="7" t="str">
        <f ca="1">'Database MK'!DN362</f>
        <v>Sudah, Delay</v>
      </c>
      <c r="R361" s="7" t="str">
        <f ca="1">'Database MK'!DR362</f>
        <v>Sudah, Delay</v>
      </c>
      <c r="S361" s="7" t="str">
        <f ca="1">'Database MK'!EA362</f>
        <v>Sudah, Delay</v>
      </c>
      <c r="T361" s="7" t="str">
        <f ca="1">'Database MK'!EI362</f>
        <v>Belum, Delay</v>
      </c>
      <c r="U361" s="7" t="str">
        <f ca="1">'Database MK'!ET362</f>
        <v>Belum, Delay</v>
      </c>
      <c r="V361" s="7" t="str">
        <f ca="1">'Database MK'!GA362</f>
        <v>Sudah, Delay</v>
      </c>
      <c r="W361" s="7" t="str">
        <f ca="1">'Database MK'!GD362</f>
        <v>Sudah, Delay</v>
      </c>
      <c r="X361" s="7" t="str">
        <f ca="1">'Database MK'!GG362</f>
        <v>Sudah, Delay</v>
      </c>
      <c r="Y361" s="7" t="str">
        <f ca="1">'Database MK'!GK362</f>
        <v>Sudah, Delay</v>
      </c>
      <c r="Z361" s="7" t="str">
        <f ca="1">'Database MK'!HH362</f>
        <v>Belum, Delay</v>
      </c>
      <c r="AA361" s="7" t="str">
        <f ca="1">'Database MK'!HR362</f>
        <v>Belum, Delay</v>
      </c>
      <c r="AB361" s="7" t="str">
        <f ca="1">'Database MK'!HX362</f>
        <v>Belum, Delay</v>
      </c>
      <c r="AC361" s="7">
        <f>'Database MK'!DA362-'Database MK'!DB362</f>
        <v>31</v>
      </c>
      <c r="AD361" s="7">
        <f>'Database MK'!DA362-'Database MK'!DF362</f>
        <v>-17</v>
      </c>
      <c r="AE361" s="7">
        <f>'Database MK'!DK362-'Database MK'!DL362</f>
        <v>-3</v>
      </c>
      <c r="AF361" s="7">
        <f>'Database MK'!DK362-'Database MK'!DO362</f>
        <v>-40</v>
      </c>
      <c r="AG361" s="7">
        <f>'Database MK'!DU362-'Database MK'!DW362</f>
        <v>-25</v>
      </c>
      <c r="AH361" s="7" t="str">
        <f>IF('Database MK'!EB362="","Belum",'Database MK'!DU362-'Database MK'!EB362)</f>
        <v>Belum</v>
      </c>
      <c r="AI361" s="7" t="str">
        <f>IF('Database MK'!EN362="","Belum",'Database MK'!EL362-'Database MK'!EN362)</f>
        <v>Belum</v>
      </c>
      <c r="AJ361" s="7">
        <f>'Database MK'!FY362-'Database MK'!FZ362</f>
        <v>-15</v>
      </c>
      <c r="AK361" s="7">
        <f>IF('Database MK'!GC362="","Belum",'Database MK'!GB362-'Database MK'!GC362)</f>
        <v>-65</v>
      </c>
      <c r="AL361" s="7">
        <f>IF('Database MK'!GF362="","Belum",'Database MK'!GE362-'Database MK'!GF362)</f>
        <v>-58</v>
      </c>
      <c r="AM361" s="279">
        <f>IF('Database MK'!GJ362="","Belum",'Database MK'!GI362-'Database MK'!GJ362)</f>
        <v>-53</v>
      </c>
      <c r="AN361" s="7" t="str">
        <f>IF('Database MK'!HG362="","Belum",'Database MK'!HF362-'Database MK'!HG362)</f>
        <v>Belum</v>
      </c>
      <c r="AO361" s="7" t="str">
        <f>IF('Database MK'!HQ362="","Belum",'Database MK'!HN362-'Database MK'!HQ362)</f>
        <v>Belum</v>
      </c>
      <c r="AP361" s="7" t="str">
        <f>IF('Database MK'!HW362="","Belum",'Database MK'!HU362-'Database MK'!HW362)</f>
        <v>Belum</v>
      </c>
    </row>
    <row r="362" spans="2:42" hidden="1" x14ac:dyDescent="0.25">
      <c r="B362" s="7">
        <f>SUBTOTAL(3,$C$4:C362)</f>
        <v>74</v>
      </c>
      <c r="C362" s="269" t="s">
        <v>244</v>
      </c>
      <c r="D362" s="269" t="s">
        <v>2899</v>
      </c>
      <c r="E362" s="4" t="s">
        <v>2900</v>
      </c>
      <c r="F362" s="270">
        <v>46296</v>
      </c>
      <c r="G362" s="4" t="s">
        <v>247</v>
      </c>
      <c r="H362" s="4" t="str">
        <f ca="1">'Database MK'!Q363</f>
        <v>MC-0</v>
      </c>
      <c r="I362" s="24">
        <f>'Database MK'!S363</f>
        <v>1</v>
      </c>
      <c r="J362" s="24">
        <f>'Database MK'!T363</f>
        <v>5.1961401708096579E-2</v>
      </c>
      <c r="K362" s="571">
        <f>'Database MK'!U363</f>
        <v>-0.9480385982919034</v>
      </c>
      <c r="L362" s="561">
        <f>'Database MK'!V363</f>
        <v>5239.3</v>
      </c>
      <c r="M362" s="561">
        <f>'Database MK'!W363</f>
        <v>0</v>
      </c>
      <c r="N362" s="561">
        <f>Table3[[#This Row],[Total Panjang Pipa Aktual]]-Table3[[#This Row],[Volume
BA MC-0]]</f>
        <v>-5239.3</v>
      </c>
      <c r="O362" s="7" t="str">
        <f ca="1">'Database MK'!DE363</f>
        <v>Sudah, OnSchedule</v>
      </c>
      <c r="P362" s="7" t="str">
        <f ca="1">'Database MK'!DI363</f>
        <v>Sudah, OnSchedule</v>
      </c>
      <c r="Q362" s="7" t="str">
        <f ca="1">'Database MK'!DN363</f>
        <v>Sudah, Delay</v>
      </c>
      <c r="R362" s="7" t="str">
        <f ca="1">'Database MK'!DR363</f>
        <v>Sudah, Delay</v>
      </c>
      <c r="S362" s="7" t="str">
        <f ca="1">'Database MK'!EA363</f>
        <v>Sudah, Delay</v>
      </c>
      <c r="T362" s="7" t="str">
        <f ca="1">'Database MK'!EI363</f>
        <v>Belum, Delay</v>
      </c>
      <c r="U362" s="7" t="str">
        <f ca="1">'Database MK'!ET363</f>
        <v>Belum, Delay</v>
      </c>
      <c r="V362" s="7" t="str">
        <f ca="1">'Database MK'!GA363</f>
        <v>Sudah, Delay</v>
      </c>
      <c r="W362" s="7" t="str">
        <f ca="1">'Database MK'!GD363</f>
        <v>Sudah, Delay</v>
      </c>
      <c r="X362" s="7" t="str">
        <f ca="1">'Database MK'!GG363</f>
        <v>Sudah, Delay</v>
      </c>
      <c r="Y362" s="7" t="str">
        <f ca="1">'Database MK'!GK363</f>
        <v>Sudah, Delay</v>
      </c>
      <c r="Z362" s="7" t="str">
        <f ca="1">'Database MK'!HH363</f>
        <v>Belum, Delay</v>
      </c>
      <c r="AA362" s="7" t="str">
        <f ca="1">'Database MK'!HR363</f>
        <v>Belum, Delay</v>
      </c>
      <c r="AB362" s="7" t="str">
        <f ca="1">'Database MK'!HX363</f>
        <v>Belum, Delay</v>
      </c>
      <c r="AC362" s="7">
        <f>'Database MK'!DA363-'Database MK'!DB363</f>
        <v>31</v>
      </c>
      <c r="AD362" s="7">
        <f>'Database MK'!DA363-'Database MK'!DF363</f>
        <v>12</v>
      </c>
      <c r="AE362" s="7">
        <f>'Database MK'!DK363-'Database MK'!DL363</f>
        <v>-4</v>
      </c>
      <c r="AF362" s="7">
        <f>'Database MK'!DK363-'Database MK'!DO363</f>
        <v>-40</v>
      </c>
      <c r="AG362" s="7">
        <f>'Database MK'!DU363-'Database MK'!DW363</f>
        <v>-25</v>
      </c>
      <c r="AH362" s="7" t="str">
        <f>IF('Database MK'!EB363="","Belum",'Database MK'!DU363-'Database MK'!EB363)</f>
        <v>Belum</v>
      </c>
      <c r="AI362" s="7" t="str">
        <f>IF('Database MK'!EN363="","Belum",'Database MK'!EL363-'Database MK'!EN363)</f>
        <v>Belum</v>
      </c>
      <c r="AJ362" s="7">
        <f>'Database MK'!FY363-'Database MK'!FZ363</f>
        <v>-15</v>
      </c>
      <c r="AK362" s="7">
        <f>IF('Database MK'!GC363="","Belum",'Database MK'!GB363-'Database MK'!GC363)</f>
        <v>-65</v>
      </c>
      <c r="AL362" s="7">
        <f>IF('Database MK'!GF363="","Belum",'Database MK'!GE363-'Database MK'!GF363)</f>
        <v>-58</v>
      </c>
      <c r="AM362" s="279">
        <f>IF('Database MK'!GJ363="","Belum",'Database MK'!GI363-'Database MK'!GJ363)</f>
        <v>-54</v>
      </c>
      <c r="AN362" s="7" t="str">
        <f>IF('Database MK'!HG363="","Belum",'Database MK'!HF363-'Database MK'!HG363)</f>
        <v>Belum</v>
      </c>
      <c r="AO362" s="7" t="str">
        <f>IF('Database MK'!HQ363="","Belum",'Database MK'!HN363-'Database MK'!HQ363)</f>
        <v>Belum</v>
      </c>
      <c r="AP362" s="7" t="str">
        <f>IF('Database MK'!HW363="","Belum",'Database MK'!HU363-'Database MK'!HW363)</f>
        <v>Belum</v>
      </c>
    </row>
    <row r="363" spans="2:42" hidden="1" x14ac:dyDescent="0.25">
      <c r="B363" s="7">
        <f>SUBTOTAL(3,$C$4:C363)</f>
        <v>74</v>
      </c>
      <c r="C363" s="269" t="s">
        <v>244</v>
      </c>
      <c r="D363" s="269" t="s">
        <v>2907</v>
      </c>
      <c r="E363" s="4" t="s">
        <v>2908</v>
      </c>
      <c r="F363" s="270">
        <v>46296</v>
      </c>
      <c r="G363" s="4" t="s">
        <v>247</v>
      </c>
      <c r="H363" s="4" t="str">
        <f ca="1">'Database MK'!Q364</f>
        <v>MC-0</v>
      </c>
      <c r="I363" s="24">
        <f>'Database MK'!S364</f>
        <v>1.0000000000000002</v>
      </c>
      <c r="J363" s="24">
        <f>'Database MK'!T364</f>
        <v>3.0757397495327382E-2</v>
      </c>
      <c r="K363" s="571">
        <f>'Database MK'!U364</f>
        <v>-0.96924260250467287</v>
      </c>
      <c r="L363" s="561">
        <f>'Database MK'!V364</f>
        <v>0</v>
      </c>
      <c r="M363" s="561">
        <f>'Database MK'!W364</f>
        <v>0</v>
      </c>
      <c r="N363" s="561">
        <f>Table3[[#This Row],[Total Panjang Pipa Aktual]]-Table3[[#This Row],[Volume
BA MC-0]]</f>
        <v>0</v>
      </c>
      <c r="O363" s="7" t="str">
        <f ca="1">'Database MK'!DE364</f>
        <v>Sudah, OnSchedule</v>
      </c>
      <c r="P363" s="7" t="str">
        <f ca="1">'Database MK'!DI364</f>
        <v>Sudah, Delay</v>
      </c>
      <c r="Q363" s="7" t="str">
        <f ca="1">'Database MK'!DN364</f>
        <v>Sudah, Delay</v>
      </c>
      <c r="R363" s="7" t="str">
        <f ca="1">'Database MK'!DR364</f>
        <v>Sudah, Delay</v>
      </c>
      <c r="S363" s="7" t="str">
        <f ca="1">'Database MK'!EA364</f>
        <v>Sudah, Delay</v>
      </c>
      <c r="T363" s="7" t="str">
        <f ca="1">'Database MK'!EI364</f>
        <v>Belum, Delay</v>
      </c>
      <c r="U363" s="7" t="str">
        <f ca="1">'Database MK'!ET364</f>
        <v>Belum, Delay</v>
      </c>
      <c r="V363" s="7" t="str">
        <f ca="1">'Database MK'!GA364</f>
        <v>Sudah, OnSchedule</v>
      </c>
      <c r="W363" s="7" t="str">
        <f ca="1">'Database MK'!GD364</f>
        <v>Sudah, Delay</v>
      </c>
      <c r="X363" s="7" t="str">
        <f ca="1">'Database MK'!GG364</f>
        <v>Sudah, Delay</v>
      </c>
      <c r="Y363" s="7" t="str">
        <f ca="1">'Database MK'!GK364</f>
        <v>Sudah, Delay</v>
      </c>
      <c r="Z363" s="7" t="str">
        <f ca="1">'Database MK'!HH364</f>
        <v>Belum, Delay</v>
      </c>
      <c r="AA363" s="7" t="str">
        <f ca="1">'Database MK'!HR364</f>
        <v>Belum, Delay</v>
      </c>
      <c r="AB363" s="7" t="str">
        <f ca="1">'Database MK'!HX364</f>
        <v>Belum, Delay</v>
      </c>
      <c r="AC363" s="7">
        <f>'Database MK'!DA364-'Database MK'!DB364</f>
        <v>3</v>
      </c>
      <c r="AD363" s="7">
        <f>'Database MK'!DA364-'Database MK'!DF364</f>
        <v>-16</v>
      </c>
      <c r="AE363" s="7">
        <f>'Database MK'!DK364-'Database MK'!DL364</f>
        <v>-31</v>
      </c>
      <c r="AF363" s="7">
        <f>'Database MK'!DK364-'Database MK'!DO364</f>
        <v>-66.291666666664241</v>
      </c>
      <c r="AG363" s="7">
        <f>'Database MK'!DU364-'Database MK'!DW364</f>
        <v>-52</v>
      </c>
      <c r="AH363" s="7" t="str">
        <f>IF('Database MK'!EB364="","Belum",'Database MK'!DU364-'Database MK'!EB364)</f>
        <v>Belum</v>
      </c>
      <c r="AI363" s="7" t="str">
        <f>IF('Database MK'!EN364="","Belum",'Database MK'!EL364-'Database MK'!EN364)</f>
        <v>Belum</v>
      </c>
      <c r="AJ363" s="7">
        <f>'Database MK'!FY364-'Database MK'!FZ364</f>
        <v>39</v>
      </c>
      <c r="AK363" s="7">
        <f>IF('Database MK'!GC364="","Belum",'Database MK'!GB364-'Database MK'!GC364)</f>
        <v>-98</v>
      </c>
      <c r="AL363" s="7">
        <f>IF('Database MK'!GF364="","Belum",'Database MK'!GE364-'Database MK'!GF364)</f>
        <v>-91</v>
      </c>
      <c r="AM363" s="279">
        <f>IF('Database MK'!GJ364="","Belum",'Database MK'!GI364-'Database MK'!GJ364)</f>
        <v>-92</v>
      </c>
      <c r="AN363" s="7" t="str">
        <f>IF('Database MK'!HG364="","Belum",'Database MK'!HF364-'Database MK'!HG364)</f>
        <v>Belum</v>
      </c>
      <c r="AO363" s="7" t="str">
        <f>IF('Database MK'!HQ364="","Belum",'Database MK'!HN364-'Database MK'!HQ364)</f>
        <v>Belum</v>
      </c>
      <c r="AP363" s="7" t="str">
        <f>IF('Database MK'!HW364="","Belum",'Database MK'!HU364-'Database MK'!HW364)</f>
        <v>Belum</v>
      </c>
    </row>
    <row r="364" spans="2:42" hidden="1" x14ac:dyDescent="0.25">
      <c r="B364" s="7">
        <f>SUBTOTAL(3,$C$4:C364)</f>
        <v>74</v>
      </c>
      <c r="C364" s="269" t="s">
        <v>244</v>
      </c>
      <c r="D364" s="269" t="s">
        <v>2916</v>
      </c>
      <c r="E364" s="4" t="s">
        <v>2917</v>
      </c>
      <c r="F364" s="270">
        <v>46296</v>
      </c>
      <c r="G364" s="4" t="s">
        <v>247</v>
      </c>
      <c r="H364" s="4" t="str">
        <f ca="1">'Database MK'!Q365</f>
        <v>MC-0</v>
      </c>
      <c r="I364" s="24">
        <f>'Database MK'!S365</f>
        <v>1</v>
      </c>
      <c r="J364" s="24">
        <f>'Database MK'!T365</f>
        <v>2.3366936812519241E-2</v>
      </c>
      <c r="K364" s="571">
        <f>'Database MK'!U365</f>
        <v>-0.97663306318748078</v>
      </c>
      <c r="L364" s="561">
        <f>'Database MK'!V365</f>
        <v>3607</v>
      </c>
      <c r="M364" s="561">
        <f>'Database MK'!W365</f>
        <v>0</v>
      </c>
      <c r="N364" s="561">
        <f>Table3[[#This Row],[Total Panjang Pipa Aktual]]-Table3[[#This Row],[Volume
BA MC-0]]</f>
        <v>-3607</v>
      </c>
      <c r="O364" s="7" t="str">
        <f ca="1">'Database MK'!DE365</f>
        <v>Sudah, OnSchedule</v>
      </c>
      <c r="P364" s="7" t="str">
        <f ca="1">'Database MK'!DI365</f>
        <v>Sudah, Delay</v>
      </c>
      <c r="Q364" s="7" t="str">
        <f ca="1">'Database MK'!DN365</f>
        <v>Sudah, Delay</v>
      </c>
      <c r="R364" s="7" t="str">
        <f ca="1">'Database MK'!DR365</f>
        <v>Sudah, Delay</v>
      </c>
      <c r="S364" s="7" t="str">
        <f ca="1">'Database MK'!EA365</f>
        <v>Sudah, Delay</v>
      </c>
      <c r="T364" s="7" t="str">
        <f ca="1">'Database MK'!EI365</f>
        <v>Belum, Delay</v>
      </c>
      <c r="U364" s="7" t="str">
        <f ca="1">'Database MK'!ET365</f>
        <v>Belum, Delay</v>
      </c>
      <c r="V364" s="7" t="str">
        <f ca="1">'Database MK'!GA365</f>
        <v>Sudah, Delay</v>
      </c>
      <c r="W364" s="7" t="str">
        <f ca="1">'Database MK'!GD365</f>
        <v>Sudah, Delay</v>
      </c>
      <c r="X364" s="7" t="str">
        <f ca="1">'Database MK'!GG365</f>
        <v>Sudah, Delay</v>
      </c>
      <c r="Y364" s="7" t="str">
        <f ca="1">'Database MK'!GK365</f>
        <v>Sudah, Delay</v>
      </c>
      <c r="Z364" s="7" t="str">
        <f ca="1">'Database MK'!HH365</f>
        <v>Belum, Delay</v>
      </c>
      <c r="AA364" s="7" t="str">
        <f ca="1">'Database MK'!HR365</f>
        <v>Belum, Delay</v>
      </c>
      <c r="AB364" s="7" t="str">
        <f ca="1">'Database MK'!HX365</f>
        <v>Belum, Delay</v>
      </c>
      <c r="AC364" s="7">
        <f>'Database MK'!DA365-'Database MK'!DB365</f>
        <v>20</v>
      </c>
      <c r="AD364" s="7">
        <f>'Database MK'!DA365-'Database MK'!DF365</f>
        <v>-2</v>
      </c>
      <c r="AE364" s="7">
        <f>'Database MK'!DK365-'Database MK'!DL365</f>
        <v>-3</v>
      </c>
      <c r="AF364" s="7">
        <f>'Database MK'!DK365-'Database MK'!DO365</f>
        <v>-40</v>
      </c>
      <c r="AG364" s="7">
        <f>'Database MK'!DU365-'Database MK'!DW365</f>
        <v>-24</v>
      </c>
      <c r="AH364" s="7" t="str">
        <f>IF('Database MK'!EB365="","Belum",'Database MK'!DU365-'Database MK'!EB365)</f>
        <v>Belum</v>
      </c>
      <c r="AI364" s="7" t="str">
        <f>IF('Database MK'!EN365="","Belum",'Database MK'!EL365-'Database MK'!EN365)</f>
        <v>Belum</v>
      </c>
      <c r="AJ364" s="7">
        <f>'Database MK'!FY365-'Database MK'!FZ365</f>
        <v>-15</v>
      </c>
      <c r="AK364" s="7">
        <f>IF('Database MK'!GC365="","Belum",'Database MK'!GB365-'Database MK'!GC365)</f>
        <v>-70</v>
      </c>
      <c r="AL364" s="7">
        <f>IF('Database MK'!GF365="","Belum",'Database MK'!GE365-'Database MK'!GF365)</f>
        <v>-63</v>
      </c>
      <c r="AM364" s="279">
        <f>IF('Database MK'!GJ365="","Belum",'Database MK'!GI365-'Database MK'!GJ365)</f>
        <v>-57</v>
      </c>
      <c r="AN364" s="7" t="str">
        <f>IF('Database MK'!HG365="","Belum",'Database MK'!HF365-'Database MK'!HG365)</f>
        <v>Belum</v>
      </c>
      <c r="AO364" s="7" t="str">
        <f>IF('Database MK'!HQ365="","Belum",'Database MK'!HN365-'Database MK'!HQ365)</f>
        <v>Belum</v>
      </c>
      <c r="AP364" s="7" t="str">
        <f>IF('Database MK'!HW365="","Belum",'Database MK'!HU365-'Database MK'!HW365)</f>
        <v>Belum</v>
      </c>
    </row>
    <row r="365" spans="2:42" hidden="1" x14ac:dyDescent="0.25">
      <c r="B365" s="7">
        <f>SUBTOTAL(3,$C$4:C365)</f>
        <v>74</v>
      </c>
      <c r="C365" s="269" t="s">
        <v>244</v>
      </c>
      <c r="D365" s="269" t="s">
        <v>2923</v>
      </c>
      <c r="E365" s="4" t="s">
        <v>2924</v>
      </c>
      <c r="F365" s="270">
        <v>46296</v>
      </c>
      <c r="G365" s="4" t="s">
        <v>247</v>
      </c>
      <c r="H365" s="4" t="str">
        <f ca="1">'Database MK'!Q366</f>
        <v>MC-0</v>
      </c>
      <c r="I365" s="24">
        <f>'Database MK'!S366</f>
        <v>0.99999999999999989</v>
      </c>
      <c r="J365" s="24">
        <f>'Database MK'!T366</f>
        <v>3.4327612783892542E-2</v>
      </c>
      <c r="K365" s="571">
        <f>'Database MK'!U366</f>
        <v>-0.96567238721610738</v>
      </c>
      <c r="L365" s="561">
        <f>'Database MK'!V366</f>
        <v>1751</v>
      </c>
      <c r="M365" s="561">
        <f>'Database MK'!W366</f>
        <v>0</v>
      </c>
      <c r="N365" s="561">
        <f>Table3[[#This Row],[Total Panjang Pipa Aktual]]-Table3[[#This Row],[Volume
BA MC-0]]</f>
        <v>-1751</v>
      </c>
      <c r="O365" s="7" t="str">
        <f ca="1">'Database MK'!DE366</f>
        <v>Sudah, OnSchedule</v>
      </c>
      <c r="P365" s="7" t="str">
        <f ca="1">'Database MK'!DI366</f>
        <v>Sudah, OnSchedule</v>
      </c>
      <c r="Q365" s="7" t="str">
        <f ca="1">'Database MK'!DN366</f>
        <v>Sudah, Delay</v>
      </c>
      <c r="R365" s="7" t="str">
        <f ca="1">'Database MK'!DR366</f>
        <v>Sudah, Delay</v>
      </c>
      <c r="S365" s="7" t="str">
        <f ca="1">'Database MK'!EA366</f>
        <v>Sudah, Delay</v>
      </c>
      <c r="T365" s="7" t="str">
        <f ca="1">'Database MK'!EI366</f>
        <v>Belum, Delay</v>
      </c>
      <c r="U365" s="7" t="str">
        <f ca="1">'Database MK'!ET366</f>
        <v>Belum, Delay</v>
      </c>
      <c r="V365" s="7" t="str">
        <f ca="1">'Database MK'!GA366</f>
        <v>Sudah, Delay</v>
      </c>
      <c r="W365" s="7" t="str">
        <f ca="1">'Database MK'!GD366</f>
        <v>Sudah, Delay</v>
      </c>
      <c r="X365" s="7" t="str">
        <f ca="1">'Database MK'!GG366</f>
        <v>Sudah, Delay</v>
      </c>
      <c r="Y365" s="7" t="str">
        <f ca="1">'Database MK'!GK366</f>
        <v>Sudah, Delay</v>
      </c>
      <c r="Z365" s="7" t="str">
        <f ca="1">'Database MK'!HH366</f>
        <v>Belum, Delay</v>
      </c>
      <c r="AA365" s="7" t="str">
        <f ca="1">'Database MK'!HR366</f>
        <v>Belum, Delay</v>
      </c>
      <c r="AB365" s="7" t="str">
        <f ca="1">'Database MK'!HX366</f>
        <v>Belum, Delay</v>
      </c>
      <c r="AC365" s="7">
        <f>'Database MK'!DA366-'Database MK'!DB366</f>
        <v>20</v>
      </c>
      <c r="AD365" s="7">
        <f>'Database MK'!DA366-'Database MK'!DF366</f>
        <v>315</v>
      </c>
      <c r="AE365" s="7">
        <f>'Database MK'!DK366-'Database MK'!DL366</f>
        <v>-3</v>
      </c>
      <c r="AF365" s="7">
        <f>'Database MK'!DK366-'Database MK'!DO366</f>
        <v>-40</v>
      </c>
      <c r="AG365" s="7">
        <f>'Database MK'!DU366-'Database MK'!DW366</f>
        <v>-25</v>
      </c>
      <c r="AH365" s="7" t="str">
        <f>IF('Database MK'!EB366="","Belum",'Database MK'!DU366-'Database MK'!EB366)</f>
        <v>Belum</v>
      </c>
      <c r="AI365" s="7" t="str">
        <f>IF('Database MK'!EN366="","Belum",'Database MK'!EL366-'Database MK'!EN366)</f>
        <v>Belum</v>
      </c>
      <c r="AJ365" s="7">
        <f>'Database MK'!FY366-'Database MK'!FZ366</f>
        <v>-15</v>
      </c>
      <c r="AK365" s="7">
        <f>IF('Database MK'!GC366="","Belum",'Database MK'!GB366-'Database MK'!GC366)</f>
        <v>-70</v>
      </c>
      <c r="AL365" s="7">
        <f>IF('Database MK'!GF366="","Belum",'Database MK'!GE366-'Database MK'!GF366)</f>
        <v>-63</v>
      </c>
      <c r="AM365" s="279">
        <f>IF('Database MK'!GJ366="","Belum",'Database MK'!GI366-'Database MK'!GJ366)</f>
        <v>-57</v>
      </c>
      <c r="AN365" s="7" t="str">
        <f>IF('Database MK'!HG366="","Belum",'Database MK'!HF366-'Database MK'!HG366)</f>
        <v>Belum</v>
      </c>
      <c r="AO365" s="7" t="str">
        <f>IF('Database MK'!HQ366="","Belum",'Database MK'!HN366-'Database MK'!HQ366)</f>
        <v>Belum</v>
      </c>
      <c r="AP365" s="7" t="str">
        <f>IF('Database MK'!HW366="","Belum",'Database MK'!HU366-'Database MK'!HW366)</f>
        <v>Belum</v>
      </c>
    </row>
    <row r="366" spans="2:42" hidden="1" x14ac:dyDescent="0.25">
      <c r="B366" s="7">
        <f>SUBTOTAL(3,$C$4:C366)</f>
        <v>74</v>
      </c>
      <c r="C366" s="269" t="s">
        <v>244</v>
      </c>
      <c r="D366" s="269" t="s">
        <v>2930</v>
      </c>
      <c r="E366" s="4" t="s">
        <v>2931</v>
      </c>
      <c r="F366" s="270">
        <v>46296</v>
      </c>
      <c r="G366" s="4" t="s">
        <v>247</v>
      </c>
      <c r="H366" s="4" t="str">
        <f ca="1">'Database MK'!Q367</f>
        <v>MC-0</v>
      </c>
      <c r="I366" s="24">
        <f>'Database MK'!S367</f>
        <v>0.99999999999999989</v>
      </c>
      <c r="J366" s="24">
        <f>'Database MK'!T367</f>
        <v>7.3186502583744401E-2</v>
      </c>
      <c r="K366" s="571">
        <f>'Database MK'!U367</f>
        <v>-0.92681349741625552</v>
      </c>
      <c r="L366" s="561">
        <f>'Database MK'!V367</f>
        <v>24266.7</v>
      </c>
      <c r="M366" s="561">
        <f>'Database MK'!W367</f>
        <v>0</v>
      </c>
      <c r="N366" s="561">
        <f>Table3[[#This Row],[Total Panjang Pipa Aktual]]-Table3[[#This Row],[Volume
BA MC-0]]</f>
        <v>-24266.7</v>
      </c>
      <c r="O366" s="7" t="str">
        <f ca="1">'Database MK'!DE367</f>
        <v>Sudah, Delay</v>
      </c>
      <c r="P366" s="7" t="str">
        <f ca="1">'Database MK'!DI367</f>
        <v>Sudah, Delay</v>
      </c>
      <c r="Q366" s="7" t="str">
        <f ca="1">'Database MK'!DN367</f>
        <v>Sudah, Delay</v>
      </c>
      <c r="R366" s="7" t="str">
        <f ca="1">'Database MK'!DR367</f>
        <v>Sudah, Delay</v>
      </c>
      <c r="S366" s="7" t="str">
        <f ca="1">'Database MK'!EA367</f>
        <v>Sudah, Delay</v>
      </c>
      <c r="T366" s="7" t="str">
        <f ca="1">'Database MK'!EI367</f>
        <v>Belum, Delay</v>
      </c>
      <c r="U366" s="7" t="str">
        <f ca="1">'Database MK'!ET367</f>
        <v>Belum, Delay</v>
      </c>
      <c r="V366" s="7" t="str">
        <f ca="1">'Database MK'!GA367</f>
        <v>Sudah, OnSchedule</v>
      </c>
      <c r="W366" s="7" t="str">
        <f ca="1">'Database MK'!GD367</f>
        <v>Sudah, Delay</v>
      </c>
      <c r="X366" s="7" t="str">
        <f ca="1">'Database MK'!GG367</f>
        <v>Sudah, Delay</v>
      </c>
      <c r="Y366" s="7" t="str">
        <f ca="1">'Database MK'!GK367</f>
        <v>Sudah, Delay</v>
      </c>
      <c r="Z366" s="7" t="str">
        <f ca="1">'Database MK'!HH367</f>
        <v>Belum, Delay</v>
      </c>
      <c r="AA366" s="7" t="str">
        <f ca="1">'Database MK'!HR367</f>
        <v>Belum, Delay</v>
      </c>
      <c r="AB366" s="7" t="str">
        <f ca="1">'Database MK'!HX367</f>
        <v>Belum, Delay</v>
      </c>
      <c r="AC366" s="7">
        <f>'Database MK'!DA367-'Database MK'!DB367</f>
        <v>-8</v>
      </c>
      <c r="AD366" s="7">
        <f>'Database MK'!DA367-'Database MK'!DF367</f>
        <v>-36</v>
      </c>
      <c r="AE366" s="7">
        <f>'Database MK'!DK367-'Database MK'!DL367</f>
        <v>-30</v>
      </c>
      <c r="AF366" s="7">
        <f>'Database MK'!DK367-'Database MK'!DO367</f>
        <v>-68</v>
      </c>
      <c r="AG366" s="7">
        <f>'Database MK'!DU367-'Database MK'!DW367</f>
        <v>-51</v>
      </c>
      <c r="AH366" s="7" t="str">
        <f>IF('Database MK'!EB367="","Belum",'Database MK'!DU367-'Database MK'!EB367)</f>
        <v>Belum</v>
      </c>
      <c r="AI366" s="7" t="str">
        <f>IF('Database MK'!EN367="","Belum",'Database MK'!EL367-'Database MK'!EN367)</f>
        <v>Belum</v>
      </c>
      <c r="AJ366" s="7">
        <f>'Database MK'!FY367-'Database MK'!FZ367</f>
        <v>39</v>
      </c>
      <c r="AK366" s="7">
        <f>IF('Database MK'!GC367="","Belum",'Database MK'!GB367-'Database MK'!GC367)</f>
        <v>-93</v>
      </c>
      <c r="AL366" s="7">
        <f>IF('Database MK'!GF367="","Belum",'Database MK'!GE367-'Database MK'!GF367)</f>
        <v>-86</v>
      </c>
      <c r="AM366" s="279">
        <f>IF('Database MK'!GJ367="","Belum",'Database MK'!GI367-'Database MK'!GJ367)</f>
        <v>-85</v>
      </c>
      <c r="AN366" s="7" t="str">
        <f>IF('Database MK'!HG367="","Belum",'Database MK'!HF367-'Database MK'!HG367)</f>
        <v>Belum</v>
      </c>
      <c r="AO366" s="7" t="str">
        <f>IF('Database MK'!HQ367="","Belum",'Database MK'!HN367-'Database MK'!HQ367)</f>
        <v>Belum</v>
      </c>
      <c r="AP366" s="7" t="str">
        <f>IF('Database MK'!HW367="","Belum",'Database MK'!HU367-'Database MK'!HW367)</f>
        <v>Belum</v>
      </c>
    </row>
    <row r="367" spans="2:42" hidden="1" x14ac:dyDescent="0.25">
      <c r="B367" s="7">
        <f>SUBTOTAL(3,$C$4:C367)</f>
        <v>74</v>
      </c>
      <c r="C367" s="269" t="s">
        <v>244</v>
      </c>
      <c r="D367" s="269" t="s">
        <v>2937</v>
      </c>
      <c r="E367" s="4" t="s">
        <v>2938</v>
      </c>
      <c r="F367" s="270">
        <v>46296</v>
      </c>
      <c r="G367" s="4" t="s">
        <v>247</v>
      </c>
      <c r="H367" s="4" t="str">
        <f ca="1">'Database MK'!Q368</f>
        <v>MC-0</v>
      </c>
      <c r="I367" s="24">
        <f>'Database MK'!S368</f>
        <v>1.0000000000000002</v>
      </c>
      <c r="J367" s="24">
        <f>'Database MK'!T368</f>
        <v>5.83427264768729E-2</v>
      </c>
      <c r="K367" s="571">
        <f>'Database MK'!U368</f>
        <v>-0.94165727352312734</v>
      </c>
      <c r="L367" s="561">
        <f>'Database MK'!V368</f>
        <v>22594.799999999999</v>
      </c>
      <c r="M367" s="561">
        <f>'Database MK'!W368</f>
        <v>0</v>
      </c>
      <c r="N367" s="561">
        <f>Table3[[#This Row],[Total Panjang Pipa Aktual]]-Table3[[#This Row],[Volume
BA MC-0]]</f>
        <v>-22594.799999999999</v>
      </c>
      <c r="O367" s="7" t="str">
        <f ca="1">'Database MK'!DE368</f>
        <v>Sudah, Delay</v>
      </c>
      <c r="P367" s="7" t="str">
        <f ca="1">'Database MK'!DI368</f>
        <v>Sudah, Delay</v>
      </c>
      <c r="Q367" s="7" t="str">
        <f ca="1">'Database MK'!DN368</f>
        <v>Sudah, Delay</v>
      </c>
      <c r="R367" s="7" t="str">
        <f ca="1">'Database MK'!DR368</f>
        <v>Sudah, Delay</v>
      </c>
      <c r="S367" s="7" t="str">
        <f ca="1">'Database MK'!EA368</f>
        <v>Sudah, Delay</v>
      </c>
      <c r="T367" s="7" t="str">
        <f ca="1">'Database MK'!EI368</f>
        <v>Belum, Delay</v>
      </c>
      <c r="U367" s="7" t="str">
        <f ca="1">'Database MK'!ET368</f>
        <v>Belum, Delay</v>
      </c>
      <c r="V367" s="7" t="str">
        <f ca="1">'Database MK'!GA368</f>
        <v>Sudah, OnSchedule</v>
      </c>
      <c r="W367" s="7" t="str">
        <f ca="1">'Database MK'!GD368</f>
        <v>Sudah, Delay</v>
      </c>
      <c r="X367" s="7" t="str">
        <f ca="1">'Database MK'!GG368</f>
        <v>Sudah, Delay</v>
      </c>
      <c r="Y367" s="7" t="str">
        <f ca="1">'Database MK'!GK368</f>
        <v>Sudah, Delay</v>
      </c>
      <c r="Z367" s="7" t="str">
        <f ca="1">'Database MK'!HH368</f>
        <v>Belum, Delay</v>
      </c>
      <c r="AA367" s="7" t="str">
        <f ca="1">'Database MK'!HR368</f>
        <v>Belum, Delay</v>
      </c>
      <c r="AB367" s="7" t="str">
        <f ca="1">'Database MK'!HX368</f>
        <v>Belum, Delay</v>
      </c>
      <c r="AC367" s="7">
        <f>'Database MK'!DA368-'Database MK'!DB368</f>
        <v>-9</v>
      </c>
      <c r="AD367" s="7">
        <f>'Database MK'!DA368-'Database MK'!DF368</f>
        <v>-30</v>
      </c>
      <c r="AE367" s="7">
        <f>'Database MK'!DK368-'Database MK'!DL368</f>
        <v>-33</v>
      </c>
      <c r="AF367" s="7">
        <f>'Database MK'!DK368-'Database MK'!DO368</f>
        <v>-65</v>
      </c>
      <c r="AG367" s="7">
        <f>'Database MK'!DU368-'Database MK'!DW368</f>
        <v>-54</v>
      </c>
      <c r="AH367" s="7" t="str">
        <f>IF('Database MK'!EB368="","Belum",'Database MK'!DU368-'Database MK'!EB368)</f>
        <v>Belum</v>
      </c>
      <c r="AI367" s="7" t="str">
        <f>IF('Database MK'!EN368="","Belum",'Database MK'!EL368-'Database MK'!EN368)</f>
        <v>Belum</v>
      </c>
      <c r="AJ367" s="7">
        <f>'Database MK'!FY368-'Database MK'!FZ368</f>
        <v>39</v>
      </c>
      <c r="AK367" s="7">
        <f>IF('Database MK'!GC368="","Belum",'Database MK'!GB368-'Database MK'!GC368)</f>
        <v>-93</v>
      </c>
      <c r="AL367" s="7">
        <f>IF('Database MK'!GF368="","Belum",'Database MK'!GE368-'Database MK'!GF368)</f>
        <v>-86</v>
      </c>
      <c r="AM367" s="279">
        <f>IF('Database MK'!GJ368="","Belum",'Database MK'!GI368-'Database MK'!GJ368)</f>
        <v>-86</v>
      </c>
      <c r="AN367" s="7" t="str">
        <f>IF('Database MK'!HG368="","Belum",'Database MK'!HF368-'Database MK'!HG368)</f>
        <v>Belum</v>
      </c>
      <c r="AO367" s="7" t="str">
        <f>IF('Database MK'!HQ368="","Belum",'Database MK'!HN368-'Database MK'!HQ368)</f>
        <v>Belum</v>
      </c>
      <c r="AP367" s="7" t="str">
        <f>IF('Database MK'!HW368="","Belum",'Database MK'!HU368-'Database MK'!HW368)</f>
        <v>Belum</v>
      </c>
    </row>
    <row r="368" spans="2:42" hidden="1" x14ac:dyDescent="0.25">
      <c r="B368" s="7">
        <f>SUBTOTAL(3,$C$4:C368)</f>
        <v>74</v>
      </c>
      <c r="C368" s="269" t="s">
        <v>244</v>
      </c>
      <c r="D368" s="4" t="s">
        <v>2945</v>
      </c>
      <c r="E368" s="4" t="s">
        <v>2946</v>
      </c>
      <c r="F368" s="270">
        <v>46296</v>
      </c>
      <c r="G368" s="4" t="s">
        <v>681</v>
      </c>
      <c r="H368" s="4" t="str">
        <f ca="1">'Database MK'!Q369</f>
        <v>MC-0</v>
      </c>
      <c r="I368" s="24">
        <f>'Database MK'!S369</f>
        <v>1.0000000000000002</v>
      </c>
      <c r="J368" s="24">
        <f>'Database MK'!T369</f>
        <v>6.4387339111755884E-2</v>
      </c>
      <c r="K368" s="571">
        <f>'Database MK'!U369</f>
        <v>-0.93561266088824435</v>
      </c>
      <c r="L368" s="561">
        <f>'Database MK'!V369</f>
        <v>0</v>
      </c>
      <c r="M368" s="561">
        <f>'Database MK'!W369</f>
        <v>0</v>
      </c>
      <c r="N368" s="561">
        <f>Table3[[#This Row],[Total Panjang Pipa Aktual]]-Table3[[#This Row],[Volume
BA MC-0]]</f>
        <v>0</v>
      </c>
      <c r="O368" s="7" t="str">
        <f ca="1">'Database MK'!DE369</f>
        <v>Sudah, OnSchedule</v>
      </c>
      <c r="P368" s="7" t="str">
        <f ca="1">'Database MK'!DI369</f>
        <v>Sudah, Delay</v>
      </c>
      <c r="Q368" s="7" t="str">
        <f ca="1">'Database MK'!DN369</f>
        <v>Sudah, OnSchedule</v>
      </c>
      <c r="R368" s="7" t="str">
        <f ca="1">'Database MK'!DR369</f>
        <v>Sudah, Delay</v>
      </c>
      <c r="S368" s="7" t="str">
        <f ca="1">'Database MK'!EA369</f>
        <v>Sudah, Delay</v>
      </c>
      <c r="T368" s="7" t="str">
        <f ca="1">'Database MK'!EI369</f>
        <v>Belum, Delay</v>
      </c>
      <c r="U368" s="7" t="str">
        <f ca="1">'Database MK'!ET369</f>
        <v>Belum, Delay</v>
      </c>
      <c r="V368" s="7" t="str">
        <f ca="1">'Database MK'!GA369</f>
        <v>Sudah, Delay</v>
      </c>
      <c r="W368" s="7" t="str">
        <f ca="1">'Database MK'!GD369</f>
        <v>Sudah, Delay</v>
      </c>
      <c r="X368" s="7" t="str">
        <f ca="1">'Database MK'!GG369</f>
        <v>Sudah, Delay</v>
      </c>
      <c r="Y368" s="7" t="str">
        <f ca="1">'Database MK'!GK369</f>
        <v>Sudah, Delay</v>
      </c>
      <c r="Z368" s="7" t="str">
        <f ca="1">'Database MK'!HH369</f>
        <v>Belum, Delay</v>
      </c>
      <c r="AA368" s="7" t="str">
        <f ca="1">'Database MK'!HR369</f>
        <v>Belum, Delay</v>
      </c>
      <c r="AB368" s="7" t="str">
        <f ca="1">'Database MK'!HX369</f>
        <v>Belum, Delay</v>
      </c>
      <c r="AC368" s="7">
        <f>'Database MK'!DA369-'Database MK'!DB369</f>
        <v>18</v>
      </c>
      <c r="AD368" s="7">
        <f>'Database MK'!DA369-'Database MK'!DF369</f>
        <v>-3</v>
      </c>
      <c r="AE368" s="7">
        <f>'Database MK'!DK369-'Database MK'!DL369</f>
        <v>5</v>
      </c>
      <c r="AF368" s="7">
        <f>'Database MK'!DK369-'Database MK'!DO369</f>
        <v>-44</v>
      </c>
      <c r="AG368" s="7">
        <f>'Database MK'!DU369-'Database MK'!DW369</f>
        <v>-16</v>
      </c>
      <c r="AH368" s="7" t="str">
        <f>IF('Database MK'!EB369="","Belum",'Database MK'!DU369-'Database MK'!EB369)</f>
        <v>Belum</v>
      </c>
      <c r="AI368" s="7" t="str">
        <f>IF('Database MK'!EN369="","Belum",'Database MK'!EL369-'Database MK'!EN369)</f>
        <v>Belum</v>
      </c>
      <c r="AJ368" s="7">
        <f>'Database MK'!FY369-'Database MK'!FZ369</f>
        <v>-15</v>
      </c>
      <c r="AK368" s="7">
        <f>IF('Database MK'!GC369="","Belum",'Database MK'!GB369-'Database MK'!GC369)</f>
        <v>-93</v>
      </c>
      <c r="AL368" s="7">
        <f>IF('Database MK'!GF369="","Belum",'Database MK'!GE369-'Database MK'!GF369)</f>
        <v>-86</v>
      </c>
      <c r="AM368" s="279">
        <f>IF('Database MK'!GJ369="","Belum",'Database MK'!GI369-'Database MK'!GJ369)</f>
        <v>-82</v>
      </c>
      <c r="AN368" s="7" t="str">
        <f>IF('Database MK'!HG369="","Belum",'Database MK'!HF369-'Database MK'!HG369)</f>
        <v>Belum</v>
      </c>
      <c r="AO368" s="7" t="str">
        <f>IF('Database MK'!HQ369="","Belum",'Database MK'!HN369-'Database MK'!HQ369)</f>
        <v>Belum</v>
      </c>
      <c r="AP368" s="7" t="str">
        <f>IF('Database MK'!HW369="","Belum",'Database MK'!HU369-'Database MK'!HW369)</f>
        <v>Belum</v>
      </c>
    </row>
    <row r="369" spans="2:42" hidden="1" x14ac:dyDescent="0.25">
      <c r="B369" s="7">
        <f>SUBTOTAL(3,$C$4:C369)</f>
        <v>74</v>
      </c>
      <c r="C369" s="269" t="s">
        <v>244</v>
      </c>
      <c r="D369" s="4" t="s">
        <v>2953</v>
      </c>
      <c r="E369" s="4" t="s">
        <v>2954</v>
      </c>
      <c r="F369" s="270">
        <v>46296</v>
      </c>
      <c r="G369" s="4" t="s">
        <v>681</v>
      </c>
      <c r="H369" s="4" t="str">
        <f ca="1">'Database MK'!Q370</f>
        <v>MC-0</v>
      </c>
      <c r="I369" s="24">
        <f>'Database MK'!S370</f>
        <v>1</v>
      </c>
      <c r="J369" s="24">
        <f>'Database MK'!T370</f>
        <v>5.1620825288808278E-2</v>
      </c>
      <c r="K369" s="571">
        <f>'Database MK'!U370</f>
        <v>-0.94837917471119171</v>
      </c>
      <c r="L369" s="561">
        <f>'Database MK'!V370</f>
        <v>920</v>
      </c>
      <c r="M369" s="561">
        <f>'Database MK'!W370</f>
        <v>0</v>
      </c>
      <c r="N369" s="561">
        <f>Table3[[#This Row],[Total Panjang Pipa Aktual]]-Table3[[#This Row],[Volume
BA MC-0]]</f>
        <v>-920</v>
      </c>
      <c r="O369" s="7" t="str">
        <f ca="1">'Database MK'!DE370</f>
        <v>Sudah, OnSchedule</v>
      </c>
      <c r="P369" s="7" t="str">
        <f ca="1">'Database MK'!DI370</f>
        <v>Sudah, Delay</v>
      </c>
      <c r="Q369" s="7" t="str">
        <f ca="1">'Database MK'!DN370</f>
        <v>Sudah, OnSchedule</v>
      </c>
      <c r="R369" s="7" t="str">
        <f ca="1">'Database MK'!DR370</f>
        <v>Sudah, Delay</v>
      </c>
      <c r="S369" s="7" t="str">
        <f ca="1">'Database MK'!EA370</f>
        <v>Sudah, Delay</v>
      </c>
      <c r="T369" s="7" t="str">
        <f ca="1">'Database MK'!EI370</f>
        <v>Belum, Delay</v>
      </c>
      <c r="U369" s="7" t="str">
        <f ca="1">'Database MK'!ET370</f>
        <v>Belum, Delay</v>
      </c>
      <c r="V369" s="7" t="str">
        <f ca="1">'Database MK'!GA370</f>
        <v>Sudah, Delay</v>
      </c>
      <c r="W369" s="7" t="str">
        <f ca="1">'Database MK'!GD370</f>
        <v>Sudah, Delay</v>
      </c>
      <c r="X369" s="7" t="str">
        <f ca="1">'Database MK'!GG370</f>
        <v>Sudah, Delay</v>
      </c>
      <c r="Y369" s="7" t="str">
        <f ca="1">'Database MK'!GK370</f>
        <v>Sudah, Delay</v>
      </c>
      <c r="Z369" s="7" t="str">
        <f ca="1">'Database MK'!HH370</f>
        <v>Belum, Delay</v>
      </c>
      <c r="AA369" s="7" t="str">
        <f ca="1">'Database MK'!HR370</f>
        <v>Belum, Delay</v>
      </c>
      <c r="AB369" s="7" t="str">
        <f ca="1">'Database MK'!HX370</f>
        <v>Belum, Delay</v>
      </c>
      <c r="AC369" s="7">
        <f>'Database MK'!DA370-'Database MK'!DB370</f>
        <v>18</v>
      </c>
      <c r="AD369" s="7">
        <f>'Database MK'!DA370-'Database MK'!DF370</f>
        <v>-2</v>
      </c>
      <c r="AE369" s="7">
        <f>'Database MK'!DK370-'Database MK'!DL370</f>
        <v>1</v>
      </c>
      <c r="AF369" s="7">
        <f>'Database MK'!DK370-'Database MK'!DO370</f>
        <v>-44</v>
      </c>
      <c r="AG369" s="7">
        <f>'Database MK'!DU370-'Database MK'!DW370</f>
        <v>-20</v>
      </c>
      <c r="AH369" s="7" t="str">
        <f>IF('Database MK'!EB370="","Belum",'Database MK'!DU370-'Database MK'!EB370)</f>
        <v>Belum</v>
      </c>
      <c r="AI369" s="7" t="str">
        <f>IF('Database MK'!EN370="","Belum",'Database MK'!EL370-'Database MK'!EN370)</f>
        <v>Belum</v>
      </c>
      <c r="AJ369" s="7">
        <f>'Database MK'!FY370-'Database MK'!FZ370</f>
        <v>-15</v>
      </c>
      <c r="AK369" s="7">
        <f>IF('Database MK'!GC370="","Belum",'Database MK'!GB370-'Database MK'!GC370)</f>
        <v>-64</v>
      </c>
      <c r="AL369" s="7">
        <f>IF('Database MK'!GF370="","Belum",'Database MK'!GE370-'Database MK'!GF370)</f>
        <v>-57</v>
      </c>
      <c r="AM369" s="279">
        <f>IF('Database MK'!GJ370="","Belum",'Database MK'!GI370-'Database MK'!GJ370)</f>
        <v>-59</v>
      </c>
      <c r="AN369" s="7" t="str">
        <f>IF('Database MK'!HG370="","Belum",'Database MK'!HF370-'Database MK'!HG370)</f>
        <v>Belum</v>
      </c>
      <c r="AO369" s="7" t="str">
        <f>IF('Database MK'!HQ370="","Belum",'Database MK'!HN370-'Database MK'!HQ370)</f>
        <v>Belum</v>
      </c>
      <c r="AP369" s="7" t="str">
        <f>IF('Database MK'!HW370="","Belum",'Database MK'!HU370-'Database MK'!HW370)</f>
        <v>Belum</v>
      </c>
    </row>
    <row r="370" spans="2:42" hidden="1" x14ac:dyDescent="0.25">
      <c r="B370" s="7">
        <f>SUBTOTAL(3,$C$4:C370)</f>
        <v>74</v>
      </c>
      <c r="C370" s="269" t="s">
        <v>244</v>
      </c>
      <c r="D370" s="4" t="s">
        <v>2961</v>
      </c>
      <c r="E370" s="4" t="s">
        <v>2962</v>
      </c>
      <c r="F370" s="270">
        <v>46296</v>
      </c>
      <c r="G370" s="4" t="s">
        <v>681</v>
      </c>
      <c r="H370" s="4" t="str">
        <f>'Database MK'!Q371</f>
        <v>BATAL / CANCEL</v>
      </c>
      <c r="I370" s="24">
        <f>'Database MK'!S371</f>
        <v>1.0000000000000002</v>
      </c>
      <c r="J370" s="24">
        <f>'Database MK'!T371</f>
        <v>7.0822232078847316E-2</v>
      </c>
      <c r="K370" s="571">
        <f>'Database MK'!U371</f>
        <v>-0.92917776792115292</v>
      </c>
      <c r="L370" s="561">
        <f>'Database MK'!V371</f>
        <v>0</v>
      </c>
      <c r="M370" s="561">
        <f>'Database MK'!W371</f>
        <v>0</v>
      </c>
      <c r="N370" s="561">
        <f>Table3[[#This Row],[Total Panjang Pipa Aktual]]-Table3[[#This Row],[Volume
BA MC-0]]</f>
        <v>0</v>
      </c>
      <c r="O370" s="7" t="str">
        <f ca="1">'Database MK'!DE371</f>
        <v>Sudah, OnSchedule</v>
      </c>
      <c r="P370" s="7" t="str">
        <f ca="1">'Database MK'!DI371</f>
        <v>Sudah, Delay</v>
      </c>
      <c r="Q370" s="7" t="str">
        <f ca="1">'Database MK'!DN371</f>
        <v>Sudah, OnSchedule</v>
      </c>
      <c r="R370" s="7" t="str">
        <f ca="1">'Database MK'!DR371</f>
        <v>Sudah, Delay</v>
      </c>
      <c r="S370" s="7" t="str">
        <f ca="1">'Database MK'!EA371</f>
        <v>Sudah, Delay</v>
      </c>
      <c r="T370" s="7" t="str">
        <f ca="1">'Database MK'!EI371</f>
        <v>Belum, Delay</v>
      </c>
      <c r="U370" s="7" t="str">
        <f ca="1">'Database MK'!ET371</f>
        <v>Belum, Delay</v>
      </c>
      <c r="V370" s="7" t="str">
        <f ca="1">'Database MK'!GA371</f>
        <v>Sudah, Delay</v>
      </c>
      <c r="W370" s="7" t="str">
        <f ca="1">'Database MK'!GD371</f>
        <v>Sudah, Delay</v>
      </c>
      <c r="X370" s="7" t="str">
        <f ca="1">'Database MK'!GG371</f>
        <v>Sudah, Delay</v>
      </c>
      <c r="Y370" s="7" t="str">
        <f ca="1">'Database MK'!GK371</f>
        <v>Sudah, Delay</v>
      </c>
      <c r="Z370" s="7" t="str">
        <f ca="1">'Database MK'!HH371</f>
        <v>Belum, Delay</v>
      </c>
      <c r="AA370" s="7" t="str">
        <f ca="1">'Database MK'!HR371</f>
        <v>Belum, Delay</v>
      </c>
      <c r="AB370" s="7" t="str">
        <f ca="1">'Database MK'!HX371</f>
        <v>Belum, Delay</v>
      </c>
      <c r="AC370" s="7">
        <f>'Database MK'!DA371-'Database MK'!DB371</f>
        <v>18</v>
      </c>
      <c r="AD370" s="7">
        <f>'Database MK'!DA371-'Database MK'!DF371</f>
        <v>-3</v>
      </c>
      <c r="AE370" s="7">
        <f>'Database MK'!DK371-'Database MK'!DL371</f>
        <v>5</v>
      </c>
      <c r="AF370" s="7">
        <f>'Database MK'!DK371-'Database MK'!DO371</f>
        <v>-44</v>
      </c>
      <c r="AG370" s="7">
        <f>'Database MK'!DU371-'Database MK'!DW371</f>
        <v>-16</v>
      </c>
      <c r="AH370" s="7" t="str">
        <f>IF('Database MK'!EB371="","Belum",'Database MK'!DU371-'Database MK'!EB371)</f>
        <v>Belum</v>
      </c>
      <c r="AI370" s="7" t="str">
        <f>IF('Database MK'!EN371="","Belum",'Database MK'!EL371-'Database MK'!EN371)</f>
        <v>Belum</v>
      </c>
      <c r="AJ370" s="7">
        <f>'Database MK'!FY371-'Database MK'!FZ371</f>
        <v>-15</v>
      </c>
      <c r="AK370" s="7">
        <f>IF('Database MK'!GC371="","Belum",'Database MK'!GB371-'Database MK'!GC371)</f>
        <v>-93</v>
      </c>
      <c r="AL370" s="7">
        <f>IF('Database MK'!GF371="","Belum",'Database MK'!GE371-'Database MK'!GF371)</f>
        <v>-86</v>
      </c>
      <c r="AM370" s="279">
        <f>IF('Database MK'!GJ371="","Belum",'Database MK'!GI371-'Database MK'!GJ371)</f>
        <v>-78</v>
      </c>
      <c r="AN370" s="7" t="str">
        <f>IF('Database MK'!HG371="","Belum",'Database MK'!HF371-'Database MK'!HG371)</f>
        <v>Belum</v>
      </c>
      <c r="AO370" s="7" t="str">
        <f>IF('Database MK'!HQ371="","Belum",'Database MK'!HN371-'Database MK'!HQ371)</f>
        <v>Belum</v>
      </c>
      <c r="AP370" s="7" t="str">
        <f>IF('Database MK'!HW371="","Belum",'Database MK'!HU371-'Database MK'!HW371)</f>
        <v>Belum</v>
      </c>
    </row>
    <row r="371" spans="2:42" hidden="1" x14ac:dyDescent="0.25">
      <c r="B371" s="7">
        <f>SUBTOTAL(3,$C$4:C371)</f>
        <v>74</v>
      </c>
      <c r="C371" s="269" t="s">
        <v>244</v>
      </c>
      <c r="D371" s="4" t="s">
        <v>2969</v>
      </c>
      <c r="E371" s="4" t="s">
        <v>2970</v>
      </c>
      <c r="F371" s="270">
        <v>46296</v>
      </c>
      <c r="G371" s="4" t="s">
        <v>681</v>
      </c>
      <c r="H371" s="4" t="str">
        <f ca="1">'Database MK'!Q372</f>
        <v>MC-0</v>
      </c>
      <c r="I371" s="24">
        <f>'Database MK'!S372</f>
        <v>1</v>
      </c>
      <c r="J371" s="24">
        <f>'Database MK'!T372</f>
        <v>7.9003289546693556E-2</v>
      </c>
      <c r="K371" s="571">
        <f>'Database MK'!U372</f>
        <v>-0.92099671045330644</v>
      </c>
      <c r="L371" s="561">
        <f>'Database MK'!V372</f>
        <v>0</v>
      </c>
      <c r="M371" s="561">
        <f>'Database MK'!W372</f>
        <v>0</v>
      </c>
      <c r="N371" s="561">
        <f>Table3[[#This Row],[Total Panjang Pipa Aktual]]-Table3[[#This Row],[Volume
BA MC-0]]</f>
        <v>0</v>
      </c>
      <c r="O371" s="7" t="str">
        <f ca="1">'Database MK'!DE372</f>
        <v>Sudah, OnSchedule</v>
      </c>
      <c r="P371" s="7" t="str">
        <f ca="1">'Database MK'!DI372</f>
        <v>Sudah, Delay</v>
      </c>
      <c r="Q371" s="7" t="str">
        <f ca="1">'Database MK'!DN372</f>
        <v>Sudah, OnSchedule</v>
      </c>
      <c r="R371" s="7" t="str">
        <f ca="1">'Database MK'!DR372</f>
        <v>Sudah, Delay</v>
      </c>
      <c r="S371" s="7" t="str">
        <f ca="1">'Database MK'!EA372</f>
        <v>Sudah, Delay</v>
      </c>
      <c r="T371" s="7" t="str">
        <f ca="1">'Database MK'!EI372</f>
        <v>Belum, Delay</v>
      </c>
      <c r="U371" s="7" t="str">
        <f ca="1">'Database MK'!ET372</f>
        <v>Belum, Delay</v>
      </c>
      <c r="V371" s="7" t="str">
        <f ca="1">'Database MK'!GA372</f>
        <v>Sudah, Delay</v>
      </c>
      <c r="W371" s="7" t="str">
        <f ca="1">'Database MK'!GD372</f>
        <v>Sudah, Delay</v>
      </c>
      <c r="X371" s="7" t="str">
        <f ca="1">'Database MK'!GG372</f>
        <v>Sudah, Delay</v>
      </c>
      <c r="Y371" s="7" t="str">
        <f ca="1">'Database MK'!GK372</f>
        <v>Sudah, Delay</v>
      </c>
      <c r="Z371" s="7" t="str">
        <f ca="1">'Database MK'!HH372</f>
        <v>Belum, Delay</v>
      </c>
      <c r="AA371" s="7" t="str">
        <f ca="1">'Database MK'!HR372</f>
        <v>Belum, Delay</v>
      </c>
      <c r="AB371" s="7" t="str">
        <f ca="1">'Database MK'!HX372</f>
        <v>Belum, Delay</v>
      </c>
      <c r="AC371" s="7">
        <f>'Database MK'!DA372-'Database MK'!DB372</f>
        <v>17</v>
      </c>
      <c r="AD371" s="7">
        <f>'Database MK'!DA372-'Database MK'!DF372</f>
        <v>-3</v>
      </c>
      <c r="AE371" s="7">
        <f>'Database MK'!DK372-'Database MK'!DL372</f>
        <v>5</v>
      </c>
      <c r="AF371" s="7">
        <f>'Database MK'!DK372-'Database MK'!DO372</f>
        <v>-40</v>
      </c>
      <c r="AG371" s="7">
        <f>'Database MK'!DU372-'Database MK'!DW372</f>
        <v>-16</v>
      </c>
      <c r="AH371" s="7" t="str">
        <f>IF('Database MK'!EB372="","Belum",'Database MK'!DU372-'Database MK'!EB372)</f>
        <v>Belum</v>
      </c>
      <c r="AI371" s="7" t="str">
        <f>IF('Database MK'!EN372="","Belum",'Database MK'!EL372-'Database MK'!EN372)</f>
        <v>Belum</v>
      </c>
      <c r="AJ371" s="7">
        <f>'Database MK'!FY372-'Database MK'!FZ372</f>
        <v>-15</v>
      </c>
      <c r="AK371" s="7">
        <f>IF('Database MK'!GC372="","Belum",'Database MK'!GB372-'Database MK'!GC372)</f>
        <v>-93</v>
      </c>
      <c r="AL371" s="7">
        <f>IF('Database MK'!GF372="","Belum",'Database MK'!GE372-'Database MK'!GF372)</f>
        <v>-86</v>
      </c>
      <c r="AM371" s="279">
        <f>IF('Database MK'!GJ372="","Belum",'Database MK'!GI372-'Database MK'!GJ372)</f>
        <v>-80</v>
      </c>
      <c r="AN371" s="7" t="str">
        <f>IF('Database MK'!HG372="","Belum",'Database MK'!HF372-'Database MK'!HG372)</f>
        <v>Belum</v>
      </c>
      <c r="AO371" s="7" t="str">
        <f>IF('Database MK'!HQ372="","Belum",'Database MK'!HN372-'Database MK'!HQ372)</f>
        <v>Belum</v>
      </c>
      <c r="AP371" s="7" t="str">
        <f>IF('Database MK'!HW372="","Belum",'Database MK'!HU372-'Database MK'!HW372)</f>
        <v>Belum</v>
      </c>
    </row>
    <row r="372" spans="2:42" hidden="1" x14ac:dyDescent="0.25">
      <c r="B372" s="7">
        <f>SUBTOTAL(3,$C$4:C372)</f>
        <v>74</v>
      </c>
      <c r="C372" s="269" t="s">
        <v>244</v>
      </c>
      <c r="D372" s="4" t="s">
        <v>2977</v>
      </c>
      <c r="E372" s="4" t="s">
        <v>2978</v>
      </c>
      <c r="F372" s="270">
        <v>46296</v>
      </c>
      <c r="G372" s="4" t="s">
        <v>681</v>
      </c>
      <c r="H372" s="4" t="str">
        <f ca="1">'Database MK'!Q373</f>
        <v>MC-0</v>
      </c>
      <c r="I372" s="24">
        <f>'Database MK'!S373</f>
        <v>1</v>
      </c>
      <c r="J372" s="24">
        <f>'Database MK'!T373</f>
        <v>8.8178517756254113E-2</v>
      </c>
      <c r="K372" s="571">
        <f>'Database MK'!U373</f>
        <v>-0.91182148224374593</v>
      </c>
      <c r="L372" s="561">
        <f>'Database MK'!V373</f>
        <v>0</v>
      </c>
      <c r="M372" s="561">
        <f>'Database MK'!W373</f>
        <v>0</v>
      </c>
      <c r="N372" s="561">
        <f>Table3[[#This Row],[Total Panjang Pipa Aktual]]-Table3[[#This Row],[Volume
BA MC-0]]</f>
        <v>0</v>
      </c>
      <c r="O372" s="7" t="str">
        <f ca="1">'Database MK'!DE373</f>
        <v>Sudah, OnSchedule</v>
      </c>
      <c r="P372" s="7" t="str">
        <f ca="1">'Database MK'!DI373</f>
        <v>Sudah, Delay</v>
      </c>
      <c r="Q372" s="7" t="str">
        <f ca="1">'Database MK'!DN373</f>
        <v>Sudah, OnSchedule</v>
      </c>
      <c r="R372" s="7" t="str">
        <f ca="1">'Database MK'!DR373</f>
        <v>Sudah, Delay</v>
      </c>
      <c r="S372" s="7" t="str">
        <f ca="1">'Database MK'!EA373</f>
        <v>Sudah, Delay</v>
      </c>
      <c r="T372" s="7" t="str">
        <f ca="1">'Database MK'!EI373</f>
        <v>Belum, Delay</v>
      </c>
      <c r="U372" s="7" t="str">
        <f ca="1">'Database MK'!ET373</f>
        <v>Belum, Delay</v>
      </c>
      <c r="V372" s="7" t="str">
        <f ca="1">'Database MK'!GA373</f>
        <v>Sudah, Delay</v>
      </c>
      <c r="W372" s="7" t="str">
        <f ca="1">'Database MK'!GD373</f>
        <v>Sudah, Delay</v>
      </c>
      <c r="X372" s="7" t="str">
        <f ca="1">'Database MK'!GG373</f>
        <v>Sudah, Delay</v>
      </c>
      <c r="Y372" s="7" t="str">
        <f ca="1">'Database MK'!GK373</f>
        <v>Sudah, Delay</v>
      </c>
      <c r="Z372" s="7" t="str">
        <f ca="1">'Database MK'!HH373</f>
        <v>Belum, Delay</v>
      </c>
      <c r="AA372" s="7" t="str">
        <f ca="1">'Database MK'!HR373</f>
        <v>Belum, Delay</v>
      </c>
      <c r="AB372" s="7" t="str">
        <f ca="1">'Database MK'!HX373</f>
        <v>Belum, Delay</v>
      </c>
      <c r="AC372" s="7">
        <f>'Database MK'!DA373-'Database MK'!DB373</f>
        <v>17</v>
      </c>
      <c r="AD372" s="7">
        <f>'Database MK'!DA373-'Database MK'!DF373</f>
        <v>-3</v>
      </c>
      <c r="AE372" s="7">
        <f>'Database MK'!DK373-'Database MK'!DL373</f>
        <v>0</v>
      </c>
      <c r="AF372" s="7">
        <f>'Database MK'!DK373-'Database MK'!DO373</f>
        <v>-46</v>
      </c>
      <c r="AG372" s="7">
        <f>'Database MK'!DU373-'Database MK'!DW373</f>
        <v>-21</v>
      </c>
      <c r="AH372" s="7" t="str">
        <f>IF('Database MK'!EB373="","Belum",'Database MK'!DU373-'Database MK'!EB373)</f>
        <v>Belum</v>
      </c>
      <c r="AI372" s="7" t="str">
        <f>IF('Database MK'!EN373="","Belum",'Database MK'!EL373-'Database MK'!EN373)</f>
        <v>Belum</v>
      </c>
      <c r="AJ372" s="7">
        <f>'Database MK'!FY373-'Database MK'!FZ373</f>
        <v>-15</v>
      </c>
      <c r="AK372" s="7">
        <f>IF('Database MK'!GC373="","Belum",'Database MK'!GB373-'Database MK'!GC373)</f>
        <v>-93</v>
      </c>
      <c r="AL372" s="7">
        <f>IF('Database MK'!GF373="","Belum",'Database MK'!GE373-'Database MK'!GF373)</f>
        <v>-86</v>
      </c>
      <c r="AM372" s="279">
        <f>IF('Database MK'!GJ373="","Belum",'Database MK'!GI373-'Database MK'!GJ373)</f>
        <v>-79</v>
      </c>
      <c r="AN372" s="7" t="str">
        <f>IF('Database MK'!HG373="","Belum",'Database MK'!HF373-'Database MK'!HG373)</f>
        <v>Belum</v>
      </c>
      <c r="AO372" s="7" t="str">
        <f>IF('Database MK'!HQ373="","Belum",'Database MK'!HN373-'Database MK'!HQ373)</f>
        <v>Belum</v>
      </c>
      <c r="AP372" s="7" t="str">
        <f>IF('Database MK'!HW373="","Belum",'Database MK'!HU373-'Database MK'!HW373)</f>
        <v>Belum</v>
      </c>
    </row>
    <row r="373" spans="2:42" hidden="1" x14ac:dyDescent="0.25">
      <c r="B373" s="7">
        <f>SUBTOTAL(3,$C$4:C373)</f>
        <v>74</v>
      </c>
      <c r="C373" s="269" t="s">
        <v>244</v>
      </c>
      <c r="D373" s="4" t="s">
        <v>2985</v>
      </c>
      <c r="E373" s="4" t="s">
        <v>2986</v>
      </c>
      <c r="F373" s="270">
        <v>46296</v>
      </c>
      <c r="G373" s="4" t="s">
        <v>681</v>
      </c>
      <c r="H373" s="4" t="str">
        <f ca="1">'Database MK'!Q374</f>
        <v>MC-0</v>
      </c>
      <c r="I373" s="24">
        <f>'Database MK'!S374</f>
        <v>0.99999999999999989</v>
      </c>
      <c r="J373" s="24">
        <f>'Database MK'!T374</f>
        <v>0.11540202893979591</v>
      </c>
      <c r="K373" s="571">
        <f>'Database MK'!U374</f>
        <v>-0.88459797106020399</v>
      </c>
      <c r="L373" s="561">
        <f>'Database MK'!V374</f>
        <v>0</v>
      </c>
      <c r="M373" s="561">
        <f>'Database MK'!W374</f>
        <v>0</v>
      </c>
      <c r="N373" s="561">
        <f>Table3[[#This Row],[Total Panjang Pipa Aktual]]-Table3[[#This Row],[Volume
BA MC-0]]</f>
        <v>0</v>
      </c>
      <c r="O373" s="7" t="str">
        <f ca="1">'Database MK'!DE374</f>
        <v>Sudah, OnSchedule</v>
      </c>
      <c r="P373" s="7" t="str">
        <f ca="1">'Database MK'!DI374</f>
        <v>Sudah, Delay</v>
      </c>
      <c r="Q373" s="7" t="str">
        <f ca="1">'Database MK'!DN374</f>
        <v>Sudah, OnSchedule</v>
      </c>
      <c r="R373" s="7" t="str">
        <f ca="1">'Database MK'!DR374</f>
        <v>Sudah, Delay</v>
      </c>
      <c r="S373" s="7" t="str">
        <f ca="1">'Database MK'!EA374</f>
        <v>Sudah, Delay</v>
      </c>
      <c r="T373" s="7" t="str">
        <f ca="1">'Database MK'!EI374</f>
        <v>Belum, Delay</v>
      </c>
      <c r="U373" s="7" t="str">
        <f ca="1">'Database MK'!ET374</f>
        <v>Belum, Delay</v>
      </c>
      <c r="V373" s="7" t="str">
        <f ca="1">'Database MK'!GA374</f>
        <v>Sudah, Delay</v>
      </c>
      <c r="W373" s="7" t="str">
        <f ca="1">'Database MK'!GD374</f>
        <v>Sudah, Delay</v>
      </c>
      <c r="X373" s="7" t="str">
        <f ca="1">'Database MK'!GG374</f>
        <v>Sudah, Delay</v>
      </c>
      <c r="Y373" s="7" t="str">
        <f ca="1">'Database MK'!GK374</f>
        <v>Sudah, Delay</v>
      </c>
      <c r="Z373" s="7" t="str">
        <f ca="1">'Database MK'!HH374</f>
        <v>Belum, Delay</v>
      </c>
      <c r="AA373" s="7" t="str">
        <f ca="1">'Database MK'!HR374</f>
        <v>Belum, Delay</v>
      </c>
      <c r="AB373" s="7" t="str">
        <f ca="1">'Database MK'!HX374</f>
        <v>Belum, Delay</v>
      </c>
      <c r="AC373" s="7">
        <f>'Database MK'!DA374-'Database MK'!DB374</f>
        <v>17</v>
      </c>
      <c r="AD373" s="7">
        <f>'Database MK'!DA374-'Database MK'!DF374</f>
        <v>-15</v>
      </c>
      <c r="AE373" s="7">
        <f>'Database MK'!DK374-'Database MK'!DL374</f>
        <v>0</v>
      </c>
      <c r="AF373" s="7">
        <f>'Database MK'!DK374-'Database MK'!DO374</f>
        <v>-46</v>
      </c>
      <c r="AG373" s="7">
        <f>'Database MK'!DU374-'Database MK'!DW374</f>
        <v>-21</v>
      </c>
      <c r="AH373" s="7" t="str">
        <f>IF('Database MK'!EB374="","Belum",'Database MK'!DU374-'Database MK'!EB374)</f>
        <v>Belum</v>
      </c>
      <c r="AI373" s="7" t="str">
        <f>IF('Database MK'!EN374="","Belum",'Database MK'!EL374-'Database MK'!EN374)</f>
        <v>Belum</v>
      </c>
      <c r="AJ373" s="7">
        <f>'Database MK'!FY374-'Database MK'!FZ374</f>
        <v>-15</v>
      </c>
      <c r="AK373" s="7">
        <f>IF('Database MK'!GC374="","Belum",'Database MK'!GB374-'Database MK'!GC374)</f>
        <v>-93</v>
      </c>
      <c r="AL373" s="7">
        <f>IF('Database MK'!GF374="","Belum",'Database MK'!GE374-'Database MK'!GF374)</f>
        <v>-86</v>
      </c>
      <c r="AM373" s="279">
        <f>IF('Database MK'!GJ374="","Belum",'Database MK'!GI374-'Database MK'!GJ374)</f>
        <v>-79</v>
      </c>
      <c r="AN373" s="7" t="str">
        <f>IF('Database MK'!HG374="","Belum",'Database MK'!HF374-'Database MK'!HG374)</f>
        <v>Belum</v>
      </c>
      <c r="AO373" s="7" t="str">
        <f>IF('Database MK'!HQ374="","Belum",'Database MK'!HN374-'Database MK'!HQ374)</f>
        <v>Belum</v>
      </c>
      <c r="AP373" s="7" t="str">
        <f>IF('Database MK'!HW374="","Belum",'Database MK'!HU374-'Database MK'!HW374)</f>
        <v>Belum</v>
      </c>
    </row>
    <row r="374" spans="2:42" hidden="1" x14ac:dyDescent="0.25">
      <c r="B374" s="7">
        <f>SUBTOTAL(3,$C$4:C374)</f>
        <v>74</v>
      </c>
      <c r="C374" s="269" t="s">
        <v>244</v>
      </c>
      <c r="D374" s="4" t="s">
        <v>2993</v>
      </c>
      <c r="E374" s="4" t="s">
        <v>2994</v>
      </c>
      <c r="F374" s="270">
        <v>46296</v>
      </c>
      <c r="G374" s="4" t="s">
        <v>681</v>
      </c>
      <c r="H374" s="4" t="str">
        <f ca="1">'Database MK'!Q375</f>
        <v>MC-0</v>
      </c>
      <c r="I374" s="24">
        <f>'Database MK'!S375</f>
        <v>1.0000000000000002</v>
      </c>
      <c r="J374" s="24">
        <f>'Database MK'!T375</f>
        <v>7.4970633073719484E-2</v>
      </c>
      <c r="K374" s="571">
        <f>'Database MK'!U375</f>
        <v>-0.92502936692628079</v>
      </c>
      <c r="L374" s="561">
        <f>'Database MK'!V375</f>
        <v>0</v>
      </c>
      <c r="M374" s="561">
        <f>'Database MK'!W375</f>
        <v>0</v>
      </c>
      <c r="N374" s="561">
        <f>Table3[[#This Row],[Total Panjang Pipa Aktual]]-Table3[[#This Row],[Volume
BA MC-0]]</f>
        <v>0</v>
      </c>
      <c r="O374" s="7" t="str">
        <f ca="1">'Database MK'!DE375</f>
        <v>Sudah, OnSchedule</v>
      </c>
      <c r="P374" s="7" t="str">
        <f ca="1">'Database MK'!DI375</f>
        <v>Sudah, Delay</v>
      </c>
      <c r="Q374" s="7" t="str">
        <f ca="1">'Database MK'!DN375</f>
        <v>Sudah, Delay</v>
      </c>
      <c r="R374" s="7" t="str">
        <f ca="1">'Database MK'!DR375</f>
        <v>Sudah, Delay</v>
      </c>
      <c r="S374" s="7" t="str">
        <f ca="1">'Database MK'!EA375</f>
        <v>Sudah, Delay</v>
      </c>
      <c r="T374" s="7" t="str">
        <f ca="1">'Database MK'!EI375</f>
        <v>Belum, Delay</v>
      </c>
      <c r="U374" s="7" t="str">
        <f ca="1">'Database MK'!ET375</f>
        <v>Belum, Delay</v>
      </c>
      <c r="V374" s="7" t="str">
        <f ca="1">'Database MK'!GA375</f>
        <v>Sudah, Delay</v>
      </c>
      <c r="W374" s="7" t="str">
        <f ca="1">'Database MK'!GD375</f>
        <v>Sudah, Delay</v>
      </c>
      <c r="X374" s="7" t="str">
        <f ca="1">'Database MK'!GG375</f>
        <v>Sudah, Delay</v>
      </c>
      <c r="Y374" s="7" t="str">
        <f ca="1">'Database MK'!GK375</f>
        <v>Sudah, Delay</v>
      </c>
      <c r="Z374" s="7" t="str">
        <f ca="1">'Database MK'!HH375</f>
        <v>Belum, Delay</v>
      </c>
      <c r="AA374" s="7" t="str">
        <f ca="1">'Database MK'!HR375</f>
        <v>Belum, Delay</v>
      </c>
      <c r="AB374" s="7" t="str">
        <f ca="1">'Database MK'!HX375</f>
        <v>Belum, Delay</v>
      </c>
      <c r="AC374" s="7">
        <f>'Database MK'!DA375-'Database MK'!DB375</f>
        <v>17</v>
      </c>
      <c r="AD374" s="7">
        <f>'Database MK'!DA375-'Database MK'!DF375</f>
        <v>-3</v>
      </c>
      <c r="AE374" s="7">
        <f>'Database MK'!DK375-'Database MK'!DL375</f>
        <v>-1</v>
      </c>
      <c r="AF374" s="7">
        <f>'Database MK'!DK375-'Database MK'!DO375</f>
        <v>-46</v>
      </c>
      <c r="AG374" s="7">
        <f>'Database MK'!DU375-'Database MK'!DW375</f>
        <v>-22</v>
      </c>
      <c r="AH374" s="7" t="str">
        <f>IF('Database MK'!EB375="","Belum",'Database MK'!DU375-'Database MK'!EB375)</f>
        <v>Belum</v>
      </c>
      <c r="AI374" s="7" t="str">
        <f>IF('Database MK'!EN375="","Belum",'Database MK'!EL375-'Database MK'!EN375)</f>
        <v>Belum</v>
      </c>
      <c r="AJ374" s="7">
        <f>'Database MK'!FY375-'Database MK'!FZ375</f>
        <v>-15</v>
      </c>
      <c r="AK374" s="7">
        <f>IF('Database MK'!GC375="","Belum",'Database MK'!GB375-'Database MK'!GC375)</f>
        <v>-93</v>
      </c>
      <c r="AL374" s="7">
        <f>IF('Database MK'!GF375="","Belum",'Database MK'!GE375-'Database MK'!GF375)</f>
        <v>-86</v>
      </c>
      <c r="AM374" s="279">
        <f>IF('Database MK'!GJ375="","Belum",'Database MK'!GI375-'Database MK'!GJ375)</f>
        <v>-79</v>
      </c>
      <c r="AN374" s="7" t="str">
        <f>IF('Database MK'!HG375="","Belum",'Database MK'!HF375-'Database MK'!HG375)</f>
        <v>Belum</v>
      </c>
      <c r="AO374" s="7" t="str">
        <f>IF('Database MK'!HQ375="","Belum",'Database MK'!HN375-'Database MK'!HQ375)</f>
        <v>Belum</v>
      </c>
      <c r="AP374" s="7" t="str">
        <f>IF('Database MK'!HW375="","Belum",'Database MK'!HU375-'Database MK'!HW375)</f>
        <v>Belum</v>
      </c>
    </row>
    <row r="375" spans="2:42" hidden="1" x14ac:dyDescent="0.25">
      <c r="B375" s="7">
        <f>SUBTOTAL(3,$C$4:C375)</f>
        <v>74</v>
      </c>
      <c r="C375" s="269" t="s">
        <v>244</v>
      </c>
      <c r="D375" s="4" t="s">
        <v>3001</v>
      </c>
      <c r="E375" s="4" t="s">
        <v>3002</v>
      </c>
      <c r="F375" s="270">
        <v>46296</v>
      </c>
      <c r="G375" s="4" t="s">
        <v>681</v>
      </c>
      <c r="H375" s="4" t="str">
        <f>'Database MK'!Q376</f>
        <v>BATAL / CANCEL</v>
      </c>
      <c r="I375" s="24">
        <f>'Database MK'!S376</f>
        <v>0.99999999999999989</v>
      </c>
      <c r="J375" s="24">
        <f>'Database MK'!T376</f>
        <v>7.9008761264391339E-2</v>
      </c>
      <c r="K375" s="571">
        <f>'Database MK'!U376</f>
        <v>-0.92099123873560851</v>
      </c>
      <c r="L375" s="561">
        <f>'Database MK'!V376</f>
        <v>0</v>
      </c>
      <c r="M375" s="561">
        <f>'Database MK'!W376</f>
        <v>0</v>
      </c>
      <c r="N375" s="561">
        <f>Table3[[#This Row],[Total Panjang Pipa Aktual]]-Table3[[#This Row],[Volume
BA MC-0]]</f>
        <v>0</v>
      </c>
      <c r="O375" s="7" t="str">
        <f ca="1">'Database MK'!DE376</f>
        <v>Sudah, OnSchedule</v>
      </c>
      <c r="P375" s="7" t="str">
        <f ca="1">'Database MK'!DI376</f>
        <v>Sudah, Delay</v>
      </c>
      <c r="Q375" s="7" t="str">
        <f ca="1">'Database MK'!DN376</f>
        <v>Sudah, Delay</v>
      </c>
      <c r="R375" s="7" t="str">
        <f ca="1">'Database MK'!DR376</f>
        <v>Sudah, Delay</v>
      </c>
      <c r="S375" s="7" t="str">
        <f ca="1">'Database MK'!EA376</f>
        <v>Sudah, Delay</v>
      </c>
      <c r="T375" s="7" t="str">
        <f ca="1">'Database MK'!EI376</f>
        <v>Belum, Delay</v>
      </c>
      <c r="U375" s="7" t="str">
        <f ca="1">'Database MK'!ET376</f>
        <v>Belum, Delay</v>
      </c>
      <c r="V375" s="7" t="str">
        <f ca="1">'Database MK'!GA376</f>
        <v>Sudah, Delay</v>
      </c>
      <c r="W375" s="7" t="str">
        <f ca="1">'Database MK'!GD376</f>
        <v>Sudah, Delay</v>
      </c>
      <c r="X375" s="7" t="str">
        <f ca="1">'Database MK'!GG376</f>
        <v>Sudah, Delay</v>
      </c>
      <c r="Y375" s="7" t="str">
        <f ca="1">'Database MK'!GK376</f>
        <v>Sudah, Delay</v>
      </c>
      <c r="Z375" s="7" t="str">
        <f ca="1">'Database MK'!HH376</f>
        <v>Belum, Delay</v>
      </c>
      <c r="AA375" s="7" t="str">
        <f ca="1">'Database MK'!HR376</f>
        <v>Belum, Delay</v>
      </c>
      <c r="AB375" s="7" t="str">
        <f ca="1">'Database MK'!HX376</f>
        <v>Belum, Delay</v>
      </c>
      <c r="AC375" s="7">
        <f>'Database MK'!DA376-'Database MK'!DB376</f>
        <v>13</v>
      </c>
      <c r="AD375" s="7">
        <f>'Database MK'!DA376-'Database MK'!DF376</f>
        <v>-3</v>
      </c>
      <c r="AE375" s="7">
        <f>'Database MK'!DK376-'Database MK'!DL376</f>
        <v>-1</v>
      </c>
      <c r="AF375" s="7">
        <f>'Database MK'!DK376-'Database MK'!DO376</f>
        <v>-46</v>
      </c>
      <c r="AG375" s="7">
        <f>'Database MK'!DU376-'Database MK'!DW376</f>
        <v>-22</v>
      </c>
      <c r="AH375" s="7" t="str">
        <f>IF('Database MK'!EB376="","Belum",'Database MK'!DU376-'Database MK'!EB376)</f>
        <v>Belum</v>
      </c>
      <c r="AI375" s="7" t="str">
        <f>IF('Database MK'!EN376="","Belum",'Database MK'!EL376-'Database MK'!EN376)</f>
        <v>Belum</v>
      </c>
      <c r="AJ375" s="7">
        <f>'Database MK'!FY376-'Database MK'!FZ376</f>
        <v>-15</v>
      </c>
      <c r="AK375" s="7">
        <f>IF('Database MK'!GC376="","Belum",'Database MK'!GB376-'Database MK'!GC376)</f>
        <v>-93</v>
      </c>
      <c r="AL375" s="7">
        <f>IF('Database MK'!GF376="","Belum",'Database MK'!GE376-'Database MK'!GF376)</f>
        <v>-86</v>
      </c>
      <c r="AM375" s="279">
        <f>IF('Database MK'!GJ376="","Belum",'Database MK'!GI376-'Database MK'!GJ376)</f>
        <v>-82</v>
      </c>
      <c r="AN375" s="7" t="str">
        <f>IF('Database MK'!HG376="","Belum",'Database MK'!HF376-'Database MK'!HG376)</f>
        <v>Belum</v>
      </c>
      <c r="AO375" s="7" t="str">
        <f>IF('Database MK'!HQ376="","Belum",'Database MK'!HN376-'Database MK'!HQ376)</f>
        <v>Belum</v>
      </c>
      <c r="AP375" s="7" t="str">
        <f>IF('Database MK'!HW376="","Belum",'Database MK'!HU376-'Database MK'!HW376)</f>
        <v>Belum</v>
      </c>
    </row>
    <row r="376" spans="2:42" hidden="1" x14ac:dyDescent="0.25">
      <c r="B376" s="7">
        <f>SUBTOTAL(3,$C$4:C376)</f>
        <v>74</v>
      </c>
      <c r="C376" s="269" t="s">
        <v>244</v>
      </c>
      <c r="D376" s="4" t="s">
        <v>3009</v>
      </c>
      <c r="E376" s="4" t="s">
        <v>3010</v>
      </c>
      <c r="F376" s="270">
        <v>46296</v>
      </c>
      <c r="G376" s="4" t="s">
        <v>681</v>
      </c>
      <c r="H376" s="4" t="str">
        <f>'Database MK'!Q377</f>
        <v>BATAL / CANCEL</v>
      </c>
      <c r="I376" s="24">
        <f>'Database MK'!S377</f>
        <v>1</v>
      </c>
      <c r="J376" s="24">
        <f>'Database MK'!T377</f>
        <v>0.10049051874786248</v>
      </c>
      <c r="K376" s="571">
        <f>'Database MK'!U377</f>
        <v>-0.89950948125213748</v>
      </c>
      <c r="L376" s="561">
        <f>'Database MK'!V377</f>
        <v>0</v>
      </c>
      <c r="M376" s="561">
        <f>'Database MK'!W377</f>
        <v>0</v>
      </c>
      <c r="N376" s="561">
        <f>Table3[[#This Row],[Total Panjang Pipa Aktual]]-Table3[[#This Row],[Volume
BA MC-0]]</f>
        <v>0</v>
      </c>
      <c r="O376" s="7" t="str">
        <f ca="1">'Database MK'!DE377</f>
        <v>Sudah, OnSchedule</v>
      </c>
      <c r="P376" s="7" t="str">
        <f ca="1">'Database MK'!DI377</f>
        <v>Sudah, Delay</v>
      </c>
      <c r="Q376" s="7" t="str">
        <f ca="1">'Database MK'!DN377</f>
        <v>Sudah, Delay</v>
      </c>
      <c r="R376" s="7" t="str">
        <f ca="1">'Database MK'!DR377</f>
        <v>Sudah, Delay</v>
      </c>
      <c r="S376" s="7" t="str">
        <f ca="1">'Database MK'!EA377</f>
        <v>Sudah, Delay</v>
      </c>
      <c r="T376" s="7" t="str">
        <f ca="1">'Database MK'!EI377</f>
        <v>Belum, Delay</v>
      </c>
      <c r="U376" s="7" t="str">
        <f ca="1">'Database MK'!ET377</f>
        <v>Belum, Delay</v>
      </c>
      <c r="V376" s="7" t="str">
        <f ca="1">'Database MK'!GA377</f>
        <v>Sudah, Delay</v>
      </c>
      <c r="W376" s="7" t="str">
        <f ca="1">'Database MK'!GD377</f>
        <v>Sudah, Delay</v>
      </c>
      <c r="X376" s="7" t="str">
        <f ca="1">'Database MK'!GG377</f>
        <v>Sudah, Delay</v>
      </c>
      <c r="Y376" s="7" t="str">
        <f ca="1">'Database MK'!GK377</f>
        <v>Sudah, Delay</v>
      </c>
      <c r="Z376" s="7" t="str">
        <f ca="1">'Database MK'!HH377</f>
        <v>Belum, Delay</v>
      </c>
      <c r="AA376" s="7" t="str">
        <f ca="1">'Database MK'!HR377</f>
        <v>Belum, Delay</v>
      </c>
      <c r="AB376" s="7" t="str">
        <f ca="1">'Database MK'!HX377</f>
        <v>Belum, Delay</v>
      </c>
      <c r="AC376" s="7">
        <f>'Database MK'!DA377-'Database MK'!DB377</f>
        <v>13</v>
      </c>
      <c r="AD376" s="7">
        <f>'Database MK'!DA377-'Database MK'!DF377</f>
        <v>-65</v>
      </c>
      <c r="AE376" s="7">
        <f>'Database MK'!DK377-'Database MK'!DL377</f>
        <v>-12</v>
      </c>
      <c r="AF376" s="7">
        <f>'Database MK'!DK377-'Database MK'!DO377</f>
        <v>-36</v>
      </c>
      <c r="AG376" s="7">
        <f>'Database MK'!DU377-'Database MK'!DW377</f>
        <v>-33</v>
      </c>
      <c r="AH376" s="7" t="str">
        <f>IF('Database MK'!EB377="","Belum",'Database MK'!DU377-'Database MK'!EB377)</f>
        <v>Belum</v>
      </c>
      <c r="AI376" s="7" t="str">
        <f>IF('Database MK'!EN377="","Belum",'Database MK'!EL377-'Database MK'!EN377)</f>
        <v>Belum</v>
      </c>
      <c r="AJ376" s="7">
        <f>'Database MK'!FY377-'Database MK'!FZ377</f>
        <v>-15</v>
      </c>
      <c r="AK376" s="7">
        <f>IF('Database MK'!GC377="","Belum",'Database MK'!GB377-'Database MK'!GC377)</f>
        <v>-93</v>
      </c>
      <c r="AL376" s="7">
        <f>IF('Database MK'!GF377="","Belum",'Database MK'!GE377-'Database MK'!GF377)</f>
        <v>-86</v>
      </c>
      <c r="AM376" s="279">
        <f>IF('Database MK'!GJ377="","Belum",'Database MK'!GI377-'Database MK'!GJ377)</f>
        <v>-78</v>
      </c>
      <c r="AN376" s="7" t="str">
        <f>IF('Database MK'!HG377="","Belum",'Database MK'!HF377-'Database MK'!HG377)</f>
        <v>Belum</v>
      </c>
      <c r="AO376" s="7" t="str">
        <f>IF('Database MK'!HQ377="","Belum",'Database MK'!HN377-'Database MK'!HQ377)</f>
        <v>Belum</v>
      </c>
      <c r="AP376" s="7" t="str">
        <f>IF('Database MK'!HW377="","Belum",'Database MK'!HU377-'Database MK'!HW377)</f>
        <v>Belum</v>
      </c>
    </row>
    <row r="377" spans="2:42" hidden="1" x14ac:dyDescent="0.25">
      <c r="B377" s="7">
        <f>SUBTOTAL(3,$C$4:C377)</f>
        <v>74</v>
      </c>
      <c r="C377" s="269" t="s">
        <v>244</v>
      </c>
      <c r="D377" s="4" t="s">
        <v>3016</v>
      </c>
      <c r="E377" s="4" t="s">
        <v>3017</v>
      </c>
      <c r="F377" s="270">
        <v>46296</v>
      </c>
      <c r="G377" s="4" t="s">
        <v>681</v>
      </c>
      <c r="H377" s="4" t="str">
        <f>'Database MK'!Q378</f>
        <v>BATAL / CANCEL</v>
      </c>
      <c r="I377" s="24">
        <f>'Database MK'!S378</f>
        <v>1</v>
      </c>
      <c r="J377" s="24">
        <f>'Database MK'!T378</f>
        <v>7.6200840245465626E-2</v>
      </c>
      <c r="K377" s="571">
        <f>'Database MK'!U378</f>
        <v>-0.92379915975453442</v>
      </c>
      <c r="L377" s="561">
        <f>'Database MK'!V378</f>
        <v>0</v>
      </c>
      <c r="M377" s="561">
        <f>'Database MK'!W378</f>
        <v>0</v>
      </c>
      <c r="N377" s="561">
        <f>Table3[[#This Row],[Total Panjang Pipa Aktual]]-Table3[[#This Row],[Volume
BA MC-0]]</f>
        <v>0</v>
      </c>
      <c r="O377" s="7" t="str">
        <f ca="1">'Database MK'!DE378</f>
        <v>Sudah, OnSchedule</v>
      </c>
      <c r="P377" s="7" t="str">
        <f ca="1">'Database MK'!DI378</f>
        <v>Sudah, Delay</v>
      </c>
      <c r="Q377" s="7" t="str">
        <f ca="1">'Database MK'!DN378</f>
        <v>Sudah, Delay</v>
      </c>
      <c r="R377" s="7" t="str">
        <f ca="1">'Database MK'!DR378</f>
        <v>Sudah, Delay</v>
      </c>
      <c r="S377" s="7" t="str">
        <f ca="1">'Database MK'!EA378</f>
        <v>Sudah, Delay</v>
      </c>
      <c r="T377" s="7" t="str">
        <f ca="1">'Database MK'!EI378</f>
        <v>Belum, Delay</v>
      </c>
      <c r="U377" s="7" t="str">
        <f ca="1">'Database MK'!ET378</f>
        <v>Belum, Delay</v>
      </c>
      <c r="V377" s="7" t="str">
        <f ca="1">'Database MK'!GA378</f>
        <v>Sudah, Delay</v>
      </c>
      <c r="W377" s="7" t="str">
        <f ca="1">'Database MK'!GD378</f>
        <v>Sudah, Delay</v>
      </c>
      <c r="X377" s="7" t="str">
        <f ca="1">'Database MK'!GG378</f>
        <v>Sudah, Delay</v>
      </c>
      <c r="Y377" s="7" t="str">
        <f ca="1">'Database MK'!GK378</f>
        <v>Sudah, Delay</v>
      </c>
      <c r="Z377" s="7" t="str">
        <f ca="1">'Database MK'!HH378</f>
        <v>Belum, Delay</v>
      </c>
      <c r="AA377" s="7" t="str">
        <f ca="1">'Database MK'!HR378</f>
        <v>Belum, Delay</v>
      </c>
      <c r="AB377" s="7" t="str">
        <f ca="1">'Database MK'!HX378</f>
        <v>Belum, Delay</v>
      </c>
      <c r="AC377" s="7">
        <f>'Database MK'!DA378-'Database MK'!DB378</f>
        <v>13</v>
      </c>
      <c r="AD377" s="7">
        <f>'Database MK'!DA378-'Database MK'!DF378</f>
        <v>-15</v>
      </c>
      <c r="AE377" s="7">
        <f>'Database MK'!DK378-'Database MK'!DL378</f>
        <v>-1</v>
      </c>
      <c r="AF377" s="7">
        <f>'Database MK'!DK378-'Database MK'!DO378</f>
        <v>-67</v>
      </c>
      <c r="AG377" s="7">
        <f>'Database MK'!DU378-'Database MK'!DW378</f>
        <v>-22</v>
      </c>
      <c r="AH377" s="7" t="str">
        <f>IF('Database MK'!EB378="","Belum",'Database MK'!DU378-'Database MK'!EB378)</f>
        <v>Belum</v>
      </c>
      <c r="AI377" s="7" t="str">
        <f>IF('Database MK'!EN378="","Belum",'Database MK'!EL378-'Database MK'!EN378)</f>
        <v>Belum</v>
      </c>
      <c r="AJ377" s="7">
        <f>'Database MK'!FY378-'Database MK'!FZ378</f>
        <v>-15</v>
      </c>
      <c r="AK377" s="7">
        <f>IF('Database MK'!GC378="","Belum",'Database MK'!GB378-'Database MK'!GC378)</f>
        <v>-93</v>
      </c>
      <c r="AL377" s="7">
        <f>IF('Database MK'!GF378="","Belum",'Database MK'!GE378-'Database MK'!GF378)</f>
        <v>-86</v>
      </c>
      <c r="AM377" s="279">
        <f>IF('Database MK'!GJ378="","Belum",'Database MK'!GI378-'Database MK'!GJ378)</f>
        <v>-78</v>
      </c>
      <c r="AN377" s="7" t="str">
        <f>IF('Database MK'!HG378="","Belum",'Database MK'!HF378-'Database MK'!HG378)</f>
        <v>Belum</v>
      </c>
      <c r="AO377" s="7" t="str">
        <f>IF('Database MK'!HQ378="","Belum",'Database MK'!HN378-'Database MK'!HQ378)</f>
        <v>Belum</v>
      </c>
      <c r="AP377" s="7" t="str">
        <f>IF('Database MK'!HW378="","Belum",'Database MK'!HU378-'Database MK'!HW378)</f>
        <v>Belum</v>
      </c>
    </row>
    <row r="378" spans="2:42" hidden="1" x14ac:dyDescent="0.25">
      <c r="B378" s="7">
        <f>SUBTOTAL(3,$C$4:C378)</f>
        <v>74</v>
      </c>
      <c r="C378" s="269" t="s">
        <v>244</v>
      </c>
      <c r="D378" s="4" t="s">
        <v>3023</v>
      </c>
      <c r="E378" s="4" t="s">
        <v>3024</v>
      </c>
      <c r="F378" s="270">
        <v>46296</v>
      </c>
      <c r="G378" s="4" t="s">
        <v>681</v>
      </c>
      <c r="H378" s="4" t="str">
        <f ca="1">'Database MK'!Q379</f>
        <v>MC-0</v>
      </c>
      <c r="I378" s="24">
        <f>'Database MK'!S379</f>
        <v>1</v>
      </c>
      <c r="J378" s="24">
        <f>'Database MK'!T379</f>
        <v>8.4483270427036836E-2</v>
      </c>
      <c r="K378" s="571">
        <f>'Database MK'!U379</f>
        <v>-0.91551672957296315</v>
      </c>
      <c r="L378" s="561">
        <f>'Database MK'!V379</f>
        <v>1657.2</v>
      </c>
      <c r="M378" s="561">
        <f>'Database MK'!W379</f>
        <v>0</v>
      </c>
      <c r="N378" s="561">
        <f>Table3[[#This Row],[Total Panjang Pipa Aktual]]-Table3[[#This Row],[Volume
BA MC-0]]</f>
        <v>-1657.2</v>
      </c>
      <c r="O378" s="7" t="str">
        <f ca="1">'Database MK'!DE379</f>
        <v>Sudah, OnSchedule</v>
      </c>
      <c r="P378" s="7" t="str">
        <f ca="1">'Database MK'!DI379</f>
        <v>Sudah, Delay</v>
      </c>
      <c r="Q378" s="7" t="str">
        <f ca="1">'Database MK'!DN379</f>
        <v>Sudah, Delay</v>
      </c>
      <c r="R378" s="7" t="str">
        <f ca="1">'Database MK'!DR379</f>
        <v>Sudah, Delay</v>
      </c>
      <c r="S378" s="7" t="str">
        <f ca="1">'Database MK'!EA379</f>
        <v>Sudah, Delay</v>
      </c>
      <c r="T378" s="7" t="str">
        <f ca="1">'Database MK'!EI379</f>
        <v>Belum, Delay</v>
      </c>
      <c r="U378" s="7" t="str">
        <f ca="1">'Database MK'!ET379</f>
        <v>Belum, Delay</v>
      </c>
      <c r="V378" s="7" t="str">
        <f ca="1">'Database MK'!GA379</f>
        <v>Sudah, Delay</v>
      </c>
      <c r="W378" s="7" t="str">
        <f ca="1">'Database MK'!GD379</f>
        <v>Sudah, Delay</v>
      </c>
      <c r="X378" s="7" t="str">
        <f ca="1">'Database MK'!GG379</f>
        <v>Sudah, Delay</v>
      </c>
      <c r="Y378" s="7" t="str">
        <f ca="1">'Database MK'!GK379</f>
        <v>Sudah, Delay</v>
      </c>
      <c r="Z378" s="7" t="str">
        <f ca="1">'Database MK'!HH379</f>
        <v>Belum, Delay</v>
      </c>
      <c r="AA378" s="7" t="str">
        <f ca="1">'Database MK'!HR379</f>
        <v>Belum, Delay</v>
      </c>
      <c r="AB378" s="7" t="str">
        <f ca="1">'Database MK'!HX379</f>
        <v>Belum, Delay</v>
      </c>
      <c r="AC378" s="7">
        <f>'Database MK'!DA379-'Database MK'!DB379</f>
        <v>11</v>
      </c>
      <c r="AD378" s="7">
        <f>'Database MK'!DA379-'Database MK'!DF379</f>
        <v>-71</v>
      </c>
      <c r="AE378" s="7">
        <f>'Database MK'!DK379-'Database MK'!DL379</f>
        <v>-15</v>
      </c>
      <c r="AF378" s="7">
        <f>'Database MK'!DK379-'Database MK'!DO379</f>
        <v>-44</v>
      </c>
      <c r="AG378" s="7">
        <f>'Database MK'!DU379-'Database MK'!DW379</f>
        <v>-36</v>
      </c>
      <c r="AH378" s="7" t="str">
        <f>IF('Database MK'!EB379="","Belum",'Database MK'!DU379-'Database MK'!EB379)</f>
        <v>Belum</v>
      </c>
      <c r="AI378" s="7" t="str">
        <f>IF('Database MK'!EN379="","Belum",'Database MK'!EL379-'Database MK'!EN379)</f>
        <v>Belum</v>
      </c>
      <c r="AJ378" s="7">
        <f>'Database MK'!FY379-'Database MK'!FZ379</f>
        <v>-15</v>
      </c>
      <c r="AK378" s="7">
        <f>IF('Database MK'!GC379="","Belum",'Database MK'!GB379-'Database MK'!GC379)</f>
        <v>-64</v>
      </c>
      <c r="AL378" s="7">
        <f>IF('Database MK'!GF379="","Belum",'Database MK'!GE379-'Database MK'!GF379)</f>
        <v>-57</v>
      </c>
      <c r="AM378" s="279">
        <f>IF('Database MK'!GJ379="","Belum",'Database MK'!GI379-'Database MK'!GJ379)</f>
        <v>-52</v>
      </c>
      <c r="AN378" s="7" t="str">
        <f>IF('Database MK'!HG379="","Belum",'Database MK'!HF379-'Database MK'!HG379)</f>
        <v>Belum</v>
      </c>
      <c r="AO378" s="7" t="str">
        <f>IF('Database MK'!HQ379="","Belum",'Database MK'!HN379-'Database MK'!HQ379)</f>
        <v>Belum</v>
      </c>
      <c r="AP378" s="7" t="str">
        <f>IF('Database MK'!HW379="","Belum",'Database MK'!HU379-'Database MK'!HW379)</f>
        <v>Belum</v>
      </c>
    </row>
    <row r="379" spans="2:42" hidden="1" x14ac:dyDescent="0.25">
      <c r="B379" s="7">
        <f>SUBTOTAL(3,$C$4:C379)</f>
        <v>74</v>
      </c>
      <c r="C379" s="269" t="s">
        <v>244</v>
      </c>
      <c r="D379" s="4" t="s">
        <v>3031</v>
      </c>
      <c r="E379" s="4" t="s">
        <v>3032</v>
      </c>
      <c r="F379" s="270">
        <v>46296</v>
      </c>
      <c r="G379" s="4" t="s">
        <v>681</v>
      </c>
      <c r="H379" s="4" t="str">
        <f ca="1">'Database MK'!Q380</f>
        <v>MC-0</v>
      </c>
      <c r="I379" s="24">
        <f>'Database MK'!S380</f>
        <v>1</v>
      </c>
      <c r="J379" s="24">
        <f>'Database MK'!T380</f>
        <v>0.10452059456185249</v>
      </c>
      <c r="K379" s="571">
        <f>'Database MK'!U380</f>
        <v>-0.89547940543814752</v>
      </c>
      <c r="L379" s="561">
        <f>'Database MK'!V380</f>
        <v>0</v>
      </c>
      <c r="M379" s="561">
        <f>'Database MK'!W380</f>
        <v>0</v>
      </c>
      <c r="N379" s="561">
        <f>Table3[[#This Row],[Total Panjang Pipa Aktual]]-Table3[[#This Row],[Volume
BA MC-0]]</f>
        <v>0</v>
      </c>
      <c r="O379" s="7" t="str">
        <f ca="1">'Database MK'!DE380</f>
        <v>Sudah, OnSchedule</v>
      </c>
      <c r="P379" s="7" t="str">
        <f ca="1">'Database MK'!DI380</f>
        <v>Sudah, Delay</v>
      </c>
      <c r="Q379" s="7" t="str">
        <f ca="1">'Database MK'!DN380</f>
        <v>Sudah, Delay</v>
      </c>
      <c r="R379" s="7" t="str">
        <f ca="1">'Database MK'!DR380</f>
        <v>Sudah, Delay</v>
      </c>
      <c r="S379" s="7" t="str">
        <f ca="1">'Database MK'!EA380</f>
        <v>Sudah, Delay</v>
      </c>
      <c r="T379" s="7" t="str">
        <f ca="1">'Database MK'!EI380</f>
        <v>Belum, Delay</v>
      </c>
      <c r="U379" s="7" t="str">
        <f ca="1">'Database MK'!ET380</f>
        <v>Belum, Delay</v>
      </c>
      <c r="V379" s="7" t="str">
        <f ca="1">'Database MK'!GA380</f>
        <v>Sudah, Delay</v>
      </c>
      <c r="W379" s="7" t="str">
        <f ca="1">'Database MK'!GD380</f>
        <v>Sudah, Delay</v>
      </c>
      <c r="X379" s="7" t="str">
        <f ca="1">'Database MK'!GG380</f>
        <v>Sudah, Delay</v>
      </c>
      <c r="Y379" s="7" t="str">
        <f ca="1">'Database MK'!GK380</f>
        <v>Sudah, Delay</v>
      </c>
      <c r="Z379" s="7" t="str">
        <f ca="1">'Database MK'!HH380</f>
        <v>Belum, Delay</v>
      </c>
      <c r="AA379" s="7" t="str">
        <f ca="1">'Database MK'!HR380</f>
        <v>Belum, Delay</v>
      </c>
      <c r="AB379" s="7" t="str">
        <f ca="1">'Database MK'!HX380</f>
        <v>Belum, Delay</v>
      </c>
      <c r="AC379" s="7">
        <f>'Database MK'!DA380-'Database MK'!DB380</f>
        <v>11</v>
      </c>
      <c r="AD379" s="7">
        <f>'Database MK'!DA380-'Database MK'!DF380</f>
        <v>-5</v>
      </c>
      <c r="AE379" s="7">
        <f>'Database MK'!DK380-'Database MK'!DL380</f>
        <v>-2</v>
      </c>
      <c r="AF379" s="7">
        <f>'Database MK'!DK380-'Database MK'!DO380</f>
        <v>-40</v>
      </c>
      <c r="AG379" s="7">
        <f>'Database MK'!DU380-'Database MK'!DW380</f>
        <v>-23</v>
      </c>
      <c r="AH379" s="7" t="str">
        <f>IF('Database MK'!EB380="","Belum",'Database MK'!DU380-'Database MK'!EB380)</f>
        <v>Belum</v>
      </c>
      <c r="AI379" s="7" t="str">
        <f>IF('Database MK'!EN380="","Belum",'Database MK'!EL380-'Database MK'!EN380)</f>
        <v>Belum</v>
      </c>
      <c r="AJ379" s="7">
        <f>'Database MK'!FY380-'Database MK'!FZ380</f>
        <v>-15</v>
      </c>
      <c r="AK379" s="7">
        <f>IF('Database MK'!GC380="","Belum",'Database MK'!GB380-'Database MK'!GC380)</f>
        <v>-93</v>
      </c>
      <c r="AL379" s="7">
        <f>IF('Database MK'!GF380="","Belum",'Database MK'!GE380-'Database MK'!GF380)</f>
        <v>-86</v>
      </c>
      <c r="AM379" s="279">
        <f>IF('Database MK'!GJ380="","Belum",'Database MK'!GI380-'Database MK'!GJ380)</f>
        <v>-80</v>
      </c>
      <c r="AN379" s="7" t="str">
        <f>IF('Database MK'!HG380="","Belum",'Database MK'!HF380-'Database MK'!HG380)</f>
        <v>Belum</v>
      </c>
      <c r="AO379" s="7" t="str">
        <f>IF('Database MK'!HQ380="","Belum",'Database MK'!HN380-'Database MK'!HQ380)</f>
        <v>Belum</v>
      </c>
      <c r="AP379" s="7" t="str">
        <f>IF('Database MK'!HW380="","Belum",'Database MK'!HU380-'Database MK'!HW380)</f>
        <v>Belum</v>
      </c>
    </row>
    <row r="380" spans="2:42" hidden="1" x14ac:dyDescent="0.25">
      <c r="B380" s="7">
        <f>SUBTOTAL(3,$C$4:C380)</f>
        <v>74</v>
      </c>
      <c r="C380" s="269" t="s">
        <v>244</v>
      </c>
      <c r="D380" s="4" t="s">
        <v>3039</v>
      </c>
      <c r="E380" s="4" t="s">
        <v>3040</v>
      </c>
      <c r="F380" s="270">
        <v>46296</v>
      </c>
      <c r="G380" s="4" t="s">
        <v>681</v>
      </c>
      <c r="H380" s="4" t="str">
        <f ca="1">'Database MK'!Q381</f>
        <v>MC-0</v>
      </c>
      <c r="I380" s="24">
        <f>'Database MK'!S381</f>
        <v>1</v>
      </c>
      <c r="J380" s="24">
        <f>'Database MK'!T381</f>
        <v>7.6005965760590002E-2</v>
      </c>
      <c r="K380" s="571">
        <f>'Database MK'!U381</f>
        <v>-0.92399403423940996</v>
      </c>
      <c r="L380" s="561">
        <f>'Database MK'!V381</f>
        <v>0</v>
      </c>
      <c r="M380" s="561">
        <f>'Database MK'!W381</f>
        <v>0</v>
      </c>
      <c r="N380" s="561">
        <f>Table3[[#This Row],[Total Panjang Pipa Aktual]]-Table3[[#This Row],[Volume
BA MC-0]]</f>
        <v>0</v>
      </c>
      <c r="O380" s="7" t="str">
        <f ca="1">'Database MK'!DE381</f>
        <v>Sudah, OnSchedule</v>
      </c>
      <c r="P380" s="7" t="str">
        <f ca="1">'Database MK'!DI381</f>
        <v>Sudah, Delay</v>
      </c>
      <c r="Q380" s="7" t="str">
        <f ca="1">'Database MK'!DN381</f>
        <v>Sudah, Delay</v>
      </c>
      <c r="R380" s="7" t="str">
        <f ca="1">'Database MK'!DR381</f>
        <v>Sudah, Delay</v>
      </c>
      <c r="S380" s="7" t="str">
        <f ca="1">'Database MK'!EA381</f>
        <v>Sudah, Delay</v>
      </c>
      <c r="T380" s="7" t="str">
        <f ca="1">'Database MK'!EI381</f>
        <v>Belum, Delay</v>
      </c>
      <c r="U380" s="7" t="str">
        <f ca="1">'Database MK'!ET381</f>
        <v>Belum, Delay</v>
      </c>
      <c r="V380" s="7" t="str">
        <f ca="1">'Database MK'!GA381</f>
        <v>Sudah, Delay</v>
      </c>
      <c r="W380" s="7" t="str">
        <f ca="1">'Database MK'!GD381</f>
        <v>Sudah, Delay</v>
      </c>
      <c r="X380" s="7" t="str">
        <f ca="1">'Database MK'!GG381</f>
        <v>Sudah, Delay</v>
      </c>
      <c r="Y380" s="7" t="str">
        <f ca="1">'Database MK'!GK381</f>
        <v>Sudah, Delay</v>
      </c>
      <c r="Z380" s="7" t="str">
        <f ca="1">'Database MK'!HH381</f>
        <v>Belum, Delay</v>
      </c>
      <c r="AA380" s="7" t="str">
        <f ca="1">'Database MK'!HR381</f>
        <v>Belum, Delay</v>
      </c>
      <c r="AB380" s="7" t="str">
        <f ca="1">'Database MK'!HX381</f>
        <v>Belum, Delay</v>
      </c>
      <c r="AC380" s="7">
        <f>'Database MK'!DA381-'Database MK'!DB381</f>
        <v>11</v>
      </c>
      <c r="AD380" s="7">
        <f>'Database MK'!DA381-'Database MK'!DF381</f>
        <v>-15</v>
      </c>
      <c r="AE380" s="7">
        <f>'Database MK'!DK381-'Database MK'!DL381</f>
        <v>-2</v>
      </c>
      <c r="AF380" s="7">
        <f>'Database MK'!DK381-'Database MK'!DO381</f>
        <v>-40</v>
      </c>
      <c r="AG380" s="7">
        <f>'Database MK'!DU381-'Database MK'!DW381</f>
        <v>-23</v>
      </c>
      <c r="AH380" s="7" t="str">
        <f>IF('Database MK'!EB381="","Belum",'Database MK'!DU381-'Database MK'!EB381)</f>
        <v>Belum</v>
      </c>
      <c r="AI380" s="7" t="str">
        <f>IF('Database MK'!EN381="","Belum",'Database MK'!EL381-'Database MK'!EN381)</f>
        <v>Belum</v>
      </c>
      <c r="AJ380" s="7">
        <f>'Database MK'!FY381-'Database MK'!FZ381</f>
        <v>-15</v>
      </c>
      <c r="AK380" s="7">
        <f>IF('Database MK'!GC381="","Belum",'Database MK'!GB381-'Database MK'!GC381)</f>
        <v>-93</v>
      </c>
      <c r="AL380" s="7">
        <f>IF('Database MK'!GF381="","Belum",'Database MK'!GE381-'Database MK'!GF381)</f>
        <v>-86</v>
      </c>
      <c r="AM380" s="279">
        <f>IF('Database MK'!GJ381="","Belum",'Database MK'!GI381-'Database MK'!GJ381)</f>
        <v>-80</v>
      </c>
      <c r="AN380" s="7" t="str">
        <f>IF('Database MK'!HG381="","Belum",'Database MK'!HF381-'Database MK'!HG381)</f>
        <v>Belum</v>
      </c>
      <c r="AO380" s="7" t="str">
        <f>IF('Database MK'!HQ381="","Belum",'Database MK'!HN381-'Database MK'!HQ381)</f>
        <v>Belum</v>
      </c>
      <c r="AP380" s="7" t="str">
        <f>IF('Database MK'!HW381="","Belum",'Database MK'!HU381-'Database MK'!HW381)</f>
        <v>Belum</v>
      </c>
    </row>
    <row r="381" spans="2:42" hidden="1" x14ac:dyDescent="0.25">
      <c r="B381" s="7">
        <f>SUBTOTAL(3,$C$4:C381)</f>
        <v>74</v>
      </c>
      <c r="C381" s="269" t="s">
        <v>244</v>
      </c>
      <c r="D381" s="4" t="s">
        <v>3046</v>
      </c>
      <c r="E381" s="4" t="s">
        <v>3047</v>
      </c>
      <c r="F381" s="270">
        <v>46296</v>
      </c>
      <c r="G381" s="4" t="s">
        <v>681</v>
      </c>
      <c r="H381" s="4" t="str">
        <f ca="1">'Database MK'!Q382</f>
        <v>MC-0</v>
      </c>
      <c r="I381" s="24">
        <f>'Database MK'!S382</f>
        <v>1</v>
      </c>
      <c r="J381" s="24">
        <f>'Database MK'!T382</f>
        <v>9.0644075795125387E-2</v>
      </c>
      <c r="K381" s="571">
        <f>'Database MK'!U382</f>
        <v>-0.90935592420487465</v>
      </c>
      <c r="L381" s="561">
        <f>'Database MK'!V382</f>
        <v>0</v>
      </c>
      <c r="M381" s="561">
        <f>'Database MK'!W382</f>
        <v>0</v>
      </c>
      <c r="N381" s="561">
        <f>Table3[[#This Row],[Total Panjang Pipa Aktual]]-Table3[[#This Row],[Volume
BA MC-0]]</f>
        <v>0</v>
      </c>
      <c r="O381" s="7" t="str">
        <f ca="1">'Database MK'!DE382</f>
        <v>Sudah, OnSchedule</v>
      </c>
      <c r="P381" s="7" t="str">
        <f ca="1">'Database MK'!DI382</f>
        <v>Sudah, Delay</v>
      </c>
      <c r="Q381" s="7" t="str">
        <f ca="1">'Database MK'!DN382</f>
        <v>Sudah, Delay</v>
      </c>
      <c r="R381" s="7" t="str">
        <f ca="1">'Database MK'!DR382</f>
        <v>Sudah, Delay</v>
      </c>
      <c r="S381" s="7" t="str">
        <f ca="1">'Database MK'!EA382</f>
        <v>Sudah, Delay</v>
      </c>
      <c r="T381" s="7" t="str">
        <f ca="1">'Database MK'!EI382</f>
        <v>Belum, Delay</v>
      </c>
      <c r="U381" s="7" t="str">
        <f ca="1">'Database MK'!ET382</f>
        <v>Belum, Delay</v>
      </c>
      <c r="V381" s="7" t="str">
        <f ca="1">'Database MK'!GA382</f>
        <v>Sudah, Delay</v>
      </c>
      <c r="W381" s="7" t="str">
        <f ca="1">'Database MK'!GD382</f>
        <v>Sudah, Delay</v>
      </c>
      <c r="X381" s="7" t="str">
        <f ca="1">'Database MK'!GG382</f>
        <v>Sudah, Delay</v>
      </c>
      <c r="Y381" s="7" t="str">
        <f ca="1">'Database MK'!GK382</f>
        <v>Sudah, Delay</v>
      </c>
      <c r="Z381" s="7" t="str">
        <f ca="1">'Database MK'!HH382</f>
        <v>Belum, Delay</v>
      </c>
      <c r="AA381" s="7" t="str">
        <f ca="1">'Database MK'!HR382</f>
        <v>Belum, Delay</v>
      </c>
      <c r="AB381" s="7" t="str">
        <f ca="1">'Database MK'!HX382</f>
        <v>Belum, Delay</v>
      </c>
      <c r="AC381" s="7">
        <f>'Database MK'!DA382-'Database MK'!DB382</f>
        <v>11</v>
      </c>
      <c r="AD381" s="7">
        <f>'Database MK'!DA382-'Database MK'!DF382</f>
        <v>-15</v>
      </c>
      <c r="AE381" s="7">
        <f>'Database MK'!DK382-'Database MK'!DL382</f>
        <v>-2</v>
      </c>
      <c r="AF381" s="7">
        <f>'Database MK'!DK382-'Database MK'!DO382</f>
        <v>-40</v>
      </c>
      <c r="AG381" s="7">
        <f>'Database MK'!DU382-'Database MK'!DW382</f>
        <v>-23</v>
      </c>
      <c r="AH381" s="7" t="str">
        <f>IF('Database MK'!EB382="","Belum",'Database MK'!DU382-'Database MK'!EB382)</f>
        <v>Belum</v>
      </c>
      <c r="AI381" s="7" t="str">
        <f>IF('Database MK'!EN382="","Belum",'Database MK'!EL382-'Database MK'!EN382)</f>
        <v>Belum</v>
      </c>
      <c r="AJ381" s="7">
        <f>'Database MK'!FY382-'Database MK'!FZ382</f>
        <v>-15</v>
      </c>
      <c r="AK381" s="7">
        <f>IF('Database MK'!GC382="","Belum",'Database MK'!GB382-'Database MK'!GC382)</f>
        <v>-93</v>
      </c>
      <c r="AL381" s="7">
        <f>IF('Database MK'!GF382="","Belum",'Database MK'!GE382-'Database MK'!GF382)</f>
        <v>-86</v>
      </c>
      <c r="AM381" s="279">
        <f>IF('Database MK'!GJ382="","Belum",'Database MK'!GI382-'Database MK'!GJ382)</f>
        <v>-80</v>
      </c>
      <c r="AN381" s="7" t="str">
        <f>IF('Database MK'!HG382="","Belum",'Database MK'!HF382-'Database MK'!HG382)</f>
        <v>Belum</v>
      </c>
      <c r="AO381" s="7" t="str">
        <f>IF('Database MK'!HQ382="","Belum",'Database MK'!HN382-'Database MK'!HQ382)</f>
        <v>Belum</v>
      </c>
      <c r="AP381" s="7" t="str">
        <f>IF('Database MK'!HW382="","Belum",'Database MK'!HU382-'Database MK'!HW382)</f>
        <v>Belum</v>
      </c>
    </row>
    <row r="382" spans="2:42" hidden="1" x14ac:dyDescent="0.25">
      <c r="B382" s="7">
        <f>SUBTOTAL(3,$C$4:C382)</f>
        <v>74</v>
      </c>
      <c r="C382" s="269" t="s">
        <v>244</v>
      </c>
      <c r="D382" s="4" t="s">
        <v>3054</v>
      </c>
      <c r="E382" s="4" t="s">
        <v>3055</v>
      </c>
      <c r="F382" s="270">
        <v>46296</v>
      </c>
      <c r="G382" s="4" t="s">
        <v>681</v>
      </c>
      <c r="H382" s="4" t="str">
        <f>'Database MK'!Q383</f>
        <v>BATAL / CANCEL</v>
      </c>
      <c r="I382" s="24">
        <f>'Database MK'!S383</f>
        <v>0.99999999999999989</v>
      </c>
      <c r="J382" s="24">
        <f>'Database MK'!T383</f>
        <v>0.12692614428095797</v>
      </c>
      <c r="K382" s="571">
        <f>'Database MK'!U383</f>
        <v>-0.87307385571904195</v>
      </c>
      <c r="L382" s="561">
        <f>'Database MK'!V383</f>
        <v>0</v>
      </c>
      <c r="M382" s="561">
        <f>'Database MK'!W383</f>
        <v>0</v>
      </c>
      <c r="N382" s="561">
        <f>Table3[[#This Row],[Total Panjang Pipa Aktual]]-Table3[[#This Row],[Volume
BA MC-0]]</f>
        <v>0</v>
      </c>
      <c r="O382" s="7" t="str">
        <f ca="1">'Database MK'!DE383</f>
        <v>Sudah, OnSchedule</v>
      </c>
      <c r="P382" s="7" t="str">
        <f ca="1">'Database MK'!DI383</f>
        <v>Sudah, OnSchedule</v>
      </c>
      <c r="Q382" s="7" t="str">
        <f ca="1">'Database MK'!DN383</f>
        <v>Sudah, OnSchedule</v>
      </c>
      <c r="R382" s="7" t="str">
        <f ca="1">'Database MK'!DR383</f>
        <v>Sudah, Delay</v>
      </c>
      <c r="S382" s="7" t="str">
        <f ca="1">'Database MK'!EA383</f>
        <v>Sudah, OnSchedule</v>
      </c>
      <c r="T382" s="7" t="str">
        <f ca="1">'Database MK'!EI383</f>
        <v>Belum, Delay</v>
      </c>
      <c r="U382" s="7" t="str">
        <f ca="1">'Database MK'!ET383</f>
        <v>Belum, Delay</v>
      </c>
      <c r="V382" s="7" t="str">
        <f ca="1">'Database MK'!GA383</f>
        <v>Sudah, Delay</v>
      </c>
      <c r="W382" s="7" t="str">
        <f ca="1">'Database MK'!GD383</f>
        <v>Sudah, Delay</v>
      </c>
      <c r="X382" s="7" t="str">
        <f ca="1">'Database MK'!GG383</f>
        <v>Sudah, Delay</v>
      </c>
      <c r="Y382" s="7" t="str">
        <f ca="1">'Database MK'!GK383</f>
        <v>Sudah, Delay</v>
      </c>
      <c r="Z382" s="7" t="str">
        <f ca="1">'Database MK'!HH383</f>
        <v>Belum, Delay</v>
      </c>
      <c r="AA382" s="7" t="str">
        <f ca="1">'Database MK'!HR383</f>
        <v>Belum, Delay</v>
      </c>
      <c r="AB382" s="7" t="str">
        <f ca="1">'Database MK'!HX383</f>
        <v>Belum, Delay</v>
      </c>
      <c r="AC382" s="7">
        <f>'Database MK'!DA383-'Database MK'!DB383</f>
        <v>32</v>
      </c>
      <c r="AD382" s="7">
        <f>'Database MK'!DA383-'Database MK'!DF383</f>
        <v>20</v>
      </c>
      <c r="AE382" s="7">
        <f>'Database MK'!DK383-'Database MK'!DL383</f>
        <v>33</v>
      </c>
      <c r="AF382" s="7">
        <f>'Database MK'!DK383-'Database MK'!DO383</f>
        <v>-32</v>
      </c>
      <c r="AG382" s="7">
        <f>'Database MK'!DU383-'Database MK'!DW383</f>
        <v>12</v>
      </c>
      <c r="AH382" s="7" t="str">
        <f>IF('Database MK'!EB383="","Belum",'Database MK'!DU383-'Database MK'!EB383)</f>
        <v>Belum</v>
      </c>
      <c r="AI382" s="7" t="str">
        <f>IF('Database MK'!EN383="","Belum",'Database MK'!EL383-'Database MK'!EN383)</f>
        <v>Belum</v>
      </c>
      <c r="AJ382" s="7">
        <f>'Database MK'!FY383-'Database MK'!FZ383</f>
        <v>-53</v>
      </c>
      <c r="AK382" s="7">
        <f>IF('Database MK'!GC383="","Belum",'Database MK'!GB383-'Database MK'!GC383)</f>
        <v>-58</v>
      </c>
      <c r="AL382" s="7">
        <f>IF('Database MK'!GF383="","Belum",'Database MK'!GE383-'Database MK'!GF383)</f>
        <v>-51</v>
      </c>
      <c r="AM382" s="279">
        <f>IF('Database MK'!GJ383="","Belum",'Database MK'!GI383-'Database MK'!GJ383)</f>
        <v>-51</v>
      </c>
      <c r="AN382" s="7" t="str">
        <f>IF('Database MK'!HG383="","Belum",'Database MK'!HF383-'Database MK'!HG383)</f>
        <v>Belum</v>
      </c>
      <c r="AO382" s="7" t="str">
        <f>IF('Database MK'!HQ383="","Belum",'Database MK'!HN383-'Database MK'!HQ383)</f>
        <v>Belum</v>
      </c>
      <c r="AP382" s="7" t="str">
        <f>IF('Database MK'!HW383="","Belum",'Database MK'!HU383-'Database MK'!HW383)</f>
        <v>Belum</v>
      </c>
    </row>
    <row r="383" spans="2:42" hidden="1" x14ac:dyDescent="0.25">
      <c r="B383" s="7">
        <f>SUBTOTAL(3,$C$4:C383)</f>
        <v>74</v>
      </c>
      <c r="C383" s="269" t="s">
        <v>244</v>
      </c>
      <c r="D383" s="4" t="s">
        <v>3061</v>
      </c>
      <c r="E383" s="4" t="s">
        <v>3062</v>
      </c>
      <c r="F383" s="270">
        <v>46296</v>
      </c>
      <c r="G383" s="4" t="s">
        <v>681</v>
      </c>
      <c r="H383" s="4" t="str">
        <f ca="1">'Database MK'!Q384</f>
        <v>MC-0</v>
      </c>
      <c r="I383" s="24">
        <f>'Database MK'!S384</f>
        <v>0.91592916780806033</v>
      </c>
      <c r="J383" s="24">
        <f>'Database MK'!T384</f>
        <v>6.3539904682468479E-2</v>
      </c>
      <c r="K383" s="571">
        <f>'Database MK'!U384</f>
        <v>-0.85238926312559182</v>
      </c>
      <c r="L383" s="561">
        <f>'Database MK'!V384</f>
        <v>0</v>
      </c>
      <c r="M383" s="561">
        <f>'Database MK'!W384</f>
        <v>0</v>
      </c>
      <c r="N383" s="561">
        <f>Table3[[#This Row],[Total Panjang Pipa Aktual]]-Table3[[#This Row],[Volume
BA MC-0]]</f>
        <v>0</v>
      </c>
      <c r="O383" s="7" t="str">
        <f ca="1">'Database MK'!DE384</f>
        <v>Sudah, OnSchedule</v>
      </c>
      <c r="P383" s="7" t="str">
        <f ca="1">'Database MK'!DI384</f>
        <v>Sudah, OnSchedule</v>
      </c>
      <c r="Q383" s="7" t="str">
        <f ca="1">'Database MK'!DN384</f>
        <v>Sudah, OnSchedule</v>
      </c>
      <c r="R383" s="7" t="str">
        <f ca="1">'Database MK'!DR384</f>
        <v>Sudah, Delay</v>
      </c>
      <c r="S383" s="7" t="str">
        <f ca="1">'Database MK'!EA384</f>
        <v>Sudah, OnSchedule</v>
      </c>
      <c r="T383" s="7" t="str">
        <f ca="1">'Database MK'!EI384</f>
        <v>Belum, Delay</v>
      </c>
      <c r="U383" s="7" t="str">
        <f ca="1">'Database MK'!ET384</f>
        <v>Belum, Delay</v>
      </c>
      <c r="V383" s="7" t="str">
        <f ca="1">'Database MK'!GA384</f>
        <v>Sudah, Delay</v>
      </c>
      <c r="W383" s="7" t="str">
        <f ca="1">'Database MK'!GD384</f>
        <v>Sudah, Delay</v>
      </c>
      <c r="X383" s="7" t="str">
        <f ca="1">'Database MK'!GG384</f>
        <v>Sudah, Delay</v>
      </c>
      <c r="Y383" s="7" t="str">
        <f ca="1">'Database MK'!GK384</f>
        <v>Sudah, Delay</v>
      </c>
      <c r="Z383" s="7" t="str">
        <f ca="1">'Database MK'!HH384</f>
        <v>Belum, OnSchedule</v>
      </c>
      <c r="AA383" s="7" t="str">
        <f ca="1">'Database MK'!HR384</f>
        <v>Belum, OnSchedule</v>
      </c>
      <c r="AB383" s="7" t="str">
        <f ca="1">'Database MK'!HX384</f>
        <v>Belum, OnSchedule</v>
      </c>
      <c r="AC383" s="7">
        <f>'Database MK'!DA384-'Database MK'!DB384</f>
        <v>33</v>
      </c>
      <c r="AD383" s="7">
        <f>'Database MK'!DA384-'Database MK'!DF384</f>
        <v>20</v>
      </c>
      <c r="AE383" s="7">
        <f>'Database MK'!DK384-'Database MK'!DL384</f>
        <v>33</v>
      </c>
      <c r="AF383" s="7">
        <f>'Database MK'!DK384-'Database MK'!DO384</f>
        <v>-3</v>
      </c>
      <c r="AG383" s="7">
        <f>'Database MK'!DU384-'Database MK'!DW384</f>
        <v>12</v>
      </c>
      <c r="AH383" s="7" t="str">
        <f>IF('Database MK'!EB384="","Belum",'Database MK'!DU384-'Database MK'!EB384)</f>
        <v>Belum</v>
      </c>
      <c r="AI383" s="7" t="str">
        <f>IF('Database MK'!EN384="","Belum",'Database MK'!EL384-'Database MK'!EN384)</f>
        <v>Belum</v>
      </c>
      <c r="AJ383" s="7">
        <f>'Database MK'!FY384-'Database MK'!FZ384</f>
        <v>-53</v>
      </c>
      <c r="AK383" s="7">
        <f>IF('Database MK'!GC384="","Belum",'Database MK'!GB384-'Database MK'!GC384)</f>
        <v>-30</v>
      </c>
      <c r="AL383" s="7">
        <f>IF('Database MK'!GF384="","Belum",'Database MK'!GE384-'Database MK'!GF384)</f>
        <v>-23</v>
      </c>
      <c r="AM383" s="279">
        <f>IF('Database MK'!GJ384="","Belum",'Database MK'!GI384-'Database MK'!GJ384)</f>
        <v>-23</v>
      </c>
      <c r="AN383" s="7" t="str">
        <f>IF('Database MK'!HG384="","Belum",'Database MK'!HF384-'Database MK'!HG384)</f>
        <v>Belum</v>
      </c>
      <c r="AO383" s="7" t="str">
        <f>IF('Database MK'!HQ384="","Belum",'Database MK'!HN384-'Database MK'!HQ384)</f>
        <v>Belum</v>
      </c>
      <c r="AP383" s="7" t="str">
        <f>IF('Database MK'!HW384="","Belum",'Database MK'!HU384-'Database MK'!HW384)</f>
        <v>Belum</v>
      </c>
    </row>
    <row r="384" spans="2:42" hidden="1" x14ac:dyDescent="0.25">
      <c r="B384" s="7">
        <f>SUBTOTAL(3,$C$4:C384)</f>
        <v>74</v>
      </c>
      <c r="C384" s="269" t="s">
        <v>244</v>
      </c>
      <c r="D384" s="4" t="s">
        <v>3068</v>
      </c>
      <c r="E384" s="4" t="s">
        <v>3069</v>
      </c>
      <c r="F384" s="270">
        <v>46296</v>
      </c>
      <c r="G384" s="4" t="s">
        <v>681</v>
      </c>
      <c r="H384" s="4" t="str">
        <f ca="1">'Database MK'!Q385</f>
        <v>DPPP</v>
      </c>
      <c r="I384" s="24">
        <f>'Database MK'!S385</f>
        <v>1</v>
      </c>
      <c r="J384" s="24">
        <f>'Database MK'!T385</f>
        <v>1</v>
      </c>
      <c r="K384" s="571">
        <f>'Database MK'!U385</f>
        <v>0</v>
      </c>
      <c r="L384" s="561">
        <f>'Database MK'!V385</f>
        <v>40</v>
      </c>
      <c r="M384" s="561">
        <f>'Database MK'!W385</f>
        <v>40</v>
      </c>
      <c r="N384" s="561">
        <f>Table3[[#This Row],[Total Panjang Pipa Aktual]]-Table3[[#This Row],[Volume
BA MC-0]]</f>
        <v>0</v>
      </c>
      <c r="O384" s="7" t="str">
        <f ca="1">'Database MK'!DE385</f>
        <v>Sudah, OnSchedule</v>
      </c>
      <c r="P384" s="7" t="str">
        <f ca="1">'Database MK'!DI385</f>
        <v>Sudah, OnSchedule</v>
      </c>
      <c r="Q384" s="7" t="str">
        <f ca="1">'Database MK'!DN385</f>
        <v>Sudah, OnSchedule</v>
      </c>
      <c r="R384" s="7" t="str">
        <f ca="1">'Database MK'!DR385</f>
        <v>Sudah, Delay</v>
      </c>
      <c r="S384" s="7" t="str">
        <f ca="1">'Database MK'!EA385</f>
        <v>Sudah, OnSchedule</v>
      </c>
      <c r="T384" s="7" t="str">
        <f ca="1">'Database MK'!EI385</f>
        <v>Belum, Delay</v>
      </c>
      <c r="U384" s="7" t="str">
        <f ca="1">'Database MK'!ET385</f>
        <v>Belum, Delay</v>
      </c>
      <c r="V384" s="7" t="str">
        <f ca="1">'Database MK'!GA385</f>
        <v>Sudah, Delay</v>
      </c>
      <c r="W384" s="7" t="str">
        <f ca="1">'Database MK'!GD385</f>
        <v>Sudah, OnSchedule</v>
      </c>
      <c r="X384" s="7" t="str">
        <f ca="1">'Database MK'!GG385</f>
        <v>Sudah, OnSchedule</v>
      </c>
      <c r="Y384" s="7" t="str">
        <f ca="1">'Database MK'!GK385</f>
        <v>Sudah, OnSchedule</v>
      </c>
      <c r="Z384" s="7" t="str">
        <f ca="1">'Database MK'!HH385</f>
        <v>Sudah, OnSchedule</v>
      </c>
      <c r="AA384" s="7" t="str">
        <f ca="1">'Database MK'!HR385</f>
        <v>Sudah, OnSchedule</v>
      </c>
      <c r="AB384" s="7" t="str">
        <f ca="1">'Database MK'!HX385</f>
        <v>Sudah, OnSchedule</v>
      </c>
      <c r="AC384" s="7">
        <f>'Database MK'!DA385-'Database MK'!DB385</f>
        <v>33</v>
      </c>
      <c r="AD384" s="7">
        <f>'Database MK'!DA385-'Database MK'!DF385</f>
        <v>20</v>
      </c>
      <c r="AE384" s="7">
        <f>'Database MK'!DK385-'Database MK'!DL385</f>
        <v>33</v>
      </c>
      <c r="AF384" s="7">
        <f>'Database MK'!DK385-'Database MK'!DO385</f>
        <v>-1</v>
      </c>
      <c r="AG384" s="7">
        <f>'Database MK'!DU385-'Database MK'!DW385</f>
        <v>12</v>
      </c>
      <c r="AH384" s="7" t="str">
        <f>IF('Database MK'!EB385="","Belum",'Database MK'!DU385-'Database MK'!EB385)</f>
        <v>Belum</v>
      </c>
      <c r="AI384" s="7" t="str">
        <f>IF('Database MK'!EN385="","Belum",'Database MK'!EL385-'Database MK'!EN385)</f>
        <v>Belum</v>
      </c>
      <c r="AJ384" s="7">
        <f>'Database MK'!FY385-'Database MK'!FZ385</f>
        <v>-53</v>
      </c>
      <c r="AK384" s="7">
        <f>IF('Database MK'!GC385="","Belum",'Database MK'!GB385-'Database MK'!GC385)</f>
        <v>17</v>
      </c>
      <c r="AL384" s="7">
        <f>IF('Database MK'!GF385="","Belum",'Database MK'!GE385-'Database MK'!GF385)</f>
        <v>26</v>
      </c>
      <c r="AM384" s="279">
        <f>IF('Database MK'!GJ385="","Belum",'Database MK'!GI385-'Database MK'!GJ385)</f>
        <v>37</v>
      </c>
      <c r="AN384" s="7">
        <f>IF('Database MK'!HG385="","Belum",'Database MK'!HF385-'Database MK'!HG385)</f>
        <v>52</v>
      </c>
      <c r="AO384" s="7">
        <f>IF('Database MK'!HQ385="","Belum",'Database MK'!HN385-'Database MK'!HQ385)</f>
        <v>55</v>
      </c>
      <c r="AP384" s="7">
        <f>IF('Database MK'!HW385="","Belum",'Database MK'!HU385-'Database MK'!HW385)</f>
        <v>53</v>
      </c>
    </row>
    <row r="385" spans="2:42" hidden="1" x14ac:dyDescent="0.25">
      <c r="B385" s="7">
        <f>SUBTOTAL(3,$C$4:C385)</f>
        <v>74</v>
      </c>
      <c r="C385" s="269" t="s">
        <v>244</v>
      </c>
      <c r="D385" s="4" t="s">
        <v>3075</v>
      </c>
      <c r="E385" s="4" t="s">
        <v>3076</v>
      </c>
      <c r="F385" s="270">
        <v>46296</v>
      </c>
      <c r="G385" s="4" t="s">
        <v>681</v>
      </c>
      <c r="H385" s="4" t="str">
        <f ca="1">'Database MK'!Q386</f>
        <v>MC-0</v>
      </c>
      <c r="I385" s="24">
        <f>'Database MK'!S386</f>
        <v>1</v>
      </c>
      <c r="J385" s="24">
        <f>'Database MK'!T386</f>
        <v>6.8207598620464951E-2</v>
      </c>
      <c r="K385" s="571">
        <f>'Database MK'!U386</f>
        <v>-0.93179240137953501</v>
      </c>
      <c r="L385" s="561">
        <f>'Database MK'!V386</f>
        <v>0</v>
      </c>
      <c r="M385" s="561">
        <f>'Database MK'!W386</f>
        <v>0</v>
      </c>
      <c r="N385" s="561">
        <f>Table3[[#This Row],[Total Panjang Pipa Aktual]]-Table3[[#This Row],[Volume
BA MC-0]]</f>
        <v>0</v>
      </c>
      <c r="O385" s="7" t="str">
        <f ca="1">'Database MK'!DE386</f>
        <v>Sudah, OnSchedule</v>
      </c>
      <c r="P385" s="7" t="str">
        <f ca="1">'Database MK'!DI386</f>
        <v>Sudah, OnSchedule</v>
      </c>
      <c r="Q385" s="7" t="str">
        <f ca="1">'Database MK'!DN386</f>
        <v>Sudah, OnSchedule</v>
      </c>
      <c r="R385" s="7" t="str">
        <f ca="1">'Database MK'!DR386</f>
        <v>Sudah, Delay</v>
      </c>
      <c r="S385" s="7" t="str">
        <f ca="1">'Database MK'!EA386</f>
        <v>Sudah, OnSchedule</v>
      </c>
      <c r="T385" s="7" t="str">
        <f ca="1">'Database MK'!EI386</f>
        <v>Belum, Delay</v>
      </c>
      <c r="U385" s="7" t="str">
        <f ca="1">'Database MK'!ET386</f>
        <v>Belum, Delay</v>
      </c>
      <c r="V385" s="7" t="str">
        <f ca="1">'Database MK'!GA386</f>
        <v>Sudah, Delay</v>
      </c>
      <c r="W385" s="7" t="str">
        <f ca="1">'Database MK'!GD386</f>
        <v>Sudah, Delay</v>
      </c>
      <c r="X385" s="7" t="str">
        <f ca="1">'Database MK'!GG386</f>
        <v>Sudah, Delay</v>
      </c>
      <c r="Y385" s="7" t="str">
        <f ca="1">'Database MK'!GK386</f>
        <v>Sudah, Delay</v>
      </c>
      <c r="Z385" s="7" t="str">
        <f ca="1">'Database MK'!HH386</f>
        <v>Belum, Delay</v>
      </c>
      <c r="AA385" s="7" t="str">
        <f ca="1">'Database MK'!HR386</f>
        <v>Belum, Delay</v>
      </c>
      <c r="AB385" s="7" t="str">
        <f ca="1">'Database MK'!HX386</f>
        <v>Belum, Delay</v>
      </c>
      <c r="AC385" s="7">
        <f>'Database MK'!DA386-'Database MK'!DB386</f>
        <v>30</v>
      </c>
      <c r="AD385" s="7">
        <f>'Database MK'!DA386-'Database MK'!DF386</f>
        <v>6</v>
      </c>
      <c r="AE385" s="7">
        <f>'Database MK'!DK386-'Database MK'!DL386</f>
        <v>33</v>
      </c>
      <c r="AF385" s="7">
        <f>'Database MK'!DK386-'Database MK'!DO386</f>
        <v>-1</v>
      </c>
      <c r="AG385" s="7">
        <f>'Database MK'!DU386-'Database MK'!DW386</f>
        <v>12</v>
      </c>
      <c r="AH385" s="7" t="str">
        <f>IF('Database MK'!EB386="","Belum",'Database MK'!DU386-'Database MK'!EB386)</f>
        <v>Belum</v>
      </c>
      <c r="AI385" s="7" t="str">
        <f>IF('Database MK'!EN386="","Belum",'Database MK'!EL386-'Database MK'!EN386)</f>
        <v>Belum</v>
      </c>
      <c r="AJ385" s="7">
        <f>'Database MK'!FY386-'Database MK'!FZ386</f>
        <v>-53</v>
      </c>
      <c r="AK385" s="7">
        <f>IF('Database MK'!GC386="","Belum",'Database MK'!GB386-'Database MK'!GC386)</f>
        <v>-58</v>
      </c>
      <c r="AL385" s="7">
        <f>IF('Database MK'!GF386="","Belum",'Database MK'!GE386-'Database MK'!GF386)</f>
        <v>-51</v>
      </c>
      <c r="AM385" s="279">
        <f>IF('Database MK'!GJ386="","Belum",'Database MK'!GI386-'Database MK'!GJ386)</f>
        <v>-43</v>
      </c>
      <c r="AN385" s="7" t="str">
        <f>IF('Database MK'!HG386="","Belum",'Database MK'!HF386-'Database MK'!HG386)</f>
        <v>Belum</v>
      </c>
      <c r="AO385" s="7" t="str">
        <f>IF('Database MK'!HQ386="","Belum",'Database MK'!HN386-'Database MK'!HQ386)</f>
        <v>Belum</v>
      </c>
      <c r="AP385" s="7" t="str">
        <f>IF('Database MK'!HW386="","Belum",'Database MK'!HU386-'Database MK'!HW386)</f>
        <v>Belum</v>
      </c>
    </row>
    <row r="386" spans="2:42" hidden="1" x14ac:dyDescent="0.25">
      <c r="B386" s="7">
        <f>SUBTOTAL(3,$C$4:C386)</f>
        <v>74</v>
      </c>
      <c r="C386" s="269" t="s">
        <v>244</v>
      </c>
      <c r="D386" s="4" t="s">
        <v>3082</v>
      </c>
      <c r="E386" s="4" t="s">
        <v>3083</v>
      </c>
      <c r="F386" s="270">
        <v>46296</v>
      </c>
      <c r="G386" s="4" t="s">
        <v>681</v>
      </c>
      <c r="H386" s="4" t="str">
        <f ca="1">'Database MK'!Q387</f>
        <v>MC-0</v>
      </c>
      <c r="I386" s="24">
        <f>'Database MK'!S387</f>
        <v>0.29377548772810586</v>
      </c>
      <c r="J386" s="24">
        <f>'Database MK'!T387</f>
        <v>7.456646092727473E-2</v>
      </c>
      <c r="K386" s="571">
        <f>'Database MK'!U387</f>
        <v>-0.21920902680083112</v>
      </c>
      <c r="L386" s="561">
        <f>'Database MK'!V387</f>
        <v>3221</v>
      </c>
      <c r="M386" s="561">
        <f>'Database MK'!W387</f>
        <v>0</v>
      </c>
      <c r="N386" s="561">
        <f>Table3[[#This Row],[Total Panjang Pipa Aktual]]-Table3[[#This Row],[Volume
BA MC-0]]</f>
        <v>-3221</v>
      </c>
      <c r="O386" s="7" t="str">
        <f ca="1">'Database MK'!DE387</f>
        <v>Sudah, OnSchedule</v>
      </c>
      <c r="P386" s="7" t="str">
        <f ca="1">'Database MK'!DI387</f>
        <v>Sudah, OnSchedule</v>
      </c>
      <c r="Q386" s="7" t="str">
        <f ca="1">'Database MK'!DN387</f>
        <v>Sudah, OnSchedule</v>
      </c>
      <c r="R386" s="7" t="str">
        <f ca="1">'Database MK'!DR387</f>
        <v>Sudah, OnSchedule</v>
      </c>
      <c r="S386" s="7" t="str">
        <f ca="1">'Database MK'!EA387</f>
        <v>Sudah, OnSchedule</v>
      </c>
      <c r="T386" s="7" t="str">
        <f ca="1">'Database MK'!EI387</f>
        <v>Belum, Delay</v>
      </c>
      <c r="U386" s="7" t="str">
        <f ca="1">'Database MK'!ET387</f>
        <v>Belum, OnSchedule</v>
      </c>
      <c r="V386" s="7" t="str">
        <f ca="1">'Database MK'!GA387</f>
        <v>Sudah, OnSchedule</v>
      </c>
      <c r="W386" s="7" t="str">
        <f ca="1">'Database MK'!GD387</f>
        <v>Sudah, OnSchedule</v>
      </c>
      <c r="X386" s="7" t="str">
        <f ca="1">'Database MK'!GG387</f>
        <v>Sudah, OnSchedule</v>
      </c>
      <c r="Y386" s="7" t="str">
        <f ca="1">'Database MK'!GK387</f>
        <v>Sudah, OnSchedule</v>
      </c>
      <c r="Z386" s="7" t="str">
        <f ca="1">'Database MK'!HH387</f>
        <v>Belum, OnSchedule</v>
      </c>
      <c r="AA386" s="7" t="str">
        <f ca="1">'Database MK'!HR387</f>
        <v>Belum, OnSchedule</v>
      </c>
      <c r="AB386" s="7" t="str">
        <f ca="1">'Database MK'!HX387</f>
        <v>Belum, OnSchedule</v>
      </c>
      <c r="AC386" s="7">
        <f>'Database MK'!DA387-'Database MK'!DB387</f>
        <v>44</v>
      </c>
      <c r="AD386" s="7">
        <f>'Database MK'!DA387-'Database MK'!DF387</f>
        <v>19</v>
      </c>
      <c r="AE386" s="7">
        <f>'Database MK'!DK387-'Database MK'!DL387</f>
        <v>82</v>
      </c>
      <c r="AF386" s="7">
        <f>'Database MK'!DK387-'Database MK'!DO387</f>
        <v>52</v>
      </c>
      <c r="AG386" s="7">
        <f>'Database MK'!DU387-'Database MK'!DW387</f>
        <v>26</v>
      </c>
      <c r="AH386" s="7" t="str">
        <f>IF('Database MK'!EB387="","Belum",'Database MK'!DU387-'Database MK'!EB387)</f>
        <v>Belum</v>
      </c>
      <c r="AI386" s="7" t="str">
        <f>IF('Database MK'!EN387="","Belum",'Database MK'!EL387-'Database MK'!EN387)</f>
        <v>Belum</v>
      </c>
      <c r="AJ386" s="7">
        <f>'Database MK'!FY387-'Database MK'!FZ387</f>
        <v>81</v>
      </c>
      <c r="AK386" s="7">
        <f>IF('Database MK'!GC387="","Belum",'Database MK'!GB387-'Database MK'!GC387)</f>
        <v>34</v>
      </c>
      <c r="AL386" s="7">
        <f>IF('Database MK'!GF387="","Belum",'Database MK'!GE387-'Database MK'!GF387)</f>
        <v>41</v>
      </c>
      <c r="AM386" s="279">
        <f>IF('Database MK'!GJ387="","Belum",'Database MK'!GI387-'Database MK'!GJ387)</f>
        <v>53</v>
      </c>
      <c r="AN386" s="7" t="str">
        <f>IF('Database MK'!HG387="","Belum",'Database MK'!HF387-'Database MK'!HG387)</f>
        <v>Belum</v>
      </c>
      <c r="AO386" s="7" t="str">
        <f>IF('Database MK'!HQ387="","Belum",'Database MK'!HN387-'Database MK'!HQ387)</f>
        <v>Belum</v>
      </c>
      <c r="AP386" s="7" t="str">
        <f>IF('Database MK'!HW387="","Belum",'Database MK'!HU387-'Database MK'!HW387)</f>
        <v>Belum</v>
      </c>
    </row>
    <row r="387" spans="2:42" hidden="1" x14ac:dyDescent="0.25">
      <c r="B387" s="7">
        <f>SUBTOTAL(3,$C$4:C387)</f>
        <v>74</v>
      </c>
      <c r="C387" s="269" t="s">
        <v>244</v>
      </c>
      <c r="D387" s="4" t="s">
        <v>3090</v>
      </c>
      <c r="E387" s="4" t="s">
        <v>3091</v>
      </c>
      <c r="F387" s="270">
        <v>46296</v>
      </c>
      <c r="G387" s="4" t="s">
        <v>681</v>
      </c>
      <c r="H387" s="4" t="str">
        <f ca="1">'Database MK'!Q388</f>
        <v>MC-0</v>
      </c>
      <c r="I387" s="24">
        <f>'Database MK'!S388</f>
        <v>0.75871387558524539</v>
      </c>
      <c r="J387" s="24">
        <f>'Database MK'!T388</f>
        <v>0.16592110491955969</v>
      </c>
      <c r="K387" s="571">
        <f>'Database MK'!U388</f>
        <v>-0.5927927706656857</v>
      </c>
      <c r="L387" s="561">
        <f>'Database MK'!V388</f>
        <v>0</v>
      </c>
      <c r="M387" s="561">
        <f>'Database MK'!W388</f>
        <v>0</v>
      </c>
      <c r="N387" s="561">
        <f>Table3[[#This Row],[Total Panjang Pipa Aktual]]-Table3[[#This Row],[Volume
BA MC-0]]</f>
        <v>0</v>
      </c>
      <c r="O387" s="7" t="str">
        <f ca="1">'Database MK'!DE388</f>
        <v>Sudah, OnSchedule</v>
      </c>
      <c r="P387" s="7" t="str">
        <f ca="1">'Database MK'!DI388</f>
        <v>Sudah, OnSchedule</v>
      </c>
      <c r="Q387" s="7" t="str">
        <f ca="1">'Database MK'!DN388</f>
        <v>Sudah, OnSchedule</v>
      </c>
      <c r="R387" s="7" t="str">
        <f ca="1">'Database MK'!DR388</f>
        <v>Sudah, OnSchedule</v>
      </c>
      <c r="S387" s="7" t="str">
        <f ca="1">'Database MK'!EA388</f>
        <v>Sudah, OnSchedule</v>
      </c>
      <c r="T387" s="7" t="str">
        <f ca="1">'Database MK'!EI388</f>
        <v>Belum, Delay</v>
      </c>
      <c r="U387" s="7" t="str">
        <f ca="1">'Database MK'!ET388</f>
        <v>Belum, Delay</v>
      </c>
      <c r="V387" s="7" t="str">
        <f ca="1">'Database MK'!GA388</f>
        <v>Sudah, OnSchedule</v>
      </c>
      <c r="W387" s="7" t="str">
        <f ca="1">'Database MK'!GD388</f>
        <v>Sudah, OnSchedule</v>
      </c>
      <c r="X387" s="7" t="str">
        <f ca="1">'Database MK'!GG388</f>
        <v>Sudah, OnSchedule</v>
      </c>
      <c r="Y387" s="7" t="str">
        <f ca="1">'Database MK'!GK388</f>
        <v>Sudah, OnSchedule</v>
      </c>
      <c r="Z387" s="7" t="str">
        <f ca="1">'Database MK'!HH388</f>
        <v>Belum, OnSchedule</v>
      </c>
      <c r="AA387" s="7" t="str">
        <f ca="1">'Database MK'!HR388</f>
        <v>Belum, OnSchedule</v>
      </c>
      <c r="AB387" s="7" t="str">
        <f ca="1">'Database MK'!HX388</f>
        <v>Belum, OnSchedule</v>
      </c>
      <c r="AC387" s="7">
        <f>'Database MK'!DA388-'Database MK'!DB388</f>
        <v>20</v>
      </c>
      <c r="AD387" s="7">
        <f>'Database MK'!DA388-'Database MK'!DF388</f>
        <v>5</v>
      </c>
      <c r="AE387" s="7">
        <f>'Database MK'!DK388-'Database MK'!DL388</f>
        <v>89</v>
      </c>
      <c r="AF387" s="7">
        <f>'Database MK'!DK388-'Database MK'!DO388</f>
        <v>62</v>
      </c>
      <c r="AG387" s="7">
        <f>'Database MK'!DU388-'Database MK'!DW388</f>
        <v>33</v>
      </c>
      <c r="AH387" s="7" t="str">
        <f>IF('Database MK'!EB388="","Belum",'Database MK'!DU388-'Database MK'!EB388)</f>
        <v>Belum</v>
      </c>
      <c r="AI387" s="7" t="str">
        <f>IF('Database MK'!EN388="","Belum",'Database MK'!EL388-'Database MK'!EN388)</f>
        <v>Belum</v>
      </c>
      <c r="AJ387" s="7">
        <f>'Database MK'!FY388-'Database MK'!FZ388</f>
        <v>10</v>
      </c>
      <c r="AK387" s="7">
        <f>IF('Database MK'!GC388="","Belum",'Database MK'!GB388-'Database MK'!GC388)</f>
        <v>5</v>
      </c>
      <c r="AL387" s="7">
        <f>IF('Database MK'!GF388="","Belum",'Database MK'!GE388-'Database MK'!GF388)</f>
        <v>12</v>
      </c>
      <c r="AM387" s="279">
        <f>IF('Database MK'!GJ388="","Belum",'Database MK'!GI388-'Database MK'!GJ388)</f>
        <v>12</v>
      </c>
      <c r="AN387" s="7" t="str">
        <f>IF('Database MK'!HG388="","Belum",'Database MK'!HF388-'Database MK'!HG388)</f>
        <v>Belum</v>
      </c>
      <c r="AO387" s="7" t="str">
        <f>IF('Database MK'!HQ388="","Belum",'Database MK'!HN388-'Database MK'!HQ388)</f>
        <v>Belum</v>
      </c>
      <c r="AP387" s="7" t="str">
        <f>IF('Database MK'!HW388="","Belum",'Database MK'!HU388-'Database MK'!HW388)</f>
        <v>Belum</v>
      </c>
    </row>
    <row r="388" spans="2:42" hidden="1" x14ac:dyDescent="0.25">
      <c r="B388" s="7">
        <f>SUBTOTAL(3,$C$4:C388)</f>
        <v>74</v>
      </c>
      <c r="C388" s="269" t="s">
        <v>244</v>
      </c>
      <c r="D388" s="4" t="s">
        <v>3097</v>
      </c>
      <c r="E388" s="4" t="s">
        <v>3098</v>
      </c>
      <c r="F388" s="270">
        <v>46296</v>
      </c>
      <c r="G388" s="4" t="s">
        <v>681</v>
      </c>
      <c r="H388" s="4" t="str">
        <f ca="1">'Database MK'!Q389</f>
        <v>Proses Konstruksi</v>
      </c>
      <c r="I388" s="24">
        <f>'Database MK'!S389</f>
        <v>0.31480955891038254</v>
      </c>
      <c r="J388" s="24">
        <f>'Database MK'!T389</f>
        <v>7.0217485883365294E-2</v>
      </c>
      <c r="K388" s="571">
        <f>'Database MK'!U389</f>
        <v>-0.24459207302701724</v>
      </c>
      <c r="L388" s="561">
        <f>'Database MK'!V389</f>
        <v>904</v>
      </c>
      <c r="M388" s="561">
        <f>'Database MK'!W389</f>
        <v>878</v>
      </c>
      <c r="N388" s="561">
        <f>Table3[[#This Row],[Total Panjang Pipa Aktual]]-Table3[[#This Row],[Volume
BA MC-0]]</f>
        <v>-26</v>
      </c>
      <c r="O388" s="7" t="str">
        <f ca="1">'Database MK'!DE389</f>
        <v>Sudah, OnSchedule</v>
      </c>
      <c r="P388" s="7" t="str">
        <f ca="1">'Database MK'!DI389</f>
        <v>Sudah, OnSchedule</v>
      </c>
      <c r="Q388" s="7" t="str">
        <f ca="1">'Database MK'!DN389</f>
        <v>Sudah, OnSchedule</v>
      </c>
      <c r="R388" s="7" t="str">
        <f ca="1">'Database MK'!DR389</f>
        <v>Sudah, OnSchedule</v>
      </c>
      <c r="S388" s="7" t="str">
        <f ca="1">'Database MK'!EA389</f>
        <v>Sudah, OnSchedule</v>
      </c>
      <c r="T388" s="7" t="str">
        <f ca="1">'Database MK'!EI389</f>
        <v>Sudah, Delay</v>
      </c>
      <c r="U388" s="7" t="str">
        <f ca="1">'Database MK'!ET389</f>
        <v>Belum, OnSchedule</v>
      </c>
      <c r="V388" s="7" t="str">
        <f ca="1">'Database MK'!GA389</f>
        <v>Sudah, OnSchedule</v>
      </c>
      <c r="W388" s="7" t="str">
        <f ca="1">'Database MK'!GD389</f>
        <v>Sudah, OnSchedule</v>
      </c>
      <c r="X388" s="7" t="str">
        <f ca="1">'Database MK'!GG389</f>
        <v>Sudah, OnSchedule</v>
      </c>
      <c r="Y388" s="7" t="str">
        <f ca="1">'Database MK'!GK389</f>
        <v>Sudah, OnSchedule</v>
      </c>
      <c r="Z388" s="7" t="str">
        <f ca="1">'Database MK'!HH389</f>
        <v>Belum, OnSchedule</v>
      </c>
      <c r="AA388" s="7" t="str">
        <f ca="1">'Database MK'!HR389</f>
        <v>Belum, OnSchedule</v>
      </c>
      <c r="AB388" s="7" t="str">
        <f ca="1">'Database MK'!HX389</f>
        <v>Belum, OnSchedule</v>
      </c>
      <c r="AC388" s="7">
        <f>'Database MK'!DA389-'Database MK'!DB389</f>
        <v>19</v>
      </c>
      <c r="AD388" s="7">
        <f>'Database MK'!DA389-'Database MK'!DF389</f>
        <v>13</v>
      </c>
      <c r="AE388" s="7">
        <f>'Database MK'!DK389-'Database MK'!DL389</f>
        <v>89</v>
      </c>
      <c r="AF388" s="7">
        <f>'Database MK'!DK389-'Database MK'!DO389</f>
        <v>58</v>
      </c>
      <c r="AG388" s="7">
        <f>'Database MK'!DU389-'Database MK'!DW389</f>
        <v>33</v>
      </c>
      <c r="AH388" s="7">
        <f>IF('Database MK'!EB389="","Belum",'Database MK'!DU389-'Database MK'!EB389)</f>
        <v>-75</v>
      </c>
      <c r="AI388" s="7" t="str">
        <f>IF('Database MK'!EN389="","Belum",'Database MK'!EL389-'Database MK'!EN389)</f>
        <v>Belum</v>
      </c>
      <c r="AJ388" s="7">
        <f>'Database MK'!FY389-'Database MK'!FZ389</f>
        <v>10</v>
      </c>
      <c r="AK388" s="7">
        <f>IF('Database MK'!GC389="","Belum",'Database MK'!GB389-'Database MK'!GC389)</f>
        <v>33</v>
      </c>
      <c r="AL388" s="7">
        <f>IF('Database MK'!GF389="","Belum",'Database MK'!GE389-'Database MK'!GF389)</f>
        <v>40</v>
      </c>
      <c r="AM388" s="279">
        <f>IF('Database MK'!GJ389="","Belum",'Database MK'!GI389-'Database MK'!GJ389)</f>
        <v>45</v>
      </c>
      <c r="AN388" s="7" t="str">
        <f>IF('Database MK'!HG389="","Belum",'Database MK'!HF389-'Database MK'!HG389)</f>
        <v>Belum</v>
      </c>
      <c r="AO388" s="7" t="str">
        <f>IF('Database MK'!HQ389="","Belum",'Database MK'!HN389-'Database MK'!HQ389)</f>
        <v>Belum</v>
      </c>
      <c r="AP388" s="7" t="str">
        <f>IF('Database MK'!HW389="","Belum",'Database MK'!HU389-'Database MK'!HW389)</f>
        <v>Belum</v>
      </c>
    </row>
    <row r="389" spans="2:42" hidden="1" x14ac:dyDescent="0.25">
      <c r="B389" s="7">
        <f>SUBTOTAL(3,$C$4:C389)</f>
        <v>74</v>
      </c>
      <c r="C389" s="269" t="s">
        <v>244</v>
      </c>
      <c r="D389" s="4" t="s">
        <v>3104</v>
      </c>
      <c r="E389" s="4" t="s">
        <v>3105</v>
      </c>
      <c r="F389" s="270">
        <v>46296</v>
      </c>
      <c r="G389" s="4" t="s">
        <v>681</v>
      </c>
      <c r="H389" s="4" t="str">
        <f ca="1">'Database MK'!Q390</f>
        <v>DPPP</v>
      </c>
      <c r="I389" s="24">
        <f>'Database MK'!S390</f>
        <v>0.72815325712542989</v>
      </c>
      <c r="J389" s="24">
        <f>'Database MK'!T390</f>
        <v>1</v>
      </c>
      <c r="K389" s="571">
        <f>'Database MK'!U390</f>
        <v>0.27184674287457011</v>
      </c>
      <c r="L389" s="561">
        <f>'Database MK'!V390</f>
        <v>125.7</v>
      </c>
      <c r="M389" s="561">
        <f>'Database MK'!W390</f>
        <v>125.7</v>
      </c>
      <c r="N389" s="561">
        <f>Table3[[#This Row],[Total Panjang Pipa Aktual]]-Table3[[#This Row],[Volume
BA MC-0]]</f>
        <v>0</v>
      </c>
      <c r="O389" s="7" t="str">
        <f ca="1">'Database MK'!DE390</f>
        <v>Sudah, OnSchedule</v>
      </c>
      <c r="P389" s="7" t="str">
        <f ca="1">'Database MK'!DI390</f>
        <v>Sudah, OnSchedule</v>
      </c>
      <c r="Q389" s="7" t="str">
        <f ca="1">'Database MK'!DN390</f>
        <v>Sudah, OnSchedule</v>
      </c>
      <c r="R389" s="7" t="str">
        <f ca="1">'Database MK'!DR390</f>
        <v>Sudah, OnSchedule</v>
      </c>
      <c r="S389" s="7" t="str">
        <f ca="1">'Database MK'!EA390</f>
        <v>Sudah, OnSchedule</v>
      </c>
      <c r="T389" s="7" t="str">
        <f ca="1">'Database MK'!EI390</f>
        <v>Belum, Delay</v>
      </c>
      <c r="U389" s="7" t="str">
        <f ca="1">'Database MK'!ET390</f>
        <v>Belum, Delay</v>
      </c>
      <c r="V389" s="7" t="str">
        <f ca="1">'Database MK'!GA390</f>
        <v>Sudah, OnSchedule</v>
      </c>
      <c r="W389" s="7" t="str">
        <f ca="1">'Database MK'!GD390</f>
        <v>Sudah, OnSchedule</v>
      </c>
      <c r="X389" s="7" t="str">
        <f ca="1">'Database MK'!GG390</f>
        <v>Sudah, OnSchedule</v>
      </c>
      <c r="Y389" s="7" t="str">
        <f ca="1">'Database MK'!GK390</f>
        <v>Sudah, OnSchedule</v>
      </c>
      <c r="Z389" s="7" t="str">
        <f ca="1">'Database MK'!HH390</f>
        <v>Sudah, OnSchedule</v>
      </c>
      <c r="AA389" s="7" t="str">
        <f ca="1">'Database MK'!HR390</f>
        <v>Sudah, OnSchedule</v>
      </c>
      <c r="AB389" s="7" t="str">
        <f ca="1">'Database MK'!HX390</f>
        <v>Sudah, OnSchedule</v>
      </c>
      <c r="AC389" s="7">
        <f>'Database MK'!DA390-'Database MK'!DB390</f>
        <v>19</v>
      </c>
      <c r="AD389" s="7">
        <f>'Database MK'!DA390-'Database MK'!DF390</f>
        <v>5</v>
      </c>
      <c r="AE389" s="7">
        <f>'Database MK'!DK390-'Database MK'!DL390</f>
        <v>89</v>
      </c>
      <c r="AF389" s="7">
        <f>'Database MK'!DK390-'Database MK'!DO390</f>
        <v>83</v>
      </c>
      <c r="AG389" s="7">
        <f>'Database MK'!DU390-'Database MK'!DW390</f>
        <v>33</v>
      </c>
      <c r="AH389" s="7" t="str">
        <f>IF('Database MK'!EB390="","Belum",'Database MK'!DU390-'Database MK'!EB390)</f>
        <v>Belum</v>
      </c>
      <c r="AI389" s="7" t="str">
        <f>IF('Database MK'!EN390="","Belum",'Database MK'!EL390-'Database MK'!EN390)</f>
        <v>Belum</v>
      </c>
      <c r="AJ389" s="7">
        <f>'Database MK'!FY390-'Database MK'!FZ390</f>
        <v>81</v>
      </c>
      <c r="AK389" s="7">
        <f>IF('Database MK'!GC390="","Belum",'Database MK'!GB390-'Database MK'!GC390)</f>
        <v>80</v>
      </c>
      <c r="AL389" s="7">
        <f>IF('Database MK'!GF390="","Belum",'Database MK'!GE390-'Database MK'!GF390)</f>
        <v>89</v>
      </c>
      <c r="AM389" s="279">
        <f>IF('Database MK'!GJ390="","Belum",'Database MK'!GI390-'Database MK'!GJ390)</f>
        <v>100</v>
      </c>
      <c r="AN389" s="7">
        <f>IF('Database MK'!HG390="","Belum",'Database MK'!HF390-'Database MK'!HG390)</f>
        <v>115</v>
      </c>
      <c r="AO389" s="7">
        <f>IF('Database MK'!HQ390="","Belum",'Database MK'!HN390-'Database MK'!HQ390)</f>
        <v>120</v>
      </c>
      <c r="AP389" s="7">
        <f>IF('Database MK'!HW390="","Belum",'Database MK'!HU390-'Database MK'!HW390)</f>
        <v>114</v>
      </c>
    </row>
    <row r="390" spans="2:42" hidden="1" x14ac:dyDescent="0.25">
      <c r="B390" s="7">
        <f>SUBTOTAL(3,$C$4:C390)</f>
        <v>74</v>
      </c>
      <c r="C390" s="269" t="s">
        <v>244</v>
      </c>
      <c r="D390" s="4" t="s">
        <v>3112</v>
      </c>
      <c r="E390" s="4" t="s">
        <v>3113</v>
      </c>
      <c r="F390" s="270">
        <v>46296</v>
      </c>
      <c r="G390" s="4" t="s">
        <v>681</v>
      </c>
      <c r="H390" s="4" t="str">
        <f ca="1">'Database MK'!Q391</f>
        <v>Tes Com</v>
      </c>
      <c r="I390" s="24">
        <f>'Database MK'!S391</f>
        <v>0.7199961445955364</v>
      </c>
      <c r="J390" s="24">
        <f>'Database MK'!T391</f>
        <v>0.80543103783815784</v>
      </c>
      <c r="K390" s="571">
        <f>'Database MK'!U391</f>
        <v>8.5434893242621435E-2</v>
      </c>
      <c r="L390" s="561">
        <f>'Database MK'!V391</f>
        <v>561</v>
      </c>
      <c r="M390" s="561">
        <f>'Database MK'!W391</f>
        <v>424</v>
      </c>
      <c r="N390" s="561">
        <f>Table3[[#This Row],[Total Panjang Pipa Aktual]]-Table3[[#This Row],[Volume
BA MC-0]]</f>
        <v>-137</v>
      </c>
      <c r="O390" s="7" t="str">
        <f ca="1">'Database MK'!DE391</f>
        <v>Sudah, OnSchedule</v>
      </c>
      <c r="P390" s="7" t="str">
        <f ca="1">'Database MK'!DI391</f>
        <v>Sudah, Delay</v>
      </c>
      <c r="Q390" s="7" t="str">
        <f ca="1">'Database MK'!DN391</f>
        <v>Sudah, OnSchedule</v>
      </c>
      <c r="R390" s="7" t="str">
        <f ca="1">'Database MK'!DR391</f>
        <v>Sudah, OnSchedule</v>
      </c>
      <c r="S390" s="7" t="str">
        <f ca="1">'Database MK'!EA391</f>
        <v>Sudah, OnSchedule</v>
      </c>
      <c r="T390" s="7" t="str">
        <f ca="1">'Database MK'!EI391</f>
        <v>Belum, Delay</v>
      </c>
      <c r="U390" s="7" t="str">
        <f ca="1">'Database MK'!ET391</f>
        <v>Belum, Delay</v>
      </c>
      <c r="V390" s="7" t="str">
        <f ca="1">'Database MK'!GA391</f>
        <v>Sudah, OnSchedule</v>
      </c>
      <c r="W390" s="7" t="str">
        <f ca="1">'Database MK'!GD391</f>
        <v>Sudah, OnSchedule</v>
      </c>
      <c r="X390" s="7" t="str">
        <f ca="1">'Database MK'!GG391</f>
        <v>Sudah, OnSchedule</v>
      </c>
      <c r="Y390" s="7" t="str">
        <f ca="1">'Database MK'!GK391</f>
        <v>Sudah, OnSchedule</v>
      </c>
      <c r="Z390" s="7" t="str">
        <f ca="1">'Database MK'!HH391</f>
        <v>Sudah, OnSchedule</v>
      </c>
      <c r="AA390" s="7" t="str">
        <f ca="1">'Database MK'!HR391</f>
        <v>Belum, OnSchedule</v>
      </c>
      <c r="AB390" s="7" t="str">
        <f ca="1">'Database MK'!HX391</f>
        <v>Belum, OnSchedule</v>
      </c>
      <c r="AC390" s="7">
        <f>'Database MK'!DA391-'Database MK'!DB391</f>
        <v>12</v>
      </c>
      <c r="AD390" s="7">
        <f>'Database MK'!DA391-'Database MK'!DF391</f>
        <v>-3</v>
      </c>
      <c r="AE390" s="7">
        <f>'Database MK'!DK391-'Database MK'!DL391</f>
        <v>86</v>
      </c>
      <c r="AF390" s="7">
        <f>'Database MK'!DK391-'Database MK'!DO391</f>
        <v>62</v>
      </c>
      <c r="AG390" s="7">
        <f>'Database MK'!DU391-'Database MK'!DW391</f>
        <v>30</v>
      </c>
      <c r="AH390" s="7" t="str">
        <f>IF('Database MK'!EB391="","Belum",'Database MK'!DU391-'Database MK'!EB391)</f>
        <v>Belum</v>
      </c>
      <c r="AI390" s="7" t="str">
        <f>IF('Database MK'!EN391="","Belum",'Database MK'!EL391-'Database MK'!EN391)</f>
        <v>Belum</v>
      </c>
      <c r="AJ390" s="7">
        <f>'Database MK'!FY391-'Database MK'!FZ391</f>
        <v>10</v>
      </c>
      <c r="AK390" s="7">
        <f>IF('Database MK'!GC391="","Belum",'Database MK'!GB391-'Database MK'!GC391)</f>
        <v>34</v>
      </c>
      <c r="AL390" s="7">
        <f>IF('Database MK'!GF391="","Belum",'Database MK'!GE391-'Database MK'!GF391)</f>
        <v>41</v>
      </c>
      <c r="AM390" s="279">
        <f>IF('Database MK'!GJ391="","Belum",'Database MK'!GI391-'Database MK'!GJ391)</f>
        <v>53</v>
      </c>
      <c r="AN390" s="7">
        <f>IF('Database MK'!HG391="","Belum",'Database MK'!HF391-'Database MK'!HG391)</f>
        <v>76</v>
      </c>
      <c r="AO390" s="7" t="str">
        <f>IF('Database MK'!HQ391="","Belum",'Database MK'!HN391-'Database MK'!HQ391)</f>
        <v>Belum</v>
      </c>
      <c r="AP390" s="7" t="str">
        <f>IF('Database MK'!HW391="","Belum",'Database MK'!HU391-'Database MK'!HW391)</f>
        <v>Belum</v>
      </c>
    </row>
    <row r="391" spans="2:42" hidden="1" x14ac:dyDescent="0.25">
      <c r="B391" s="7">
        <f>SUBTOTAL(3,$C$4:C391)</f>
        <v>74</v>
      </c>
      <c r="C391" s="269" t="s">
        <v>244</v>
      </c>
      <c r="D391" s="4" t="s">
        <v>3120</v>
      </c>
      <c r="E391" s="4" t="s">
        <v>3121</v>
      </c>
      <c r="F391" s="270">
        <v>46296</v>
      </c>
      <c r="G391" s="4" t="s">
        <v>681</v>
      </c>
      <c r="H391" s="4" t="str">
        <f ca="1">'Database MK'!Q392</f>
        <v>Tes Com</v>
      </c>
      <c r="I391" s="24">
        <f>'Database MK'!S392</f>
        <v>0.20229552209675605</v>
      </c>
      <c r="J391" s="24">
        <f>'Database MK'!T392</f>
        <v>0.64173716829218808</v>
      </c>
      <c r="K391" s="571">
        <f>'Database MK'!U392</f>
        <v>0.43944164619543202</v>
      </c>
      <c r="L391" s="561">
        <f>'Database MK'!V392</f>
        <v>687.8</v>
      </c>
      <c r="M391" s="561">
        <f>'Database MK'!W392</f>
        <v>400</v>
      </c>
      <c r="N391" s="561">
        <f>Table3[[#This Row],[Total Panjang Pipa Aktual]]-Table3[[#This Row],[Volume
BA MC-0]]</f>
        <v>-287.79999999999995</v>
      </c>
      <c r="O391" s="7" t="str">
        <f ca="1">'Database MK'!DE392</f>
        <v>Sudah, OnSchedule</v>
      </c>
      <c r="P391" s="7" t="str">
        <f ca="1">'Database MK'!DI392</f>
        <v>Sudah, OnSchedule</v>
      </c>
      <c r="Q391" s="7" t="str">
        <f ca="1">'Database MK'!DN392</f>
        <v>Sudah, OnSchedule</v>
      </c>
      <c r="R391" s="7" t="str">
        <f ca="1">'Database MK'!DR392</f>
        <v>Sudah, OnSchedule</v>
      </c>
      <c r="S391" s="7" t="str">
        <f ca="1">'Database MK'!EA392</f>
        <v>Sudah, OnSchedule</v>
      </c>
      <c r="T391" s="7" t="str">
        <f ca="1">'Database MK'!EI392</f>
        <v>Belum, Delay</v>
      </c>
      <c r="U391" s="7" t="str">
        <f ca="1">'Database MK'!ET392</f>
        <v>Belum, Delay</v>
      </c>
      <c r="V391" s="7" t="str">
        <f ca="1">'Database MK'!GA392</f>
        <v>Sudah, OnSchedule</v>
      </c>
      <c r="W391" s="7" t="str">
        <f ca="1">'Database MK'!GD392</f>
        <v>Sudah, OnSchedule</v>
      </c>
      <c r="X391" s="7" t="str">
        <f ca="1">'Database MK'!GG392</f>
        <v>Sudah, OnSchedule</v>
      </c>
      <c r="Y391" s="7" t="str">
        <f ca="1">'Database MK'!GK392</f>
        <v>Sudah, OnSchedule</v>
      </c>
      <c r="Z391" s="7" t="str">
        <f ca="1">'Database MK'!HH392</f>
        <v>Sudah, OnSchedule</v>
      </c>
      <c r="AA391" s="7" t="str">
        <f ca="1">'Database MK'!HR392</f>
        <v>Belum, OnSchedule</v>
      </c>
      <c r="AB391" s="7" t="str">
        <f ca="1">'Database MK'!HX392</f>
        <v>Belum, OnSchedule</v>
      </c>
      <c r="AC391" s="7">
        <f>'Database MK'!DA392-'Database MK'!DB392</f>
        <v>26</v>
      </c>
      <c r="AD391" s="7">
        <f>'Database MK'!DA392-'Database MK'!DF392</f>
        <v>12</v>
      </c>
      <c r="AE391" s="7">
        <f>'Database MK'!DK392-'Database MK'!DL392</f>
        <v>107</v>
      </c>
      <c r="AF391" s="7">
        <f>'Database MK'!DK392-'Database MK'!DO392</f>
        <v>86</v>
      </c>
      <c r="AG391" s="7">
        <f>'Database MK'!DU392-'Database MK'!DW392</f>
        <v>51</v>
      </c>
      <c r="AH391" s="7" t="str">
        <f>IF('Database MK'!EB392="","Belum",'Database MK'!DU392-'Database MK'!EB392)</f>
        <v>Belum</v>
      </c>
      <c r="AI391" s="7" t="str">
        <f>IF('Database MK'!EN392="","Belum",'Database MK'!EL392-'Database MK'!EN392)</f>
        <v>Belum</v>
      </c>
      <c r="AJ391" s="7">
        <f>'Database MK'!FY392-'Database MK'!FZ392</f>
        <v>38</v>
      </c>
      <c r="AK391" s="7">
        <f>IF('Database MK'!GC392="","Belum",'Database MK'!GB392-'Database MK'!GC392)</f>
        <v>61</v>
      </c>
      <c r="AL391" s="7">
        <f>IF('Database MK'!GF392="","Belum",'Database MK'!GE392-'Database MK'!GF392)</f>
        <v>68</v>
      </c>
      <c r="AM391" s="279">
        <f>IF('Database MK'!GJ392="","Belum",'Database MK'!GI392-'Database MK'!GJ392)</f>
        <v>67</v>
      </c>
      <c r="AN391" s="7">
        <f>IF('Database MK'!HG392="","Belum",'Database MK'!HF392-'Database MK'!HG392)</f>
        <v>40</v>
      </c>
      <c r="AO391" s="7" t="str">
        <f>IF('Database MK'!HQ392="","Belum",'Database MK'!HN392-'Database MK'!HQ392)</f>
        <v>Belum</v>
      </c>
      <c r="AP391" s="7" t="str">
        <f>IF('Database MK'!HW392="","Belum",'Database MK'!HU392-'Database MK'!HW392)</f>
        <v>Belum</v>
      </c>
    </row>
    <row r="392" spans="2:42" hidden="1" x14ac:dyDescent="0.25">
      <c r="B392" s="7">
        <f>SUBTOTAL(3,$C$4:C392)</f>
        <v>74</v>
      </c>
      <c r="C392" s="269" t="s">
        <v>244</v>
      </c>
      <c r="D392" s="4" t="s">
        <v>3128</v>
      </c>
      <c r="E392" s="4" t="s">
        <v>3129</v>
      </c>
      <c r="F392" s="270">
        <v>46296</v>
      </c>
      <c r="G392" s="4" t="s">
        <v>681</v>
      </c>
      <c r="H392" s="4" t="str">
        <f ca="1">'Database MK'!Q393</f>
        <v>MC-0</v>
      </c>
      <c r="I392" s="24">
        <f>'Database MK'!S393</f>
        <v>0.11688129987801157</v>
      </c>
      <c r="J392" s="24">
        <f>'Database MK'!T393</f>
        <v>4.8741413770037087E-2</v>
      </c>
      <c r="K392" s="571">
        <f>'Database MK'!U393</f>
        <v>-6.8139886107974487E-2</v>
      </c>
      <c r="L392" s="561">
        <f>'Database MK'!V393</f>
        <v>0</v>
      </c>
      <c r="M392" s="561">
        <f>'Database MK'!W393</f>
        <v>0</v>
      </c>
      <c r="N392" s="561">
        <f>Table3[[#This Row],[Total Panjang Pipa Aktual]]-Table3[[#This Row],[Volume
BA MC-0]]</f>
        <v>0</v>
      </c>
      <c r="O392" s="7" t="str">
        <f ca="1">'Database MK'!DE393</f>
        <v>Sudah, OnSchedule</v>
      </c>
      <c r="P392" s="7" t="str">
        <f ca="1">'Database MK'!DI393</f>
        <v>Sudah, OnSchedule</v>
      </c>
      <c r="Q392" s="7" t="str">
        <f ca="1">'Database MK'!DN393</f>
        <v>Sudah, OnSchedule</v>
      </c>
      <c r="R392" s="7" t="str">
        <f ca="1">'Database MK'!DR393</f>
        <v>Sudah, OnSchedule</v>
      </c>
      <c r="S392" s="7" t="str">
        <f ca="1">'Database MK'!EA393</f>
        <v>Sudah, OnSchedule</v>
      </c>
      <c r="T392" s="7" t="str">
        <f ca="1">'Database MK'!EI393</f>
        <v>Sudah, Delay</v>
      </c>
      <c r="U392" s="7" t="str">
        <f ca="1">'Database MK'!ET393</f>
        <v>Belum, Delay</v>
      </c>
      <c r="V392" s="7" t="str">
        <f ca="1">'Database MK'!GA393</f>
        <v>Sudah, OnSchedule</v>
      </c>
      <c r="W392" s="7" t="str">
        <f ca="1">'Database MK'!GD393</f>
        <v>Sudah, OnSchedule</v>
      </c>
      <c r="X392" s="7" t="str">
        <f ca="1">'Database MK'!GG393</f>
        <v>Sudah, OnSchedule</v>
      </c>
      <c r="Y392" s="7" t="str">
        <f ca="1">'Database MK'!GK393</f>
        <v>Sudah, OnSchedule</v>
      </c>
      <c r="Z392" s="7" t="str">
        <f ca="1">'Database MK'!HH393</f>
        <v>Belum, OnSchedule</v>
      </c>
      <c r="AA392" s="7" t="str">
        <f ca="1">'Database MK'!HR393</f>
        <v>Belum, OnSchedule</v>
      </c>
      <c r="AB392" s="7" t="str">
        <f ca="1">'Database MK'!HX393</f>
        <v>Belum, OnSchedule</v>
      </c>
      <c r="AC392" s="7">
        <f>'Database MK'!DA393-'Database MK'!DB393</f>
        <v>26</v>
      </c>
      <c r="AD392" s="7">
        <f>'Database MK'!DA393-'Database MK'!DF393</f>
        <v>13</v>
      </c>
      <c r="AE392" s="7">
        <f>'Database MK'!DK393-'Database MK'!DL393</f>
        <v>107</v>
      </c>
      <c r="AF392" s="7">
        <f>'Database MK'!DK393-'Database MK'!DO393</f>
        <v>59</v>
      </c>
      <c r="AG392" s="7">
        <f>'Database MK'!DU393-'Database MK'!DW393</f>
        <v>51</v>
      </c>
      <c r="AH392" s="7">
        <f>IF('Database MK'!EB393="","Belum",'Database MK'!DU393-'Database MK'!EB393)</f>
        <v>-44.291666666664241</v>
      </c>
      <c r="AI392" s="7" t="str">
        <f>IF('Database MK'!EN393="","Belum",'Database MK'!EL393-'Database MK'!EN393)</f>
        <v>Belum</v>
      </c>
      <c r="AJ392" s="7">
        <f>'Database MK'!FY393-'Database MK'!FZ393</f>
        <v>38</v>
      </c>
      <c r="AK392" s="7">
        <f>IF('Database MK'!GC393="","Belum",'Database MK'!GB393-'Database MK'!GC393)</f>
        <v>33</v>
      </c>
      <c r="AL392" s="7">
        <f>IF('Database MK'!GF393="","Belum",'Database MK'!GE393-'Database MK'!GF393)</f>
        <v>40</v>
      </c>
      <c r="AM392" s="279">
        <f>IF('Database MK'!GJ393="","Belum",'Database MK'!GI393-'Database MK'!GJ393)</f>
        <v>40</v>
      </c>
      <c r="AN392" s="7" t="str">
        <f>IF('Database MK'!HG393="","Belum",'Database MK'!HF393-'Database MK'!HG393)</f>
        <v>Belum</v>
      </c>
      <c r="AO392" s="7" t="str">
        <f>IF('Database MK'!HQ393="","Belum",'Database MK'!HN393-'Database MK'!HQ393)</f>
        <v>Belum</v>
      </c>
      <c r="AP392" s="7" t="str">
        <f>IF('Database MK'!HW393="","Belum",'Database MK'!HU393-'Database MK'!HW393)</f>
        <v>Belum</v>
      </c>
    </row>
    <row r="393" spans="2:42" hidden="1" x14ac:dyDescent="0.25">
      <c r="B393" s="7">
        <f>SUBTOTAL(3,$C$4:C393)</f>
        <v>74</v>
      </c>
      <c r="C393" s="269" t="s">
        <v>244</v>
      </c>
      <c r="D393" s="4" t="s">
        <v>3137</v>
      </c>
      <c r="E393" s="4" t="s">
        <v>3138</v>
      </c>
      <c r="F393" s="270">
        <v>46296</v>
      </c>
      <c r="G393" s="4" t="s">
        <v>681</v>
      </c>
      <c r="H393" s="4" t="str">
        <f ca="1">'Database MK'!Q394</f>
        <v>Proses Konstruksi</v>
      </c>
      <c r="I393" s="24">
        <f>'Database MK'!S394</f>
        <v>4.7208686639228496E-2</v>
      </c>
      <c r="J393" s="24">
        <f>'Database MK'!T394</f>
        <v>5.3345600964831534E-2</v>
      </c>
      <c r="K393" s="571">
        <f>'Database MK'!U394</f>
        <v>6.1369143256030378E-3</v>
      </c>
      <c r="L393" s="561">
        <f>'Database MK'!V394</f>
        <v>561</v>
      </c>
      <c r="M393" s="561">
        <f>'Database MK'!W394</f>
        <v>575</v>
      </c>
      <c r="N393" s="561">
        <f>Table3[[#This Row],[Total Panjang Pipa Aktual]]-Table3[[#This Row],[Volume
BA MC-0]]</f>
        <v>14</v>
      </c>
      <c r="O393" s="7" t="str">
        <f ca="1">'Database MK'!DE394</f>
        <v>Sudah, OnSchedule</v>
      </c>
      <c r="P393" s="7" t="str">
        <f ca="1">'Database MK'!DI394</f>
        <v>Sudah, OnSchedule</v>
      </c>
      <c r="Q393" s="7" t="str">
        <f ca="1">'Database MK'!DN394</f>
        <v>Sudah, OnSchedule</v>
      </c>
      <c r="R393" s="7" t="str">
        <f ca="1">'Database MK'!DR394</f>
        <v>Sudah, OnSchedule</v>
      </c>
      <c r="S393" s="7" t="str">
        <f ca="1">'Database MK'!EA394</f>
        <v>Sudah, OnSchedule</v>
      </c>
      <c r="T393" s="7" t="str">
        <f ca="1">'Database MK'!EI394</f>
        <v>Belum, Delay</v>
      </c>
      <c r="U393" s="7" t="str">
        <f ca="1">'Database MK'!ET394</f>
        <v>Belum, OnSchedule</v>
      </c>
      <c r="V393" s="7" t="str">
        <f ca="1">'Database MK'!GA394</f>
        <v>Sudah, OnSchedule</v>
      </c>
      <c r="W393" s="7" t="str">
        <f ca="1">'Database MK'!GD394</f>
        <v>Sudah, OnSchedule</v>
      </c>
      <c r="X393" s="7" t="str">
        <f ca="1">'Database MK'!GG394</f>
        <v>Sudah, OnSchedule</v>
      </c>
      <c r="Y393" s="7" t="str">
        <f ca="1">'Database MK'!GK394</f>
        <v>Sudah, OnSchedule</v>
      </c>
      <c r="Z393" s="7" t="str">
        <f ca="1">'Database MK'!HH394</f>
        <v>Belum, OnSchedule</v>
      </c>
      <c r="AA393" s="7" t="str">
        <f ca="1">'Database MK'!HR394</f>
        <v>Belum, OnSchedule</v>
      </c>
      <c r="AB393" s="7" t="str">
        <f ca="1">'Database MK'!HX394</f>
        <v>Belum, OnSchedule</v>
      </c>
      <c r="AC393" s="7">
        <f>'Database MK'!DA394-'Database MK'!DB394</f>
        <v>79</v>
      </c>
      <c r="AD393" s="7">
        <f>'Database MK'!DA394-'Database MK'!DF394</f>
        <v>65</v>
      </c>
      <c r="AE393" s="7">
        <f>'Database MK'!DK394-'Database MK'!DL394</f>
        <v>111</v>
      </c>
      <c r="AF393" s="7">
        <f>'Database MK'!DK394-'Database MK'!DO394</f>
        <v>86.708333333335759</v>
      </c>
      <c r="AG393" s="7">
        <f>'Database MK'!DU394-'Database MK'!DW394</f>
        <v>55</v>
      </c>
      <c r="AH393" s="7" t="str">
        <f>IF('Database MK'!EB394="","Belum",'Database MK'!DU394-'Database MK'!EB394)</f>
        <v>Belum</v>
      </c>
      <c r="AI393" s="7" t="str">
        <f>IF('Database MK'!EN394="","Belum",'Database MK'!EL394-'Database MK'!EN394)</f>
        <v>Belum</v>
      </c>
      <c r="AJ393" s="7">
        <f>'Database MK'!FY394-'Database MK'!FZ394</f>
        <v>38</v>
      </c>
      <c r="AK393" s="7">
        <f>IF('Database MK'!GC394="","Belum",'Database MK'!GB394-'Database MK'!GC394)</f>
        <v>62</v>
      </c>
      <c r="AL393" s="7">
        <f>IF('Database MK'!GF394="","Belum",'Database MK'!GE394-'Database MK'!GF394)</f>
        <v>117</v>
      </c>
      <c r="AM393" s="279">
        <f>IF('Database MK'!GJ394="","Belum",'Database MK'!GI394-'Database MK'!GJ394)</f>
        <v>128</v>
      </c>
      <c r="AN393" s="7" t="str">
        <f>IF('Database MK'!HG394="","Belum",'Database MK'!HF394-'Database MK'!HG394)</f>
        <v>Belum</v>
      </c>
      <c r="AO393" s="7" t="str">
        <f>IF('Database MK'!HQ394="","Belum",'Database MK'!HN394-'Database MK'!HQ394)</f>
        <v>Belum</v>
      </c>
      <c r="AP393" s="7" t="str">
        <f>IF('Database MK'!HW394="","Belum",'Database MK'!HU394-'Database MK'!HW394)</f>
        <v>Belum</v>
      </c>
    </row>
    <row r="394" spans="2:42" hidden="1" x14ac:dyDescent="0.25">
      <c r="B394" s="7">
        <f>SUBTOTAL(3,$C$4:C394)</f>
        <v>74</v>
      </c>
      <c r="C394" s="269" t="s">
        <v>673</v>
      </c>
      <c r="D394" s="4" t="s">
        <v>3145</v>
      </c>
      <c r="E394" s="4" t="s">
        <v>3146</v>
      </c>
      <c r="F394" s="270">
        <v>46296</v>
      </c>
      <c r="G394" s="4" t="s">
        <v>247</v>
      </c>
      <c r="H394" s="4" t="str">
        <f ca="1">'Database MK'!Q395</f>
        <v>MC-0</v>
      </c>
      <c r="I394" s="24">
        <f>'Database MK'!S395</f>
        <v>0.70953978539842522</v>
      </c>
      <c r="J394" s="24">
        <f>'Database MK'!T395</f>
        <v>0.11418019935614879</v>
      </c>
      <c r="K394" s="571">
        <f>'Database MK'!U395</f>
        <v>-0.59535958604227646</v>
      </c>
      <c r="L394" s="561">
        <f>'Database MK'!V395</f>
        <v>2085</v>
      </c>
      <c r="M394" s="561">
        <f>'Database MK'!W395</f>
        <v>0</v>
      </c>
      <c r="N394" s="561">
        <f>Table3[[#This Row],[Total Panjang Pipa Aktual]]-Table3[[#This Row],[Volume
BA MC-0]]</f>
        <v>-2085</v>
      </c>
      <c r="O394" s="7" t="str">
        <f ca="1">'Database MK'!DE395</f>
        <v>Sudah, Delay</v>
      </c>
      <c r="P394" s="7" t="str">
        <f ca="1">'Database MK'!DI395</f>
        <v>Sudah, Delay</v>
      </c>
      <c r="Q394" s="7" t="str">
        <f ca="1">'Database MK'!DN395</f>
        <v>Sudah, OnSchedule</v>
      </c>
      <c r="R394" s="7" t="str">
        <f ca="1">'Database MK'!DR395</f>
        <v>Sudah, Delay</v>
      </c>
      <c r="S394" s="7" t="str">
        <f ca="1">'Database MK'!EA395</f>
        <v>Sudah, Delay</v>
      </c>
      <c r="T394" s="7" t="str">
        <f ca="1">'Database MK'!EI395</f>
        <v>Belum, Delay</v>
      </c>
      <c r="U394" s="7" t="str">
        <f ca="1">'Database MK'!ET395</f>
        <v>Belum, Delay</v>
      </c>
      <c r="V394" s="7" t="str">
        <f ca="1">'Database MK'!GA395</f>
        <v>Sudah, OnSchedule</v>
      </c>
      <c r="W394" s="7" t="str">
        <f ca="1">'Database MK'!GD395</f>
        <v>Sudah, OnSchedule</v>
      </c>
      <c r="X394" s="7" t="str">
        <f ca="1">'Database MK'!GG395</f>
        <v>Sudah, OnSchedule</v>
      </c>
      <c r="Y394" s="7" t="str">
        <f ca="1">'Database MK'!GK395</f>
        <v>Sudah, OnSchedule</v>
      </c>
      <c r="Z394" s="7" t="str">
        <f ca="1">'Database MK'!HH395</f>
        <v>Belum, OnSchedule</v>
      </c>
      <c r="AA394" s="7" t="str">
        <f ca="1">'Database MK'!HR395</f>
        <v>Belum, OnSchedule</v>
      </c>
      <c r="AB394" s="7" t="str">
        <f ca="1">'Database MK'!HX395</f>
        <v>Belum, OnSchedule</v>
      </c>
      <c r="AC394" s="7">
        <f>'Database MK'!DA395-'Database MK'!DB395</f>
        <v>-11</v>
      </c>
      <c r="AD394" s="7">
        <f>'Database MK'!DA395-'Database MK'!DF395</f>
        <v>-37</v>
      </c>
      <c r="AE394" s="7">
        <f>'Database MK'!DK395-'Database MK'!DL395</f>
        <v>27</v>
      </c>
      <c r="AF394" s="7">
        <f>'Database MK'!DK395-'Database MK'!DO395</f>
        <v>-9</v>
      </c>
      <c r="AG394" s="7">
        <f>'Database MK'!DU395-'Database MK'!DW395</f>
        <v>-22</v>
      </c>
      <c r="AH394" s="7" t="str">
        <f>IF('Database MK'!EB395="","Belum",'Database MK'!DU395-'Database MK'!EB395)</f>
        <v>Belum</v>
      </c>
      <c r="AI394" s="7" t="str">
        <f>IF('Database MK'!EN395="","Belum",'Database MK'!EL395-'Database MK'!EN395)</f>
        <v>Belum</v>
      </c>
      <c r="AJ394" s="7">
        <f>'Database MK'!FY395-'Database MK'!FZ395</f>
        <v>3</v>
      </c>
      <c r="AK394" s="7">
        <f>IF('Database MK'!GC395="","Belum",'Database MK'!GB395-'Database MK'!GC395)</f>
        <v>0</v>
      </c>
      <c r="AL394" s="7">
        <f>IF('Database MK'!GF395="","Belum",'Database MK'!GE395-'Database MK'!GF395)</f>
        <v>3</v>
      </c>
      <c r="AM394" s="279">
        <f>IF('Database MK'!GJ395="","Belum",'Database MK'!GI395-'Database MK'!GJ395)</f>
        <v>10</v>
      </c>
      <c r="AN394" s="7" t="str">
        <f>IF('Database MK'!HG395="","Belum",'Database MK'!HF395-'Database MK'!HG395)</f>
        <v>Belum</v>
      </c>
      <c r="AO394" s="7" t="str">
        <f>IF('Database MK'!HQ395="","Belum",'Database MK'!HN395-'Database MK'!HQ395)</f>
        <v>Belum</v>
      </c>
      <c r="AP394" s="7" t="str">
        <f>IF('Database MK'!HW395="","Belum",'Database MK'!HU395-'Database MK'!HW395)</f>
        <v>Belum</v>
      </c>
    </row>
    <row r="395" spans="2:42" hidden="1" x14ac:dyDescent="0.25">
      <c r="B395" s="7">
        <f>SUBTOTAL(3,$C$4:C395)</f>
        <v>74</v>
      </c>
      <c r="C395" s="269" t="s">
        <v>673</v>
      </c>
      <c r="D395" s="4" t="s">
        <v>3153</v>
      </c>
      <c r="E395" s="4" t="s">
        <v>3154</v>
      </c>
      <c r="F395" s="270">
        <v>46296</v>
      </c>
      <c r="G395" s="4" t="s">
        <v>247</v>
      </c>
      <c r="H395" s="4" t="str">
        <f ca="1">'Database MK'!Q396</f>
        <v>MC-0</v>
      </c>
      <c r="I395" s="24">
        <f>'Database MK'!S396</f>
        <v>0.74720483504768054</v>
      </c>
      <c r="J395" s="24">
        <f>'Database MK'!T396</f>
        <v>0.20256677257590314</v>
      </c>
      <c r="K395" s="571">
        <f>'Database MK'!U396</f>
        <v>-0.54463806247177737</v>
      </c>
      <c r="L395" s="561">
        <f>'Database MK'!V396</f>
        <v>2605</v>
      </c>
      <c r="M395" s="561">
        <f>'Database MK'!W396</f>
        <v>0</v>
      </c>
      <c r="N395" s="561">
        <f>Table3[[#This Row],[Total Panjang Pipa Aktual]]-Table3[[#This Row],[Volume
BA MC-0]]</f>
        <v>-2605</v>
      </c>
      <c r="O395" s="7" t="str">
        <f ca="1">'Database MK'!DE396</f>
        <v>Sudah, OnSchedule</v>
      </c>
      <c r="P395" s="7" t="str">
        <f ca="1">'Database MK'!DI396</f>
        <v>Sudah, Delay</v>
      </c>
      <c r="Q395" s="7" t="str">
        <f ca="1">'Database MK'!DN396</f>
        <v>Sudah, OnSchedule</v>
      </c>
      <c r="R395" s="7" t="str">
        <f ca="1">'Database MK'!DR396</f>
        <v>Sudah, Delay</v>
      </c>
      <c r="S395" s="7" t="str">
        <f ca="1">'Database MK'!EA396</f>
        <v>Sudah, OnSchedule</v>
      </c>
      <c r="T395" s="7" t="str">
        <f ca="1">'Database MK'!EI396</f>
        <v>Belum, Delay</v>
      </c>
      <c r="U395" s="7" t="str">
        <f ca="1">'Database MK'!ET396</f>
        <v>Belum, Delay</v>
      </c>
      <c r="V395" s="7" t="str">
        <f ca="1">'Database MK'!GA396</f>
        <v>Sudah, OnSchedule</v>
      </c>
      <c r="W395" s="7" t="str">
        <f ca="1">'Database MK'!GD396</f>
        <v>Sudah, OnSchedule</v>
      </c>
      <c r="X395" s="7" t="str">
        <f ca="1">'Database MK'!GG396</f>
        <v>Sudah, OnSchedule</v>
      </c>
      <c r="Y395" s="7" t="str">
        <f ca="1">'Database MK'!GK396</f>
        <v>Sudah, OnSchedule</v>
      </c>
      <c r="Z395" s="7" t="str">
        <f ca="1">'Database MK'!HH396</f>
        <v>Belum, OnSchedule</v>
      </c>
      <c r="AA395" s="7" t="str">
        <f ca="1">'Database MK'!HR396</f>
        <v>Belum, OnSchedule</v>
      </c>
      <c r="AB395" s="7" t="str">
        <f ca="1">'Database MK'!HX396</f>
        <v>Belum, OnSchedule</v>
      </c>
      <c r="AC395" s="7">
        <f>'Database MK'!DA396-'Database MK'!DB396</f>
        <v>9</v>
      </c>
      <c r="AD395" s="7">
        <f>'Database MK'!DA396-'Database MK'!DF396</f>
        <v>-37</v>
      </c>
      <c r="AE395" s="7">
        <f>'Database MK'!DK396-'Database MK'!DL396</f>
        <v>27</v>
      </c>
      <c r="AF395" s="7">
        <f>'Database MK'!DK396-'Database MK'!DO396</f>
        <v>-2</v>
      </c>
      <c r="AG395" s="7">
        <f>'Database MK'!DU396-'Database MK'!DW396</f>
        <v>207</v>
      </c>
      <c r="AH395" s="7" t="str">
        <f>IF('Database MK'!EB396="","Belum",'Database MK'!DU396-'Database MK'!EB396)</f>
        <v>Belum</v>
      </c>
      <c r="AI395" s="7" t="str">
        <f>IF('Database MK'!EN396="","Belum",'Database MK'!EL396-'Database MK'!EN396)</f>
        <v>Belum</v>
      </c>
      <c r="AJ395" s="7">
        <f>'Database MK'!FY396-'Database MK'!FZ396</f>
        <v>3</v>
      </c>
      <c r="AK395" s="7">
        <f>IF('Database MK'!GC396="","Belum",'Database MK'!GB396-'Database MK'!GC396)</f>
        <v>0</v>
      </c>
      <c r="AL395" s="7">
        <f>IF('Database MK'!GF396="","Belum",'Database MK'!GE396-'Database MK'!GF396)</f>
        <v>3</v>
      </c>
      <c r="AM395" s="279">
        <f>IF('Database MK'!GJ396="","Belum",'Database MK'!GI396-'Database MK'!GJ396)</f>
        <v>10</v>
      </c>
      <c r="AN395" s="7" t="str">
        <f>IF('Database MK'!HG396="","Belum",'Database MK'!HF396-'Database MK'!HG396)</f>
        <v>Belum</v>
      </c>
      <c r="AO395" s="7" t="str">
        <f>IF('Database MK'!HQ396="","Belum",'Database MK'!HN396-'Database MK'!HQ396)</f>
        <v>Belum</v>
      </c>
      <c r="AP395" s="7" t="str">
        <f>IF('Database MK'!HW396="","Belum",'Database MK'!HU396-'Database MK'!HW396)</f>
        <v>Belum</v>
      </c>
    </row>
    <row r="396" spans="2:42" hidden="1" x14ac:dyDescent="0.25">
      <c r="B396" s="7">
        <f>SUBTOTAL(3,$C$4:C396)</f>
        <v>74</v>
      </c>
      <c r="C396" s="269" t="s">
        <v>673</v>
      </c>
      <c r="D396" s="4" t="s">
        <v>3160</v>
      </c>
      <c r="E396" s="4" t="s">
        <v>3161</v>
      </c>
      <c r="F396" s="270">
        <v>46296</v>
      </c>
      <c r="G396" s="4" t="s">
        <v>247</v>
      </c>
      <c r="H396" s="4" t="str">
        <f ca="1">'Database MK'!Q397</f>
        <v>MC-0</v>
      </c>
      <c r="I396" s="24">
        <f>'Database MK'!S397</f>
        <v>0.63012138061520273</v>
      </c>
      <c r="J396" s="24">
        <f>'Database MK'!T397</f>
        <v>0.20858732582096615</v>
      </c>
      <c r="K396" s="571">
        <f>'Database MK'!U397</f>
        <v>-0.42153405479423656</v>
      </c>
      <c r="L396" s="561">
        <f>'Database MK'!V397</f>
        <v>9769</v>
      </c>
      <c r="M396" s="561">
        <f>'Database MK'!W397</f>
        <v>0</v>
      </c>
      <c r="N396" s="561">
        <f>Table3[[#This Row],[Total Panjang Pipa Aktual]]-Table3[[#This Row],[Volume
BA MC-0]]</f>
        <v>-9769</v>
      </c>
      <c r="O396" s="7" t="str">
        <f ca="1">'Database MK'!DE397</f>
        <v>Sudah, OnSchedule</v>
      </c>
      <c r="P396" s="7" t="str">
        <f ca="1">'Database MK'!DI397</f>
        <v>Sudah, Delay</v>
      </c>
      <c r="Q396" s="7" t="str">
        <f ca="1">'Database MK'!DN397</f>
        <v>Sudah, OnSchedule</v>
      </c>
      <c r="R396" s="7" t="str">
        <f ca="1">'Database MK'!DR397</f>
        <v>Sudah, OnSchedule</v>
      </c>
      <c r="S396" s="7" t="str">
        <f ca="1">'Database MK'!EA397</f>
        <v>Sudah, Delay</v>
      </c>
      <c r="T396" s="7" t="str">
        <f ca="1">'Database MK'!EI397</f>
        <v>Belum, Delay</v>
      </c>
      <c r="U396" s="7" t="str">
        <f ca="1">'Database MK'!ET397</f>
        <v>Belum, Delay</v>
      </c>
      <c r="V396" s="7" t="str">
        <f ca="1">'Database MK'!GA397</f>
        <v>Sudah, OnSchedule</v>
      </c>
      <c r="W396" s="7" t="str">
        <f ca="1">'Database MK'!GD397</f>
        <v>Sudah, OnSchedule</v>
      </c>
      <c r="X396" s="7" t="str">
        <f ca="1">'Database MK'!GG397</f>
        <v>Sudah, OnSchedule</v>
      </c>
      <c r="Y396" s="7" t="str">
        <f ca="1">'Database MK'!GK397</f>
        <v>Sudah, OnSchedule</v>
      </c>
      <c r="Z396" s="7" t="str">
        <f ca="1">'Database MK'!HH397</f>
        <v>Belum, OnSchedule</v>
      </c>
      <c r="AA396" s="7" t="str">
        <f ca="1">'Database MK'!HR397</f>
        <v>Belum, OnSchedule</v>
      </c>
      <c r="AB396" s="7" t="str">
        <f ca="1">'Database MK'!HX397</f>
        <v>Belum, OnSchedule</v>
      </c>
      <c r="AC396" s="7">
        <f>'Database MK'!DA397-'Database MK'!DB397</f>
        <v>13</v>
      </c>
      <c r="AD396" s="7">
        <f>'Database MK'!DA397-'Database MK'!DF397</f>
        <v>-9</v>
      </c>
      <c r="AE396" s="7">
        <f>'Database MK'!DK397-'Database MK'!DL397</f>
        <v>26</v>
      </c>
      <c r="AF396" s="7">
        <f>'Database MK'!DK397-'Database MK'!DO397</f>
        <v>20</v>
      </c>
      <c r="AG396" s="7">
        <f>'Database MK'!DU397-'Database MK'!DW397</f>
        <v>-44</v>
      </c>
      <c r="AH396" s="7" t="str">
        <f>IF('Database MK'!EB397="","Belum",'Database MK'!DU397-'Database MK'!EB397)</f>
        <v>Belum</v>
      </c>
      <c r="AI396" s="7" t="str">
        <f>IF('Database MK'!EN397="","Belum",'Database MK'!EL397-'Database MK'!EN397)</f>
        <v>Belum</v>
      </c>
      <c r="AJ396" s="7">
        <f>'Database MK'!FY397-'Database MK'!FZ397</f>
        <v>3</v>
      </c>
      <c r="AK396" s="7">
        <f>IF('Database MK'!GC397="","Belum",'Database MK'!GB397-'Database MK'!GC397)</f>
        <v>12</v>
      </c>
      <c r="AL396" s="7">
        <f>IF('Database MK'!GF397="","Belum",'Database MK'!GE397-'Database MK'!GF397)</f>
        <v>17</v>
      </c>
      <c r="AM396" s="279">
        <f>IF('Database MK'!GJ397="","Belum",'Database MK'!GI397-'Database MK'!GJ397)</f>
        <v>26</v>
      </c>
      <c r="AN396" s="7" t="str">
        <f>IF('Database MK'!HG397="","Belum",'Database MK'!HF397-'Database MK'!HG397)</f>
        <v>Belum</v>
      </c>
      <c r="AO396" s="7" t="str">
        <f>IF('Database MK'!HQ397="","Belum",'Database MK'!HN397-'Database MK'!HQ397)</f>
        <v>Belum</v>
      </c>
      <c r="AP396" s="7" t="str">
        <f>IF('Database MK'!HW397="","Belum",'Database MK'!HU397-'Database MK'!HW397)</f>
        <v>Belum</v>
      </c>
    </row>
    <row r="397" spans="2:42" hidden="1" x14ac:dyDescent="0.25">
      <c r="B397" s="7">
        <f>SUBTOTAL(3,$C$4:C397)</f>
        <v>74</v>
      </c>
      <c r="C397" s="269" t="s">
        <v>673</v>
      </c>
      <c r="D397" s="4" t="s">
        <v>3168</v>
      </c>
      <c r="E397" s="4" t="s">
        <v>3169</v>
      </c>
      <c r="F397" s="270">
        <v>46296</v>
      </c>
      <c r="G397" s="4" t="s">
        <v>247</v>
      </c>
      <c r="H397" s="4" t="str">
        <f ca="1">'Database MK'!Q398</f>
        <v>MC-0</v>
      </c>
      <c r="I397" s="24">
        <f>'Database MK'!S398</f>
        <v>0.63478983103142173</v>
      </c>
      <c r="J397" s="24">
        <f>'Database MK'!T398</f>
        <v>0.10194630717048642</v>
      </c>
      <c r="K397" s="571">
        <f>'Database MK'!U398</f>
        <v>-0.53284352386093525</v>
      </c>
      <c r="L397" s="561">
        <f>'Database MK'!V398</f>
        <v>7894</v>
      </c>
      <c r="M397" s="561">
        <f>'Database MK'!W398</f>
        <v>0</v>
      </c>
      <c r="N397" s="561">
        <f>Table3[[#This Row],[Total Panjang Pipa Aktual]]-Table3[[#This Row],[Volume
BA MC-0]]</f>
        <v>-7894</v>
      </c>
      <c r="O397" s="7" t="str">
        <f ca="1">'Database MK'!DE398</f>
        <v>Sudah, OnSchedule</v>
      </c>
      <c r="P397" s="7" t="str">
        <f ca="1">'Database MK'!DI398</f>
        <v>Sudah, OnSchedule</v>
      </c>
      <c r="Q397" s="7" t="str">
        <f ca="1">'Database MK'!DN398</f>
        <v>Sudah, OnSchedule</v>
      </c>
      <c r="R397" s="7" t="str">
        <f ca="1">'Database MK'!DR398</f>
        <v>Sudah, OnSchedule</v>
      </c>
      <c r="S397" s="7" t="str">
        <f ca="1">'Database MK'!EA398</f>
        <v>Sudah, Delay</v>
      </c>
      <c r="T397" s="7" t="str">
        <f ca="1">'Database MK'!EI398</f>
        <v>Belum, Delay</v>
      </c>
      <c r="U397" s="7" t="str">
        <f ca="1">'Database MK'!ET398</f>
        <v>Belum, Delay</v>
      </c>
      <c r="V397" s="7" t="str">
        <f ca="1">'Database MK'!GA398</f>
        <v>Sudah, OnSchedule</v>
      </c>
      <c r="W397" s="7" t="str">
        <f ca="1">'Database MK'!GD398</f>
        <v>Sudah, OnSchedule</v>
      </c>
      <c r="X397" s="7" t="str">
        <f ca="1">'Database MK'!GG398</f>
        <v>Sudah, OnSchedule</v>
      </c>
      <c r="Y397" s="7" t="str">
        <f ca="1">'Database MK'!GK398</f>
        <v>Sudah, OnSchedule</v>
      </c>
      <c r="Z397" s="7" t="str">
        <f ca="1">'Database MK'!HH398</f>
        <v>Belum, OnSchedule</v>
      </c>
      <c r="AA397" s="7" t="str">
        <f ca="1">'Database MK'!HR398</f>
        <v>Belum, OnSchedule</v>
      </c>
      <c r="AB397" s="7" t="str">
        <f ca="1">'Database MK'!HX398</f>
        <v>Belum, OnSchedule</v>
      </c>
      <c r="AC397" s="7">
        <f>'Database MK'!DA398-'Database MK'!DB398</f>
        <v>13</v>
      </c>
      <c r="AD397" s="7">
        <f>'Database MK'!DA398-'Database MK'!DF398</f>
        <v>6</v>
      </c>
      <c r="AE397" s="7">
        <f>'Database MK'!DK398-'Database MK'!DL398</f>
        <v>26</v>
      </c>
      <c r="AF397" s="7">
        <f>'Database MK'!DK398-'Database MK'!DO398</f>
        <v>20</v>
      </c>
      <c r="AG397" s="7">
        <f>'Database MK'!DU398-'Database MK'!DW398</f>
        <v>-46</v>
      </c>
      <c r="AH397" s="7" t="str">
        <f>IF('Database MK'!EB398="","Belum",'Database MK'!DU398-'Database MK'!EB398)</f>
        <v>Belum</v>
      </c>
      <c r="AI397" s="7" t="str">
        <f>IF('Database MK'!EN398="","Belum",'Database MK'!EL398-'Database MK'!EN398)</f>
        <v>Belum</v>
      </c>
      <c r="AJ397" s="7">
        <f>'Database MK'!FY398-'Database MK'!FZ398</f>
        <v>3</v>
      </c>
      <c r="AK397" s="7">
        <f>IF('Database MK'!GC398="","Belum",'Database MK'!GB398-'Database MK'!GC398)</f>
        <v>12</v>
      </c>
      <c r="AL397" s="7">
        <f>IF('Database MK'!GF398="","Belum",'Database MK'!GE398-'Database MK'!GF398)</f>
        <v>17</v>
      </c>
      <c r="AM397" s="279">
        <f>IF('Database MK'!GJ398="","Belum",'Database MK'!GI398-'Database MK'!GJ398)</f>
        <v>25</v>
      </c>
      <c r="AN397" s="7" t="str">
        <f>IF('Database MK'!HG398="","Belum",'Database MK'!HF398-'Database MK'!HG398)</f>
        <v>Belum</v>
      </c>
      <c r="AO397" s="7" t="str">
        <f>IF('Database MK'!HQ398="","Belum",'Database MK'!HN398-'Database MK'!HQ398)</f>
        <v>Belum</v>
      </c>
      <c r="AP397" s="7" t="str">
        <f>IF('Database MK'!HW398="","Belum",'Database MK'!HU398-'Database MK'!HW398)</f>
        <v>Belum</v>
      </c>
    </row>
    <row r="398" spans="2:42" hidden="1" x14ac:dyDescent="0.25">
      <c r="B398" s="7">
        <f>SUBTOTAL(3,$C$4:C398)</f>
        <v>74</v>
      </c>
      <c r="C398" s="269" t="s">
        <v>673</v>
      </c>
      <c r="D398" s="4" t="s">
        <v>3175</v>
      </c>
      <c r="E398" s="4" t="s">
        <v>3176</v>
      </c>
      <c r="F398" s="270">
        <v>46296</v>
      </c>
      <c r="G398" s="4" t="s">
        <v>247</v>
      </c>
      <c r="H398" s="4" t="str">
        <f ca="1">'Database MK'!Q399</f>
        <v>MC-0</v>
      </c>
      <c r="I398" s="24">
        <f>'Database MK'!S399</f>
        <v>0.63821238663655055</v>
      </c>
      <c r="J398" s="24">
        <f>'Database MK'!T399</f>
        <v>0.1260008195028304</v>
      </c>
      <c r="K398" s="571">
        <f>'Database MK'!U399</f>
        <v>-0.51221156713372018</v>
      </c>
      <c r="L398" s="561">
        <f>'Database MK'!V399</f>
        <v>13728</v>
      </c>
      <c r="M398" s="561">
        <f>'Database MK'!W399</f>
        <v>0</v>
      </c>
      <c r="N398" s="561">
        <f>Table3[[#This Row],[Total Panjang Pipa Aktual]]-Table3[[#This Row],[Volume
BA MC-0]]</f>
        <v>-13728</v>
      </c>
      <c r="O398" s="7" t="str">
        <f ca="1">'Database MK'!DE399</f>
        <v>Sudah, OnSchedule</v>
      </c>
      <c r="P398" s="7" t="str">
        <f ca="1">'Database MK'!DI399</f>
        <v>Sudah, OnSchedule</v>
      </c>
      <c r="Q398" s="7" t="str">
        <f ca="1">'Database MK'!DN399</f>
        <v>Sudah, OnSchedule</v>
      </c>
      <c r="R398" s="7" t="str">
        <f ca="1">'Database MK'!DR399</f>
        <v>Sudah, OnSchedule</v>
      </c>
      <c r="S398" s="7" t="str">
        <f ca="1">'Database MK'!EA399</f>
        <v>Sudah, Delay</v>
      </c>
      <c r="T398" s="7" t="str">
        <f ca="1">'Database MK'!EI399</f>
        <v>Belum, Delay</v>
      </c>
      <c r="U398" s="7" t="str">
        <f ca="1">'Database MK'!ET399</f>
        <v>Belum, Delay</v>
      </c>
      <c r="V398" s="7" t="str">
        <f ca="1">'Database MK'!GA399</f>
        <v>Sudah, OnSchedule</v>
      </c>
      <c r="W398" s="7" t="str">
        <f ca="1">'Database MK'!GD399</f>
        <v>Sudah, OnSchedule</v>
      </c>
      <c r="X398" s="7" t="str">
        <f ca="1">'Database MK'!GG399</f>
        <v>Sudah, OnSchedule</v>
      </c>
      <c r="Y398" s="7" t="str">
        <f ca="1">'Database MK'!GK399</f>
        <v>Sudah, OnSchedule</v>
      </c>
      <c r="Z398" s="7" t="str">
        <f ca="1">'Database MK'!HH399</f>
        <v>Belum, OnSchedule</v>
      </c>
      <c r="AA398" s="7" t="str">
        <f ca="1">'Database MK'!HR399</f>
        <v>Belum, OnSchedule</v>
      </c>
      <c r="AB398" s="7" t="str">
        <f ca="1">'Database MK'!HX399</f>
        <v>Belum, OnSchedule</v>
      </c>
      <c r="AC398" s="7">
        <f>'Database MK'!DA399-'Database MK'!DB399</f>
        <v>13</v>
      </c>
      <c r="AD398" s="7">
        <f>'Database MK'!DA399-'Database MK'!DF399</f>
        <v>6</v>
      </c>
      <c r="AE398" s="7">
        <f>'Database MK'!DK399-'Database MK'!DL399</f>
        <v>26</v>
      </c>
      <c r="AF398" s="7">
        <f>'Database MK'!DK399-'Database MK'!DO399</f>
        <v>20</v>
      </c>
      <c r="AG398" s="7">
        <f>'Database MK'!DU399-'Database MK'!DW399</f>
        <v>-47</v>
      </c>
      <c r="AH398" s="7" t="str">
        <f>IF('Database MK'!EB399="","Belum",'Database MK'!DU399-'Database MK'!EB399)</f>
        <v>Belum</v>
      </c>
      <c r="AI398" s="7" t="str">
        <f>IF('Database MK'!EN399="","Belum",'Database MK'!EL399-'Database MK'!EN399)</f>
        <v>Belum</v>
      </c>
      <c r="AJ398" s="7">
        <f>'Database MK'!FY399-'Database MK'!FZ399</f>
        <v>3</v>
      </c>
      <c r="AK398" s="7">
        <f>IF('Database MK'!GC399="","Belum",'Database MK'!GB399-'Database MK'!GC399)</f>
        <v>12</v>
      </c>
      <c r="AL398" s="7">
        <f>IF('Database MK'!GF399="","Belum",'Database MK'!GE399-'Database MK'!GF399)</f>
        <v>17</v>
      </c>
      <c r="AM398" s="279">
        <f>IF('Database MK'!GJ399="","Belum",'Database MK'!GI399-'Database MK'!GJ399)</f>
        <v>23</v>
      </c>
      <c r="AN398" s="7" t="str">
        <f>IF('Database MK'!HG399="","Belum",'Database MK'!HF399-'Database MK'!HG399)</f>
        <v>Belum</v>
      </c>
      <c r="AO398" s="7" t="str">
        <f>IF('Database MK'!HQ399="","Belum",'Database MK'!HN399-'Database MK'!HQ399)</f>
        <v>Belum</v>
      </c>
      <c r="AP398" s="7" t="str">
        <f>IF('Database MK'!HW399="","Belum",'Database MK'!HU399-'Database MK'!HW399)</f>
        <v>Belum</v>
      </c>
    </row>
    <row r="399" spans="2:42" hidden="1" x14ac:dyDescent="0.25">
      <c r="B399" s="7">
        <f>SUBTOTAL(3,$C$4:C399)</f>
        <v>74</v>
      </c>
      <c r="C399" s="269" t="s">
        <v>673</v>
      </c>
      <c r="D399" s="4" t="s">
        <v>3182</v>
      </c>
      <c r="E399" s="4" t="s">
        <v>3183</v>
      </c>
      <c r="F399" s="270">
        <v>46296</v>
      </c>
      <c r="G399" s="4" t="s">
        <v>247</v>
      </c>
      <c r="H399" s="4" t="str">
        <f ca="1">'Database MK'!Q400</f>
        <v>MC-0</v>
      </c>
      <c r="I399" s="24">
        <f>'Database MK'!S400</f>
        <v>0.62570852182982939</v>
      </c>
      <c r="J399" s="24">
        <f>'Database MK'!T400</f>
        <v>5.8953278420863502E-2</v>
      </c>
      <c r="K399" s="571">
        <f>'Database MK'!U400</f>
        <v>-0.56675524340896588</v>
      </c>
      <c r="L399" s="561">
        <f>'Database MK'!V400</f>
        <v>14406</v>
      </c>
      <c r="M399" s="561">
        <f>'Database MK'!W400</f>
        <v>0</v>
      </c>
      <c r="N399" s="561">
        <f>Table3[[#This Row],[Total Panjang Pipa Aktual]]-Table3[[#This Row],[Volume
BA MC-0]]</f>
        <v>-14406</v>
      </c>
      <c r="O399" s="7" t="str">
        <f ca="1">'Database MK'!DE400</f>
        <v>Sudah, OnSchedule</v>
      </c>
      <c r="P399" s="7" t="str">
        <f ca="1">'Database MK'!DI400</f>
        <v>Sudah, OnSchedule</v>
      </c>
      <c r="Q399" s="7" t="str">
        <f ca="1">'Database MK'!DN400</f>
        <v>Sudah, OnSchedule</v>
      </c>
      <c r="R399" s="7" t="str">
        <f ca="1">'Database MK'!DR400</f>
        <v>Sudah, Delay</v>
      </c>
      <c r="S399" s="7" t="str">
        <f ca="1">'Database MK'!EA400</f>
        <v>Sudah, Delay</v>
      </c>
      <c r="T399" s="7" t="str">
        <f ca="1">'Database MK'!EI400</f>
        <v>Belum, Delay</v>
      </c>
      <c r="U399" s="7" t="str">
        <f ca="1">'Database MK'!ET400</f>
        <v>Belum, Delay</v>
      </c>
      <c r="V399" s="7" t="str">
        <f ca="1">'Database MK'!GA400</f>
        <v>Sudah, OnSchedule</v>
      </c>
      <c r="W399" s="7" t="str">
        <f ca="1">'Database MK'!GD400</f>
        <v>Sudah, OnSchedule</v>
      </c>
      <c r="X399" s="7" t="str">
        <f ca="1">'Database MK'!GG400</f>
        <v>Sudah, OnSchedule</v>
      </c>
      <c r="Y399" s="7" t="str">
        <f ca="1">'Database MK'!GK400</f>
        <v>Sudah, OnSchedule</v>
      </c>
      <c r="Z399" s="7" t="str">
        <f ca="1">'Database MK'!HH400</f>
        <v>Belum, OnSchedule</v>
      </c>
      <c r="AA399" s="7" t="str">
        <f ca="1">'Database MK'!HR400</f>
        <v>Belum, OnSchedule</v>
      </c>
      <c r="AB399" s="7" t="str">
        <f ca="1">'Database MK'!HX400</f>
        <v>Belum, OnSchedule</v>
      </c>
      <c r="AC399" s="7">
        <f>'Database MK'!DA400-'Database MK'!DB400</f>
        <v>12</v>
      </c>
      <c r="AD399" s="7">
        <f>'Database MK'!DA400-'Database MK'!DF400</f>
        <v>6</v>
      </c>
      <c r="AE399" s="7">
        <f>'Database MK'!DK400-'Database MK'!DL400</f>
        <v>27</v>
      </c>
      <c r="AF399" s="7">
        <f>'Database MK'!DK400-'Database MK'!DO400</f>
        <v>-5</v>
      </c>
      <c r="AG399" s="7">
        <f>'Database MK'!DU400-'Database MK'!DW400</f>
        <v>-46</v>
      </c>
      <c r="AH399" s="7" t="str">
        <f>IF('Database MK'!EB400="","Belum",'Database MK'!DU400-'Database MK'!EB400)</f>
        <v>Belum</v>
      </c>
      <c r="AI399" s="7" t="str">
        <f>IF('Database MK'!EN400="","Belum",'Database MK'!EL400-'Database MK'!EN400)</f>
        <v>Belum</v>
      </c>
      <c r="AJ399" s="7">
        <f>'Database MK'!FY400-'Database MK'!FZ400</f>
        <v>3</v>
      </c>
      <c r="AK399" s="7">
        <f>IF('Database MK'!GC400="","Belum",'Database MK'!GB400-'Database MK'!GC400)</f>
        <v>0</v>
      </c>
      <c r="AL399" s="7">
        <f>IF('Database MK'!GF400="","Belum",'Database MK'!GE400-'Database MK'!GF400)</f>
        <v>3</v>
      </c>
      <c r="AM399" s="279">
        <f>IF('Database MK'!GJ400="","Belum",'Database MK'!GI400-'Database MK'!GJ400)</f>
        <v>8</v>
      </c>
      <c r="AN399" s="7" t="str">
        <f>IF('Database MK'!HG400="","Belum",'Database MK'!HF400-'Database MK'!HG400)</f>
        <v>Belum</v>
      </c>
      <c r="AO399" s="7" t="str">
        <f>IF('Database MK'!HQ400="","Belum",'Database MK'!HN400-'Database MK'!HQ400)</f>
        <v>Belum</v>
      </c>
      <c r="AP399" s="7" t="str">
        <f>IF('Database MK'!HW400="","Belum",'Database MK'!HU400-'Database MK'!HW400)</f>
        <v>Belum</v>
      </c>
    </row>
    <row r="400" spans="2:42" hidden="1" x14ac:dyDescent="0.25">
      <c r="B400" s="7">
        <f>SUBTOTAL(3,$C$4:C400)</f>
        <v>74</v>
      </c>
      <c r="C400" s="269" t="s">
        <v>673</v>
      </c>
      <c r="D400" s="4" t="s">
        <v>3189</v>
      </c>
      <c r="E400" s="4" t="s">
        <v>3190</v>
      </c>
      <c r="F400" s="270">
        <v>46296</v>
      </c>
      <c r="G400" s="4" t="s">
        <v>247</v>
      </c>
      <c r="H400" s="4" t="str">
        <f ca="1">'Database MK'!Q401</f>
        <v>Proses Konstruksi</v>
      </c>
      <c r="I400" s="24">
        <f>'Database MK'!S401</f>
        <v>0.62991315476905974</v>
      </c>
      <c r="J400" s="24">
        <f>'Database MK'!T401</f>
        <v>0.12358203120292359</v>
      </c>
      <c r="K400" s="571">
        <f>'Database MK'!U401</f>
        <v>-0.50633112356613619</v>
      </c>
      <c r="L400" s="561">
        <f>'Database MK'!V401</f>
        <v>20086</v>
      </c>
      <c r="M400" s="561">
        <f>'Database MK'!W401</f>
        <v>1164</v>
      </c>
      <c r="N400" s="561">
        <f>Table3[[#This Row],[Total Panjang Pipa Aktual]]-Table3[[#This Row],[Volume
BA MC-0]]</f>
        <v>-18922</v>
      </c>
      <c r="O400" s="7" t="str">
        <f ca="1">'Database MK'!DE401</f>
        <v>Sudah, OnSchedule</v>
      </c>
      <c r="P400" s="7" t="str">
        <f ca="1">'Database MK'!DI401</f>
        <v>Sudah, OnSchedule</v>
      </c>
      <c r="Q400" s="7" t="str">
        <f ca="1">'Database MK'!DN401</f>
        <v>Sudah, OnSchedule</v>
      </c>
      <c r="R400" s="7" t="str">
        <f ca="1">'Database MK'!DR401</f>
        <v>Sudah, Delay</v>
      </c>
      <c r="S400" s="7" t="str">
        <f ca="1">'Database MK'!EA401</f>
        <v>Sudah, Delay</v>
      </c>
      <c r="T400" s="7" t="str">
        <f ca="1">'Database MK'!EI401</f>
        <v>Belum, Delay</v>
      </c>
      <c r="U400" s="7" t="str">
        <f ca="1">'Database MK'!ET401</f>
        <v>Belum, Delay</v>
      </c>
      <c r="V400" s="7" t="str">
        <f ca="1">'Database MK'!GA401</f>
        <v>Sudah, OnSchedule</v>
      </c>
      <c r="W400" s="7" t="str">
        <f ca="1">'Database MK'!GD401</f>
        <v>Sudah, OnSchedule</v>
      </c>
      <c r="X400" s="7" t="str">
        <f ca="1">'Database MK'!GG401</f>
        <v>Sudah, OnSchedule</v>
      </c>
      <c r="Y400" s="7" t="str">
        <f ca="1">'Database MK'!GK401</f>
        <v>Sudah, Delay</v>
      </c>
      <c r="Z400" s="7" t="str">
        <f ca="1">'Database MK'!HH401</f>
        <v>Belum, OnSchedule</v>
      </c>
      <c r="AA400" s="7" t="str">
        <f ca="1">'Database MK'!HR401</f>
        <v>Belum, OnSchedule</v>
      </c>
      <c r="AB400" s="7" t="str">
        <f ca="1">'Database MK'!HX401</f>
        <v>Belum, OnSchedule</v>
      </c>
      <c r="AC400" s="7">
        <f>'Database MK'!DA401-'Database MK'!DB401</f>
        <v>12</v>
      </c>
      <c r="AD400" s="7">
        <f>'Database MK'!DA401-'Database MK'!DF401</f>
        <v>174</v>
      </c>
      <c r="AE400" s="7">
        <f>'Database MK'!DK401-'Database MK'!DL401</f>
        <v>27</v>
      </c>
      <c r="AF400" s="7">
        <f>'Database MK'!DK401-'Database MK'!DO401</f>
        <v>-3</v>
      </c>
      <c r="AG400" s="7">
        <f>'Database MK'!DU401-'Database MK'!DW401</f>
        <v>-47</v>
      </c>
      <c r="AH400" s="7" t="str">
        <f>IF('Database MK'!EB401="","Belum",'Database MK'!DU401-'Database MK'!EB401)</f>
        <v>Belum</v>
      </c>
      <c r="AI400" s="7" t="str">
        <f>IF('Database MK'!EN401="","Belum",'Database MK'!EL401-'Database MK'!EN401)</f>
        <v>Belum</v>
      </c>
      <c r="AJ400" s="7">
        <f>'Database MK'!FY401-'Database MK'!FZ401</f>
        <v>3</v>
      </c>
      <c r="AK400" s="7">
        <f>IF('Database MK'!GC401="","Belum",'Database MK'!GB401-'Database MK'!GC401)</f>
        <v>0</v>
      </c>
      <c r="AL400" s="7">
        <f>IF('Database MK'!GF401="","Belum",'Database MK'!GE401-'Database MK'!GF401)</f>
        <v>3</v>
      </c>
      <c r="AM400" s="279">
        <f>IF('Database MK'!GJ401="","Belum",'Database MK'!GI401-'Database MK'!GJ401)</f>
        <v>-5</v>
      </c>
      <c r="AN400" s="7" t="str">
        <f>IF('Database MK'!HG401="","Belum",'Database MK'!HF401-'Database MK'!HG401)</f>
        <v>Belum</v>
      </c>
      <c r="AO400" s="7" t="str">
        <f>IF('Database MK'!HQ401="","Belum",'Database MK'!HN401-'Database MK'!HQ401)</f>
        <v>Belum</v>
      </c>
      <c r="AP400" s="7" t="str">
        <f>IF('Database MK'!HW401="","Belum",'Database MK'!HU401-'Database MK'!HW401)</f>
        <v>Belum</v>
      </c>
    </row>
    <row r="401" spans="2:42" hidden="1" x14ac:dyDescent="0.25">
      <c r="B401" s="7">
        <f>SUBTOTAL(3,$C$4:C401)</f>
        <v>74</v>
      </c>
      <c r="C401" s="269" t="s">
        <v>673</v>
      </c>
      <c r="D401" s="4" t="s">
        <v>3195</v>
      </c>
      <c r="E401" s="4" t="s">
        <v>3196</v>
      </c>
      <c r="F401" s="270">
        <v>46296</v>
      </c>
      <c r="G401" s="4" t="s">
        <v>247</v>
      </c>
      <c r="H401" s="4" t="str">
        <f ca="1">'Database MK'!Q402</f>
        <v>Proses Konstruksi</v>
      </c>
      <c r="I401" s="24">
        <f>'Database MK'!S402</f>
        <v>0.63210884781340992</v>
      </c>
      <c r="J401" s="24">
        <f>'Database MK'!T402</f>
        <v>0.12745116204084855</v>
      </c>
      <c r="K401" s="571">
        <f>'Database MK'!U402</f>
        <v>-0.50465768577256132</v>
      </c>
      <c r="L401" s="561">
        <f>'Database MK'!V402</f>
        <v>5785</v>
      </c>
      <c r="M401" s="561">
        <f>'Database MK'!W402</f>
        <v>267</v>
      </c>
      <c r="N401" s="561">
        <f>Table3[[#This Row],[Total Panjang Pipa Aktual]]-Table3[[#This Row],[Volume
BA MC-0]]</f>
        <v>-5518</v>
      </c>
      <c r="O401" s="7" t="str">
        <f ca="1">'Database MK'!DE402</f>
        <v>Sudah, OnSchedule</v>
      </c>
      <c r="P401" s="7" t="str">
        <f ca="1">'Database MK'!DI402</f>
        <v>Sudah, Delay</v>
      </c>
      <c r="Q401" s="7" t="str">
        <f ca="1">'Database MK'!DN402</f>
        <v>Sudah, OnSchedule</v>
      </c>
      <c r="R401" s="7" t="str">
        <f ca="1">'Database MK'!DR402</f>
        <v>Sudah, Delay</v>
      </c>
      <c r="S401" s="7" t="str">
        <f ca="1">'Database MK'!EA402</f>
        <v>Sudah, Delay</v>
      </c>
      <c r="T401" s="7" t="str">
        <f ca="1">'Database MK'!EI402</f>
        <v>Sudah, Delay</v>
      </c>
      <c r="U401" s="7" t="str">
        <f ca="1">'Database MK'!ET402</f>
        <v>Belum, Delay</v>
      </c>
      <c r="V401" s="7" t="str">
        <f ca="1">'Database MK'!GA402</f>
        <v>Sudah, OnSchedule</v>
      </c>
      <c r="W401" s="7" t="str">
        <f ca="1">'Database MK'!GD402</f>
        <v>Sudah, Delay</v>
      </c>
      <c r="X401" s="7" t="str">
        <f ca="1">'Database MK'!GG402</f>
        <v>Sudah, OnSchedule</v>
      </c>
      <c r="Y401" s="7" t="str">
        <f ca="1">'Database MK'!GK402</f>
        <v>Sudah, OnSchedule</v>
      </c>
      <c r="Z401" s="7" t="str">
        <f ca="1">'Database MK'!HH402</f>
        <v>Belum, OnSchedule</v>
      </c>
      <c r="AA401" s="7" t="str">
        <f ca="1">'Database MK'!HR402</f>
        <v>Belum, OnSchedule</v>
      </c>
      <c r="AB401" s="7" t="str">
        <f ca="1">'Database MK'!HX402</f>
        <v>Belum, OnSchedule</v>
      </c>
      <c r="AC401" s="7">
        <f>'Database MK'!DA402-'Database MK'!DB402</f>
        <v>12</v>
      </c>
      <c r="AD401" s="7">
        <f>'Database MK'!DA402-'Database MK'!DF402</f>
        <v>-9</v>
      </c>
      <c r="AE401" s="7">
        <f>'Database MK'!DK402-'Database MK'!DL402</f>
        <v>27</v>
      </c>
      <c r="AF401" s="7">
        <f>'Database MK'!DK402-'Database MK'!DO402</f>
        <v>-9</v>
      </c>
      <c r="AG401" s="7">
        <f>'Database MK'!DU402-'Database MK'!DW402</f>
        <v>-44</v>
      </c>
      <c r="AH401" s="7">
        <f>IF('Database MK'!EB402="","Belum",'Database MK'!DU402-'Database MK'!EB402)</f>
        <v>-148</v>
      </c>
      <c r="AI401" s="7" t="str">
        <f>IF('Database MK'!EN402="","Belum",'Database MK'!EL402-'Database MK'!EN402)</f>
        <v>Belum</v>
      </c>
      <c r="AJ401" s="7">
        <f>'Database MK'!FY402-'Database MK'!FZ402</f>
        <v>3</v>
      </c>
      <c r="AK401" s="7">
        <f>IF('Database MK'!GC402="","Belum",'Database MK'!GB402-'Database MK'!GC402)</f>
        <v>-7</v>
      </c>
      <c r="AL401" s="7">
        <f>IF('Database MK'!GF402="","Belum",'Database MK'!GE402-'Database MK'!GF402)</f>
        <v>0</v>
      </c>
      <c r="AM401" s="279">
        <f>IF('Database MK'!GJ402="","Belum",'Database MK'!GI402-'Database MK'!GJ402)</f>
        <v>11</v>
      </c>
      <c r="AN401" s="7" t="str">
        <f>IF('Database MK'!HG402="","Belum",'Database MK'!HF402-'Database MK'!HG402)</f>
        <v>Belum</v>
      </c>
      <c r="AO401" s="7" t="str">
        <f>IF('Database MK'!HQ402="","Belum",'Database MK'!HN402-'Database MK'!HQ402)</f>
        <v>Belum</v>
      </c>
      <c r="AP401" s="7" t="str">
        <f>IF('Database MK'!HW402="","Belum",'Database MK'!HU402-'Database MK'!HW402)</f>
        <v>Belum</v>
      </c>
    </row>
    <row r="402" spans="2:42" hidden="1" x14ac:dyDescent="0.25">
      <c r="B402" s="7">
        <f>SUBTOTAL(3,$C$4:C402)</f>
        <v>74</v>
      </c>
      <c r="C402" s="269" t="s">
        <v>673</v>
      </c>
      <c r="D402" s="4" t="s">
        <v>3204</v>
      </c>
      <c r="E402" s="4" t="s">
        <v>3205</v>
      </c>
      <c r="F402" s="270">
        <v>46296</v>
      </c>
      <c r="G402" s="4" t="s">
        <v>247</v>
      </c>
      <c r="H402" s="4" t="str">
        <f ca="1">'Database MK'!Q403</f>
        <v>Proses Konstruksi</v>
      </c>
      <c r="I402" s="24">
        <f>'Database MK'!S403</f>
        <v>0.6338143918900887</v>
      </c>
      <c r="J402" s="24">
        <f>'Database MK'!T403</f>
        <v>9.7120145862449311E-2</v>
      </c>
      <c r="K402" s="571">
        <f>'Database MK'!U403</f>
        <v>-0.53669424602763938</v>
      </c>
      <c r="L402" s="561">
        <f>'Database MK'!V403</f>
        <v>12646</v>
      </c>
      <c r="M402" s="561">
        <f>'Database MK'!W403</f>
        <v>135</v>
      </c>
      <c r="N402" s="561">
        <f>Table3[[#This Row],[Total Panjang Pipa Aktual]]-Table3[[#This Row],[Volume
BA MC-0]]</f>
        <v>-12511</v>
      </c>
      <c r="O402" s="7" t="str">
        <f ca="1">'Database MK'!DE403</f>
        <v>Sudah, OnSchedule</v>
      </c>
      <c r="P402" s="7" t="str">
        <f ca="1">'Database MK'!DI403</f>
        <v>Sudah, Delay</v>
      </c>
      <c r="Q402" s="7" t="str">
        <f ca="1">'Database MK'!DN403</f>
        <v>Sudah, OnSchedule</v>
      </c>
      <c r="R402" s="7" t="str">
        <f ca="1">'Database MK'!DR403</f>
        <v>Sudah, Delay</v>
      </c>
      <c r="S402" s="7" t="str">
        <f ca="1">'Database MK'!EA403</f>
        <v>Sudah, Delay</v>
      </c>
      <c r="T402" s="7" t="str">
        <f ca="1">'Database MK'!EI403</f>
        <v>Belum, Delay</v>
      </c>
      <c r="U402" s="7" t="str">
        <f ca="1">'Database MK'!ET403</f>
        <v>Belum, Delay</v>
      </c>
      <c r="V402" s="7" t="str">
        <f ca="1">'Database MK'!GA403</f>
        <v>Sudah, OnSchedule</v>
      </c>
      <c r="W402" s="7" t="str">
        <f ca="1">'Database MK'!GD403</f>
        <v>Sudah, OnSchedule</v>
      </c>
      <c r="X402" s="7" t="str">
        <f ca="1">'Database MK'!GG403</f>
        <v>Sudah, OnSchedule</v>
      </c>
      <c r="Y402" s="7" t="str">
        <f ca="1">'Database MK'!GK403</f>
        <v>Sudah, OnSchedule</v>
      </c>
      <c r="Z402" s="7" t="str">
        <f ca="1">'Database MK'!HH403</f>
        <v>Belum, OnSchedule</v>
      </c>
      <c r="AA402" s="7" t="str">
        <f ca="1">'Database MK'!HR403</f>
        <v>Belum, OnSchedule</v>
      </c>
      <c r="AB402" s="7" t="str">
        <f ca="1">'Database MK'!HX403</f>
        <v>Belum, OnSchedule</v>
      </c>
      <c r="AC402" s="7">
        <f>'Database MK'!DA403-'Database MK'!DB403</f>
        <v>12</v>
      </c>
      <c r="AD402" s="7">
        <f>'Database MK'!DA403-'Database MK'!DF403</f>
        <v>-9</v>
      </c>
      <c r="AE402" s="7">
        <f>'Database MK'!DK403-'Database MK'!DL403</f>
        <v>27</v>
      </c>
      <c r="AF402" s="7">
        <f>'Database MK'!DK403-'Database MK'!DO403</f>
        <v>-5</v>
      </c>
      <c r="AG402" s="7">
        <f>'Database MK'!DU403-'Database MK'!DW403</f>
        <v>-45</v>
      </c>
      <c r="AH402" s="7" t="str">
        <f>IF('Database MK'!EB403="","Belum",'Database MK'!DU403-'Database MK'!EB403)</f>
        <v>Belum</v>
      </c>
      <c r="AI402" s="7" t="str">
        <f>IF('Database MK'!EN403="","Belum",'Database MK'!EL403-'Database MK'!EN403)</f>
        <v>Belum</v>
      </c>
      <c r="AJ402" s="7">
        <f>'Database MK'!FY403-'Database MK'!FZ403</f>
        <v>3</v>
      </c>
      <c r="AK402" s="7">
        <f>IF('Database MK'!GC403="","Belum",'Database MK'!GB403-'Database MK'!GC403)</f>
        <v>0</v>
      </c>
      <c r="AL402" s="7">
        <f>IF('Database MK'!GF403="","Belum",'Database MK'!GE403-'Database MK'!GF403)</f>
        <v>3</v>
      </c>
      <c r="AM402" s="279">
        <f>IF('Database MK'!GJ403="","Belum",'Database MK'!GI403-'Database MK'!GJ403)</f>
        <v>12</v>
      </c>
      <c r="AN402" s="7" t="str">
        <f>IF('Database MK'!HG403="","Belum",'Database MK'!HF403-'Database MK'!HG403)</f>
        <v>Belum</v>
      </c>
      <c r="AO402" s="7" t="str">
        <f>IF('Database MK'!HQ403="","Belum",'Database MK'!HN403-'Database MK'!HQ403)</f>
        <v>Belum</v>
      </c>
      <c r="AP402" s="7" t="str">
        <f>IF('Database MK'!HW403="","Belum",'Database MK'!HU403-'Database MK'!HW403)</f>
        <v>Belum</v>
      </c>
    </row>
    <row r="403" spans="2:42" hidden="1" x14ac:dyDescent="0.25">
      <c r="B403" s="7">
        <f>SUBTOTAL(3,$C$4:C403)</f>
        <v>74</v>
      </c>
      <c r="C403" s="269" t="s">
        <v>673</v>
      </c>
      <c r="D403" s="4" t="s">
        <v>3210</v>
      </c>
      <c r="E403" s="4" t="s">
        <v>3211</v>
      </c>
      <c r="F403" s="270">
        <v>46296</v>
      </c>
      <c r="G403" s="4" t="s">
        <v>247</v>
      </c>
      <c r="H403" s="4" t="str">
        <f ca="1">'Database MK'!Q404</f>
        <v>Proses Konstruksi</v>
      </c>
      <c r="I403" s="24">
        <f>'Database MK'!S404</f>
        <v>0.62990314500950151</v>
      </c>
      <c r="J403" s="24">
        <f>'Database MK'!T404</f>
        <v>0.48787343753044549</v>
      </c>
      <c r="K403" s="571">
        <f>'Database MK'!U404</f>
        <v>-0.14202970747905602</v>
      </c>
      <c r="L403" s="561">
        <f>'Database MK'!V404</f>
        <v>5754</v>
      </c>
      <c r="M403" s="561">
        <f>'Database MK'!W404</f>
        <v>3207</v>
      </c>
      <c r="N403" s="561">
        <f>Table3[[#This Row],[Total Panjang Pipa Aktual]]-Table3[[#This Row],[Volume
BA MC-0]]</f>
        <v>-2547</v>
      </c>
      <c r="O403" s="7" t="str">
        <f ca="1">'Database MK'!DE404</f>
        <v>Sudah, OnSchedule</v>
      </c>
      <c r="P403" s="7" t="str">
        <f ca="1">'Database MK'!DI404</f>
        <v>Sudah, Delay</v>
      </c>
      <c r="Q403" s="7" t="str">
        <f ca="1">'Database MK'!DN404</f>
        <v>Sudah, OnSchedule</v>
      </c>
      <c r="R403" s="7" t="str">
        <f ca="1">'Database MK'!DR404</f>
        <v>Sudah, Delay</v>
      </c>
      <c r="S403" s="7" t="str">
        <f ca="1">'Database MK'!EA404</f>
        <v>Sudah, Delay</v>
      </c>
      <c r="T403" s="7" t="str">
        <f ca="1">'Database MK'!EI404</f>
        <v>Belum, Delay</v>
      </c>
      <c r="U403" s="7" t="str">
        <f ca="1">'Database MK'!ET404</f>
        <v>Belum, Delay</v>
      </c>
      <c r="V403" s="7" t="str">
        <f ca="1">'Database MK'!GA404</f>
        <v>Sudah, OnSchedule</v>
      </c>
      <c r="W403" s="7" t="str">
        <f ca="1">'Database MK'!GD404</f>
        <v>Sudah, OnSchedule</v>
      </c>
      <c r="X403" s="7" t="str">
        <f ca="1">'Database MK'!GG404</f>
        <v>Sudah, OnSchedule</v>
      </c>
      <c r="Y403" s="7" t="str">
        <f ca="1">'Database MK'!GK404</f>
        <v>Sudah, OnSchedule</v>
      </c>
      <c r="Z403" s="7" t="str">
        <f ca="1">'Database MK'!HH404</f>
        <v>Belum, OnSchedule</v>
      </c>
      <c r="AA403" s="7" t="str">
        <f ca="1">'Database MK'!HR404</f>
        <v>Belum, OnSchedule</v>
      </c>
      <c r="AB403" s="7" t="str">
        <f ca="1">'Database MK'!HX404</f>
        <v>Belum, OnSchedule</v>
      </c>
      <c r="AC403" s="7">
        <f>'Database MK'!DA404-'Database MK'!DB404</f>
        <v>12</v>
      </c>
      <c r="AD403" s="7">
        <f>'Database MK'!DA404-'Database MK'!DF404</f>
        <v>-9</v>
      </c>
      <c r="AE403" s="7">
        <f>'Database MK'!DK404-'Database MK'!DL404</f>
        <v>26</v>
      </c>
      <c r="AF403" s="7">
        <f>'Database MK'!DK404-'Database MK'!DO404</f>
        <v>-9</v>
      </c>
      <c r="AG403" s="7">
        <f>'Database MK'!DU404-'Database MK'!DW404</f>
        <v>-45</v>
      </c>
      <c r="AH403" s="7" t="str">
        <f>IF('Database MK'!EB404="","Belum",'Database MK'!DU404-'Database MK'!EB404)</f>
        <v>Belum</v>
      </c>
      <c r="AI403" s="7" t="str">
        <f>IF('Database MK'!EN404="","Belum",'Database MK'!EL404-'Database MK'!EN404)</f>
        <v>Belum</v>
      </c>
      <c r="AJ403" s="7">
        <f>'Database MK'!FY404-'Database MK'!FZ404</f>
        <v>3</v>
      </c>
      <c r="AK403" s="7">
        <f>IF('Database MK'!GC404="","Belum",'Database MK'!GB404-'Database MK'!GC404)</f>
        <v>0</v>
      </c>
      <c r="AL403" s="7">
        <f>IF('Database MK'!GF404="","Belum",'Database MK'!GE404-'Database MK'!GF404)</f>
        <v>3</v>
      </c>
      <c r="AM403" s="279">
        <f>IF('Database MK'!GJ404="","Belum",'Database MK'!GI404-'Database MK'!GJ404)</f>
        <v>9</v>
      </c>
      <c r="AN403" s="7" t="str">
        <f>IF('Database MK'!HG404="","Belum",'Database MK'!HF404-'Database MK'!HG404)</f>
        <v>Belum</v>
      </c>
      <c r="AO403" s="7" t="str">
        <f>IF('Database MK'!HQ404="","Belum",'Database MK'!HN404-'Database MK'!HQ404)</f>
        <v>Belum</v>
      </c>
      <c r="AP403" s="7" t="str">
        <f>IF('Database MK'!HW404="","Belum",'Database MK'!HU404-'Database MK'!HW404)</f>
        <v>Belum</v>
      </c>
    </row>
    <row r="404" spans="2:42" hidden="1" x14ac:dyDescent="0.25">
      <c r="B404" s="7">
        <f>SUBTOTAL(3,$C$4:C404)</f>
        <v>74</v>
      </c>
      <c r="C404" s="269" t="s">
        <v>673</v>
      </c>
      <c r="D404" s="4" t="s">
        <v>3217</v>
      </c>
      <c r="E404" s="4" t="s">
        <v>3218</v>
      </c>
      <c r="F404" s="270">
        <v>46296</v>
      </c>
      <c r="G404" s="4" t="s">
        <v>247</v>
      </c>
      <c r="H404" s="4" t="str">
        <f ca="1">'Database MK'!Q405</f>
        <v>MC-0</v>
      </c>
      <c r="I404" s="24">
        <f>'Database MK'!S405</f>
        <v>0.62272552688337524</v>
      </c>
      <c r="J404" s="24">
        <f>'Database MK'!T405</f>
        <v>6.4977254982801658E-2</v>
      </c>
      <c r="K404" s="571">
        <f>'Database MK'!U405</f>
        <v>-0.55774827190057352</v>
      </c>
      <c r="L404" s="561">
        <f>'Database MK'!V405</f>
        <v>3945</v>
      </c>
      <c r="M404" s="561">
        <f>'Database MK'!W405</f>
        <v>0</v>
      </c>
      <c r="N404" s="561">
        <f>Table3[[#This Row],[Total Panjang Pipa Aktual]]-Table3[[#This Row],[Volume
BA MC-0]]</f>
        <v>-3945</v>
      </c>
      <c r="O404" s="7" t="str">
        <f ca="1">'Database MK'!DE405</f>
        <v>Sudah, OnSchedule</v>
      </c>
      <c r="P404" s="7" t="str">
        <f ca="1">'Database MK'!DI405</f>
        <v>Sudah, Delay</v>
      </c>
      <c r="Q404" s="7" t="str">
        <f ca="1">'Database MK'!DN405</f>
        <v>Sudah, OnSchedule</v>
      </c>
      <c r="R404" s="7" t="str">
        <f ca="1">'Database MK'!DR405</f>
        <v>Sudah, Delay</v>
      </c>
      <c r="S404" s="7" t="str">
        <f ca="1">'Database MK'!EA405</f>
        <v>Sudah, Delay</v>
      </c>
      <c r="T404" s="7" t="str">
        <f ca="1">'Database MK'!EI405</f>
        <v>Belum, Delay</v>
      </c>
      <c r="U404" s="7" t="str">
        <f ca="1">'Database MK'!ET405</f>
        <v>Belum, Delay</v>
      </c>
      <c r="V404" s="7" t="str">
        <f ca="1">'Database MK'!GA405</f>
        <v>Sudah, OnSchedule</v>
      </c>
      <c r="W404" s="7" t="str">
        <f ca="1">'Database MK'!GD405</f>
        <v>Sudah, OnSchedule</v>
      </c>
      <c r="X404" s="7" t="str">
        <f ca="1">'Database MK'!GG405</f>
        <v>Sudah, OnSchedule</v>
      </c>
      <c r="Y404" s="7" t="str">
        <f ca="1">'Database MK'!GK405</f>
        <v>Sudah, OnSchedule</v>
      </c>
      <c r="Z404" s="7" t="str">
        <f ca="1">'Database MK'!HH405</f>
        <v>Belum, OnSchedule</v>
      </c>
      <c r="AA404" s="7" t="str">
        <f ca="1">'Database MK'!HR405</f>
        <v>Belum, OnSchedule</v>
      </c>
      <c r="AB404" s="7" t="str">
        <f ca="1">'Database MK'!HX405</f>
        <v>Belum, OnSchedule</v>
      </c>
      <c r="AC404" s="7">
        <f>'Database MK'!DA405-'Database MK'!DB405</f>
        <v>12</v>
      </c>
      <c r="AD404" s="7">
        <f>'Database MK'!DA405-'Database MK'!DF405</f>
        <v>-9</v>
      </c>
      <c r="AE404" s="7">
        <f>'Database MK'!DK405-'Database MK'!DL405</f>
        <v>26</v>
      </c>
      <c r="AF404" s="7">
        <f>'Database MK'!DK405-'Database MK'!DO405</f>
        <v>-9</v>
      </c>
      <c r="AG404" s="7">
        <f>'Database MK'!DU405-'Database MK'!DW405</f>
        <v>-46</v>
      </c>
      <c r="AH404" s="7" t="str">
        <f>IF('Database MK'!EB405="","Belum",'Database MK'!DU405-'Database MK'!EB405)</f>
        <v>Belum</v>
      </c>
      <c r="AI404" s="7" t="str">
        <f>IF('Database MK'!EN405="","Belum",'Database MK'!EL405-'Database MK'!EN405)</f>
        <v>Belum</v>
      </c>
      <c r="AJ404" s="7">
        <f>'Database MK'!FY405-'Database MK'!FZ405</f>
        <v>3</v>
      </c>
      <c r="AK404" s="7">
        <f>IF('Database MK'!GC405="","Belum",'Database MK'!GB405-'Database MK'!GC405)</f>
        <v>0</v>
      </c>
      <c r="AL404" s="7">
        <f>IF('Database MK'!GF405="","Belum",'Database MK'!GE405-'Database MK'!GF405)</f>
        <v>3</v>
      </c>
      <c r="AM404" s="279">
        <f>IF('Database MK'!GJ405="","Belum",'Database MK'!GI405-'Database MK'!GJ405)</f>
        <v>9</v>
      </c>
      <c r="AN404" s="7" t="str">
        <f>IF('Database MK'!HG405="","Belum",'Database MK'!HF405-'Database MK'!HG405)</f>
        <v>Belum</v>
      </c>
      <c r="AO404" s="7" t="str">
        <f>IF('Database MK'!HQ405="","Belum",'Database MK'!HN405-'Database MK'!HQ405)</f>
        <v>Belum</v>
      </c>
      <c r="AP404" s="7" t="str">
        <f>IF('Database MK'!HW405="","Belum",'Database MK'!HU405-'Database MK'!HW405)</f>
        <v>Belum</v>
      </c>
    </row>
    <row r="405" spans="2:42" hidden="1" x14ac:dyDescent="0.25">
      <c r="B405" s="7">
        <f>SUBTOTAL(3,$C$4:C405)</f>
        <v>74</v>
      </c>
      <c r="C405" s="269" t="s">
        <v>673</v>
      </c>
      <c r="D405" s="4" t="s">
        <v>3224</v>
      </c>
      <c r="E405" s="4" t="s">
        <v>3225</v>
      </c>
      <c r="F405" s="270">
        <v>46296</v>
      </c>
      <c r="G405" s="4" t="s">
        <v>247</v>
      </c>
      <c r="H405" s="4" t="str">
        <f ca="1">'Database MK'!Q406</f>
        <v>Proses Konstruksi</v>
      </c>
      <c r="I405" s="24">
        <f>'Database MK'!S406</f>
        <v>0.63715168591708904</v>
      </c>
      <c r="J405" s="24">
        <f>'Database MK'!T406</f>
        <v>5.3416574447057247E-2</v>
      </c>
      <c r="K405" s="571">
        <f>'Database MK'!U406</f>
        <v>-0.58373511147003176</v>
      </c>
      <c r="L405" s="561">
        <f>'Database MK'!V406</f>
        <v>43800</v>
      </c>
      <c r="M405" s="561">
        <f>'Database MK'!W406</f>
        <v>300</v>
      </c>
      <c r="N405" s="561">
        <f>Table3[[#This Row],[Total Panjang Pipa Aktual]]-Table3[[#This Row],[Volume
BA MC-0]]</f>
        <v>-43500</v>
      </c>
      <c r="O405" s="7" t="str">
        <f ca="1">'Database MK'!DE406</f>
        <v>Sudah, OnSchedule</v>
      </c>
      <c r="P405" s="7" t="str">
        <f ca="1">'Database MK'!DI406</f>
        <v>Sudah, Delay</v>
      </c>
      <c r="Q405" s="7" t="str">
        <f ca="1">'Database MK'!DN406</f>
        <v>Sudah, OnSchedule</v>
      </c>
      <c r="R405" s="7" t="str">
        <f ca="1">'Database MK'!DR406</f>
        <v>Sudah, OnSchedule</v>
      </c>
      <c r="S405" s="7" t="str">
        <f ca="1">'Database MK'!EA406</f>
        <v>Sudah, Delay</v>
      </c>
      <c r="T405" s="7" t="str">
        <f ca="1">'Database MK'!EI406</f>
        <v>Belum, Delay</v>
      </c>
      <c r="U405" s="7" t="str">
        <f ca="1">'Database MK'!ET406</f>
        <v>Belum, Delay</v>
      </c>
      <c r="V405" s="7" t="str">
        <f ca="1">'Database MK'!GA406</f>
        <v>Sudah, OnSchedule</v>
      </c>
      <c r="W405" s="7" t="str">
        <f ca="1">'Database MK'!GD406</f>
        <v>Sudah, OnSchedule</v>
      </c>
      <c r="X405" s="7" t="str">
        <f ca="1">'Database MK'!GG406</f>
        <v>Sudah, OnSchedule</v>
      </c>
      <c r="Y405" s="7" t="str">
        <f ca="1">'Database MK'!GK406</f>
        <v>Sudah, OnSchedule</v>
      </c>
      <c r="Z405" s="7" t="str">
        <f ca="1">'Database MK'!HH406</f>
        <v>Belum, OnSchedule</v>
      </c>
      <c r="AA405" s="7" t="str">
        <f ca="1">'Database MK'!HR406</f>
        <v>Belum, OnSchedule</v>
      </c>
      <c r="AB405" s="7" t="str">
        <f ca="1">'Database MK'!HX406</f>
        <v>Belum, OnSchedule</v>
      </c>
      <c r="AC405" s="7">
        <f>'Database MK'!DA406-'Database MK'!DB406</f>
        <v>12</v>
      </c>
      <c r="AD405" s="7">
        <f>'Database MK'!DA406-'Database MK'!DF406</f>
        <v>-9</v>
      </c>
      <c r="AE405" s="7">
        <f>'Database MK'!DK406-'Database MK'!DL406</f>
        <v>26</v>
      </c>
      <c r="AF405" s="7">
        <f>'Database MK'!DK406-'Database MK'!DO406</f>
        <v>20</v>
      </c>
      <c r="AG405" s="7">
        <f>'Database MK'!DU406-'Database MK'!DW406</f>
        <v>-45</v>
      </c>
      <c r="AH405" s="7" t="str">
        <f>IF('Database MK'!EB406="","Belum",'Database MK'!DU406-'Database MK'!EB406)</f>
        <v>Belum</v>
      </c>
      <c r="AI405" s="7" t="str">
        <f>IF('Database MK'!EN406="","Belum",'Database MK'!EL406-'Database MK'!EN406)</f>
        <v>Belum</v>
      </c>
      <c r="AJ405" s="7">
        <f>'Database MK'!FY406-'Database MK'!FZ406</f>
        <v>3</v>
      </c>
      <c r="AK405" s="7">
        <f>IF('Database MK'!GC406="","Belum",'Database MK'!GB406-'Database MK'!GC406)</f>
        <v>12</v>
      </c>
      <c r="AL405" s="7">
        <f>IF('Database MK'!GF406="","Belum",'Database MK'!GE406-'Database MK'!GF406)</f>
        <v>17</v>
      </c>
      <c r="AM405" s="279">
        <f>IF('Database MK'!GJ406="","Belum",'Database MK'!GI406-'Database MK'!GJ406)</f>
        <v>20</v>
      </c>
      <c r="AN405" s="7" t="str">
        <f>IF('Database MK'!HG406="","Belum",'Database MK'!HF406-'Database MK'!HG406)</f>
        <v>Belum</v>
      </c>
      <c r="AO405" s="7" t="str">
        <f>IF('Database MK'!HQ406="","Belum",'Database MK'!HN406-'Database MK'!HQ406)</f>
        <v>Belum</v>
      </c>
      <c r="AP405" s="7" t="str">
        <f>IF('Database MK'!HW406="","Belum",'Database MK'!HU406-'Database MK'!HW406)</f>
        <v>Belum</v>
      </c>
    </row>
    <row r="406" spans="2:42" hidden="1" x14ac:dyDescent="0.25">
      <c r="B406" s="7">
        <f>SUBTOTAL(3,$C$4:C406)</f>
        <v>74</v>
      </c>
      <c r="C406" s="269" t="s">
        <v>673</v>
      </c>
      <c r="D406" s="4" t="s">
        <v>3233</v>
      </c>
      <c r="E406" s="4" t="s">
        <v>3234</v>
      </c>
      <c r="F406" s="270">
        <v>46296</v>
      </c>
      <c r="G406" s="4" t="s">
        <v>247</v>
      </c>
      <c r="H406" s="4" t="str">
        <f ca="1">'Database MK'!Q407</f>
        <v>MC-0</v>
      </c>
      <c r="I406" s="24">
        <f>'Database MK'!S407</f>
        <v>0.63986538543032079</v>
      </c>
      <c r="J406" s="24">
        <f>'Database MK'!T407</f>
        <v>4.3228298596356886E-2</v>
      </c>
      <c r="K406" s="571">
        <f>'Database MK'!U407</f>
        <v>-0.59663708683396388</v>
      </c>
      <c r="L406" s="561">
        <f>'Database MK'!V407</f>
        <v>39185</v>
      </c>
      <c r="M406" s="561">
        <f>'Database MK'!W407</f>
        <v>0</v>
      </c>
      <c r="N406" s="561">
        <f>Table3[[#This Row],[Total Panjang Pipa Aktual]]-Table3[[#This Row],[Volume
BA MC-0]]</f>
        <v>-39185</v>
      </c>
      <c r="O406" s="7" t="str">
        <f ca="1">'Database MK'!DE407</f>
        <v>Sudah, OnSchedule</v>
      </c>
      <c r="P406" s="7" t="str">
        <f ca="1">'Database MK'!DI407</f>
        <v>Sudah, Delay</v>
      </c>
      <c r="Q406" s="7" t="str">
        <f ca="1">'Database MK'!DN407</f>
        <v>Sudah, OnSchedule</v>
      </c>
      <c r="R406" s="7" t="str">
        <f ca="1">'Database MK'!DR407</f>
        <v>Sudah, Delay</v>
      </c>
      <c r="S406" s="7" t="str">
        <f ca="1">'Database MK'!EA407</f>
        <v>Sudah, Delay</v>
      </c>
      <c r="T406" s="7" t="str">
        <f ca="1">'Database MK'!EI407</f>
        <v>Belum, Delay</v>
      </c>
      <c r="U406" s="7" t="str">
        <f ca="1">'Database MK'!ET407</f>
        <v>Belum, Delay</v>
      </c>
      <c r="V406" s="7" t="str">
        <f ca="1">'Database MK'!GA407</f>
        <v>Sudah, OnSchedule</v>
      </c>
      <c r="W406" s="7" t="str">
        <f ca="1">'Database MK'!GD407</f>
        <v>Sudah, Delay</v>
      </c>
      <c r="X406" s="7" t="str">
        <f ca="1">'Database MK'!GG407</f>
        <v>Sudah, Delay</v>
      </c>
      <c r="Y406" s="7" t="str">
        <f ca="1">'Database MK'!GK407</f>
        <v>Sudah, Delay</v>
      </c>
      <c r="Z406" s="7" t="str">
        <f ca="1">'Database MK'!HH407</f>
        <v>Belum, OnSchedule</v>
      </c>
      <c r="AA406" s="7" t="str">
        <f ca="1">'Database MK'!HR407</f>
        <v>Belum, OnSchedule</v>
      </c>
      <c r="AB406" s="7" t="str">
        <f ca="1">'Database MK'!HX407</f>
        <v>Belum, OnSchedule</v>
      </c>
      <c r="AC406" s="7">
        <f>'Database MK'!DA407-'Database MK'!DB407</f>
        <v>82</v>
      </c>
      <c r="AD406" s="7">
        <f>'Database MK'!DA407-'Database MK'!DF407</f>
        <v>-51</v>
      </c>
      <c r="AE406" s="7">
        <f>'Database MK'!DK407-'Database MK'!DL407</f>
        <v>33</v>
      </c>
      <c r="AF406" s="7">
        <f>'Database MK'!DK407-'Database MK'!DO407</f>
        <v>-5</v>
      </c>
      <c r="AG406" s="7">
        <f>'Database MK'!DU407-'Database MK'!DW407</f>
        <v>-37</v>
      </c>
      <c r="AH406" s="7" t="str">
        <f>IF('Database MK'!EB407="","Belum",'Database MK'!DU407-'Database MK'!EB407)</f>
        <v>Belum</v>
      </c>
      <c r="AI406" s="7" t="str">
        <f>IF('Database MK'!EN407="","Belum",'Database MK'!EL407-'Database MK'!EN407)</f>
        <v>Belum</v>
      </c>
      <c r="AJ406" s="7">
        <f>'Database MK'!FY407-'Database MK'!FZ407</f>
        <v>19</v>
      </c>
      <c r="AK406" s="7">
        <f>IF('Database MK'!GC407="","Belum",'Database MK'!GB407-'Database MK'!GC407)</f>
        <v>-29</v>
      </c>
      <c r="AL406" s="7">
        <f>IF('Database MK'!GF407="","Belum",'Database MK'!GE407-'Database MK'!GF407)</f>
        <v>-22</v>
      </c>
      <c r="AM406" s="279">
        <f>IF('Database MK'!GJ407="","Belum",'Database MK'!GI407-'Database MK'!GJ407)</f>
        <v>-25</v>
      </c>
      <c r="AN406" s="7" t="str">
        <f>IF('Database MK'!HG407="","Belum",'Database MK'!HF407-'Database MK'!HG407)</f>
        <v>Belum</v>
      </c>
      <c r="AO406" s="7" t="str">
        <f>IF('Database MK'!HQ407="","Belum",'Database MK'!HN407-'Database MK'!HQ407)</f>
        <v>Belum</v>
      </c>
      <c r="AP406" s="7" t="str">
        <f>IF('Database MK'!HW407="","Belum",'Database MK'!HU407-'Database MK'!HW407)</f>
        <v>Belum</v>
      </c>
    </row>
    <row r="407" spans="2:42" hidden="1" x14ac:dyDescent="0.25">
      <c r="B407" s="7">
        <f>SUBTOTAL(3,$C$4:C407)</f>
        <v>74</v>
      </c>
      <c r="C407" s="269" t="s">
        <v>673</v>
      </c>
      <c r="D407" s="4" t="s">
        <v>3240</v>
      </c>
      <c r="E407" s="4" t="s">
        <v>3241</v>
      </c>
      <c r="F407" s="270">
        <v>46296</v>
      </c>
      <c r="G407" s="4" t="s">
        <v>681</v>
      </c>
      <c r="H407" s="4" t="str">
        <f ca="1">'Database MK'!Q408</f>
        <v>Proses Konstruksi</v>
      </c>
      <c r="I407" s="24">
        <f>'Database MK'!S408</f>
        <v>1</v>
      </c>
      <c r="J407" s="24">
        <f>'Database MK'!T408</f>
        <v>0.57322754046909119</v>
      </c>
      <c r="K407" s="571">
        <f>'Database MK'!U408</f>
        <v>-0.42677245953090881</v>
      </c>
      <c r="L407" s="561">
        <f>'Database MK'!V408</f>
        <v>700</v>
      </c>
      <c r="M407" s="561">
        <f>'Database MK'!W408</f>
        <v>420</v>
      </c>
      <c r="N407" s="561">
        <f>Table3[[#This Row],[Total Panjang Pipa Aktual]]-Table3[[#This Row],[Volume
BA MC-0]]</f>
        <v>-280</v>
      </c>
      <c r="O407" s="7" t="str">
        <f ca="1">'Database MK'!DE408</f>
        <v>Sudah, OnSchedule</v>
      </c>
      <c r="P407" s="7" t="str">
        <f ca="1">'Database MK'!DI408</f>
        <v>Sudah, OnSchedule</v>
      </c>
      <c r="Q407" s="7" t="str">
        <f ca="1">'Database MK'!DN408</f>
        <v>Sudah, Delay</v>
      </c>
      <c r="R407" s="7" t="str">
        <f ca="1">'Database MK'!DR408</f>
        <v>Sudah, Delay</v>
      </c>
      <c r="S407" s="7" t="str">
        <f ca="1">'Database MK'!EA408</f>
        <v>Sudah, Delay</v>
      </c>
      <c r="T407" s="7" t="str">
        <f ca="1">'Database MK'!EI408</f>
        <v>Belum, Delay</v>
      </c>
      <c r="U407" s="7" t="str">
        <f ca="1">'Database MK'!ET408</f>
        <v>Belum, Delay</v>
      </c>
      <c r="V407" s="7" t="str">
        <f ca="1">'Database MK'!GA408</f>
        <v>Sudah, Delay</v>
      </c>
      <c r="W407" s="7" t="str">
        <f ca="1">'Database MK'!GD408</f>
        <v>Sudah, Delay</v>
      </c>
      <c r="X407" s="7" t="str">
        <f ca="1">'Database MK'!GG408</f>
        <v>Sudah, Delay</v>
      </c>
      <c r="Y407" s="7" t="str">
        <f ca="1">'Database MK'!GK408</f>
        <v>Sudah, Delay</v>
      </c>
      <c r="Z407" s="7" t="str">
        <f ca="1">'Database MK'!HH408</f>
        <v>Belum, Delay</v>
      </c>
      <c r="AA407" s="7" t="str">
        <f ca="1">'Database MK'!HR408</f>
        <v>Belum, Delay</v>
      </c>
      <c r="AB407" s="7" t="str">
        <f ca="1">'Database MK'!HX408</f>
        <v>Belum, Delay</v>
      </c>
      <c r="AC407" s="7">
        <f>'Database MK'!DA408-'Database MK'!DB408</f>
        <v>33</v>
      </c>
      <c r="AD407" s="7">
        <f>'Database MK'!DA408-'Database MK'!DF408</f>
        <v>12</v>
      </c>
      <c r="AE407" s="7">
        <f>'Database MK'!DK408-'Database MK'!DL408</f>
        <v>-2</v>
      </c>
      <c r="AF407" s="7">
        <f>'Database MK'!DK408-'Database MK'!DO408</f>
        <v>-39</v>
      </c>
      <c r="AG407" s="7">
        <f>'Database MK'!DU408-'Database MK'!DW408</f>
        <v>-23</v>
      </c>
      <c r="AH407" s="7" t="str">
        <f>IF('Database MK'!EB408="","Belum",'Database MK'!DU408-'Database MK'!EB408)</f>
        <v>Belum</v>
      </c>
      <c r="AI407" s="7" t="str">
        <f>IF('Database MK'!EN408="","Belum",'Database MK'!EL408-'Database MK'!EN408)</f>
        <v>Belum</v>
      </c>
      <c r="AJ407" s="7">
        <f>'Database MK'!FY408-'Database MK'!FZ408</f>
        <v>-16</v>
      </c>
      <c r="AK407" s="7">
        <f>IF('Database MK'!GC408="","Belum",'Database MK'!GB408-'Database MK'!GC408)</f>
        <v>-64</v>
      </c>
      <c r="AL407" s="7">
        <f>IF('Database MK'!GF408="","Belum",'Database MK'!GE408-'Database MK'!GF408)</f>
        <v>-57</v>
      </c>
      <c r="AM407" s="279">
        <f>IF('Database MK'!GJ408="","Belum",'Database MK'!GI408-'Database MK'!GJ408)</f>
        <v>-51</v>
      </c>
      <c r="AN407" s="7" t="str">
        <f>IF('Database MK'!HG408="","Belum",'Database MK'!HF408-'Database MK'!HG408)</f>
        <v>Belum</v>
      </c>
      <c r="AO407" s="7" t="str">
        <f>IF('Database MK'!HQ408="","Belum",'Database MK'!HN408-'Database MK'!HQ408)</f>
        <v>Belum</v>
      </c>
      <c r="AP407" s="7" t="str">
        <f>IF('Database MK'!HW408="","Belum",'Database MK'!HU408-'Database MK'!HW408)</f>
        <v>Belum</v>
      </c>
    </row>
    <row r="408" spans="2:42" hidden="1" x14ac:dyDescent="0.25">
      <c r="B408" s="7">
        <f>SUBTOTAL(3,$C$4:C408)</f>
        <v>74</v>
      </c>
      <c r="C408" s="269" t="s">
        <v>673</v>
      </c>
      <c r="D408" s="4" t="s">
        <v>3247</v>
      </c>
      <c r="E408" s="4" t="s">
        <v>3248</v>
      </c>
      <c r="F408" s="270">
        <v>46296</v>
      </c>
      <c r="G408" s="4" t="s">
        <v>681</v>
      </c>
      <c r="H408" s="4" t="str">
        <f ca="1">'Database MK'!Q409</f>
        <v>MC-0</v>
      </c>
      <c r="I408" s="24">
        <f>'Database MK'!S409</f>
        <v>0.99999999999999989</v>
      </c>
      <c r="J408" s="24">
        <f>'Database MK'!T409</f>
        <v>5.1290348806821227E-2</v>
      </c>
      <c r="K408" s="571">
        <f>'Database MK'!U409</f>
        <v>-0.94870965119317863</v>
      </c>
      <c r="L408" s="561">
        <f>'Database MK'!V409</f>
        <v>2537</v>
      </c>
      <c r="M408" s="561">
        <f>'Database MK'!W409</f>
        <v>0</v>
      </c>
      <c r="N408" s="561">
        <f>Table3[[#This Row],[Total Panjang Pipa Aktual]]-Table3[[#This Row],[Volume
BA MC-0]]</f>
        <v>-2537</v>
      </c>
      <c r="O408" s="7" t="str">
        <f ca="1">'Database MK'!DE409</f>
        <v>Sudah, OnSchedule</v>
      </c>
      <c r="P408" s="7" t="str">
        <f ca="1">'Database MK'!DI409</f>
        <v>Sudah, OnSchedule</v>
      </c>
      <c r="Q408" s="7" t="str">
        <f ca="1">'Database MK'!DN409</f>
        <v>Sudah, Delay</v>
      </c>
      <c r="R408" s="7" t="str">
        <f ca="1">'Database MK'!DR409</f>
        <v>Sudah, Delay</v>
      </c>
      <c r="S408" s="7" t="str">
        <f ca="1">'Database MK'!EA409</f>
        <v>Sudah, Delay</v>
      </c>
      <c r="T408" s="7" t="str">
        <f ca="1">'Database MK'!EI409</f>
        <v>Belum, Delay</v>
      </c>
      <c r="U408" s="7" t="str">
        <f ca="1">'Database MK'!ET409</f>
        <v>Belum, Delay</v>
      </c>
      <c r="V408" s="7" t="str">
        <f ca="1">'Database MK'!GA409</f>
        <v>Sudah, Delay</v>
      </c>
      <c r="W408" s="7" t="str">
        <f ca="1">'Database MK'!GD409</f>
        <v>Sudah, Delay</v>
      </c>
      <c r="X408" s="7" t="str">
        <f ca="1">'Database MK'!GG409</f>
        <v>Sudah, Delay</v>
      </c>
      <c r="Y408" s="7" t="str">
        <f ca="1">'Database MK'!GK409</f>
        <v>Sudah, Delay</v>
      </c>
      <c r="Z408" s="7" t="str">
        <f ca="1">'Database MK'!HH409</f>
        <v>Belum, Delay</v>
      </c>
      <c r="AA408" s="7" t="str">
        <f ca="1">'Database MK'!HR409</f>
        <v>Belum, Delay</v>
      </c>
      <c r="AB408" s="7" t="str">
        <f ca="1">'Database MK'!HX409</f>
        <v>Belum, Delay</v>
      </c>
      <c r="AC408" s="7">
        <f>'Database MK'!DA409-'Database MK'!DB409</f>
        <v>33</v>
      </c>
      <c r="AD408" s="7">
        <f>'Database MK'!DA409-'Database MK'!DF409</f>
        <v>12</v>
      </c>
      <c r="AE408" s="7">
        <f>'Database MK'!DK409-'Database MK'!DL409</f>
        <v>-2</v>
      </c>
      <c r="AF408" s="7">
        <f>'Database MK'!DK409-'Database MK'!DO409</f>
        <v>-38</v>
      </c>
      <c r="AG408" s="7">
        <f>'Database MK'!DU409-'Database MK'!DW409</f>
        <v>-23</v>
      </c>
      <c r="AH408" s="7" t="str">
        <f>IF('Database MK'!EB409="","Belum",'Database MK'!DU409-'Database MK'!EB409)</f>
        <v>Belum</v>
      </c>
      <c r="AI408" s="7" t="str">
        <f>IF('Database MK'!EN409="","Belum",'Database MK'!EL409-'Database MK'!EN409)</f>
        <v>Belum</v>
      </c>
      <c r="AJ408" s="7">
        <f>'Database MK'!FY409-'Database MK'!FZ409</f>
        <v>-16</v>
      </c>
      <c r="AK408" s="7">
        <f>IF('Database MK'!GC409="","Belum",'Database MK'!GB409-'Database MK'!GC409)</f>
        <v>-65</v>
      </c>
      <c r="AL408" s="7">
        <f>IF('Database MK'!GF409="","Belum",'Database MK'!GE409-'Database MK'!GF409)</f>
        <v>-58</v>
      </c>
      <c r="AM408" s="279">
        <f>IF('Database MK'!GJ409="","Belum",'Database MK'!GI409-'Database MK'!GJ409)</f>
        <v>-61</v>
      </c>
      <c r="AN408" s="7" t="str">
        <f>IF('Database MK'!HG409="","Belum",'Database MK'!HF409-'Database MK'!HG409)</f>
        <v>Belum</v>
      </c>
      <c r="AO408" s="7" t="str">
        <f>IF('Database MK'!HQ409="","Belum",'Database MK'!HN409-'Database MK'!HQ409)</f>
        <v>Belum</v>
      </c>
      <c r="AP408" s="7" t="str">
        <f>IF('Database MK'!HW409="","Belum",'Database MK'!HU409-'Database MK'!HW409)</f>
        <v>Belum</v>
      </c>
    </row>
    <row r="409" spans="2:42" hidden="1" x14ac:dyDescent="0.25">
      <c r="B409" s="7">
        <f>SUBTOTAL(3,$C$4:C409)</f>
        <v>74</v>
      </c>
      <c r="C409" s="269" t="s">
        <v>673</v>
      </c>
      <c r="D409" s="4" t="s">
        <v>3252</v>
      </c>
      <c r="E409" s="4" t="s">
        <v>3253</v>
      </c>
      <c r="F409" s="270">
        <v>46296</v>
      </c>
      <c r="G409" s="4" t="s">
        <v>681</v>
      </c>
      <c r="H409" s="4" t="str">
        <f ca="1">'Database MK'!Q410</f>
        <v>MC-0</v>
      </c>
      <c r="I409" s="24">
        <f>'Database MK'!S410</f>
        <v>1</v>
      </c>
      <c r="J409" s="24">
        <f>'Database MK'!T410</f>
        <v>6.2850162146905378E-2</v>
      </c>
      <c r="K409" s="571">
        <f>'Database MK'!U410</f>
        <v>-0.93714983785309458</v>
      </c>
      <c r="L409" s="561">
        <f>'Database MK'!V410</f>
        <v>200</v>
      </c>
      <c r="M409" s="561">
        <f>'Database MK'!W410</f>
        <v>0</v>
      </c>
      <c r="N409" s="561">
        <f>Table3[[#This Row],[Total Panjang Pipa Aktual]]-Table3[[#This Row],[Volume
BA MC-0]]</f>
        <v>-200</v>
      </c>
      <c r="O409" s="7" t="str">
        <f ca="1">'Database MK'!DE410</f>
        <v>Sudah, OnSchedule</v>
      </c>
      <c r="P409" s="7" t="str">
        <f ca="1">'Database MK'!DI410</f>
        <v>Sudah, Delay</v>
      </c>
      <c r="Q409" s="7" t="str">
        <f ca="1">'Database MK'!DN410</f>
        <v>Sudah, Delay</v>
      </c>
      <c r="R409" s="7" t="str">
        <f ca="1">'Database MK'!DR410</f>
        <v>Sudah, Delay</v>
      </c>
      <c r="S409" s="7" t="str">
        <f ca="1">'Database MK'!EA410</f>
        <v>Sudah, Delay</v>
      </c>
      <c r="T409" s="7" t="str">
        <f ca="1">'Database MK'!EI410</f>
        <v>Belum, Delay</v>
      </c>
      <c r="U409" s="7" t="str">
        <f ca="1">'Database MK'!ET410</f>
        <v>Belum, Delay</v>
      </c>
      <c r="V409" s="7" t="str">
        <f ca="1">'Database MK'!GA410</f>
        <v>Sudah, Delay</v>
      </c>
      <c r="W409" s="7" t="str">
        <f ca="1">'Database MK'!GD410</f>
        <v>Sudah, Delay</v>
      </c>
      <c r="X409" s="7" t="str">
        <f ca="1">'Database MK'!GG410</f>
        <v>Sudah, Delay</v>
      </c>
      <c r="Y409" s="7" t="str">
        <f ca="1">'Database MK'!GK410</f>
        <v>Sudah, Delay</v>
      </c>
      <c r="Z409" s="7" t="str">
        <f ca="1">'Database MK'!HH410</f>
        <v>Belum, Delay</v>
      </c>
      <c r="AA409" s="7" t="str">
        <f ca="1">'Database MK'!HR410</f>
        <v>Belum, Delay</v>
      </c>
      <c r="AB409" s="7" t="str">
        <f ca="1">'Database MK'!HX410</f>
        <v>Belum, Delay</v>
      </c>
      <c r="AC409" s="7">
        <f>'Database MK'!DA410-'Database MK'!DB410</f>
        <v>33</v>
      </c>
      <c r="AD409" s="7">
        <f>'Database MK'!DA410-'Database MK'!DF410</f>
        <v>-58</v>
      </c>
      <c r="AE409" s="7">
        <f>'Database MK'!DK410-'Database MK'!DL410</f>
        <v>-12</v>
      </c>
      <c r="AF409" s="7">
        <f>'Database MK'!DK410-'Database MK'!DO410</f>
        <v>-40</v>
      </c>
      <c r="AG409" s="7">
        <f>'Database MK'!DU410-'Database MK'!DW410</f>
        <v>-33</v>
      </c>
      <c r="AH409" s="7" t="str">
        <f>IF('Database MK'!EB410="","Belum",'Database MK'!DU410-'Database MK'!EB410)</f>
        <v>Belum</v>
      </c>
      <c r="AI409" s="7" t="str">
        <f>IF('Database MK'!EN410="","Belum",'Database MK'!EL410-'Database MK'!EN410)</f>
        <v>Belum</v>
      </c>
      <c r="AJ409" s="7">
        <f>'Database MK'!FY410-'Database MK'!FZ410</f>
        <v>-16</v>
      </c>
      <c r="AK409" s="7">
        <f>IF('Database MK'!GC410="","Belum",'Database MK'!GB410-'Database MK'!GC410)</f>
        <v>-64</v>
      </c>
      <c r="AL409" s="7">
        <f>IF('Database MK'!GF410="","Belum",'Database MK'!GE410-'Database MK'!GF410)</f>
        <v>-57</v>
      </c>
      <c r="AM409" s="279">
        <f>IF('Database MK'!GJ410="","Belum",'Database MK'!GI410-'Database MK'!GJ410)</f>
        <v>-58</v>
      </c>
      <c r="AN409" s="7" t="str">
        <f>IF('Database MK'!HG410="","Belum",'Database MK'!HF410-'Database MK'!HG410)</f>
        <v>Belum</v>
      </c>
      <c r="AO409" s="7" t="str">
        <f>IF('Database MK'!HQ410="","Belum",'Database MK'!HN410-'Database MK'!HQ410)</f>
        <v>Belum</v>
      </c>
      <c r="AP409" s="7" t="str">
        <f>IF('Database MK'!HW410="","Belum",'Database MK'!HU410-'Database MK'!HW410)</f>
        <v>Belum</v>
      </c>
    </row>
    <row r="410" spans="2:42" hidden="1" x14ac:dyDescent="0.25">
      <c r="B410" s="7">
        <f>SUBTOTAL(3,$C$4:C410)</f>
        <v>74</v>
      </c>
      <c r="C410" s="269" t="s">
        <v>673</v>
      </c>
      <c r="D410" s="4" t="s">
        <v>3259</v>
      </c>
      <c r="E410" s="4" t="s">
        <v>3260</v>
      </c>
      <c r="F410" s="270">
        <v>46296</v>
      </c>
      <c r="G410" s="4" t="s">
        <v>681</v>
      </c>
      <c r="H410" s="4" t="str">
        <f ca="1">'Database MK'!Q411</f>
        <v>MC-0</v>
      </c>
      <c r="I410" s="24">
        <f>'Database MK'!S411</f>
        <v>1.0000000000000002</v>
      </c>
      <c r="J410" s="24">
        <f>'Database MK'!T411</f>
        <v>0.12840687991681338</v>
      </c>
      <c r="K410" s="571">
        <f>'Database MK'!U411</f>
        <v>-0.87159312008318679</v>
      </c>
      <c r="L410" s="561">
        <f>'Database MK'!V411</f>
        <v>45</v>
      </c>
      <c r="M410" s="561">
        <f>'Database MK'!W411</f>
        <v>0</v>
      </c>
      <c r="N410" s="561">
        <f>Table3[[#This Row],[Total Panjang Pipa Aktual]]-Table3[[#This Row],[Volume
BA MC-0]]</f>
        <v>-45</v>
      </c>
      <c r="O410" s="7" t="str">
        <f ca="1">'Database MK'!DE411</f>
        <v>Sudah, OnSchedule</v>
      </c>
      <c r="P410" s="7" t="str">
        <f ca="1">'Database MK'!DI411</f>
        <v>Sudah, OnSchedule</v>
      </c>
      <c r="Q410" s="7" t="str">
        <f ca="1">'Database MK'!DN411</f>
        <v>Sudah, OnSchedule</v>
      </c>
      <c r="R410" s="7" t="str">
        <f ca="1">'Database MK'!DR411</f>
        <v>Sudah, Delay</v>
      </c>
      <c r="S410" s="7" t="str">
        <f ca="1">'Database MK'!EA411</f>
        <v>Sudah, OnSchedule</v>
      </c>
      <c r="T410" s="7" t="str">
        <f ca="1">'Database MK'!EI411</f>
        <v>Belum, Delay</v>
      </c>
      <c r="U410" s="7" t="str">
        <f ca="1">'Database MK'!ET411</f>
        <v>Belum, Delay</v>
      </c>
      <c r="V410" s="7" t="str">
        <f ca="1">'Database MK'!GA411</f>
        <v>Sudah, Delay</v>
      </c>
      <c r="W410" s="7" t="str">
        <f ca="1">'Database MK'!GD411</f>
        <v>Sudah, Delay</v>
      </c>
      <c r="X410" s="7" t="str">
        <f ca="1">'Database MK'!GG411</f>
        <v>Sudah, Delay</v>
      </c>
      <c r="Y410" s="7" t="str">
        <f ca="1">'Database MK'!GK411</f>
        <v>Sudah, Delay</v>
      </c>
      <c r="Z410" s="7" t="str">
        <f ca="1">'Database MK'!HH411</f>
        <v>Belum, Delay</v>
      </c>
      <c r="AA410" s="7" t="str">
        <f ca="1">'Database MK'!HR411</f>
        <v>Belum, Delay</v>
      </c>
      <c r="AB410" s="7" t="str">
        <f ca="1">'Database MK'!HX411</f>
        <v>Belum, Delay</v>
      </c>
      <c r="AC410" s="7">
        <f>'Database MK'!DA411-'Database MK'!DB411</f>
        <v>33</v>
      </c>
      <c r="AD410" s="7">
        <f>'Database MK'!DA411-'Database MK'!DF411</f>
        <v>12</v>
      </c>
      <c r="AE410" s="7">
        <f>'Database MK'!DK411-'Database MK'!DL411</f>
        <v>52</v>
      </c>
      <c r="AF410" s="7">
        <f>'Database MK'!DK411-'Database MK'!DO411</f>
        <v>-38</v>
      </c>
      <c r="AG410" s="7">
        <f>'Database MK'!DU411-'Database MK'!DW411</f>
        <v>17</v>
      </c>
      <c r="AH410" s="7" t="str">
        <f>IF('Database MK'!EB411="","Belum",'Database MK'!DU411-'Database MK'!EB411)</f>
        <v>Belum</v>
      </c>
      <c r="AI410" s="7" t="str">
        <f>IF('Database MK'!EN411="","Belum",'Database MK'!EL411-'Database MK'!EN411)</f>
        <v>Belum</v>
      </c>
      <c r="AJ410" s="7">
        <f>'Database MK'!FY411-'Database MK'!FZ411</f>
        <v>-16</v>
      </c>
      <c r="AK410" s="7">
        <f>IF('Database MK'!GC411="","Belum",'Database MK'!GB411-'Database MK'!GC411)</f>
        <v>-65</v>
      </c>
      <c r="AL410" s="7">
        <f>IF('Database MK'!GF411="","Belum",'Database MK'!GE411-'Database MK'!GF411)</f>
        <v>-58</v>
      </c>
      <c r="AM410" s="279">
        <f>IF('Database MK'!GJ411="","Belum",'Database MK'!GI411-'Database MK'!GJ411)</f>
        <v>-61</v>
      </c>
      <c r="AN410" s="7" t="str">
        <f>IF('Database MK'!HG411="","Belum",'Database MK'!HF411-'Database MK'!HG411)</f>
        <v>Belum</v>
      </c>
      <c r="AO410" s="7" t="str">
        <f>IF('Database MK'!HQ411="","Belum",'Database MK'!HN411-'Database MK'!HQ411)</f>
        <v>Belum</v>
      </c>
      <c r="AP410" s="7" t="str">
        <f>IF('Database MK'!HW411="","Belum",'Database MK'!HU411-'Database MK'!HW411)</f>
        <v>Belum</v>
      </c>
    </row>
    <row r="411" spans="2:42" hidden="1" x14ac:dyDescent="0.25">
      <c r="B411" s="7">
        <f>SUBTOTAL(3,$C$4:C411)</f>
        <v>74</v>
      </c>
      <c r="C411" s="269" t="s">
        <v>673</v>
      </c>
      <c r="D411" s="4" t="s">
        <v>3266</v>
      </c>
      <c r="E411" s="4" t="s">
        <v>3267</v>
      </c>
      <c r="F411" s="270">
        <v>46296</v>
      </c>
      <c r="G411" s="4" t="s">
        <v>681</v>
      </c>
      <c r="H411" s="4" t="str">
        <f ca="1">'Database MK'!Q412</f>
        <v>MC-0</v>
      </c>
      <c r="I411" s="24">
        <f>'Database MK'!S412</f>
        <v>0.99999999999999989</v>
      </c>
      <c r="J411" s="24">
        <f>'Database MK'!T412</f>
        <v>9.7089960496362676E-2</v>
      </c>
      <c r="K411" s="571">
        <f>'Database MK'!U412</f>
        <v>-0.90291003950363724</v>
      </c>
      <c r="L411" s="561">
        <f>'Database MK'!V412</f>
        <v>40</v>
      </c>
      <c r="M411" s="561">
        <f>'Database MK'!W412</f>
        <v>0</v>
      </c>
      <c r="N411" s="561">
        <f>Table3[[#This Row],[Total Panjang Pipa Aktual]]-Table3[[#This Row],[Volume
BA MC-0]]</f>
        <v>-40</v>
      </c>
      <c r="O411" s="7" t="str">
        <f ca="1">'Database MK'!DE412</f>
        <v>Sudah, OnSchedule</v>
      </c>
      <c r="P411" s="7" t="str">
        <f ca="1">'Database MK'!DI412</f>
        <v>Sudah, OnSchedule</v>
      </c>
      <c r="Q411" s="7" t="str">
        <f ca="1">'Database MK'!DN412</f>
        <v>Sudah, OnSchedule</v>
      </c>
      <c r="R411" s="7" t="str">
        <f ca="1">'Database MK'!DR412</f>
        <v>Sudah, Delay</v>
      </c>
      <c r="S411" s="7" t="str">
        <f ca="1">'Database MK'!EA412</f>
        <v>Sudah, OnSchedule</v>
      </c>
      <c r="T411" s="7" t="str">
        <f ca="1">'Database MK'!EI412</f>
        <v>Belum, Delay</v>
      </c>
      <c r="U411" s="7" t="str">
        <f ca="1">'Database MK'!ET412</f>
        <v>Belum, Delay</v>
      </c>
      <c r="V411" s="7" t="str">
        <f ca="1">'Database MK'!GA412</f>
        <v>Sudah, Delay</v>
      </c>
      <c r="W411" s="7" t="str">
        <f ca="1">'Database MK'!GD412</f>
        <v>Sudah, Delay</v>
      </c>
      <c r="X411" s="7" t="str">
        <f ca="1">'Database MK'!GG412</f>
        <v>Sudah, Delay</v>
      </c>
      <c r="Y411" s="7" t="str">
        <f ca="1">'Database MK'!GK412</f>
        <v>Sudah, Delay</v>
      </c>
      <c r="Z411" s="7" t="str">
        <f ca="1">'Database MK'!HH412</f>
        <v>Belum, Delay</v>
      </c>
      <c r="AA411" s="7" t="str">
        <f ca="1">'Database MK'!HR412</f>
        <v>Belum, Delay</v>
      </c>
      <c r="AB411" s="7" t="str">
        <f ca="1">'Database MK'!HX412</f>
        <v>Belum, Delay</v>
      </c>
      <c r="AC411" s="7">
        <f>'Database MK'!DA412-'Database MK'!DB412</f>
        <v>33</v>
      </c>
      <c r="AD411" s="7">
        <f>'Database MK'!DA412-'Database MK'!DF412</f>
        <v>12</v>
      </c>
      <c r="AE411" s="7">
        <f>'Database MK'!DK412-'Database MK'!DL412</f>
        <v>52</v>
      </c>
      <c r="AF411" s="7">
        <f>'Database MK'!DK412-'Database MK'!DO412</f>
        <v>-38</v>
      </c>
      <c r="AG411" s="7">
        <f>'Database MK'!DU412-'Database MK'!DW412</f>
        <v>17</v>
      </c>
      <c r="AH411" s="7" t="str">
        <f>IF('Database MK'!EB412="","Belum",'Database MK'!DU412-'Database MK'!EB412)</f>
        <v>Belum</v>
      </c>
      <c r="AI411" s="7" t="str">
        <f>IF('Database MK'!EN412="","Belum",'Database MK'!EL412-'Database MK'!EN412)</f>
        <v>Belum</v>
      </c>
      <c r="AJ411" s="7">
        <f>'Database MK'!FY412-'Database MK'!FZ412</f>
        <v>-16</v>
      </c>
      <c r="AK411" s="7">
        <f>IF('Database MK'!GC412="","Belum",'Database MK'!GB412-'Database MK'!GC412)</f>
        <v>-65</v>
      </c>
      <c r="AL411" s="7">
        <f>IF('Database MK'!GF412="","Belum",'Database MK'!GE412-'Database MK'!GF412)</f>
        <v>-58</v>
      </c>
      <c r="AM411" s="279">
        <f>IF('Database MK'!GJ412="","Belum",'Database MK'!GI412-'Database MK'!GJ412)</f>
        <v>-61</v>
      </c>
      <c r="AN411" s="7" t="str">
        <f>IF('Database MK'!HG412="","Belum",'Database MK'!HF412-'Database MK'!HG412)</f>
        <v>Belum</v>
      </c>
      <c r="AO411" s="7" t="str">
        <f>IF('Database MK'!HQ412="","Belum",'Database MK'!HN412-'Database MK'!HQ412)</f>
        <v>Belum</v>
      </c>
      <c r="AP411" s="7" t="str">
        <f>IF('Database MK'!HW412="","Belum",'Database MK'!HU412-'Database MK'!HW412)</f>
        <v>Belum</v>
      </c>
    </row>
    <row r="412" spans="2:42" hidden="1" x14ac:dyDescent="0.25">
      <c r="B412" s="7">
        <f>SUBTOTAL(3,$C$4:C412)</f>
        <v>74</v>
      </c>
      <c r="C412" s="269" t="s">
        <v>673</v>
      </c>
      <c r="D412" s="4" t="s">
        <v>3273</v>
      </c>
      <c r="E412" s="4" t="s">
        <v>3274</v>
      </c>
      <c r="F412" s="270">
        <v>46296</v>
      </c>
      <c r="G412" s="4" t="s">
        <v>681</v>
      </c>
      <c r="H412" s="4" t="str">
        <f ca="1">'Database MK'!Q413</f>
        <v>MC-0</v>
      </c>
      <c r="I412" s="24">
        <f>'Database MK'!S413</f>
        <v>1</v>
      </c>
      <c r="J412" s="24">
        <f>'Database MK'!T413</f>
        <v>6.2910292761197945E-2</v>
      </c>
      <c r="K412" s="571">
        <f>'Database MK'!U413</f>
        <v>-0.93708970723880203</v>
      </c>
      <c r="L412" s="561">
        <f>'Database MK'!V413</f>
        <v>125</v>
      </c>
      <c r="M412" s="561">
        <f>'Database MK'!W413</f>
        <v>0</v>
      </c>
      <c r="N412" s="561">
        <f>Table3[[#This Row],[Total Panjang Pipa Aktual]]-Table3[[#This Row],[Volume
BA MC-0]]</f>
        <v>-125</v>
      </c>
      <c r="O412" s="7" t="str">
        <f ca="1">'Database MK'!DE413</f>
        <v>Sudah, OnSchedule</v>
      </c>
      <c r="P412" s="7" t="str">
        <f ca="1">'Database MK'!DI413</f>
        <v>Sudah, OnSchedule</v>
      </c>
      <c r="Q412" s="7" t="str">
        <f ca="1">'Database MK'!DN413</f>
        <v>Sudah, OnSchedule</v>
      </c>
      <c r="R412" s="7" t="str">
        <f ca="1">'Database MK'!DR413</f>
        <v>Sudah, Delay</v>
      </c>
      <c r="S412" s="7" t="str">
        <f ca="1">'Database MK'!EA413</f>
        <v>Sudah, OnSchedule</v>
      </c>
      <c r="T412" s="7" t="str">
        <f ca="1">'Database MK'!EI413</f>
        <v>Belum, Delay</v>
      </c>
      <c r="U412" s="7" t="str">
        <f ca="1">'Database MK'!ET413</f>
        <v>Belum, Delay</v>
      </c>
      <c r="V412" s="7" t="str">
        <f ca="1">'Database MK'!GA413</f>
        <v>Sudah, Delay</v>
      </c>
      <c r="W412" s="7" t="str">
        <f ca="1">'Database MK'!GD413</f>
        <v>Sudah, Delay</v>
      </c>
      <c r="X412" s="7" t="str">
        <f ca="1">'Database MK'!GG413</f>
        <v>Sudah, Delay</v>
      </c>
      <c r="Y412" s="7" t="str">
        <f ca="1">'Database MK'!GK413</f>
        <v>Sudah, Delay</v>
      </c>
      <c r="Z412" s="7" t="str">
        <f ca="1">'Database MK'!HH413</f>
        <v>Belum, Delay</v>
      </c>
      <c r="AA412" s="7" t="str">
        <f ca="1">'Database MK'!HR413</f>
        <v>Belum, Delay</v>
      </c>
      <c r="AB412" s="7" t="str">
        <f ca="1">'Database MK'!HX413</f>
        <v>Belum, Delay</v>
      </c>
      <c r="AC412" s="7">
        <f>'Database MK'!DA413-'Database MK'!DB413</f>
        <v>33</v>
      </c>
      <c r="AD412" s="7">
        <f>'Database MK'!DA413-'Database MK'!DF413</f>
        <v>12</v>
      </c>
      <c r="AE412" s="7">
        <f>'Database MK'!DK413-'Database MK'!DL413</f>
        <v>52</v>
      </c>
      <c r="AF412" s="7">
        <f>'Database MK'!DK413-'Database MK'!DO413</f>
        <v>-36</v>
      </c>
      <c r="AG412" s="7">
        <f>'Database MK'!DU413-'Database MK'!DW413</f>
        <v>31</v>
      </c>
      <c r="AH412" s="7" t="str">
        <f>IF('Database MK'!EB413="","Belum",'Database MK'!DU413-'Database MK'!EB413)</f>
        <v>Belum</v>
      </c>
      <c r="AI412" s="7" t="str">
        <f>IF('Database MK'!EN413="","Belum",'Database MK'!EL413-'Database MK'!EN413)</f>
        <v>Belum</v>
      </c>
      <c r="AJ412" s="7">
        <f>'Database MK'!FY413-'Database MK'!FZ413</f>
        <v>-16</v>
      </c>
      <c r="AK412" s="7">
        <f>IF('Database MK'!GC413="","Belum",'Database MK'!GB413-'Database MK'!GC413)</f>
        <v>-64</v>
      </c>
      <c r="AL412" s="7">
        <f>IF('Database MK'!GF413="","Belum",'Database MK'!GE413-'Database MK'!GF413)</f>
        <v>-57</v>
      </c>
      <c r="AM412" s="279">
        <f>IF('Database MK'!GJ413="","Belum",'Database MK'!GI413-'Database MK'!GJ413)</f>
        <v>-52</v>
      </c>
      <c r="AN412" s="7" t="str">
        <f>IF('Database MK'!HG413="","Belum",'Database MK'!HF413-'Database MK'!HG413)</f>
        <v>Belum</v>
      </c>
      <c r="AO412" s="7" t="str">
        <f>IF('Database MK'!HQ413="","Belum",'Database MK'!HN413-'Database MK'!HQ413)</f>
        <v>Belum</v>
      </c>
      <c r="AP412" s="7" t="str">
        <f>IF('Database MK'!HW413="","Belum",'Database MK'!HU413-'Database MK'!HW413)</f>
        <v>Belum</v>
      </c>
    </row>
    <row r="413" spans="2:42" hidden="1" x14ac:dyDescent="0.25">
      <c r="B413" s="7">
        <f>SUBTOTAL(3,$C$4:C413)</f>
        <v>74</v>
      </c>
      <c r="C413" s="269" t="s">
        <v>673</v>
      </c>
      <c r="D413" s="4" t="s">
        <v>3280</v>
      </c>
      <c r="E413" s="4" t="s">
        <v>3281</v>
      </c>
      <c r="F413" s="270">
        <v>46296</v>
      </c>
      <c r="G413" s="4" t="s">
        <v>681</v>
      </c>
      <c r="H413" s="4" t="str">
        <f ca="1">'Database MK'!Q414</f>
        <v>MC-0</v>
      </c>
      <c r="I413" s="24">
        <f>'Database MK'!S414</f>
        <v>1.0000000000000002</v>
      </c>
      <c r="J413" s="24">
        <f>'Database MK'!T414</f>
        <v>0.11330097020781338</v>
      </c>
      <c r="K413" s="571">
        <f>'Database MK'!U414</f>
        <v>-0.88669902979218684</v>
      </c>
      <c r="L413" s="561">
        <f>'Database MK'!V414</f>
        <v>24</v>
      </c>
      <c r="M413" s="561">
        <f>'Database MK'!W414</f>
        <v>0</v>
      </c>
      <c r="N413" s="561">
        <f>Table3[[#This Row],[Total Panjang Pipa Aktual]]-Table3[[#This Row],[Volume
BA MC-0]]</f>
        <v>-24</v>
      </c>
      <c r="O413" s="7" t="str">
        <f ca="1">'Database MK'!DE414</f>
        <v>Sudah, OnSchedule</v>
      </c>
      <c r="P413" s="7" t="str">
        <f ca="1">'Database MK'!DI414</f>
        <v>Sudah, OnSchedule</v>
      </c>
      <c r="Q413" s="7" t="str">
        <f ca="1">'Database MK'!DN414</f>
        <v>Sudah, OnSchedule</v>
      </c>
      <c r="R413" s="7" t="str">
        <f ca="1">'Database MK'!DR414</f>
        <v>Sudah, Delay</v>
      </c>
      <c r="S413" s="7" t="str">
        <f ca="1">'Database MK'!EA414</f>
        <v>Sudah, OnSchedule</v>
      </c>
      <c r="T413" s="7" t="str">
        <f ca="1">'Database MK'!EI414</f>
        <v>Belum, Delay</v>
      </c>
      <c r="U413" s="7" t="str">
        <f ca="1">'Database MK'!ET414</f>
        <v>Belum, Delay</v>
      </c>
      <c r="V413" s="7" t="str">
        <f ca="1">'Database MK'!GA414</f>
        <v>Sudah, Delay</v>
      </c>
      <c r="W413" s="7" t="str">
        <f ca="1">'Database MK'!GD414</f>
        <v>Sudah, Delay</v>
      </c>
      <c r="X413" s="7" t="str">
        <f ca="1">'Database MK'!GG414</f>
        <v>Sudah, Delay</v>
      </c>
      <c r="Y413" s="7" t="str">
        <f ca="1">'Database MK'!GK414</f>
        <v>Sudah, Delay</v>
      </c>
      <c r="Z413" s="7" t="str">
        <f ca="1">'Database MK'!HH414</f>
        <v>Belum, Delay</v>
      </c>
      <c r="AA413" s="7" t="str">
        <f ca="1">'Database MK'!HR414</f>
        <v>Belum, Delay</v>
      </c>
      <c r="AB413" s="7" t="str">
        <f ca="1">'Database MK'!HX414</f>
        <v>Belum, Delay</v>
      </c>
      <c r="AC413" s="7">
        <f>'Database MK'!DA414-'Database MK'!DB414</f>
        <v>33</v>
      </c>
      <c r="AD413" s="7">
        <f>'Database MK'!DA414-'Database MK'!DF414</f>
        <v>12</v>
      </c>
      <c r="AE413" s="7">
        <f>'Database MK'!DK414-'Database MK'!DL414</f>
        <v>52</v>
      </c>
      <c r="AF413" s="7">
        <f>'Database MK'!DK414-'Database MK'!DO414</f>
        <v>-39</v>
      </c>
      <c r="AG413" s="7">
        <f>'Database MK'!DU414-'Database MK'!DW414</f>
        <v>31</v>
      </c>
      <c r="AH413" s="7" t="str">
        <f>IF('Database MK'!EB414="","Belum",'Database MK'!DU414-'Database MK'!EB414)</f>
        <v>Belum</v>
      </c>
      <c r="AI413" s="7" t="str">
        <f>IF('Database MK'!EN414="","Belum",'Database MK'!EL414-'Database MK'!EN414)</f>
        <v>Belum</v>
      </c>
      <c r="AJ413" s="7">
        <f>'Database MK'!FY414-'Database MK'!FZ414</f>
        <v>-16</v>
      </c>
      <c r="AK413" s="7">
        <f>IF('Database MK'!GC414="","Belum",'Database MK'!GB414-'Database MK'!GC414)</f>
        <v>-64</v>
      </c>
      <c r="AL413" s="7">
        <f>IF('Database MK'!GF414="","Belum",'Database MK'!GE414-'Database MK'!GF414)</f>
        <v>-57</v>
      </c>
      <c r="AM413" s="279">
        <f>IF('Database MK'!GJ414="","Belum",'Database MK'!GI414-'Database MK'!GJ414)</f>
        <v>-58</v>
      </c>
      <c r="AN413" s="7" t="str">
        <f>IF('Database MK'!HG414="","Belum",'Database MK'!HF414-'Database MK'!HG414)</f>
        <v>Belum</v>
      </c>
      <c r="AO413" s="7" t="str">
        <f>IF('Database MK'!HQ414="","Belum",'Database MK'!HN414-'Database MK'!HQ414)</f>
        <v>Belum</v>
      </c>
      <c r="AP413" s="7" t="str">
        <f>IF('Database MK'!HW414="","Belum",'Database MK'!HU414-'Database MK'!HW414)</f>
        <v>Belum</v>
      </c>
    </row>
    <row r="414" spans="2:42" hidden="1" x14ac:dyDescent="0.25">
      <c r="B414" s="7">
        <f>SUBTOTAL(3,$C$4:C414)</f>
        <v>74</v>
      </c>
      <c r="C414" s="269" t="s">
        <v>673</v>
      </c>
      <c r="D414" s="4" t="s">
        <v>3287</v>
      </c>
      <c r="E414" s="4" t="s">
        <v>3288</v>
      </c>
      <c r="F414" s="270">
        <v>46296</v>
      </c>
      <c r="G414" s="4" t="s">
        <v>681</v>
      </c>
      <c r="H414" s="4" t="str">
        <f ca="1">'Database MK'!Q415</f>
        <v>MC-0</v>
      </c>
      <c r="I414" s="24">
        <f>'Database MK'!S415</f>
        <v>1.0000000000000002</v>
      </c>
      <c r="J414" s="24">
        <f>'Database MK'!T415</f>
        <v>0.10824495402694301</v>
      </c>
      <c r="K414" s="571">
        <f>'Database MK'!U415</f>
        <v>-0.89175504597305721</v>
      </c>
      <c r="L414" s="561">
        <f>'Database MK'!V415</f>
        <v>944</v>
      </c>
      <c r="M414" s="561">
        <f>'Database MK'!W415</f>
        <v>0</v>
      </c>
      <c r="N414" s="561">
        <f>Table3[[#This Row],[Total Panjang Pipa Aktual]]-Table3[[#This Row],[Volume
BA MC-0]]</f>
        <v>-944</v>
      </c>
      <c r="O414" s="7" t="str">
        <f ca="1">'Database MK'!DE415</f>
        <v>Sudah, OnSchedule</v>
      </c>
      <c r="P414" s="7" t="str">
        <f ca="1">'Database MK'!DI415</f>
        <v>Sudah, Delay</v>
      </c>
      <c r="Q414" s="7" t="str">
        <f ca="1">'Database MK'!DN415</f>
        <v>Sudah, OnSchedule</v>
      </c>
      <c r="R414" s="7" t="str">
        <f ca="1">'Database MK'!DR415</f>
        <v>Sudah, Delay</v>
      </c>
      <c r="S414" s="7" t="str">
        <f ca="1">'Database MK'!EA415</f>
        <v>Sudah, OnSchedule</v>
      </c>
      <c r="T414" s="7" t="str">
        <f ca="1">'Database MK'!EI415</f>
        <v>Belum, Delay</v>
      </c>
      <c r="U414" s="7" t="str">
        <f ca="1">'Database MK'!ET415</f>
        <v>Belum, Delay</v>
      </c>
      <c r="V414" s="7" t="str">
        <f ca="1">'Database MK'!GA415</f>
        <v>Sudah, OnSchedule</v>
      </c>
      <c r="W414" s="7" t="str">
        <f ca="1">'Database MK'!GD415</f>
        <v>Sudah, Delay</v>
      </c>
      <c r="X414" s="7" t="str">
        <f ca="1">'Database MK'!GG415</f>
        <v>Sudah, Delay</v>
      </c>
      <c r="Y414" s="7" t="str">
        <f ca="1">'Database MK'!GK415</f>
        <v>Sudah, Delay</v>
      </c>
      <c r="Z414" s="7" t="str">
        <f ca="1">'Database MK'!HH415</f>
        <v>Belum, Delay</v>
      </c>
      <c r="AA414" s="7" t="str">
        <f ca="1">'Database MK'!HR415</f>
        <v>Belum, Delay</v>
      </c>
      <c r="AB414" s="7" t="str">
        <f ca="1">'Database MK'!HX415</f>
        <v>Belum, Delay</v>
      </c>
      <c r="AC414" s="7">
        <f>'Database MK'!DA415-'Database MK'!DB415</f>
        <v>45</v>
      </c>
      <c r="AD414" s="7">
        <f>'Database MK'!DA415-'Database MK'!DF415</f>
        <v>-30</v>
      </c>
      <c r="AE414" s="7">
        <f>'Database MK'!DK415-'Database MK'!DL415</f>
        <v>24</v>
      </c>
      <c r="AF414" s="7">
        <f>'Database MK'!DK415-'Database MK'!DO415</f>
        <v>-3</v>
      </c>
      <c r="AG414" s="7">
        <f>'Database MK'!DU415-'Database MK'!DW415</f>
        <v>2</v>
      </c>
      <c r="AH414" s="7" t="str">
        <f>IF('Database MK'!EB415="","Belum",'Database MK'!DU415-'Database MK'!EB415)</f>
        <v>Belum</v>
      </c>
      <c r="AI414" s="7" t="str">
        <f>IF('Database MK'!EN415="","Belum",'Database MK'!EL415-'Database MK'!EN415)</f>
        <v>Belum</v>
      </c>
      <c r="AJ414" s="7">
        <f>'Database MK'!FY415-'Database MK'!FZ415</f>
        <v>19</v>
      </c>
      <c r="AK414" s="7">
        <f>IF('Database MK'!GC415="","Belum",'Database MK'!GB415-'Database MK'!GC415)</f>
        <v>-30</v>
      </c>
      <c r="AL414" s="7">
        <f>IF('Database MK'!GF415="","Belum",'Database MK'!GE415-'Database MK'!GF415)</f>
        <v>-23</v>
      </c>
      <c r="AM414" s="279">
        <f>IF('Database MK'!GJ415="","Belum",'Database MK'!GI415-'Database MK'!GJ415)</f>
        <v>-26</v>
      </c>
      <c r="AN414" s="7" t="str">
        <f>IF('Database MK'!HG415="","Belum",'Database MK'!HF415-'Database MK'!HG415)</f>
        <v>Belum</v>
      </c>
      <c r="AO414" s="7" t="str">
        <f>IF('Database MK'!HQ415="","Belum",'Database MK'!HN415-'Database MK'!HQ415)</f>
        <v>Belum</v>
      </c>
      <c r="AP414" s="7" t="str">
        <f>IF('Database MK'!HW415="","Belum",'Database MK'!HU415-'Database MK'!HW415)</f>
        <v>Belum</v>
      </c>
    </row>
    <row r="415" spans="2:42" hidden="1" x14ac:dyDescent="0.25">
      <c r="B415" s="7">
        <f>SUBTOTAL(3,$C$4:C415)</f>
        <v>74</v>
      </c>
      <c r="C415" s="269" t="s">
        <v>673</v>
      </c>
      <c r="D415" s="4" t="s">
        <v>3294</v>
      </c>
      <c r="E415" s="4" t="s">
        <v>3295</v>
      </c>
      <c r="F415" s="270">
        <v>46296</v>
      </c>
      <c r="G415" s="4" t="s">
        <v>681</v>
      </c>
      <c r="H415" s="4" t="str">
        <f ca="1">'Database MK'!Q416</f>
        <v>MC-0</v>
      </c>
      <c r="I415" s="24">
        <f>'Database MK'!S416</f>
        <v>1</v>
      </c>
      <c r="J415" s="24">
        <f>'Database MK'!T416</f>
        <v>6.8716280050486689E-2</v>
      </c>
      <c r="K415" s="571">
        <f>'Database MK'!U416</f>
        <v>-0.93128371994951331</v>
      </c>
      <c r="L415" s="561">
        <f>'Database MK'!V416</f>
        <v>120</v>
      </c>
      <c r="M415" s="561">
        <f>'Database MK'!W416</f>
        <v>0</v>
      </c>
      <c r="N415" s="561">
        <f>Table3[[#This Row],[Total Panjang Pipa Aktual]]-Table3[[#This Row],[Volume
BA MC-0]]</f>
        <v>-120</v>
      </c>
      <c r="O415" s="7" t="str">
        <f ca="1">'Database MK'!DE416</f>
        <v>Sudah, OnSchedule</v>
      </c>
      <c r="P415" s="7" t="str">
        <f ca="1">'Database MK'!DI416</f>
        <v>Sudah, OnSchedule</v>
      </c>
      <c r="Q415" s="7" t="str">
        <f ca="1">'Database MK'!DN416</f>
        <v>Sudah, OnSchedule</v>
      </c>
      <c r="R415" s="7" t="str">
        <f ca="1">'Database MK'!DR416</f>
        <v>Sudah, Delay</v>
      </c>
      <c r="S415" s="7" t="str">
        <f ca="1">'Database MK'!EA416</f>
        <v>Sudah, OnSchedule</v>
      </c>
      <c r="T415" s="7" t="str">
        <f ca="1">'Database MK'!EI416</f>
        <v>Sudah, Delay</v>
      </c>
      <c r="U415" s="7" t="str">
        <f ca="1">'Database MK'!ET416</f>
        <v>Belum, Delay</v>
      </c>
      <c r="V415" s="7" t="str">
        <f ca="1">'Database MK'!GA416</f>
        <v>Sudah, OnSchedule</v>
      </c>
      <c r="W415" s="7" t="str">
        <f ca="1">'Database MK'!GD416</f>
        <v>Sudah, Delay</v>
      </c>
      <c r="X415" s="7" t="str">
        <f ca="1">'Database MK'!GG416</f>
        <v>Sudah, Delay</v>
      </c>
      <c r="Y415" s="7" t="str">
        <f ca="1">'Database MK'!GK416</f>
        <v>Sudah, Delay</v>
      </c>
      <c r="Z415" s="7" t="str">
        <f ca="1">'Database MK'!HH416</f>
        <v>Belum, Delay</v>
      </c>
      <c r="AA415" s="7" t="str">
        <f ca="1">'Database MK'!HR416</f>
        <v>Belum, Delay</v>
      </c>
      <c r="AB415" s="7" t="str">
        <f ca="1">'Database MK'!HX416</f>
        <v>Belum, Delay</v>
      </c>
      <c r="AC415" s="7">
        <f>'Database MK'!DA416-'Database MK'!DB416</f>
        <v>27</v>
      </c>
      <c r="AD415" s="7">
        <f>'Database MK'!DA416-'Database MK'!DF416</f>
        <v>18</v>
      </c>
      <c r="AE415" s="7">
        <f>'Database MK'!DK416-'Database MK'!DL416</f>
        <v>39</v>
      </c>
      <c r="AF415" s="7">
        <f>'Database MK'!DK416-'Database MK'!DO416</f>
        <v>-5</v>
      </c>
      <c r="AG415" s="7">
        <f>'Database MK'!DU416-'Database MK'!DW416</f>
        <v>18</v>
      </c>
      <c r="AH415" s="7">
        <f>IF('Database MK'!EB416="","Belum",'Database MK'!DU416-'Database MK'!EB416)</f>
        <v>-68</v>
      </c>
      <c r="AI415" s="7" t="str">
        <f>IF('Database MK'!EN416="","Belum",'Database MK'!EL416-'Database MK'!EN416)</f>
        <v>Belum</v>
      </c>
      <c r="AJ415" s="7">
        <f>'Database MK'!FY416-'Database MK'!FZ416</f>
        <v>19</v>
      </c>
      <c r="AK415" s="7">
        <f>IF('Database MK'!GC416="","Belum",'Database MK'!GB416-'Database MK'!GC416)</f>
        <v>-29</v>
      </c>
      <c r="AL415" s="7">
        <f>IF('Database MK'!GF416="","Belum",'Database MK'!GE416-'Database MK'!GF416)</f>
        <v>-22</v>
      </c>
      <c r="AM415" s="279">
        <f>IF('Database MK'!GJ416="","Belum",'Database MK'!GI416-'Database MK'!GJ416)</f>
        <v>-22</v>
      </c>
      <c r="AN415" s="7" t="str">
        <f>IF('Database MK'!HG416="","Belum",'Database MK'!HF416-'Database MK'!HG416)</f>
        <v>Belum</v>
      </c>
      <c r="AO415" s="7" t="str">
        <f>IF('Database MK'!HQ416="","Belum",'Database MK'!HN416-'Database MK'!HQ416)</f>
        <v>Belum</v>
      </c>
      <c r="AP415" s="7" t="str">
        <f>IF('Database MK'!HW416="","Belum",'Database MK'!HU416-'Database MK'!HW416)</f>
        <v>Belum</v>
      </c>
    </row>
    <row r="416" spans="2:42" hidden="1" x14ac:dyDescent="0.25">
      <c r="B416" s="7">
        <f>SUBTOTAL(3,$C$4:C416)</f>
        <v>74</v>
      </c>
      <c r="C416" s="271" t="s">
        <v>673</v>
      </c>
      <c r="D416" s="72" t="s">
        <v>3303</v>
      </c>
      <c r="E416" s="72" t="s">
        <v>3304</v>
      </c>
      <c r="F416" s="272">
        <v>46296</v>
      </c>
      <c r="G416" s="72" t="s">
        <v>681</v>
      </c>
      <c r="H416" s="72" t="str">
        <f>'Database MK'!Q417</f>
        <v>BATAL / CANCEL</v>
      </c>
      <c r="I416" s="572">
        <f>'Database MK'!S417</f>
        <v>1.0000000000000002</v>
      </c>
      <c r="J416" s="572">
        <f>'Database MK'!T417</f>
        <v>6.8084571395590321E-2</v>
      </c>
      <c r="K416" s="573">
        <f>'Database MK'!U417</f>
        <v>-0.9319154286044099</v>
      </c>
      <c r="L416" s="562">
        <f>'Database MK'!V417</f>
        <v>0</v>
      </c>
      <c r="M416" s="562">
        <f>'Database MK'!W417</f>
        <v>0</v>
      </c>
      <c r="N416" s="562">
        <f>Table3[[#This Row],[Total Panjang Pipa Aktual]]-Table3[[#This Row],[Volume
BA MC-0]]</f>
        <v>0</v>
      </c>
      <c r="O416" s="7" t="str">
        <f ca="1">'Database MK'!DE417</f>
        <v>Sudah, OnSchedule</v>
      </c>
      <c r="P416" s="7" t="str">
        <f ca="1">'Database MK'!DI417</f>
        <v>Sudah, OnSchedule</v>
      </c>
      <c r="Q416" s="7" t="str">
        <f ca="1">'Database MK'!DN417</f>
        <v>Sudah, OnSchedule</v>
      </c>
      <c r="R416" s="7" t="str">
        <f ca="1">'Database MK'!DR417</f>
        <v>Sudah, Delay</v>
      </c>
      <c r="S416" s="7" t="str">
        <f ca="1">'Database MK'!EA417</f>
        <v>Sudah, OnSchedule</v>
      </c>
      <c r="T416" s="7" t="str">
        <f ca="1">'Database MK'!EI417</f>
        <v>Belum, Delay</v>
      </c>
      <c r="U416" s="7" t="str">
        <f ca="1">'Database MK'!ET417</f>
        <v>Belum, Delay</v>
      </c>
      <c r="V416" s="7" t="str">
        <f ca="1">'Database MK'!GA417</f>
        <v>Sudah, OnSchedule</v>
      </c>
      <c r="W416" s="7" t="str">
        <f ca="1">'Database MK'!GD417</f>
        <v>Sudah, Delay</v>
      </c>
      <c r="X416" s="7" t="str">
        <f ca="1">'Database MK'!GG417</f>
        <v>Sudah, Delay</v>
      </c>
      <c r="Y416" s="7" t="str">
        <f ca="1">'Database MK'!GK417</f>
        <v>Sudah, Delay</v>
      </c>
      <c r="Z416" s="7" t="str">
        <f ca="1">'Database MK'!HH417</f>
        <v>Belum, Delay</v>
      </c>
      <c r="AA416" s="7" t="str">
        <f ca="1">'Database MK'!HR417</f>
        <v>Belum, Delay</v>
      </c>
      <c r="AB416" s="7" t="str">
        <f ca="1">'Database MK'!HX417</f>
        <v>Belum, Delay</v>
      </c>
      <c r="AJ416" s="7">
        <f>'Database MK'!FY417-'Database MK'!FZ417</f>
        <v>19</v>
      </c>
    </row>
    <row r="417" spans="2:42" hidden="1" x14ac:dyDescent="0.25">
      <c r="B417" s="7">
        <f>SUBTOTAL(3,$C$4:C417)</f>
        <v>74</v>
      </c>
      <c r="C417" s="269" t="s">
        <v>673</v>
      </c>
      <c r="D417" s="4" t="s">
        <v>3309</v>
      </c>
      <c r="E417" s="4" t="s">
        <v>3310</v>
      </c>
      <c r="F417" s="270">
        <v>46296</v>
      </c>
      <c r="G417" s="4" t="s">
        <v>681</v>
      </c>
      <c r="H417" s="4" t="str">
        <f ca="1">'Database MK'!Q418</f>
        <v>Proses Konstruksi</v>
      </c>
      <c r="I417" s="24">
        <f>'Database MK'!S418</f>
        <v>1</v>
      </c>
      <c r="J417" s="24">
        <f>'Database MK'!T418</f>
        <v>0.21436222597373622</v>
      </c>
      <c r="K417" s="571">
        <f>'Database MK'!U418</f>
        <v>-0.78563777402626378</v>
      </c>
      <c r="L417" s="561">
        <f>'Database MK'!V418</f>
        <v>692</v>
      </c>
      <c r="M417" s="561">
        <f>'Database MK'!W418</f>
        <v>682</v>
      </c>
      <c r="N417" s="561">
        <f>Table3[[#This Row],[Total Panjang Pipa Aktual]]-Table3[[#This Row],[Volume
BA MC-0]]</f>
        <v>-10</v>
      </c>
      <c r="O417" s="7" t="str">
        <f ca="1">'Database MK'!DE418</f>
        <v>Sudah, OnSchedule</v>
      </c>
      <c r="P417" s="7" t="str">
        <f ca="1">'Database MK'!DI418</f>
        <v>Sudah, OnSchedule</v>
      </c>
      <c r="Q417" s="7" t="str">
        <f ca="1">'Database MK'!DN418</f>
        <v>Sudah, OnSchedule</v>
      </c>
      <c r="R417" s="7" t="str">
        <f ca="1">'Database MK'!DR418</f>
        <v>Sudah, OnSchedule</v>
      </c>
      <c r="S417" s="7" t="str">
        <f ca="1">'Database MK'!EA418</f>
        <v>Sudah, OnSchedule</v>
      </c>
      <c r="T417" s="7" t="str">
        <f ca="1">'Database MK'!EI418</f>
        <v>Belum, Delay</v>
      </c>
      <c r="U417" s="7" t="str">
        <f ca="1">'Database MK'!ET418</f>
        <v>Belum, Delay</v>
      </c>
      <c r="V417" s="7" t="str">
        <f ca="1">'Database MK'!GA418</f>
        <v>Sudah, OnSchedule</v>
      </c>
      <c r="W417" s="7" t="str">
        <f ca="1">'Database MK'!GD418</f>
        <v>Sudah, OnSchedule</v>
      </c>
      <c r="X417" s="7" t="str">
        <f ca="1">'Database MK'!GG418</f>
        <v>Sudah, OnSchedule</v>
      </c>
      <c r="Y417" s="7" t="str">
        <f ca="1">'Database MK'!GK418</f>
        <v>Sudah, Delay</v>
      </c>
      <c r="Z417" s="7" t="str">
        <f ca="1">'Database MK'!HH418</f>
        <v>Belum, Delay</v>
      </c>
      <c r="AA417" s="7" t="str">
        <f ca="1">'Database MK'!HR418</f>
        <v>Belum, Delay</v>
      </c>
      <c r="AB417" s="7" t="str">
        <f ca="1">'Database MK'!HX418</f>
        <v>Belum, Delay</v>
      </c>
      <c r="AC417" s="7">
        <f>'Database MK'!DA418-'Database MK'!DB418</f>
        <v>40</v>
      </c>
      <c r="AD417" s="7">
        <f>'Database MK'!DA418-'Database MK'!DF418</f>
        <v>23</v>
      </c>
      <c r="AE417" s="7">
        <f>'Database MK'!DK418-'Database MK'!DL418</f>
        <v>82</v>
      </c>
      <c r="AF417" s="7">
        <f>'Database MK'!DK418-'Database MK'!DO418</f>
        <v>80</v>
      </c>
      <c r="AG417" s="7">
        <f>'Database MK'!DU418-'Database MK'!DW418</f>
        <v>61</v>
      </c>
      <c r="AH417" s="7" t="str">
        <f>IF('Database MK'!EB418="","Belum",'Database MK'!DU418-'Database MK'!EB418)</f>
        <v>Belum</v>
      </c>
      <c r="AI417" s="7" t="str">
        <f>IF('Database MK'!EN418="","Belum",'Database MK'!EL418-'Database MK'!EN418)</f>
        <v>Belum</v>
      </c>
      <c r="AJ417" s="7">
        <f>'Database MK'!FY418-'Database MK'!FZ418</f>
        <v>19</v>
      </c>
      <c r="AK417" s="7">
        <f>IF('Database MK'!GC418="","Belum",'Database MK'!GB418-'Database MK'!GC418)</f>
        <v>75</v>
      </c>
      <c r="AL417" s="7">
        <f>IF('Database MK'!GF418="","Belum",'Database MK'!GE418-'Database MK'!GF418)</f>
        <v>82</v>
      </c>
      <c r="AM417" s="279">
        <f>IF('Database MK'!GJ418="","Belum",'Database MK'!GI418-'Database MK'!GJ418)</f>
        <v>-17</v>
      </c>
      <c r="AN417" s="7" t="str">
        <f>IF('Database MK'!HG418="","Belum",'Database MK'!HF418-'Database MK'!HG418)</f>
        <v>Belum</v>
      </c>
      <c r="AO417" s="7" t="str">
        <f>IF('Database MK'!HQ418="","Belum",'Database MK'!HN418-'Database MK'!HQ418)</f>
        <v>Belum</v>
      </c>
      <c r="AP417" s="7" t="str">
        <f>IF('Database MK'!HW418="","Belum",'Database MK'!HU418-'Database MK'!HW418)</f>
        <v>Belum</v>
      </c>
    </row>
    <row r="418" spans="2:42" hidden="1" x14ac:dyDescent="0.25">
      <c r="B418" s="7">
        <f>SUBTOTAL(3,$C$4:C418)</f>
        <v>74</v>
      </c>
      <c r="C418" s="269" t="s">
        <v>673</v>
      </c>
      <c r="D418" s="4" t="s">
        <v>3317</v>
      </c>
      <c r="E418" s="4" t="s">
        <v>3318</v>
      </c>
      <c r="F418" s="270">
        <v>46296</v>
      </c>
      <c r="G418" s="4" t="s">
        <v>681</v>
      </c>
      <c r="H418" s="4" t="str">
        <f ca="1">'Database MK'!Q419</f>
        <v>Proses Konstruksi</v>
      </c>
      <c r="I418" s="24">
        <f>'Database MK'!S419</f>
        <v>1</v>
      </c>
      <c r="J418" s="24">
        <f>'Database MK'!T419</f>
        <v>0.75588844533492761</v>
      </c>
      <c r="K418" s="571">
        <f>'Database MK'!U419</f>
        <v>-0.24411155466507239</v>
      </c>
      <c r="L418" s="561">
        <f>'Database MK'!V419</f>
        <v>1882</v>
      </c>
      <c r="M418" s="561">
        <f>'Database MK'!W419</f>
        <v>1578</v>
      </c>
      <c r="N418" s="561">
        <f>Table3[[#This Row],[Total Panjang Pipa Aktual]]-Table3[[#This Row],[Volume
BA MC-0]]</f>
        <v>-304</v>
      </c>
      <c r="O418" s="7" t="str">
        <f ca="1">'Database MK'!DE419</f>
        <v>Sudah, OnSchedule</v>
      </c>
      <c r="P418" s="7" t="str">
        <f ca="1">'Database MK'!DI419</f>
        <v>Sudah, Delay</v>
      </c>
      <c r="Q418" s="7" t="str">
        <f ca="1">'Database MK'!DN419</f>
        <v>Sudah, OnSchedule</v>
      </c>
      <c r="R418" s="7" t="str">
        <f ca="1">'Database MK'!DR419</f>
        <v>Sudah, OnSchedule</v>
      </c>
      <c r="S418" s="7" t="str">
        <f ca="1">'Database MK'!EA419</f>
        <v>Sudah, OnSchedule</v>
      </c>
      <c r="T418" s="7" t="str">
        <f ca="1">'Database MK'!EI419</f>
        <v>Sudah, Delay</v>
      </c>
      <c r="U418" s="7" t="str">
        <f ca="1">'Database MK'!ET419</f>
        <v>Belum, Delay</v>
      </c>
      <c r="V418" s="7" t="str">
        <f ca="1">'Database MK'!GA419</f>
        <v>Sudah, OnSchedule</v>
      </c>
      <c r="W418" s="7" t="str">
        <f ca="1">'Database MK'!GD419</f>
        <v>Sudah, OnSchedule</v>
      </c>
      <c r="X418" s="7" t="str">
        <f ca="1">'Database MK'!GG419</f>
        <v>Sudah, OnSchedule</v>
      </c>
      <c r="Y418" s="7" t="str">
        <f ca="1">'Database MK'!GK419</f>
        <v>Sudah, OnSchedule</v>
      </c>
      <c r="Z418" s="7" t="str">
        <f ca="1">'Database MK'!HH419</f>
        <v>Belum, OnSchedule</v>
      </c>
      <c r="AA418" s="7" t="str">
        <f ca="1">'Database MK'!HR419</f>
        <v>Belum, OnSchedule</v>
      </c>
      <c r="AB418" s="7" t="str">
        <f ca="1">'Database MK'!HX419</f>
        <v>Belum, OnSchedule</v>
      </c>
      <c r="AC418" s="7">
        <f>'Database MK'!DA419-'Database MK'!DB419</f>
        <v>46</v>
      </c>
      <c r="AD418" s="7">
        <f>'Database MK'!DA419-'Database MK'!DF419</f>
        <v>-2</v>
      </c>
      <c r="AE418" s="7">
        <f>'Database MK'!DK419-'Database MK'!DL419</f>
        <v>52</v>
      </c>
      <c r="AF418" s="7">
        <f>'Database MK'!DK419-'Database MK'!DO419</f>
        <v>24</v>
      </c>
      <c r="AG418" s="7">
        <f>'Database MK'!DU419-'Database MK'!DW419</f>
        <v>32</v>
      </c>
      <c r="AH418" s="7">
        <f>IF('Database MK'!EB419="","Belum",'Database MK'!DU419-'Database MK'!EB419)</f>
        <v>-73</v>
      </c>
      <c r="AI418" s="7" t="str">
        <f>IF('Database MK'!EN419="","Belum",'Database MK'!EL419-'Database MK'!EN419)</f>
        <v>Belum</v>
      </c>
      <c r="AJ418" s="7">
        <f>'Database MK'!FY419-'Database MK'!FZ419</f>
        <v>31</v>
      </c>
      <c r="AK418" s="7">
        <f>IF('Database MK'!GC419="","Belum",'Database MK'!GB419-'Database MK'!GC419)</f>
        <v>24</v>
      </c>
      <c r="AL418" s="7">
        <f>IF('Database MK'!GF419="","Belum",'Database MK'!GE419-'Database MK'!GF419)</f>
        <v>28</v>
      </c>
      <c r="AM418" s="279">
        <f>IF('Database MK'!GJ419="","Belum",'Database MK'!GI419-'Database MK'!GJ419)</f>
        <v>40</v>
      </c>
      <c r="AN418" s="7" t="str">
        <f>IF('Database MK'!HG419="","Belum",'Database MK'!HF419-'Database MK'!HG419)</f>
        <v>Belum</v>
      </c>
      <c r="AO418" s="7" t="str">
        <f>IF('Database MK'!HQ419="","Belum",'Database MK'!HN419-'Database MK'!HQ419)</f>
        <v>Belum</v>
      </c>
      <c r="AP418" s="7" t="str">
        <f>IF('Database MK'!HW419="","Belum",'Database MK'!HU419-'Database MK'!HW419)</f>
        <v>Belum</v>
      </c>
    </row>
    <row r="419" spans="2:42" hidden="1" x14ac:dyDescent="0.25">
      <c r="B419" s="7">
        <f>SUBTOTAL(3,$C$4:C419)</f>
        <v>74</v>
      </c>
      <c r="C419" s="269" t="s">
        <v>673</v>
      </c>
      <c r="D419" s="4" t="s">
        <v>3325</v>
      </c>
      <c r="E419" s="4" t="s">
        <v>3326</v>
      </c>
      <c r="F419" s="270">
        <v>46296</v>
      </c>
      <c r="G419" s="4" t="s">
        <v>681</v>
      </c>
      <c r="H419" s="4" t="str">
        <f ca="1">'Database MK'!Q420</f>
        <v>MC-0</v>
      </c>
      <c r="I419" s="24">
        <f>'Database MK'!S420</f>
        <v>1.0000000000000002</v>
      </c>
      <c r="J419" s="24">
        <f>'Database MK'!T420</f>
        <v>0.15762041852061595</v>
      </c>
      <c r="K419" s="571">
        <f>'Database MK'!U420</f>
        <v>-0.8423795814793843</v>
      </c>
      <c r="L419" s="561">
        <f>'Database MK'!V420</f>
        <v>453</v>
      </c>
      <c r="M419" s="561">
        <f>'Database MK'!W420</f>
        <v>0</v>
      </c>
      <c r="N419" s="561">
        <f>Table3[[#This Row],[Total Panjang Pipa Aktual]]-Table3[[#This Row],[Volume
BA MC-0]]</f>
        <v>-453</v>
      </c>
      <c r="O419" s="7" t="str">
        <f ca="1">'Database MK'!DE420</f>
        <v>Sudah, OnSchedule</v>
      </c>
      <c r="P419" s="7" t="str">
        <f ca="1">'Database MK'!DI420</f>
        <v>Sudah, OnSchedule</v>
      </c>
      <c r="Q419" s="7" t="str">
        <f ca="1">'Database MK'!DN420</f>
        <v>Sudah, OnSchedule</v>
      </c>
      <c r="R419" s="7" t="str">
        <f ca="1">'Database MK'!DR420</f>
        <v>Sudah, OnSchedule</v>
      </c>
      <c r="S419" s="7" t="str">
        <f ca="1">'Database MK'!EA420</f>
        <v>Sudah, OnSchedule</v>
      </c>
      <c r="T419" s="7" t="str">
        <f ca="1">'Database MK'!EI420</f>
        <v>Sudah, Delay</v>
      </c>
      <c r="U419" s="7" t="str">
        <f ca="1">'Database MK'!ET420</f>
        <v>Belum, Delay</v>
      </c>
      <c r="V419" s="7" t="str">
        <f ca="1">'Database MK'!GA420</f>
        <v>Sudah, OnSchedule</v>
      </c>
      <c r="W419" s="7" t="str">
        <f ca="1">'Database MK'!GD420</f>
        <v>Sudah, OnSchedule</v>
      </c>
      <c r="X419" s="7" t="str">
        <f ca="1">'Database MK'!GG420</f>
        <v>Sudah, OnSchedule</v>
      </c>
      <c r="Y419" s="7" t="str">
        <f ca="1">'Database MK'!GK420</f>
        <v>Sudah, OnSchedule</v>
      </c>
      <c r="Z419" s="7" t="str">
        <f ca="1">'Database MK'!HH420</f>
        <v>Belum, Delay</v>
      </c>
      <c r="AA419" s="7" t="str">
        <f ca="1">'Database MK'!HR420</f>
        <v>Belum, Delay</v>
      </c>
      <c r="AB419" s="7" t="str">
        <f ca="1">'Database MK'!HX420</f>
        <v>Belum, Delay</v>
      </c>
      <c r="AC419" s="7">
        <f>'Database MK'!DA420-'Database MK'!DB420</f>
        <v>46</v>
      </c>
      <c r="AD419" s="7">
        <f>'Database MK'!DA420-'Database MK'!DF420</f>
        <v>34</v>
      </c>
      <c r="AE419" s="7">
        <f>'Database MK'!DK420-'Database MK'!DL420</f>
        <v>54</v>
      </c>
      <c r="AF419" s="7">
        <f>'Database MK'!DK420-'Database MK'!DO420</f>
        <v>27</v>
      </c>
      <c r="AG419" s="7">
        <f>'Database MK'!DU420-'Database MK'!DW420</f>
        <v>32</v>
      </c>
      <c r="AH419" s="7">
        <f>IF('Database MK'!EB420="","Belum",'Database MK'!DU420-'Database MK'!EB420)</f>
        <v>-72</v>
      </c>
      <c r="AI419" s="7" t="str">
        <f>IF('Database MK'!EN420="","Belum",'Database MK'!EL420-'Database MK'!EN420)</f>
        <v>Belum</v>
      </c>
      <c r="AJ419" s="7">
        <f>'Database MK'!FY420-'Database MK'!FZ420</f>
        <v>31</v>
      </c>
      <c r="AK419" s="7">
        <f>IF('Database MK'!GC420="","Belum",'Database MK'!GB420-'Database MK'!GC420)</f>
        <v>24</v>
      </c>
      <c r="AL419" s="7">
        <f>IF('Database MK'!GF420="","Belum",'Database MK'!GE420-'Database MK'!GF420)</f>
        <v>28</v>
      </c>
      <c r="AM419" s="279">
        <f>IF('Database MK'!GJ420="","Belum",'Database MK'!GI420-'Database MK'!GJ420)</f>
        <v>41</v>
      </c>
      <c r="AN419" s="7" t="str">
        <f>IF('Database MK'!HG420="","Belum",'Database MK'!HF420-'Database MK'!HG420)</f>
        <v>Belum</v>
      </c>
      <c r="AO419" s="7" t="str">
        <f>IF('Database MK'!HQ420="","Belum",'Database MK'!HN420-'Database MK'!HQ420)</f>
        <v>Belum</v>
      </c>
      <c r="AP419" s="7" t="str">
        <f>IF('Database MK'!HW420="","Belum",'Database MK'!HU420-'Database MK'!HW420)</f>
        <v>Belum</v>
      </c>
    </row>
    <row r="420" spans="2:42" hidden="1" x14ac:dyDescent="0.25">
      <c r="B420" s="7">
        <f>SUBTOTAL(3,$C$4:C420)</f>
        <v>74</v>
      </c>
      <c r="C420" s="269" t="s">
        <v>673</v>
      </c>
      <c r="D420" s="4" t="s">
        <v>3333</v>
      </c>
      <c r="E420" s="4" t="s">
        <v>3334</v>
      </c>
      <c r="F420" s="270">
        <v>46296</v>
      </c>
      <c r="G420" s="4" t="s">
        <v>681</v>
      </c>
      <c r="H420" s="4" t="str">
        <f ca="1">'Database MK'!Q421</f>
        <v>MC-0</v>
      </c>
      <c r="I420" s="24">
        <f>'Database MK'!S421</f>
        <v>1.0000000000000002</v>
      </c>
      <c r="J420" s="24">
        <f>'Database MK'!T421</f>
        <v>0.14912255170669966</v>
      </c>
      <c r="K420" s="571">
        <f>'Database MK'!U421</f>
        <v>-0.85087744829330059</v>
      </c>
      <c r="L420" s="561">
        <f>'Database MK'!V421</f>
        <v>373</v>
      </c>
      <c r="M420" s="561">
        <f>'Database MK'!W421</f>
        <v>0</v>
      </c>
      <c r="N420" s="561">
        <f>Table3[[#This Row],[Total Panjang Pipa Aktual]]-Table3[[#This Row],[Volume
BA MC-0]]</f>
        <v>-373</v>
      </c>
      <c r="O420" s="7" t="str">
        <f ca="1">'Database MK'!DE421</f>
        <v>Sudah, OnSchedule</v>
      </c>
      <c r="P420" s="7" t="str">
        <f ca="1">'Database MK'!DI421</f>
        <v>Sudah, Delay</v>
      </c>
      <c r="Q420" s="7" t="str">
        <f ca="1">'Database MK'!DN421</f>
        <v>Sudah, OnSchedule</v>
      </c>
      <c r="R420" s="7" t="str">
        <f ca="1">'Database MK'!DR421</f>
        <v>Sudah, OnSchedule</v>
      </c>
      <c r="S420" s="7" t="str">
        <f ca="1">'Database MK'!EA421</f>
        <v>Sudah, OnSchedule</v>
      </c>
      <c r="T420" s="7" t="str">
        <f ca="1">'Database MK'!EI421</f>
        <v>Sudah, Delay</v>
      </c>
      <c r="U420" s="7" t="str">
        <f ca="1">'Database MK'!ET421</f>
        <v>Belum, Delay</v>
      </c>
      <c r="V420" s="7" t="str">
        <f ca="1">'Database MK'!GA421</f>
        <v>Sudah, OnSchedule</v>
      </c>
      <c r="W420" s="7" t="str">
        <f ca="1">'Database MK'!GD421</f>
        <v>Sudah, OnSchedule</v>
      </c>
      <c r="X420" s="7" t="str">
        <f ca="1">'Database MK'!GG421</f>
        <v>Sudah, OnSchedule</v>
      </c>
      <c r="Y420" s="7" t="str">
        <f ca="1">'Database MK'!GK421</f>
        <v>Sudah, OnSchedule</v>
      </c>
      <c r="Z420" s="7" t="str">
        <f ca="1">'Database MK'!HH421</f>
        <v>Belum, Delay</v>
      </c>
      <c r="AA420" s="7" t="str">
        <f ca="1">'Database MK'!HR421</f>
        <v>Belum, Delay</v>
      </c>
      <c r="AB420" s="7" t="str">
        <f ca="1">'Database MK'!HX421</f>
        <v>Belum, Delay</v>
      </c>
      <c r="AC420" s="7">
        <f>'Database MK'!DA421-'Database MK'!DB421</f>
        <v>16</v>
      </c>
      <c r="AD420" s="7">
        <f>'Database MK'!DA421-'Database MK'!DF421</f>
        <v>-16</v>
      </c>
      <c r="AE420" s="7">
        <f>'Database MK'!DK421-'Database MK'!DL421</f>
        <v>37</v>
      </c>
      <c r="AF420" s="7">
        <f>'Database MK'!DK421-'Database MK'!DO421</f>
        <v>27</v>
      </c>
      <c r="AG420" s="7">
        <f>'Database MK'!DU421-'Database MK'!DW421</f>
        <v>16</v>
      </c>
      <c r="AH420" s="7">
        <f>IF('Database MK'!EB421="","Belum",'Database MK'!DU421-'Database MK'!EB421)</f>
        <v>-73</v>
      </c>
      <c r="AI420" s="7" t="str">
        <f>IF('Database MK'!EN421="","Belum",'Database MK'!EL421-'Database MK'!EN421)</f>
        <v>Belum</v>
      </c>
      <c r="AJ420" s="7">
        <f>'Database MK'!FY421-'Database MK'!FZ421</f>
        <v>31</v>
      </c>
      <c r="AK420" s="7">
        <f>IF('Database MK'!GC421="","Belum",'Database MK'!GB421-'Database MK'!GC421)</f>
        <v>21</v>
      </c>
      <c r="AL420" s="7">
        <f>IF('Database MK'!GF421="","Belum",'Database MK'!GE421-'Database MK'!GF421)</f>
        <v>28</v>
      </c>
      <c r="AM420" s="279">
        <f>IF('Database MK'!GJ421="","Belum",'Database MK'!GI421-'Database MK'!GJ421)</f>
        <v>41</v>
      </c>
      <c r="AN420" s="7" t="str">
        <f>IF('Database MK'!HG421="","Belum",'Database MK'!HF421-'Database MK'!HG421)</f>
        <v>Belum</v>
      </c>
      <c r="AO420" s="7" t="str">
        <f>IF('Database MK'!HQ421="","Belum",'Database MK'!HN421-'Database MK'!HQ421)</f>
        <v>Belum</v>
      </c>
      <c r="AP420" s="7" t="str">
        <f>IF('Database MK'!HW421="","Belum",'Database MK'!HU421-'Database MK'!HW421)</f>
        <v>Belum</v>
      </c>
    </row>
    <row r="421" spans="2:42" hidden="1" x14ac:dyDescent="0.25">
      <c r="B421" s="7">
        <f>SUBTOTAL(3,$C$4:C421)</f>
        <v>74</v>
      </c>
      <c r="C421" s="269" t="s">
        <v>673</v>
      </c>
      <c r="D421" s="4" t="s">
        <v>3341</v>
      </c>
      <c r="E421" s="4" t="s">
        <v>3342</v>
      </c>
      <c r="F421" s="270">
        <v>46296</v>
      </c>
      <c r="G421" s="4" t="s">
        <v>681</v>
      </c>
      <c r="H421" s="4" t="str">
        <f ca="1">'Database MK'!Q422</f>
        <v>MC-0</v>
      </c>
      <c r="I421" s="24">
        <f>'Database MK'!S422</f>
        <v>1</v>
      </c>
      <c r="J421" s="24">
        <f>'Database MK'!T422</f>
        <v>0.21862473107794705</v>
      </c>
      <c r="K421" s="571">
        <f>'Database MK'!U422</f>
        <v>-0.781375268922053</v>
      </c>
      <c r="L421" s="561">
        <f>'Database MK'!V422</f>
        <v>156</v>
      </c>
      <c r="M421" s="561">
        <f>'Database MK'!W422</f>
        <v>0</v>
      </c>
      <c r="N421" s="561">
        <f>Table3[[#This Row],[Total Panjang Pipa Aktual]]-Table3[[#This Row],[Volume
BA MC-0]]</f>
        <v>-156</v>
      </c>
      <c r="O421" s="7" t="str">
        <f ca="1">'Database MK'!DE422</f>
        <v>Sudah, OnSchedule</v>
      </c>
      <c r="P421" s="7" t="str">
        <f ca="1">'Database MK'!DI422</f>
        <v>Sudah, Delay</v>
      </c>
      <c r="Q421" s="7" t="str">
        <f ca="1">'Database MK'!DN422</f>
        <v>Sudah, OnSchedule</v>
      </c>
      <c r="R421" s="7" t="str">
        <f ca="1">'Database MK'!DR422</f>
        <v>Sudah, OnSchedule</v>
      </c>
      <c r="S421" s="7" t="str">
        <f ca="1">'Database MK'!EA422</f>
        <v>Sudah, OnSchedule</v>
      </c>
      <c r="T421" s="7" t="str">
        <f ca="1">'Database MK'!EI422</f>
        <v>Sudah, Delay</v>
      </c>
      <c r="U421" s="7" t="str">
        <f ca="1">'Database MK'!ET422</f>
        <v>Belum, Delay</v>
      </c>
      <c r="V421" s="7" t="str">
        <f ca="1">'Database MK'!GA422</f>
        <v>Sudah, OnSchedule</v>
      </c>
      <c r="W421" s="7" t="str">
        <f ca="1">'Database MK'!GD422</f>
        <v>Sudah, OnSchedule</v>
      </c>
      <c r="X421" s="7" t="str">
        <f ca="1">'Database MK'!GG422</f>
        <v>Sudah, OnSchedule</v>
      </c>
      <c r="Y421" s="7" t="str">
        <f ca="1">'Database MK'!GK422</f>
        <v>Sudah, OnSchedule</v>
      </c>
      <c r="Z421" s="7" t="str">
        <f ca="1">'Database MK'!HH422</f>
        <v>Belum, Delay</v>
      </c>
      <c r="AA421" s="7" t="str">
        <f ca="1">'Database MK'!HR422</f>
        <v>Belum, Delay</v>
      </c>
      <c r="AB421" s="7" t="str">
        <f ca="1">'Database MK'!HX422</f>
        <v>Belum, Delay</v>
      </c>
      <c r="AC421" s="7">
        <f>'Database MK'!DA422-'Database MK'!DB422</f>
        <v>46</v>
      </c>
      <c r="AD421" s="7">
        <f>'Database MK'!DA422-'Database MK'!DF422</f>
        <v>-16</v>
      </c>
      <c r="AE421" s="7">
        <f>'Database MK'!DK422-'Database MK'!DL422</f>
        <v>37</v>
      </c>
      <c r="AF421" s="7">
        <f>'Database MK'!DK422-'Database MK'!DO422</f>
        <v>23</v>
      </c>
      <c r="AG421" s="7">
        <f>'Database MK'!DU422-'Database MK'!DW422</f>
        <v>17</v>
      </c>
      <c r="AH421" s="7">
        <f>IF('Database MK'!EB422="","Belum",'Database MK'!DU422-'Database MK'!EB422)</f>
        <v>-73</v>
      </c>
      <c r="AI421" s="7" t="str">
        <f>IF('Database MK'!EN422="","Belum",'Database MK'!EL422-'Database MK'!EN422)</f>
        <v>Belum</v>
      </c>
      <c r="AJ421" s="7">
        <f>'Database MK'!FY422-'Database MK'!FZ422</f>
        <v>31</v>
      </c>
      <c r="AK421" s="7">
        <f>IF('Database MK'!GC422="","Belum",'Database MK'!GB422-'Database MK'!GC422)</f>
        <v>24</v>
      </c>
      <c r="AL421" s="7">
        <f>IF('Database MK'!GF422="","Belum",'Database MK'!GE422-'Database MK'!GF422)</f>
        <v>31</v>
      </c>
      <c r="AM421" s="279">
        <f>IF('Database MK'!GJ422="","Belum",'Database MK'!GI422-'Database MK'!GJ422)</f>
        <v>40</v>
      </c>
      <c r="AN421" s="7" t="str">
        <f>IF('Database MK'!HG422="","Belum",'Database MK'!HF422-'Database MK'!HG422)</f>
        <v>Belum</v>
      </c>
      <c r="AO421" s="7" t="str">
        <f>IF('Database MK'!HQ422="","Belum",'Database MK'!HN422-'Database MK'!HQ422)</f>
        <v>Belum</v>
      </c>
      <c r="AP421" s="7" t="str">
        <f>IF('Database MK'!HW422="","Belum",'Database MK'!HU422-'Database MK'!HW422)</f>
        <v>Belum</v>
      </c>
    </row>
    <row r="422" spans="2:42" hidden="1" x14ac:dyDescent="0.25">
      <c r="B422" s="7">
        <f>SUBTOTAL(3,$C$4:C422)</f>
        <v>74</v>
      </c>
      <c r="C422" s="269" t="s">
        <v>673</v>
      </c>
      <c r="D422" s="4" t="s">
        <v>3349</v>
      </c>
      <c r="E422" s="4" t="s">
        <v>3350</v>
      </c>
      <c r="F422" s="270">
        <v>46296</v>
      </c>
      <c r="G422" s="4" t="s">
        <v>681</v>
      </c>
      <c r="H422" s="4" t="str">
        <f ca="1">'Database MK'!Q423</f>
        <v>MC-0</v>
      </c>
      <c r="I422" s="24">
        <f>'Database MK'!S423</f>
        <v>0.87572099063164965</v>
      </c>
      <c r="J422" s="24">
        <f>'Database MK'!T423</f>
        <v>0.12326338449413601</v>
      </c>
      <c r="K422" s="571">
        <f>'Database MK'!U423</f>
        <v>-0.75245760613751367</v>
      </c>
      <c r="L422" s="561">
        <f>'Database MK'!V423</f>
        <v>1046</v>
      </c>
      <c r="M422" s="561">
        <f>'Database MK'!W423</f>
        <v>0</v>
      </c>
      <c r="N422" s="561">
        <f>Table3[[#This Row],[Total Panjang Pipa Aktual]]-Table3[[#This Row],[Volume
BA MC-0]]</f>
        <v>-1046</v>
      </c>
      <c r="O422" s="7" t="str">
        <f ca="1">'Database MK'!DE423</f>
        <v>Sudah, OnSchedule</v>
      </c>
      <c r="P422" s="7" t="str">
        <f ca="1">'Database MK'!DI423</f>
        <v>Sudah, Delay</v>
      </c>
      <c r="Q422" s="7" t="str">
        <f ca="1">'Database MK'!DN423</f>
        <v>Sudah, OnSchedule</v>
      </c>
      <c r="R422" s="7" t="str">
        <f ca="1">'Database MK'!DR423</f>
        <v>Sudah, OnSchedule</v>
      </c>
      <c r="S422" s="7" t="str">
        <f ca="1">'Database MK'!EA423</f>
        <v>Sudah, OnSchedule</v>
      </c>
      <c r="T422" s="7" t="str">
        <f ca="1">'Database MK'!EI423</f>
        <v>Sudah, Delay</v>
      </c>
      <c r="U422" s="7" t="str">
        <f ca="1">'Database MK'!ET423</f>
        <v>Belum, Delay</v>
      </c>
      <c r="V422" s="7" t="str">
        <f ca="1">'Database MK'!GA423</f>
        <v>Sudah, OnSchedule</v>
      </c>
      <c r="W422" s="7" t="str">
        <f ca="1">'Database MK'!GD423</f>
        <v>Sudah, OnSchedule</v>
      </c>
      <c r="X422" s="7" t="str">
        <f ca="1">'Database MK'!GG423</f>
        <v>Sudah, OnSchedule</v>
      </c>
      <c r="Y422" s="7" t="str">
        <f ca="1">'Database MK'!GK423</f>
        <v>Sudah, OnSchedule</v>
      </c>
      <c r="Z422" s="7" t="str">
        <f ca="1">'Database MK'!HH423</f>
        <v>Belum, OnSchedule</v>
      </c>
      <c r="AA422" s="7" t="str">
        <f ca="1">'Database MK'!HR423</f>
        <v>Belum, OnSchedule</v>
      </c>
      <c r="AB422" s="7" t="str">
        <f ca="1">'Database MK'!HX423</f>
        <v>Belum, OnSchedule</v>
      </c>
      <c r="AC422" s="7">
        <f>'Database MK'!DA423-'Database MK'!DB423</f>
        <v>16</v>
      </c>
      <c r="AD422" s="7">
        <f>'Database MK'!DA423-'Database MK'!DF423</f>
        <v>-3</v>
      </c>
      <c r="AE422" s="7">
        <f>'Database MK'!DK423-'Database MK'!DL423</f>
        <v>53</v>
      </c>
      <c r="AF422" s="7">
        <f>'Database MK'!DK423-'Database MK'!DO423</f>
        <v>24</v>
      </c>
      <c r="AG422" s="7">
        <f>'Database MK'!DU423-'Database MK'!DW423</f>
        <v>30</v>
      </c>
      <c r="AH422" s="7">
        <f>IF('Database MK'!EB423="","Belum",'Database MK'!DU423-'Database MK'!EB423)</f>
        <v>-73</v>
      </c>
      <c r="AI422" s="7" t="str">
        <f>IF('Database MK'!EN423="","Belum",'Database MK'!EL423-'Database MK'!EN423)</f>
        <v>Belum</v>
      </c>
      <c r="AJ422" s="7">
        <f>'Database MK'!FY423-'Database MK'!FZ423</f>
        <v>31</v>
      </c>
      <c r="AK422" s="7">
        <f>IF('Database MK'!GC423="","Belum",'Database MK'!GB423-'Database MK'!GC423)</f>
        <v>24</v>
      </c>
      <c r="AL422" s="7">
        <f>IF('Database MK'!GF423="","Belum",'Database MK'!GE423-'Database MK'!GF423)</f>
        <v>31</v>
      </c>
      <c r="AM422" s="279">
        <f>IF('Database MK'!GJ423="","Belum",'Database MK'!GI423-'Database MK'!GJ423)</f>
        <v>40</v>
      </c>
      <c r="AN422" s="7" t="str">
        <f>IF('Database MK'!HG423="","Belum",'Database MK'!HF423-'Database MK'!HG423)</f>
        <v>Belum</v>
      </c>
      <c r="AO422" s="7" t="str">
        <f>IF('Database MK'!HQ423="","Belum",'Database MK'!HN423-'Database MK'!HQ423)</f>
        <v>Belum</v>
      </c>
      <c r="AP422" s="7" t="str">
        <f>IF('Database MK'!HW423="","Belum",'Database MK'!HU423-'Database MK'!HW423)</f>
        <v>Belum</v>
      </c>
    </row>
    <row r="423" spans="2:42" hidden="1" x14ac:dyDescent="0.25">
      <c r="B423" s="7">
        <f>SUBTOTAL(3,$C$4:C423)</f>
        <v>74</v>
      </c>
      <c r="C423" s="269" t="s">
        <v>673</v>
      </c>
      <c r="D423" s="4" t="s">
        <v>3357</v>
      </c>
      <c r="E423" s="4" t="s">
        <v>3358</v>
      </c>
      <c r="F423" s="270">
        <v>46296</v>
      </c>
      <c r="G423" s="4" t="s">
        <v>681</v>
      </c>
      <c r="H423" s="4" t="str">
        <f ca="1">'Database MK'!Q424</f>
        <v>Proses Konstruksi</v>
      </c>
      <c r="I423" s="24">
        <f>'Database MK'!S424</f>
        <v>0.22626816781162712</v>
      </c>
      <c r="J423" s="24">
        <f>'Database MK'!T424</f>
        <v>0.18788796516475681</v>
      </c>
      <c r="K423" s="571">
        <f>'Database MK'!U424</f>
        <v>-3.8380202646870309E-2</v>
      </c>
      <c r="L423" s="561">
        <f>'Database MK'!V424</f>
        <v>705</v>
      </c>
      <c r="M423" s="561">
        <f>'Database MK'!W424</f>
        <v>48</v>
      </c>
      <c r="N423" s="561">
        <f>Table3[[#This Row],[Total Panjang Pipa Aktual]]-Table3[[#This Row],[Volume
BA MC-0]]</f>
        <v>-657</v>
      </c>
      <c r="O423" s="7" t="str">
        <f ca="1">'Database MK'!DE424</f>
        <v>Sudah, OnSchedule</v>
      </c>
      <c r="P423" s="7" t="str">
        <f ca="1">'Database MK'!DI424</f>
        <v>Sudah, OnSchedule</v>
      </c>
      <c r="Q423" s="7" t="str">
        <f ca="1">'Database MK'!DN424</f>
        <v>Sudah, OnSchedule</v>
      </c>
      <c r="R423" s="7" t="str">
        <f ca="1">'Database MK'!DR424</f>
        <v>Sudah, OnSchedule</v>
      </c>
      <c r="S423" s="7" t="str">
        <f ca="1">'Database MK'!EA424</f>
        <v>Sudah, OnSchedule</v>
      </c>
      <c r="T423" s="7" t="str">
        <f ca="1">'Database MK'!EI424</f>
        <v>Belum, Delay</v>
      </c>
      <c r="U423" s="7" t="str">
        <f ca="1">'Database MK'!ET424</f>
        <v>Belum, Delay</v>
      </c>
      <c r="V423" s="7" t="str">
        <f ca="1">'Database MK'!GA424</f>
        <v>Sudah, OnSchedule</v>
      </c>
      <c r="W423" s="7" t="str">
        <f ca="1">'Database MK'!GD424</f>
        <v>Sudah, OnSchedule</v>
      </c>
      <c r="X423" s="7" t="str">
        <f ca="1">'Database MK'!GG424</f>
        <v>Sudah, OnSchedule</v>
      </c>
      <c r="Y423" s="7" t="str">
        <f ca="1">'Database MK'!GK424</f>
        <v>Sudah, OnSchedule</v>
      </c>
      <c r="Z423" s="7" t="str">
        <f ca="1">'Database MK'!HH424</f>
        <v>Belum, OnSchedule</v>
      </c>
      <c r="AA423" s="7" t="str">
        <f ca="1">'Database MK'!HR424</f>
        <v>Belum, OnSchedule</v>
      </c>
      <c r="AB423" s="7" t="str">
        <f ca="1">'Database MK'!HX424</f>
        <v>Belum, OnSchedule</v>
      </c>
      <c r="AC423" s="7">
        <f>'Database MK'!DA424-'Database MK'!DB424</f>
        <v>54</v>
      </c>
      <c r="AD423" s="7">
        <f>'Database MK'!DA424-'Database MK'!DF424</f>
        <v>33</v>
      </c>
      <c r="AE423" s="7">
        <f>'Database MK'!DK424-'Database MK'!DL424</f>
        <v>111</v>
      </c>
      <c r="AF423" s="7">
        <f>'Database MK'!DK424-'Database MK'!DO424</f>
        <v>87</v>
      </c>
      <c r="AG423" s="7">
        <f>'Database MK'!DU424-'Database MK'!DW424</f>
        <v>55</v>
      </c>
      <c r="AH423" s="7" t="str">
        <f>IF('Database MK'!EB424="","Belum",'Database MK'!DU424-'Database MK'!EB424)</f>
        <v>Belum</v>
      </c>
      <c r="AI423" s="7" t="str">
        <f>IF('Database MK'!EN424="","Belum",'Database MK'!EL424-'Database MK'!EN424)</f>
        <v>Belum</v>
      </c>
      <c r="AJ423" s="7">
        <f>'Database MK'!FY424-'Database MK'!FZ424</f>
        <v>94</v>
      </c>
      <c r="AK423" s="7">
        <f>IF('Database MK'!GC424="","Belum",'Database MK'!GB424-'Database MK'!GC424)</f>
        <v>84</v>
      </c>
      <c r="AL423" s="7">
        <f>IF('Database MK'!GF424="","Belum",'Database MK'!GE424-'Database MK'!GF424)</f>
        <v>91</v>
      </c>
      <c r="AM423" s="279">
        <f>IF('Database MK'!GJ424="","Belum",'Database MK'!GI424-'Database MK'!GJ424)</f>
        <v>102</v>
      </c>
      <c r="AN423" s="7" t="str">
        <f>IF('Database MK'!HG424="","Belum",'Database MK'!HF424-'Database MK'!HG424)</f>
        <v>Belum</v>
      </c>
      <c r="AO423" s="7" t="str">
        <f>IF('Database MK'!HQ424="","Belum",'Database MK'!HN424-'Database MK'!HQ424)</f>
        <v>Belum</v>
      </c>
      <c r="AP423" s="7" t="str">
        <f>IF('Database MK'!HW424="","Belum",'Database MK'!HU424-'Database MK'!HW424)</f>
        <v>Belum</v>
      </c>
    </row>
    <row r="424" spans="2:42" hidden="1" x14ac:dyDescent="0.25">
      <c r="B424" s="7">
        <f>SUBTOTAL(3,$C$4:C424)</f>
        <v>74</v>
      </c>
      <c r="C424" s="269" t="s">
        <v>673</v>
      </c>
      <c r="D424" s="4" t="s">
        <v>3364</v>
      </c>
      <c r="E424" s="4" t="s">
        <v>3365</v>
      </c>
      <c r="F424" s="270">
        <v>46296</v>
      </c>
      <c r="G424" s="4" t="s">
        <v>681</v>
      </c>
      <c r="H424" s="4" t="str">
        <f ca="1">'Database MK'!Q425</f>
        <v>MC-0</v>
      </c>
      <c r="I424" s="24">
        <f>'Database MK'!S425</f>
        <v>0.14323366684343036</v>
      </c>
      <c r="J424" s="24">
        <f>'Database MK'!T425</f>
        <v>0.10722386820515817</v>
      </c>
      <c r="K424" s="571">
        <f>'Database MK'!U425</f>
        <v>-3.6009798638272195E-2</v>
      </c>
      <c r="L424" s="561">
        <f>'Database MK'!V425</f>
        <v>821</v>
      </c>
      <c r="M424" s="561">
        <f>'Database MK'!W425</f>
        <v>0</v>
      </c>
      <c r="N424" s="561">
        <f>Table3[[#This Row],[Total Panjang Pipa Aktual]]-Table3[[#This Row],[Volume
BA MC-0]]</f>
        <v>-821</v>
      </c>
      <c r="O424" s="7" t="str">
        <f ca="1">'Database MK'!DE425</f>
        <v>Sudah, OnSchedule</v>
      </c>
      <c r="P424" s="7" t="str">
        <f ca="1">'Database MK'!DI425</f>
        <v>Sudah, OnSchedule</v>
      </c>
      <c r="Q424" s="7" t="str">
        <f ca="1">'Database MK'!DN425</f>
        <v>Sudah, OnSchedule</v>
      </c>
      <c r="R424" s="7" t="str">
        <f ca="1">'Database MK'!DR425</f>
        <v>Sudah, OnSchedule</v>
      </c>
      <c r="S424" s="7" t="str">
        <f ca="1">'Database MK'!EA425</f>
        <v>Sudah, OnSchedule</v>
      </c>
      <c r="T424" s="7" t="str">
        <f ca="1">'Database MK'!EI425</f>
        <v>Sudah, Delay</v>
      </c>
      <c r="U424" s="7" t="str">
        <f ca="1">'Database MK'!ET425</f>
        <v>Belum, Delay</v>
      </c>
      <c r="V424" s="7" t="str">
        <f ca="1">'Database MK'!GA425</f>
        <v>Sudah, OnSchedule</v>
      </c>
      <c r="W424" s="7" t="str">
        <f ca="1">'Database MK'!GD425</f>
        <v>Sudah, OnSchedule</v>
      </c>
      <c r="X424" s="7" t="str">
        <f ca="1">'Database MK'!GG425</f>
        <v>Sudah, OnSchedule</v>
      </c>
      <c r="Y424" s="7" t="str">
        <f ca="1">'Database MK'!GK425</f>
        <v>Sudah, OnSchedule</v>
      </c>
      <c r="Z424" s="7" t="str">
        <f ca="1">'Database MK'!HH425</f>
        <v>Belum, OnSchedule</v>
      </c>
      <c r="AA424" s="7" t="str">
        <f ca="1">'Database MK'!HR425</f>
        <v>Belum, OnSchedule</v>
      </c>
      <c r="AB424" s="7" t="str">
        <f ca="1">'Database MK'!HX425</f>
        <v>Belum, OnSchedule</v>
      </c>
      <c r="AC424" s="7">
        <f>'Database MK'!DA425-'Database MK'!DB425</f>
        <v>44</v>
      </c>
      <c r="AD424" s="7">
        <f>'Database MK'!DA425-'Database MK'!DF425</f>
        <v>26</v>
      </c>
      <c r="AE424" s="7">
        <f>'Database MK'!DK425-'Database MK'!DL425</f>
        <v>115</v>
      </c>
      <c r="AF424" s="7">
        <f>'Database MK'!DK425-'Database MK'!DO425</f>
        <v>87</v>
      </c>
      <c r="AG424" s="7">
        <f>'Database MK'!DU425-'Database MK'!DW425</f>
        <v>346</v>
      </c>
      <c r="AH424" s="7">
        <f>IF('Database MK'!EB425="","Belum",'Database MK'!DU425-'Database MK'!EB425)</f>
        <v>-45</v>
      </c>
      <c r="AI424" s="7" t="str">
        <f>IF('Database MK'!EN425="","Belum",'Database MK'!EL425-'Database MK'!EN425)</f>
        <v>Belum</v>
      </c>
      <c r="AJ424" s="7">
        <f>'Database MK'!FY425-'Database MK'!FZ425</f>
        <v>94</v>
      </c>
      <c r="AK424" s="7">
        <f>IF('Database MK'!GC425="","Belum",'Database MK'!GB425-'Database MK'!GC425)</f>
        <v>84</v>
      </c>
      <c r="AL424" s="7">
        <f>IF('Database MK'!GF425="","Belum",'Database MK'!GE425-'Database MK'!GF425)</f>
        <v>91</v>
      </c>
      <c r="AM424" s="279">
        <f>IF('Database MK'!GJ425="","Belum",'Database MK'!GI425-'Database MK'!GJ425)</f>
        <v>102</v>
      </c>
      <c r="AN424" s="7" t="str">
        <f>IF('Database MK'!HG425="","Belum",'Database MK'!HF425-'Database MK'!HG425)</f>
        <v>Belum</v>
      </c>
      <c r="AO424" s="7" t="str">
        <f>IF('Database MK'!HQ425="","Belum",'Database MK'!HN425-'Database MK'!HQ425)</f>
        <v>Belum</v>
      </c>
      <c r="AP424" s="7" t="str">
        <f>IF('Database MK'!HW425="","Belum",'Database MK'!HU425-'Database MK'!HW425)</f>
        <v>Belum</v>
      </c>
    </row>
    <row r="425" spans="2:42" hidden="1" x14ac:dyDescent="0.25">
      <c r="B425" s="7">
        <f>SUBTOTAL(3,$C$4:C425)</f>
        <v>74</v>
      </c>
      <c r="C425" s="269" t="s">
        <v>673</v>
      </c>
      <c r="D425" s="4" t="s">
        <v>3371</v>
      </c>
      <c r="E425" s="4" t="s">
        <v>3372</v>
      </c>
      <c r="F425" s="270">
        <v>46296</v>
      </c>
      <c r="G425" s="4" t="s">
        <v>681</v>
      </c>
      <c r="H425" s="4" t="str">
        <f ca="1">'Database MK'!Q426</f>
        <v>MC-0</v>
      </c>
      <c r="I425" s="24">
        <f>'Database MK'!S426</f>
        <v>0.11027583749484837</v>
      </c>
      <c r="J425" s="24">
        <f>'Database MK'!T426</f>
        <v>0.12664666783453407</v>
      </c>
      <c r="K425" s="571">
        <f>'Database MK'!U426</f>
        <v>1.6370830339685699E-2</v>
      </c>
      <c r="L425" s="561">
        <f>'Database MK'!V426</f>
        <v>1201</v>
      </c>
      <c r="M425" s="561">
        <f>'Database MK'!W426</f>
        <v>0</v>
      </c>
      <c r="N425" s="561">
        <f>Table3[[#This Row],[Total Panjang Pipa Aktual]]-Table3[[#This Row],[Volume
BA MC-0]]</f>
        <v>-1201</v>
      </c>
      <c r="O425" s="7" t="str">
        <f ca="1">'Database MK'!DE426</f>
        <v>Sudah, OnSchedule</v>
      </c>
      <c r="P425" s="7" t="str">
        <f ca="1">'Database MK'!DI426</f>
        <v>Sudah, OnSchedule</v>
      </c>
      <c r="Q425" s="7" t="str">
        <f ca="1">'Database MK'!DN426</f>
        <v>Sudah, OnSchedule</v>
      </c>
      <c r="R425" s="7" t="str">
        <f ca="1">'Database MK'!DR426</f>
        <v>Sudah, OnSchedule</v>
      </c>
      <c r="S425" s="7" t="str">
        <f ca="1">'Database MK'!EA426</f>
        <v>Sudah, OnSchedule</v>
      </c>
      <c r="T425" s="7" t="str">
        <f ca="1">'Database MK'!EI426</f>
        <v>Belum, Delay</v>
      </c>
      <c r="U425" s="7" t="str">
        <f ca="1">'Database MK'!ET426</f>
        <v>Belum, OnSchedule</v>
      </c>
      <c r="V425" s="7" t="str">
        <f ca="1">'Database MK'!GA426</f>
        <v>Sudah, OnSchedule</v>
      </c>
      <c r="W425" s="7" t="str">
        <f ca="1">'Database MK'!GD426</f>
        <v>Sudah, OnSchedule</v>
      </c>
      <c r="X425" s="7" t="str">
        <f ca="1">'Database MK'!GG426</f>
        <v>Sudah, OnSchedule</v>
      </c>
      <c r="Y425" s="7" t="str">
        <f ca="1">'Database MK'!GK426</f>
        <v>Sudah, OnSchedule</v>
      </c>
      <c r="Z425" s="7" t="str">
        <f ca="1">'Database MK'!HH426</f>
        <v>Belum, OnSchedule</v>
      </c>
      <c r="AA425" s="7" t="str">
        <f ca="1">'Database MK'!HR426</f>
        <v>Belum, OnSchedule</v>
      </c>
      <c r="AB425" s="7" t="str">
        <f ca="1">'Database MK'!HX426</f>
        <v>Belum, OnSchedule</v>
      </c>
      <c r="AC425" s="7">
        <f>'Database MK'!DA426-'Database MK'!DB426</f>
        <v>44</v>
      </c>
      <c r="AD425" s="7">
        <f>'Database MK'!DA426-'Database MK'!DF426</f>
        <v>26</v>
      </c>
      <c r="AE425" s="7">
        <f>'Database MK'!DK426-'Database MK'!DL426</f>
        <v>114</v>
      </c>
      <c r="AF425" s="7">
        <f>'Database MK'!DK426-'Database MK'!DO426</f>
        <v>87</v>
      </c>
      <c r="AG425" s="7">
        <f>'Database MK'!DU426-'Database MK'!DW426</f>
        <v>57</v>
      </c>
      <c r="AH425" s="7" t="str">
        <f>IF('Database MK'!EB426="","Belum",'Database MK'!DU426-'Database MK'!EB426)</f>
        <v>Belum</v>
      </c>
      <c r="AI425" s="7" t="str">
        <f>IF('Database MK'!EN426="","Belum",'Database MK'!EL426-'Database MK'!EN426)</f>
        <v>Belum</v>
      </c>
      <c r="AJ425" s="7">
        <f>'Database MK'!FY426-'Database MK'!FZ426</f>
        <v>94</v>
      </c>
      <c r="AK425" s="7">
        <f>IF('Database MK'!GC426="","Belum",'Database MK'!GB426-'Database MK'!GC426)</f>
        <v>84</v>
      </c>
      <c r="AL425" s="7">
        <f>IF('Database MK'!GF426="","Belum",'Database MK'!GE426-'Database MK'!GF426)</f>
        <v>91</v>
      </c>
      <c r="AM425" s="279">
        <f>IF('Database MK'!GJ426="","Belum",'Database MK'!GI426-'Database MK'!GJ426)</f>
        <v>102</v>
      </c>
      <c r="AN425" s="7" t="str">
        <f>IF('Database MK'!HG426="","Belum",'Database MK'!HF426-'Database MK'!HG426)</f>
        <v>Belum</v>
      </c>
      <c r="AO425" s="7" t="str">
        <f>IF('Database MK'!HQ426="","Belum",'Database MK'!HN426-'Database MK'!HQ426)</f>
        <v>Belum</v>
      </c>
      <c r="AP425" s="7" t="str">
        <f>IF('Database MK'!HW426="","Belum",'Database MK'!HU426-'Database MK'!HW426)</f>
        <v>Belum</v>
      </c>
    </row>
    <row r="426" spans="2:42" hidden="1" x14ac:dyDescent="0.25">
      <c r="B426" s="7">
        <f>SUBTOTAL(3,$C$4:C426)</f>
        <v>74</v>
      </c>
      <c r="C426" s="269" t="s">
        <v>673</v>
      </c>
      <c r="D426" s="4" t="s">
        <v>3378</v>
      </c>
      <c r="E426" s="4" t="s">
        <v>3379</v>
      </c>
      <c r="F426" s="270">
        <v>46296</v>
      </c>
      <c r="G426" s="4" t="s">
        <v>681</v>
      </c>
      <c r="H426" s="4" t="str">
        <f ca="1">'Database MK'!Q427</f>
        <v>MC-0</v>
      </c>
      <c r="I426" s="24">
        <f>'Database MK'!S427</f>
        <v>0.22784900833261551</v>
      </c>
      <c r="J426" s="24">
        <f>'Database MK'!T427</f>
        <v>0.10211560854233809</v>
      </c>
      <c r="K426" s="571">
        <f>'Database MK'!U427</f>
        <v>-0.12573339979027742</v>
      </c>
      <c r="L426" s="561">
        <f>'Database MK'!V427</f>
        <v>200</v>
      </c>
      <c r="M426" s="561">
        <f>'Database MK'!W427</f>
        <v>0</v>
      </c>
      <c r="N426" s="561">
        <f>Table3[[#This Row],[Total Panjang Pipa Aktual]]-Table3[[#This Row],[Volume
BA MC-0]]</f>
        <v>-200</v>
      </c>
      <c r="O426" s="7" t="str">
        <f ca="1">'Database MK'!DE427</f>
        <v>Sudah, OnSchedule</v>
      </c>
      <c r="P426" s="7" t="str">
        <f ca="1">'Database MK'!DI427</f>
        <v>Sudah, OnSchedule</v>
      </c>
      <c r="Q426" s="7" t="str">
        <f ca="1">'Database MK'!DN427</f>
        <v>Sudah, OnSchedule</v>
      </c>
      <c r="R426" s="7" t="str">
        <f ca="1">'Database MK'!DR427</f>
        <v>Sudah, OnSchedule</v>
      </c>
      <c r="S426" s="7" t="str">
        <f ca="1">'Database MK'!EA427</f>
        <v>Sudah, OnSchedule</v>
      </c>
      <c r="T426" s="7" t="str">
        <f ca="1">'Database MK'!EI427</f>
        <v>Belum, Delay</v>
      </c>
      <c r="U426" s="7" t="str">
        <f ca="1">'Database MK'!ET427</f>
        <v>Belum, Delay</v>
      </c>
      <c r="V426" s="7" t="str">
        <f ca="1">'Database MK'!GA427</f>
        <v>Sudah, OnSchedule</v>
      </c>
      <c r="W426" s="7" t="str">
        <f ca="1">'Database MK'!GD427</f>
        <v>Sudah, OnSchedule</v>
      </c>
      <c r="X426" s="7" t="str">
        <f ca="1">'Database MK'!GG427</f>
        <v>Sudah, OnSchedule</v>
      </c>
      <c r="Y426" s="7" t="str">
        <f ca="1">'Database MK'!GK427</f>
        <v>Sudah, OnSchedule</v>
      </c>
      <c r="Z426" s="7" t="str">
        <f ca="1">'Database MK'!HH427</f>
        <v>Belum, OnSchedule</v>
      </c>
      <c r="AA426" s="7" t="str">
        <f ca="1">'Database MK'!HR427</f>
        <v>Belum, OnSchedule</v>
      </c>
      <c r="AB426" s="7" t="str">
        <f ca="1">'Database MK'!HX427</f>
        <v>Belum, OnSchedule</v>
      </c>
      <c r="AC426" s="7">
        <f>'Database MK'!DA427-'Database MK'!DB427</f>
        <v>45</v>
      </c>
      <c r="AD426" s="7">
        <f>'Database MK'!DA427-'Database MK'!DF427</f>
        <v>33</v>
      </c>
      <c r="AE426" s="7">
        <f>'Database MK'!DK427-'Database MK'!DL427</f>
        <v>115</v>
      </c>
      <c r="AF426" s="7">
        <f>'Database MK'!DK427-'Database MK'!DO427</f>
        <v>87</v>
      </c>
      <c r="AG426" s="7">
        <f>'Database MK'!DU427-'Database MK'!DW427</f>
        <v>59</v>
      </c>
      <c r="AH426" s="7" t="str">
        <f>IF('Database MK'!EB427="","Belum",'Database MK'!DU427-'Database MK'!EB427)</f>
        <v>Belum</v>
      </c>
      <c r="AI426" s="7" t="str">
        <f>IF('Database MK'!EN427="","Belum",'Database MK'!EL427-'Database MK'!EN427)</f>
        <v>Belum</v>
      </c>
      <c r="AJ426" s="7">
        <f>'Database MK'!FY427-'Database MK'!FZ427</f>
        <v>63</v>
      </c>
      <c r="AK426" s="7">
        <f>IF('Database MK'!GC427="","Belum",'Database MK'!GB427-'Database MK'!GC427)</f>
        <v>62</v>
      </c>
      <c r="AL426" s="7">
        <f>IF('Database MK'!GF427="","Belum",'Database MK'!GE427-'Database MK'!GF427)</f>
        <v>69</v>
      </c>
      <c r="AM426" s="279">
        <f>IF('Database MK'!GJ427="","Belum",'Database MK'!GI427-'Database MK'!GJ427)</f>
        <v>69</v>
      </c>
      <c r="AN426" s="7" t="str">
        <f>IF('Database MK'!HG427="","Belum",'Database MK'!HF427-'Database MK'!HG427)</f>
        <v>Belum</v>
      </c>
      <c r="AO426" s="7" t="str">
        <f>IF('Database MK'!HQ427="","Belum",'Database MK'!HN427-'Database MK'!HQ427)</f>
        <v>Belum</v>
      </c>
      <c r="AP426" s="7" t="str">
        <f>IF('Database MK'!HW427="","Belum",'Database MK'!HU427-'Database MK'!HW427)</f>
        <v>Belum</v>
      </c>
    </row>
    <row r="427" spans="2:42" hidden="1" x14ac:dyDescent="0.25">
      <c r="B427" s="7">
        <f>SUBTOTAL(3,$C$4:C427)</f>
        <v>74</v>
      </c>
      <c r="C427" s="269" t="s">
        <v>673</v>
      </c>
      <c r="D427" s="4" t="s">
        <v>3385</v>
      </c>
      <c r="E427" s="4" t="s">
        <v>3386</v>
      </c>
      <c r="F427" s="270">
        <v>46296</v>
      </c>
      <c r="G427" s="4" t="s">
        <v>681</v>
      </c>
      <c r="H427" s="4" t="str">
        <f ca="1">'Database MK'!Q428</f>
        <v>MC-0</v>
      </c>
      <c r="I427" s="24">
        <f>'Database MK'!S428</f>
        <v>7.8373792876341691E-2</v>
      </c>
      <c r="J427" s="24">
        <f>'Database MK'!T428</f>
        <v>6.708203002985387E-2</v>
      </c>
      <c r="K427" s="571">
        <f>'Database MK'!U428</f>
        <v>-1.1291762846487821E-2</v>
      </c>
      <c r="L427" s="561">
        <f>'Database MK'!V428</f>
        <v>1282</v>
      </c>
      <c r="M427" s="561">
        <f>'Database MK'!W428</f>
        <v>0</v>
      </c>
      <c r="N427" s="561">
        <f>Table3[[#This Row],[Total Panjang Pipa Aktual]]-Table3[[#This Row],[Volume
BA MC-0]]</f>
        <v>-1282</v>
      </c>
      <c r="O427" s="7" t="str">
        <f ca="1">'Database MK'!DE428</f>
        <v>Sudah, OnSchedule</v>
      </c>
      <c r="P427" s="7" t="str">
        <f ca="1">'Database MK'!DI428</f>
        <v>Sudah, OnSchedule</v>
      </c>
      <c r="Q427" s="7" t="str">
        <f ca="1">'Database MK'!DN428</f>
        <v>Sudah, OnSchedule</v>
      </c>
      <c r="R427" s="7" t="str">
        <f ca="1">'Database MK'!DR428</f>
        <v>Sudah, OnSchedule</v>
      </c>
      <c r="S427" s="7" t="str">
        <f ca="1">'Database MK'!EA428</f>
        <v>Sudah, OnSchedule</v>
      </c>
      <c r="T427" s="7" t="str">
        <f ca="1">'Database MK'!EI428</f>
        <v>Belum, Delay</v>
      </c>
      <c r="U427" s="7" t="str">
        <f ca="1">'Database MK'!ET428</f>
        <v>Belum, OnSchedule</v>
      </c>
      <c r="V427" s="7" t="str">
        <f ca="1">'Database MK'!GA428</f>
        <v>Sudah, OnSchedule</v>
      </c>
      <c r="W427" s="7" t="str">
        <f ca="1">'Database MK'!GD428</f>
        <v>Sudah, OnSchedule</v>
      </c>
      <c r="X427" s="7" t="str">
        <f ca="1">'Database MK'!GG428</f>
        <v>Sudah, OnSchedule</v>
      </c>
      <c r="Y427" s="7" t="str">
        <f ca="1">'Database MK'!GK428</f>
        <v>Sudah, OnSchedule</v>
      </c>
      <c r="Z427" s="7" t="str">
        <f ca="1">'Database MK'!HH428</f>
        <v>Belum, OnSchedule</v>
      </c>
      <c r="AA427" s="7" t="str">
        <f ca="1">'Database MK'!HR428</f>
        <v>Belum, OnSchedule</v>
      </c>
      <c r="AB427" s="7" t="str">
        <f ca="1">'Database MK'!HX428</f>
        <v>Belum, OnSchedule</v>
      </c>
      <c r="AC427" s="7">
        <f>'Database MK'!DA428-'Database MK'!DB428</f>
        <v>26</v>
      </c>
      <c r="AD427" s="7">
        <f>'Database MK'!DA428-'Database MK'!DF428</f>
        <v>23</v>
      </c>
      <c r="AE427" s="7">
        <f>'Database MK'!DK428-'Database MK'!DL428</f>
        <v>108</v>
      </c>
      <c r="AF427" s="7">
        <f>'Database MK'!DK428-'Database MK'!DO428</f>
        <v>87</v>
      </c>
      <c r="AG427" s="7">
        <f>'Database MK'!DU428-'Database MK'!DW428</f>
        <v>52</v>
      </c>
      <c r="AH427" s="7" t="str">
        <f>IF('Database MK'!EB428="","Belum",'Database MK'!DU428-'Database MK'!EB428)</f>
        <v>Belum</v>
      </c>
      <c r="AI427" s="7" t="str">
        <f>IF('Database MK'!EN428="","Belum",'Database MK'!EL428-'Database MK'!EN428)</f>
        <v>Belum</v>
      </c>
      <c r="AJ427" s="7">
        <f>'Database MK'!FY428-'Database MK'!FZ428</f>
        <v>63</v>
      </c>
      <c r="AK427" s="7">
        <f>IF('Database MK'!GC428="","Belum",'Database MK'!GB428-'Database MK'!GC428)</f>
        <v>62</v>
      </c>
      <c r="AL427" s="7">
        <f>IF('Database MK'!GF428="","Belum",'Database MK'!GE428-'Database MK'!GF428)</f>
        <v>69</v>
      </c>
      <c r="AM427" s="279">
        <f>IF('Database MK'!GJ428="","Belum",'Database MK'!GI428-'Database MK'!GJ428)</f>
        <v>69</v>
      </c>
      <c r="AN427" s="7" t="str">
        <f>IF('Database MK'!HG428="","Belum",'Database MK'!HF428-'Database MK'!HG428)</f>
        <v>Belum</v>
      </c>
      <c r="AO427" s="7" t="str">
        <f>IF('Database MK'!HQ428="","Belum",'Database MK'!HN428-'Database MK'!HQ428)</f>
        <v>Belum</v>
      </c>
      <c r="AP427" s="7" t="str">
        <f>IF('Database MK'!HW428="","Belum",'Database MK'!HU428-'Database MK'!HW428)</f>
        <v>Belum</v>
      </c>
    </row>
    <row r="428" spans="2:42" hidden="1" x14ac:dyDescent="0.25">
      <c r="B428" s="7">
        <f>SUBTOTAL(3,$C$4:C428)</f>
        <v>74</v>
      </c>
      <c r="C428" s="269" t="s">
        <v>673</v>
      </c>
      <c r="D428" s="4" t="s">
        <v>3392</v>
      </c>
      <c r="E428" s="4" t="s">
        <v>3393</v>
      </c>
      <c r="F428" s="270">
        <v>46296</v>
      </c>
      <c r="G428" s="4" t="s">
        <v>681</v>
      </c>
      <c r="H428" s="4" t="str">
        <f ca="1">'Database MK'!Q429</f>
        <v>Proses Konstruksi</v>
      </c>
      <c r="I428" s="24">
        <f>'Database MK'!S429</f>
        <v>7.8357805598068223E-2</v>
      </c>
      <c r="J428" s="24">
        <f>'Database MK'!T429</f>
        <v>5.2970065462267395E-2</v>
      </c>
      <c r="K428" s="571">
        <f>'Database MK'!U429</f>
        <v>-2.5387740135800828E-2</v>
      </c>
      <c r="L428" s="561">
        <f>'Database MK'!V429</f>
        <v>1041</v>
      </c>
      <c r="M428" s="561">
        <f>'Database MK'!W429</f>
        <v>131</v>
      </c>
      <c r="N428" s="561">
        <f>Table3[[#This Row],[Total Panjang Pipa Aktual]]-Table3[[#This Row],[Volume
BA MC-0]]</f>
        <v>-910</v>
      </c>
      <c r="O428" s="7" t="str">
        <f ca="1">'Database MK'!DE429</f>
        <v>Sudah, OnSchedule</v>
      </c>
      <c r="P428" s="7" t="str">
        <f ca="1">'Database MK'!DI429</f>
        <v>Sudah, OnSchedule</v>
      </c>
      <c r="Q428" s="7" t="str">
        <f ca="1">'Database MK'!DN429</f>
        <v>Sudah, OnSchedule</v>
      </c>
      <c r="R428" s="7" t="str">
        <f ca="1">'Database MK'!DR429</f>
        <v>Sudah, OnSchedule</v>
      </c>
      <c r="S428" s="7" t="str">
        <f ca="1">'Database MK'!EA429</f>
        <v>Sudah, OnSchedule</v>
      </c>
      <c r="T428" s="7" t="str">
        <f ca="1">'Database MK'!EI429</f>
        <v>Belum, Delay</v>
      </c>
      <c r="U428" s="7" t="str">
        <f ca="1">'Database MK'!ET429</f>
        <v>Belum, OnSchedule</v>
      </c>
      <c r="V428" s="7" t="str">
        <f ca="1">'Database MK'!GA429</f>
        <v>Sudah, OnSchedule</v>
      </c>
      <c r="W428" s="7" t="str">
        <f ca="1">'Database MK'!GD429</f>
        <v>Sudah, OnSchedule</v>
      </c>
      <c r="X428" s="7" t="str">
        <f ca="1">'Database MK'!GG429</f>
        <v>Sudah, OnSchedule</v>
      </c>
      <c r="Y428" s="7" t="str">
        <f ca="1">'Database MK'!GK429</f>
        <v>Sudah, OnSchedule</v>
      </c>
      <c r="Z428" s="7" t="str">
        <f ca="1">'Database MK'!HH429</f>
        <v>Belum, OnSchedule</v>
      </c>
      <c r="AA428" s="7" t="str">
        <f ca="1">'Database MK'!HR429</f>
        <v>Belum, OnSchedule</v>
      </c>
      <c r="AB428" s="7" t="str">
        <f ca="1">'Database MK'!HX429</f>
        <v>Belum, OnSchedule</v>
      </c>
      <c r="AC428" s="7">
        <f>'Database MK'!DA429-'Database MK'!DB429</f>
        <v>26</v>
      </c>
      <c r="AD428" s="7">
        <f>'Database MK'!DA429-'Database MK'!DF429</f>
        <v>13</v>
      </c>
      <c r="AE428" s="7">
        <f>'Database MK'!DK429-'Database MK'!DL429</f>
        <v>107</v>
      </c>
      <c r="AF428" s="7">
        <f>'Database MK'!DK429-'Database MK'!DO429</f>
        <v>87</v>
      </c>
      <c r="AG428" s="7">
        <f>'Database MK'!DU429-'Database MK'!DW429</f>
        <v>51</v>
      </c>
      <c r="AH428" s="7" t="str">
        <f>IF('Database MK'!EB429="","Belum",'Database MK'!DU429-'Database MK'!EB429)</f>
        <v>Belum</v>
      </c>
      <c r="AI428" s="7" t="str">
        <f>IF('Database MK'!EN429="","Belum",'Database MK'!EL429-'Database MK'!EN429)</f>
        <v>Belum</v>
      </c>
      <c r="AJ428" s="7">
        <f>'Database MK'!FY429-'Database MK'!FZ429</f>
        <v>63</v>
      </c>
      <c r="AK428" s="7">
        <f>IF('Database MK'!GC429="","Belum",'Database MK'!GB429-'Database MK'!GC429)</f>
        <v>62</v>
      </c>
      <c r="AL428" s="7">
        <f>IF('Database MK'!GF429="","Belum",'Database MK'!GE429-'Database MK'!GF429)</f>
        <v>69</v>
      </c>
      <c r="AM428" s="279">
        <f>IF('Database MK'!GJ429="","Belum",'Database MK'!GI429-'Database MK'!GJ429)</f>
        <v>75</v>
      </c>
      <c r="AN428" s="7" t="str">
        <f>IF('Database MK'!HG429="","Belum",'Database MK'!HF429-'Database MK'!HG429)</f>
        <v>Belum</v>
      </c>
      <c r="AO428" s="7" t="str">
        <f>IF('Database MK'!HQ429="","Belum",'Database MK'!HN429-'Database MK'!HQ429)</f>
        <v>Belum</v>
      </c>
      <c r="AP428" s="7" t="str">
        <f>IF('Database MK'!HW429="","Belum",'Database MK'!HU429-'Database MK'!HW429)</f>
        <v>Belum</v>
      </c>
    </row>
    <row r="429" spans="2:42" hidden="1" x14ac:dyDescent="0.25">
      <c r="B429" s="7">
        <f>SUBTOTAL(3,$C$4:C429)</f>
        <v>74</v>
      </c>
      <c r="C429" s="269" t="s">
        <v>673</v>
      </c>
      <c r="D429" s="4" t="s">
        <v>3399</v>
      </c>
      <c r="E429" s="4" t="s">
        <v>3400</v>
      </c>
      <c r="F429" s="270">
        <v>46296</v>
      </c>
      <c r="G429" s="4" t="s">
        <v>681</v>
      </c>
      <c r="H429" s="4" t="str">
        <f ca="1">'Database MK'!Q430</f>
        <v>MC-0</v>
      </c>
      <c r="I429" s="24">
        <f>'Database MK'!S430</f>
        <v>0.25102081330935866</v>
      </c>
      <c r="J429" s="24">
        <f>'Database MK'!T430</f>
        <v>0.17962717269216913</v>
      </c>
      <c r="K429" s="571">
        <f>'Database MK'!U430</f>
        <v>-7.139364061718953E-2</v>
      </c>
      <c r="L429" s="561">
        <f>'Database MK'!V430</f>
        <v>106</v>
      </c>
      <c r="M429" s="561">
        <f>'Database MK'!W430</f>
        <v>0</v>
      </c>
      <c r="N429" s="561">
        <f>Table3[[#This Row],[Total Panjang Pipa Aktual]]-Table3[[#This Row],[Volume
BA MC-0]]</f>
        <v>-106</v>
      </c>
      <c r="O429" s="7" t="str">
        <f ca="1">'Database MK'!DE430</f>
        <v>Sudah, OnSchedule</v>
      </c>
      <c r="P429" s="7" t="str">
        <f ca="1">'Database MK'!DI430</f>
        <v>Sudah, OnSchedule</v>
      </c>
      <c r="Q429" s="7" t="str">
        <f ca="1">'Database MK'!DN430</f>
        <v>Sudah, OnSchedule</v>
      </c>
      <c r="R429" s="7" t="str">
        <f ca="1">'Database MK'!DR430</f>
        <v>Sudah, OnSchedule</v>
      </c>
      <c r="S429" s="7" t="str">
        <f ca="1">'Database MK'!EA430</f>
        <v>Sudah, OnSchedule</v>
      </c>
      <c r="T429" s="7" t="str">
        <f ca="1">'Database MK'!EI430</f>
        <v>Belum, Delay</v>
      </c>
      <c r="U429" s="7" t="str">
        <f ca="1">'Database MK'!ET430</f>
        <v>Belum, Delay</v>
      </c>
      <c r="V429" s="7" t="str">
        <f ca="1">'Database MK'!GA430</f>
        <v>Sudah, OnSchedule</v>
      </c>
      <c r="W429" s="7" t="str">
        <f ca="1">'Database MK'!GD430</f>
        <v>Sudah, OnSchedule</v>
      </c>
      <c r="X429" s="7" t="str">
        <f ca="1">'Database MK'!GG430</f>
        <v>Sudah, OnSchedule</v>
      </c>
      <c r="Y429" s="7" t="str">
        <f ca="1">'Database MK'!GK430</f>
        <v>Sudah, OnSchedule</v>
      </c>
      <c r="Z429" s="7" t="str">
        <f ca="1">'Database MK'!HH430</f>
        <v>Belum, OnSchedule</v>
      </c>
      <c r="AA429" s="7" t="str">
        <f ca="1">'Database MK'!HR430</f>
        <v>Belum, OnSchedule</v>
      </c>
      <c r="AB429" s="7" t="str">
        <f ca="1">'Database MK'!HX430</f>
        <v>Belum, OnSchedule</v>
      </c>
      <c r="AC429" s="7">
        <f>'Database MK'!DA430-'Database MK'!DB430</f>
        <v>26</v>
      </c>
      <c r="AD429" s="7">
        <f>'Database MK'!DA430-'Database MK'!DF430</f>
        <v>23</v>
      </c>
      <c r="AE429" s="7">
        <f>'Database MK'!DK430-'Database MK'!DL430</f>
        <v>108</v>
      </c>
      <c r="AF429" s="7">
        <f>'Database MK'!DK430-'Database MK'!DO430</f>
        <v>90</v>
      </c>
      <c r="AG429" s="7">
        <f>'Database MK'!DU430-'Database MK'!DW430</f>
        <v>52</v>
      </c>
      <c r="AH429" s="7" t="str">
        <f>IF('Database MK'!EB430="","Belum",'Database MK'!DU430-'Database MK'!EB430)</f>
        <v>Belum</v>
      </c>
      <c r="AI429" s="7" t="str">
        <f>IF('Database MK'!EN430="","Belum",'Database MK'!EL430-'Database MK'!EN430)</f>
        <v>Belum</v>
      </c>
      <c r="AJ429" s="7">
        <f>'Database MK'!FY430-'Database MK'!FZ430</f>
        <v>63</v>
      </c>
      <c r="AK429" s="7">
        <f>IF('Database MK'!GC430="","Belum",'Database MK'!GB430-'Database MK'!GC430)</f>
        <v>62</v>
      </c>
      <c r="AL429" s="7">
        <f>IF('Database MK'!GF430="","Belum",'Database MK'!GE430-'Database MK'!GF430)</f>
        <v>69</v>
      </c>
      <c r="AM429" s="279">
        <f>IF('Database MK'!GJ430="","Belum",'Database MK'!GI430-'Database MK'!GJ430)</f>
        <v>75</v>
      </c>
      <c r="AN429" s="7" t="str">
        <f>IF('Database MK'!HG430="","Belum",'Database MK'!HF430-'Database MK'!HG430)</f>
        <v>Belum</v>
      </c>
      <c r="AO429" s="7" t="str">
        <f>IF('Database MK'!HQ430="","Belum",'Database MK'!HN430-'Database MK'!HQ430)</f>
        <v>Belum</v>
      </c>
      <c r="AP429" s="7" t="str">
        <f>IF('Database MK'!HW430="","Belum",'Database MK'!HU430-'Database MK'!HW430)</f>
        <v>Belum</v>
      </c>
    </row>
    <row r="430" spans="2:42" hidden="1" x14ac:dyDescent="0.25">
      <c r="B430" s="7">
        <f>SUBTOTAL(3,$C$4:C430)</f>
        <v>74</v>
      </c>
      <c r="C430" s="269" t="s">
        <v>673</v>
      </c>
      <c r="D430" s="4" t="s">
        <v>3405</v>
      </c>
      <c r="E430" s="4" t="s">
        <v>3406</v>
      </c>
      <c r="F430" s="270">
        <v>46296</v>
      </c>
      <c r="G430" s="4" t="s">
        <v>681</v>
      </c>
      <c r="H430" s="4" t="str">
        <f ca="1">'Database MK'!Q431</f>
        <v>MC-0</v>
      </c>
      <c r="I430" s="24">
        <f>'Database MK'!S431</f>
        <v>0.55506897298094193</v>
      </c>
      <c r="J430" s="24">
        <f>'Database MK'!T431</f>
        <v>0.17275764424343712</v>
      </c>
      <c r="K430" s="571">
        <f>'Database MK'!U431</f>
        <v>-0.38231132873750484</v>
      </c>
      <c r="L430" s="561">
        <f>'Database MK'!V431</f>
        <v>15</v>
      </c>
      <c r="M430" s="561">
        <f>'Database MK'!W431</f>
        <v>0</v>
      </c>
      <c r="N430" s="561">
        <f>Table3[[#This Row],[Total Panjang Pipa Aktual]]-Table3[[#This Row],[Volume
BA MC-0]]</f>
        <v>-15</v>
      </c>
      <c r="O430" s="7" t="str">
        <f ca="1">'Database MK'!DE431</f>
        <v>Sudah, OnSchedule</v>
      </c>
      <c r="P430" s="7" t="str">
        <f ca="1">'Database MK'!DI431</f>
        <v>Sudah, OnSchedule</v>
      </c>
      <c r="Q430" s="7" t="str">
        <f ca="1">'Database MK'!DN431</f>
        <v>Sudah, OnSchedule</v>
      </c>
      <c r="R430" s="7" t="str">
        <f ca="1">'Database MK'!DR431</f>
        <v>Sudah, OnSchedule</v>
      </c>
      <c r="S430" s="7" t="str">
        <f ca="1">'Database MK'!EA431</f>
        <v>Sudah, OnSchedule</v>
      </c>
      <c r="T430" s="7" t="str">
        <f ca="1">'Database MK'!EI431</f>
        <v>Belum, Delay</v>
      </c>
      <c r="U430" s="7" t="str">
        <f ca="1">'Database MK'!ET431</f>
        <v>Belum, Delay</v>
      </c>
      <c r="V430" s="7" t="str">
        <f ca="1">'Database MK'!GA431</f>
        <v>Sudah, OnSchedule</v>
      </c>
      <c r="W430" s="7" t="str">
        <f ca="1">'Database MK'!GD431</f>
        <v>Sudah, OnSchedule</v>
      </c>
      <c r="X430" s="7" t="str">
        <f ca="1">'Database MK'!GG431</f>
        <v>Sudah, OnSchedule</v>
      </c>
      <c r="Y430" s="7" t="str">
        <f ca="1">'Database MK'!GK431</f>
        <v>Sudah, OnSchedule</v>
      </c>
      <c r="Z430" s="7" t="str">
        <f ca="1">'Database MK'!HH431</f>
        <v>Belum, OnSchedule</v>
      </c>
      <c r="AA430" s="7" t="str">
        <f ca="1">'Database MK'!HR431</f>
        <v>Belum, OnSchedule</v>
      </c>
      <c r="AB430" s="7" t="str">
        <f ca="1">'Database MK'!HX431</f>
        <v>Belum, OnSchedule</v>
      </c>
      <c r="AC430" s="7">
        <f>'Database MK'!DA431-'Database MK'!DB431</f>
        <v>26</v>
      </c>
      <c r="AD430" s="7">
        <f>'Database MK'!DA431-'Database MK'!DF431</f>
        <v>12</v>
      </c>
      <c r="AE430" s="7">
        <f>'Database MK'!DK431-'Database MK'!DL431</f>
        <v>107</v>
      </c>
      <c r="AF430" s="7">
        <f>'Database MK'!DK431-'Database MK'!DO431</f>
        <v>87</v>
      </c>
      <c r="AG430" s="7">
        <f>'Database MK'!DU431-'Database MK'!DW431</f>
        <v>51</v>
      </c>
      <c r="AH430" s="7" t="str">
        <f>IF('Database MK'!EB431="","Belum",'Database MK'!DU431-'Database MK'!EB431)</f>
        <v>Belum</v>
      </c>
      <c r="AI430" s="7" t="str">
        <f>IF('Database MK'!EN431="","Belum",'Database MK'!EL431-'Database MK'!EN431)</f>
        <v>Belum</v>
      </c>
      <c r="AJ430" s="7">
        <f>'Database MK'!FY431-'Database MK'!FZ431</f>
        <v>63</v>
      </c>
      <c r="AK430" s="7">
        <f>IF('Database MK'!GC431="","Belum",'Database MK'!GB431-'Database MK'!GC431)</f>
        <v>62</v>
      </c>
      <c r="AL430" s="7">
        <f>IF('Database MK'!GF431="","Belum",'Database MK'!GE431-'Database MK'!GF431)</f>
        <v>69</v>
      </c>
      <c r="AM430" s="279">
        <f>IF('Database MK'!GJ431="","Belum",'Database MK'!GI431-'Database MK'!GJ431)</f>
        <v>69</v>
      </c>
      <c r="AN430" s="7" t="str">
        <f>IF('Database MK'!HG431="","Belum",'Database MK'!HF431-'Database MK'!HG431)</f>
        <v>Belum</v>
      </c>
      <c r="AO430" s="7" t="str">
        <f>IF('Database MK'!HQ431="","Belum",'Database MK'!HN431-'Database MK'!HQ431)</f>
        <v>Belum</v>
      </c>
      <c r="AP430" s="7" t="str">
        <f>IF('Database MK'!HW431="","Belum",'Database MK'!HU431-'Database MK'!HW431)</f>
        <v>Belum</v>
      </c>
    </row>
    <row r="431" spans="2:42" hidden="1" x14ac:dyDescent="0.25">
      <c r="B431" s="7">
        <f>SUBTOTAL(3,$C$4:C431)</f>
        <v>74</v>
      </c>
      <c r="C431" s="269" t="s">
        <v>673</v>
      </c>
      <c r="D431" s="4" t="s">
        <v>3412</v>
      </c>
      <c r="E431" s="4" t="s">
        <v>3413</v>
      </c>
      <c r="F431" s="270">
        <v>46296</v>
      </c>
      <c r="G431" s="4" t="s">
        <v>681</v>
      </c>
      <c r="H431" s="4" t="str">
        <f ca="1">'Database MK'!Q432</f>
        <v>MC-0</v>
      </c>
      <c r="I431" s="24">
        <f>'Database MK'!S432</f>
        <v>0</v>
      </c>
      <c r="J431" s="24">
        <f>'Database MK'!T432</f>
        <v>0</v>
      </c>
      <c r="K431" s="571">
        <f>'Database MK'!U432</f>
        <v>0</v>
      </c>
      <c r="L431" s="561">
        <f>'Database MK'!V432</f>
        <v>0</v>
      </c>
      <c r="M431" s="561">
        <f>'Database MK'!W432</f>
        <v>0</v>
      </c>
      <c r="N431" s="561">
        <f>Table3[[#This Row],[Total Panjang Pipa Aktual]]-Table3[[#This Row],[Volume
BA MC-0]]</f>
        <v>0</v>
      </c>
      <c r="O431" s="7" t="str">
        <f ca="1">'Database MK'!DE432</f>
        <v>Sudah, Delay</v>
      </c>
      <c r="P431" s="7" t="str">
        <f ca="1">'Database MK'!DI432</f>
        <v>Belum, Delay</v>
      </c>
      <c r="Q431" s="7" t="str">
        <f ca="1">'Database MK'!DN432</f>
        <v>Belum, Delay</v>
      </c>
      <c r="R431" s="7" t="str">
        <f ca="1">'Database MK'!DR432</f>
        <v>Belum, Delay</v>
      </c>
      <c r="S431" s="7" t="str">
        <f ca="1">'Database MK'!EA432</f>
        <v>Belum, Delay</v>
      </c>
      <c r="T431" s="7" t="str">
        <f ca="1">'Database MK'!EI432</f>
        <v>Belum, Delay</v>
      </c>
      <c r="U431" s="7" t="str">
        <f ca="1">'Database MK'!ET432</f>
        <v>Belum, Delay</v>
      </c>
      <c r="V431" s="7" t="str">
        <f ca="1">'Database MK'!GA432</f>
        <v>Belum, Delay</v>
      </c>
      <c r="W431" s="7" t="str">
        <f ca="1">'Database MK'!GD432</f>
        <v>Sudah, Delay</v>
      </c>
      <c r="X431" s="7" t="str">
        <f ca="1">'Database MK'!GG432</f>
        <v>Sudah, Delay</v>
      </c>
      <c r="Y431" s="7" t="str">
        <f ca="1">'Database MK'!GK432</f>
        <v>Sudah, Delay</v>
      </c>
      <c r="Z431" s="7" t="str">
        <f ca="1">'Database MK'!HH432</f>
        <v>Belum, Delay</v>
      </c>
      <c r="AA431" s="7" t="str">
        <f ca="1">'Database MK'!HR432</f>
        <v>Belum, Delay</v>
      </c>
      <c r="AB431" s="7" t="str">
        <f ca="1">'Database MK'!HX432</f>
        <v>Belum, Delay</v>
      </c>
      <c r="AC431" s="7">
        <f>'Database MK'!DA432-'Database MK'!DB432</f>
        <v>-46178</v>
      </c>
      <c r="AD431" s="7">
        <f>'Database MK'!DA432-'Database MK'!DF432</f>
        <v>0</v>
      </c>
      <c r="AE431" s="7">
        <f>'Database MK'!DK432-'Database MK'!DL432</f>
        <v>0</v>
      </c>
      <c r="AF431" s="7">
        <f>'Database MK'!DK432-'Database MK'!DO432</f>
        <v>0</v>
      </c>
      <c r="AG431" s="7">
        <f>'Database MK'!DU432-'Database MK'!DW432</f>
        <v>0</v>
      </c>
      <c r="AH431" s="7" t="str">
        <f>IF('Database MK'!EB432="","Belum",'Database MK'!DU432-'Database MK'!EB432)</f>
        <v>Belum</v>
      </c>
      <c r="AI431" s="7" t="str">
        <f>IF('Database MK'!EN432="","Belum",'Database MK'!EL432-'Database MK'!EN432)</f>
        <v>Belum</v>
      </c>
      <c r="AJ431" s="7">
        <f>'Database MK'!FY432-'Database MK'!FZ432</f>
        <v>0</v>
      </c>
      <c r="AK431" s="7">
        <f>IF('Database MK'!GC432="","Belum",'Database MK'!GB432-'Database MK'!GC432)</f>
        <v>-46191</v>
      </c>
      <c r="AL431" s="7">
        <f>IF('Database MK'!GF432="","Belum",'Database MK'!GE432-'Database MK'!GF432)</f>
        <v>-46191</v>
      </c>
      <c r="AM431" s="279">
        <f>IF('Database MK'!GJ432="","Belum",'Database MK'!GI432-'Database MK'!GJ432)</f>
        <v>-46192</v>
      </c>
      <c r="AN431" s="7" t="str">
        <f>IF('Database MK'!HG432="","Belum",'Database MK'!HF432-'Database MK'!HG432)</f>
        <v>Belum</v>
      </c>
      <c r="AO431" s="7" t="str">
        <f>IF('Database MK'!HQ432="","Belum",'Database MK'!HN432-'Database MK'!HQ432)</f>
        <v>Belum</v>
      </c>
      <c r="AP431" s="7" t="str">
        <f>IF('Database MK'!HW432="","Belum",'Database MK'!HU432-'Database MK'!HW432)</f>
        <v>Belum</v>
      </c>
    </row>
    <row r="432" spans="2:42" hidden="1" x14ac:dyDescent="0.25">
      <c r="B432" s="7">
        <f>SUBTOTAL(3,$C$4:C432)</f>
        <v>74</v>
      </c>
      <c r="C432" s="269" t="s">
        <v>673</v>
      </c>
      <c r="D432" s="4" t="s">
        <v>3415</v>
      </c>
      <c r="E432" s="4" t="s">
        <v>3416</v>
      </c>
      <c r="F432" s="270">
        <v>46296</v>
      </c>
      <c r="G432" s="4" t="s">
        <v>681</v>
      </c>
      <c r="H432" s="4" t="str">
        <f ca="1">'Database MK'!Q433</f>
        <v>MC-0</v>
      </c>
      <c r="I432" s="24">
        <f>'Database MK'!S433</f>
        <v>0</v>
      </c>
      <c r="J432" s="24">
        <f>'Database MK'!T433</f>
        <v>0</v>
      </c>
      <c r="K432" s="571">
        <f>'Database MK'!U433</f>
        <v>0</v>
      </c>
      <c r="L432" s="561">
        <f>'Database MK'!V433</f>
        <v>0</v>
      </c>
      <c r="M432" s="561">
        <f>'Database MK'!W433</f>
        <v>0</v>
      </c>
      <c r="N432" s="561">
        <f>Table3[[#This Row],[Total Panjang Pipa Aktual]]-Table3[[#This Row],[Volume
BA MC-0]]</f>
        <v>0</v>
      </c>
      <c r="O432" s="7" t="str">
        <f ca="1">'Database MK'!DE433</f>
        <v>Sudah, Delay</v>
      </c>
      <c r="P432" s="7" t="str">
        <f ca="1">'Database MK'!DI433</f>
        <v>Belum, Delay</v>
      </c>
      <c r="Q432" s="7" t="str">
        <f ca="1">'Database MK'!DN433</f>
        <v>Belum, Delay</v>
      </c>
      <c r="R432" s="7" t="str">
        <f ca="1">'Database MK'!DR433</f>
        <v>Belum, Delay</v>
      </c>
      <c r="S432" s="7" t="str">
        <f ca="1">'Database MK'!EA433</f>
        <v>Belum, Delay</v>
      </c>
      <c r="T432" s="7" t="str">
        <f ca="1">'Database MK'!EI433</f>
        <v>Belum, Delay</v>
      </c>
      <c r="U432" s="7" t="str">
        <f ca="1">'Database MK'!ET433</f>
        <v>Belum, Delay</v>
      </c>
      <c r="V432" s="7" t="str">
        <f ca="1">'Database MK'!GA433</f>
        <v>Belum, Delay</v>
      </c>
      <c r="W432" s="7" t="str">
        <f ca="1">'Database MK'!GD433</f>
        <v>Sudah, Delay</v>
      </c>
      <c r="X432" s="7" t="str">
        <f ca="1">'Database MK'!GG433</f>
        <v>Sudah, Delay</v>
      </c>
      <c r="Y432" s="7" t="str">
        <f ca="1">'Database MK'!GK433</f>
        <v>Sudah, Delay</v>
      </c>
      <c r="Z432" s="7" t="str">
        <f ca="1">'Database MK'!HH433</f>
        <v>Belum, Delay</v>
      </c>
      <c r="AA432" s="7" t="str">
        <f ca="1">'Database MK'!HR433</f>
        <v>Belum, Delay</v>
      </c>
      <c r="AB432" s="7" t="str">
        <f ca="1">'Database MK'!HX433</f>
        <v>Belum, Delay</v>
      </c>
      <c r="AC432" s="7">
        <f>'Database MK'!DA433-'Database MK'!DB433</f>
        <v>-46178</v>
      </c>
      <c r="AD432" s="7">
        <f>'Database MK'!DA433-'Database MK'!DF433</f>
        <v>0</v>
      </c>
      <c r="AE432" s="7">
        <f>'Database MK'!DK433-'Database MK'!DL433</f>
        <v>0</v>
      </c>
      <c r="AF432" s="7">
        <f>'Database MK'!DK433-'Database MK'!DO433</f>
        <v>0</v>
      </c>
      <c r="AG432" s="7">
        <f>'Database MK'!DU433-'Database MK'!DW433</f>
        <v>0</v>
      </c>
      <c r="AH432" s="7" t="str">
        <f>IF('Database MK'!EB433="","Belum",'Database MK'!DU433-'Database MK'!EB433)</f>
        <v>Belum</v>
      </c>
      <c r="AI432" s="7" t="str">
        <f>IF('Database MK'!EN433="","Belum",'Database MK'!EL433-'Database MK'!EN433)</f>
        <v>Belum</v>
      </c>
      <c r="AJ432" s="7">
        <f>'Database MK'!FY433-'Database MK'!FZ433</f>
        <v>0</v>
      </c>
      <c r="AK432" s="7">
        <f>IF('Database MK'!GC433="","Belum",'Database MK'!GB433-'Database MK'!GC433)</f>
        <v>-46191</v>
      </c>
      <c r="AL432" s="7">
        <f>IF('Database MK'!GF433="","Belum",'Database MK'!GE433-'Database MK'!GF433)</f>
        <v>-46191</v>
      </c>
      <c r="AM432" s="279">
        <f>IF('Database MK'!GJ433="","Belum",'Database MK'!GI433-'Database MK'!GJ433)</f>
        <v>-46192</v>
      </c>
      <c r="AN432" s="7" t="str">
        <f>IF('Database MK'!HG433="","Belum",'Database MK'!HF433-'Database MK'!HG433)</f>
        <v>Belum</v>
      </c>
      <c r="AO432" s="7" t="str">
        <f>IF('Database MK'!HQ433="","Belum",'Database MK'!HN433-'Database MK'!HQ433)</f>
        <v>Belum</v>
      </c>
      <c r="AP432" s="7" t="str">
        <f>IF('Database MK'!HW433="","Belum",'Database MK'!HU433-'Database MK'!HW433)</f>
        <v>Belum</v>
      </c>
    </row>
    <row r="433" spans="2:42" hidden="1" x14ac:dyDescent="0.25">
      <c r="B433" s="7">
        <f>SUBTOTAL(3,$C$4:C433)</f>
        <v>74</v>
      </c>
      <c r="C433" s="269" t="s">
        <v>673</v>
      </c>
      <c r="D433" s="4" t="s">
        <v>3418</v>
      </c>
      <c r="E433" s="4" t="s">
        <v>3419</v>
      </c>
      <c r="F433" s="270">
        <v>46296</v>
      </c>
      <c r="G433" s="4" t="s">
        <v>681</v>
      </c>
      <c r="H433" s="4" t="str">
        <f ca="1">'Database MK'!Q434</f>
        <v>MC-0</v>
      </c>
      <c r="I433" s="24">
        <f>'Database MK'!S434</f>
        <v>0</v>
      </c>
      <c r="J433" s="24">
        <f>'Database MK'!T434</f>
        <v>0</v>
      </c>
      <c r="K433" s="571">
        <f>'Database MK'!U434</f>
        <v>0</v>
      </c>
      <c r="L433" s="561">
        <f>'Database MK'!V434</f>
        <v>0</v>
      </c>
      <c r="M433" s="561">
        <f>'Database MK'!W434</f>
        <v>0</v>
      </c>
      <c r="N433" s="561">
        <f>Table3[[#This Row],[Total Panjang Pipa Aktual]]-Table3[[#This Row],[Volume
BA MC-0]]</f>
        <v>0</v>
      </c>
      <c r="O433" s="7" t="str">
        <f ca="1">'Database MK'!DE434</f>
        <v>Sudah, Delay</v>
      </c>
      <c r="P433" s="7" t="str">
        <f ca="1">'Database MK'!DI434</f>
        <v>Belum, Delay</v>
      </c>
      <c r="Q433" s="7" t="str">
        <f ca="1">'Database MK'!DN434</f>
        <v>Belum, Delay</v>
      </c>
      <c r="R433" s="7" t="str">
        <f ca="1">'Database MK'!DR434</f>
        <v>Belum, Delay</v>
      </c>
      <c r="S433" s="7" t="str">
        <f ca="1">'Database MK'!EA434</f>
        <v>Belum, Delay</v>
      </c>
      <c r="T433" s="7" t="str">
        <f ca="1">'Database MK'!EI434</f>
        <v>Belum, Delay</v>
      </c>
      <c r="U433" s="7" t="str">
        <f ca="1">'Database MK'!ET434</f>
        <v>Belum, Delay</v>
      </c>
      <c r="V433" s="7" t="str">
        <f ca="1">'Database MK'!GA434</f>
        <v>Belum, Delay</v>
      </c>
      <c r="W433" s="7" t="str">
        <f ca="1">'Database MK'!GD434</f>
        <v>Sudah, Delay</v>
      </c>
      <c r="X433" s="7" t="str">
        <f ca="1">'Database MK'!GG434</f>
        <v>Sudah, Delay</v>
      </c>
      <c r="Y433" s="7" t="str">
        <f ca="1">'Database MK'!GK434</f>
        <v>Sudah, Delay</v>
      </c>
      <c r="Z433" s="7" t="str">
        <f ca="1">'Database MK'!HH434</f>
        <v>Belum, Delay</v>
      </c>
      <c r="AA433" s="7" t="str">
        <f ca="1">'Database MK'!HR434</f>
        <v>Belum, Delay</v>
      </c>
      <c r="AB433" s="7" t="str">
        <f ca="1">'Database MK'!HX434</f>
        <v>Belum, Delay</v>
      </c>
      <c r="AC433" s="7">
        <f>'Database MK'!DA434-'Database MK'!DB434</f>
        <v>-46178</v>
      </c>
      <c r="AD433" s="7">
        <f>'Database MK'!DA434-'Database MK'!DF434</f>
        <v>0</v>
      </c>
      <c r="AE433" s="7">
        <f>'Database MK'!DK434-'Database MK'!DL434</f>
        <v>0</v>
      </c>
      <c r="AF433" s="7">
        <f>'Database MK'!DK434-'Database MK'!DO434</f>
        <v>0</v>
      </c>
      <c r="AG433" s="7">
        <f>'Database MK'!DU434-'Database MK'!DW434</f>
        <v>0</v>
      </c>
      <c r="AH433" s="7" t="str">
        <f>IF('Database MK'!EB434="","Belum",'Database MK'!DU434-'Database MK'!EB434)</f>
        <v>Belum</v>
      </c>
      <c r="AI433" s="7" t="str">
        <f>IF('Database MK'!EN434="","Belum",'Database MK'!EL434-'Database MK'!EN434)</f>
        <v>Belum</v>
      </c>
      <c r="AJ433" s="7">
        <f>'Database MK'!FY434-'Database MK'!FZ434</f>
        <v>0</v>
      </c>
      <c r="AK433" s="7">
        <f>IF('Database MK'!GC434="","Belum",'Database MK'!GB434-'Database MK'!GC434)</f>
        <v>-46191</v>
      </c>
      <c r="AL433" s="7">
        <f>IF('Database MK'!GF434="","Belum",'Database MK'!GE434-'Database MK'!GF434)</f>
        <v>-46191</v>
      </c>
      <c r="AM433" s="279">
        <f>IF('Database MK'!GJ434="","Belum",'Database MK'!GI434-'Database MK'!GJ434)</f>
        <v>-46192</v>
      </c>
      <c r="AN433" s="7" t="str">
        <f>IF('Database MK'!HG434="","Belum",'Database MK'!HF434-'Database MK'!HG434)</f>
        <v>Belum</v>
      </c>
      <c r="AO433" s="7" t="str">
        <f>IF('Database MK'!HQ434="","Belum",'Database MK'!HN434-'Database MK'!HQ434)</f>
        <v>Belum</v>
      </c>
      <c r="AP433" s="7" t="str">
        <f>IF('Database MK'!HW434="","Belum",'Database MK'!HU434-'Database MK'!HW434)</f>
        <v>Belum</v>
      </c>
    </row>
    <row r="434" spans="2:42" hidden="1" x14ac:dyDescent="0.25">
      <c r="B434" s="7">
        <f>SUBTOTAL(3,$C$4:C434)</f>
        <v>74</v>
      </c>
      <c r="C434" s="269" t="s">
        <v>629</v>
      </c>
      <c r="D434" s="4" t="s">
        <v>3421</v>
      </c>
      <c r="E434" s="4" t="s">
        <v>3422</v>
      </c>
      <c r="F434" s="270">
        <v>46296</v>
      </c>
      <c r="G434" s="4" t="s">
        <v>681</v>
      </c>
      <c r="H434" s="4" t="str">
        <f ca="1">'Database MK'!Q435</f>
        <v>DPPP</v>
      </c>
      <c r="I434" s="24">
        <f>'Database MK'!S435</f>
        <v>0.99999999999999989</v>
      </c>
      <c r="J434" s="24">
        <f>'Database MK'!T435</f>
        <v>1</v>
      </c>
      <c r="K434" s="571">
        <f>'Database MK'!U435</f>
        <v>0</v>
      </c>
      <c r="L434" s="561">
        <f>'Database MK'!V435</f>
        <v>1756.6</v>
      </c>
      <c r="M434" s="561">
        <f>'Database MK'!W435</f>
        <v>1941.4</v>
      </c>
      <c r="N434" s="561">
        <f>Table3[[#This Row],[Total Panjang Pipa Aktual]]-Table3[[#This Row],[Volume
BA MC-0]]</f>
        <v>184.80000000000018</v>
      </c>
      <c r="O434" s="7" t="str">
        <f ca="1">'Database MK'!DE435</f>
        <v>Sudah, OnSchedule</v>
      </c>
      <c r="P434" s="7" t="str">
        <f ca="1">'Database MK'!DI435</f>
        <v>Sudah, OnSchedule</v>
      </c>
      <c r="Q434" s="7" t="str">
        <f ca="1">'Database MK'!DN435</f>
        <v>Sudah, OnSchedule</v>
      </c>
      <c r="R434" s="7" t="str">
        <f ca="1">'Database MK'!DR435</f>
        <v>Sudah, OnSchedule</v>
      </c>
      <c r="S434" s="7" t="str">
        <f ca="1">'Database MK'!EA435</f>
        <v>Sudah, OnSchedule</v>
      </c>
      <c r="T434" s="7" t="str">
        <f ca="1">'Database MK'!EI435</f>
        <v>Sudah, Delay</v>
      </c>
      <c r="U434" s="7" t="str">
        <f ca="1">'Database MK'!ET435</f>
        <v>Belum, Delay</v>
      </c>
      <c r="V434" s="7" t="str">
        <f ca="1">'Database MK'!GA435</f>
        <v>Sudah, OnSchedule</v>
      </c>
      <c r="W434" s="7" t="str">
        <f ca="1">'Database MK'!GD435</f>
        <v>Sudah, OnSchedule</v>
      </c>
      <c r="X434" s="7" t="str">
        <f ca="1">'Database MK'!GG435</f>
        <v>Sudah, OnSchedule</v>
      </c>
      <c r="Y434" s="7" t="str">
        <f ca="1">'Database MK'!GK435</f>
        <v>Sudah, OnSchedule</v>
      </c>
      <c r="Z434" s="7" t="str">
        <f ca="1">'Database MK'!HH435</f>
        <v>Sudah, OnSchedule</v>
      </c>
      <c r="AA434" s="7" t="str">
        <f ca="1">'Database MK'!HR435</f>
        <v>Sudah, Delay</v>
      </c>
      <c r="AB434" s="7" t="str">
        <f ca="1">'Database MK'!HX435</f>
        <v>Sudah, Delay</v>
      </c>
      <c r="AC434" s="7">
        <f>'Database MK'!DA435-'Database MK'!DB435</f>
        <v>25</v>
      </c>
      <c r="AD434" s="7">
        <f>'Database MK'!DA435-'Database MK'!DF435</f>
        <v>6</v>
      </c>
      <c r="AE434" s="7">
        <f>'Database MK'!DK435-'Database MK'!DL435</f>
        <v>41</v>
      </c>
      <c r="AF434" s="7">
        <f>'Database MK'!DK435-'Database MK'!DO435</f>
        <v>20</v>
      </c>
      <c r="AG434" s="7">
        <f>'Database MK'!DU435-'Database MK'!DW435</f>
        <v>20</v>
      </c>
      <c r="AH434" s="7">
        <f>IF('Database MK'!EB435="","Belum",'Database MK'!DU435-'Database MK'!EB435)</f>
        <v>-46</v>
      </c>
      <c r="AI434" s="7" t="str">
        <f>IF('Database MK'!EN435="","Belum",'Database MK'!EL435-'Database MK'!EN435)</f>
        <v>Belum</v>
      </c>
      <c r="AJ434" s="7">
        <f>'Database MK'!FY435-'Database MK'!FZ435</f>
        <v>73</v>
      </c>
      <c r="AK434" s="7">
        <f>IF('Database MK'!GC435="","Belum",'Database MK'!GB435-'Database MK'!GC435)</f>
        <v>45</v>
      </c>
      <c r="AL434" s="7">
        <f>IF('Database MK'!GF435="","Belum",'Database MK'!GE435-'Database MK'!GF435)</f>
        <v>52</v>
      </c>
      <c r="AM434" s="279">
        <f>IF('Database MK'!GJ435="","Belum",'Database MK'!GI435-'Database MK'!GJ435)</f>
        <v>61</v>
      </c>
      <c r="AN434" s="7">
        <f>IF('Database MK'!HG435="","Belum",'Database MK'!HF435-'Database MK'!HG435)</f>
        <v>61</v>
      </c>
      <c r="AO434" s="7">
        <f>IF('Database MK'!HQ435="","Belum",'Database MK'!HN435-'Database MK'!HQ435)</f>
        <v>-13</v>
      </c>
      <c r="AP434" s="7">
        <f>IF('Database MK'!HW435="","Belum",'Database MK'!HU435-'Database MK'!HW435)</f>
        <v>-12</v>
      </c>
    </row>
    <row r="435" spans="2:42" hidden="1" x14ac:dyDescent="0.25">
      <c r="B435" s="7">
        <f>SUBTOTAL(3,$C$4:C435)</f>
        <v>74</v>
      </c>
      <c r="C435" s="269" t="s">
        <v>629</v>
      </c>
      <c r="D435" s="4" t="s">
        <v>3430</v>
      </c>
      <c r="E435" s="4" t="s">
        <v>3431</v>
      </c>
      <c r="F435" s="270">
        <v>46296</v>
      </c>
      <c r="G435" s="4" t="s">
        <v>681</v>
      </c>
      <c r="H435" s="4" t="str">
        <f ca="1">'Database MK'!Q436</f>
        <v>DPPP</v>
      </c>
      <c r="I435" s="24">
        <f>'Database MK'!S436</f>
        <v>0.99999999999999967</v>
      </c>
      <c r="J435" s="24">
        <f>'Database MK'!T436</f>
        <v>1</v>
      </c>
      <c r="K435" s="571">
        <f>'Database MK'!U436</f>
        <v>0</v>
      </c>
      <c r="L435" s="561">
        <f>'Database MK'!V436</f>
        <v>438.8</v>
      </c>
      <c r="M435" s="561">
        <f>'Database MK'!W436</f>
        <v>475</v>
      </c>
      <c r="N435" s="561">
        <f>Table3[[#This Row],[Total Panjang Pipa Aktual]]-Table3[[#This Row],[Volume
BA MC-0]]</f>
        <v>36.199999999999989</v>
      </c>
      <c r="O435" s="7" t="str">
        <f ca="1">'Database MK'!DE436</f>
        <v>Sudah, OnSchedule</v>
      </c>
      <c r="P435" s="7" t="str">
        <f ca="1">'Database MK'!DI436</f>
        <v>Sudah, OnSchedule</v>
      </c>
      <c r="Q435" s="7" t="str">
        <f ca="1">'Database MK'!DN436</f>
        <v>Sudah, OnSchedule</v>
      </c>
      <c r="R435" s="7" t="str">
        <f ca="1">'Database MK'!DR436</f>
        <v>Sudah, OnSchedule</v>
      </c>
      <c r="S435" s="7" t="str">
        <f ca="1">'Database MK'!EA436</f>
        <v>Sudah, OnSchedule</v>
      </c>
      <c r="T435" s="7" t="str">
        <f ca="1">'Database MK'!EI436</f>
        <v>Belum, Delay</v>
      </c>
      <c r="U435" s="7" t="str">
        <f ca="1">'Database MK'!ET436</f>
        <v>Belum, Delay</v>
      </c>
      <c r="V435" s="7" t="str">
        <f ca="1">'Database MK'!GA436</f>
        <v>Sudah, OnSchedule</v>
      </c>
      <c r="W435" s="7" t="str">
        <f ca="1">'Database MK'!GD436</f>
        <v>Sudah, OnSchedule</v>
      </c>
      <c r="X435" s="7" t="str">
        <f ca="1">'Database MK'!GG436</f>
        <v>Sudah, OnSchedule</v>
      </c>
      <c r="Y435" s="7" t="str">
        <f ca="1">'Database MK'!GK436</f>
        <v>Sudah, OnSchedule</v>
      </c>
      <c r="Z435" s="7" t="str">
        <f ca="1">'Database MK'!HH436</f>
        <v>Sudah, OnSchedule</v>
      </c>
      <c r="AA435" s="7" t="str">
        <f ca="1">'Database MK'!HR436</f>
        <v>Sudah, Delay</v>
      </c>
      <c r="AB435" s="7" t="str">
        <f ca="1">'Database MK'!HX436</f>
        <v>Sudah, Delay</v>
      </c>
      <c r="AC435" s="7">
        <f>'Database MK'!DA436-'Database MK'!DB436</f>
        <v>31</v>
      </c>
      <c r="AD435" s="7">
        <f>'Database MK'!DA436-'Database MK'!DF436</f>
        <v>6</v>
      </c>
      <c r="AE435" s="7">
        <f>'Database MK'!DK436-'Database MK'!DL436</f>
        <v>41</v>
      </c>
      <c r="AF435" s="7">
        <f>'Database MK'!DK436-'Database MK'!DO436</f>
        <v>20</v>
      </c>
      <c r="AG435" s="7">
        <f>'Database MK'!DU436-'Database MK'!DW436</f>
        <v>20</v>
      </c>
      <c r="AH435" s="7" t="str">
        <f>IF('Database MK'!EB436="","Belum",'Database MK'!DU436-'Database MK'!EB436)</f>
        <v>Belum</v>
      </c>
      <c r="AI435" s="7" t="str">
        <f>IF('Database MK'!EN436="","Belum",'Database MK'!EL436-'Database MK'!EN436)</f>
        <v>Belum</v>
      </c>
      <c r="AJ435" s="7">
        <f>'Database MK'!FY436-'Database MK'!FZ436</f>
        <v>73</v>
      </c>
      <c r="AK435" s="7">
        <f>IF('Database MK'!GC436="","Belum",'Database MK'!GB436-'Database MK'!GC436)</f>
        <v>45</v>
      </c>
      <c r="AL435" s="7">
        <f>IF('Database MK'!GF436="","Belum",'Database MK'!GE436-'Database MK'!GF436)</f>
        <v>52</v>
      </c>
      <c r="AM435" s="279">
        <f>IF('Database MK'!GJ436="","Belum",'Database MK'!GI436-'Database MK'!GJ436)</f>
        <v>61</v>
      </c>
      <c r="AN435" s="7">
        <f>IF('Database MK'!HG436="","Belum",'Database MK'!HF436-'Database MK'!HG436)</f>
        <v>56</v>
      </c>
      <c r="AO435" s="7">
        <f>IF('Database MK'!HQ436="","Belum",'Database MK'!HN436-'Database MK'!HQ436)</f>
        <v>-26</v>
      </c>
      <c r="AP435" s="7">
        <f>IF('Database MK'!HW436="","Belum",'Database MK'!HU436-'Database MK'!HW436)</f>
        <v>-24</v>
      </c>
    </row>
    <row r="436" spans="2:42" hidden="1" x14ac:dyDescent="0.25">
      <c r="B436" s="7">
        <f>SUBTOTAL(3,$C$4:C436)</f>
        <v>74</v>
      </c>
      <c r="C436" s="269" t="s">
        <v>629</v>
      </c>
      <c r="D436" s="4" t="s">
        <v>3438</v>
      </c>
      <c r="E436" s="4" t="s">
        <v>3439</v>
      </c>
      <c r="F436" s="270">
        <v>46296</v>
      </c>
      <c r="G436" s="4" t="s">
        <v>681</v>
      </c>
      <c r="H436" s="4" t="str">
        <f ca="1">'Database MK'!Q437</f>
        <v>MC-0</v>
      </c>
      <c r="I436" s="24">
        <f>'Database MK'!S437</f>
        <v>1</v>
      </c>
      <c r="J436" s="24">
        <f>'Database MK'!T437</f>
        <v>9.9476771359347141E-2</v>
      </c>
      <c r="K436" s="571">
        <f>'Database MK'!U437</f>
        <v>-0.90052322864065282</v>
      </c>
      <c r="L436" s="561">
        <f>'Database MK'!V437</f>
        <v>1723</v>
      </c>
      <c r="M436" s="561">
        <f>'Database MK'!W437</f>
        <v>0</v>
      </c>
      <c r="N436" s="561">
        <f>Table3[[#This Row],[Total Panjang Pipa Aktual]]-Table3[[#This Row],[Volume
BA MC-0]]</f>
        <v>-1723</v>
      </c>
      <c r="O436" s="7" t="str">
        <f ca="1">'Database MK'!DE437</f>
        <v>Sudah, Delay</v>
      </c>
      <c r="P436" s="7" t="str">
        <f ca="1">'Database MK'!DI437</f>
        <v>Sudah, Delay</v>
      </c>
      <c r="Q436" s="7" t="str">
        <f ca="1">'Database MK'!DN437</f>
        <v>Sudah, OnSchedule</v>
      </c>
      <c r="R436" s="7" t="str">
        <f ca="1">'Database MK'!DR437</f>
        <v>Sudah, Delay</v>
      </c>
      <c r="S436" s="7" t="str">
        <f ca="1">'Database MK'!EA437</f>
        <v>Sudah, Delay</v>
      </c>
      <c r="T436" s="7" t="str">
        <f ca="1">'Database MK'!EI437</f>
        <v>Belum, Delay</v>
      </c>
      <c r="U436" s="7" t="str">
        <f ca="1">'Database MK'!ET437</f>
        <v>Belum, Delay</v>
      </c>
      <c r="V436" s="7" t="str">
        <f ca="1">'Database MK'!GA437</f>
        <v>Sudah, OnSchedule</v>
      </c>
      <c r="W436" s="7" t="str">
        <f ca="1">'Database MK'!GD437</f>
        <v>Sudah, Delay</v>
      </c>
      <c r="X436" s="7" t="str">
        <f ca="1">'Database MK'!GG437</f>
        <v>Sudah, Delay</v>
      </c>
      <c r="Y436" s="7" t="str">
        <f ca="1">'Database MK'!GK437</f>
        <v>Sudah, Delay</v>
      </c>
      <c r="Z436" s="7" t="str">
        <f ca="1">'Database MK'!HH437</f>
        <v>Belum, Delay</v>
      </c>
      <c r="AA436" s="7" t="str">
        <f ca="1">'Database MK'!HR437</f>
        <v>Belum, Delay</v>
      </c>
      <c r="AB436" s="7" t="str">
        <f ca="1">'Database MK'!HX437</f>
        <v>Belum, Delay</v>
      </c>
      <c r="AC436" s="7">
        <f>'Database MK'!DA437-'Database MK'!DB437</f>
        <v>-12</v>
      </c>
      <c r="AD436" s="7">
        <f>'Database MK'!DA437-'Database MK'!DF437</f>
        <v>-30</v>
      </c>
      <c r="AE436" s="7">
        <f>'Database MK'!DK437-'Database MK'!DL437</f>
        <v>18</v>
      </c>
      <c r="AF436" s="7">
        <f>'Database MK'!DK437-'Database MK'!DO437</f>
        <v>-3</v>
      </c>
      <c r="AG436" s="7">
        <f>'Database MK'!DU437-'Database MK'!DW437</f>
        <v>-3</v>
      </c>
      <c r="AH436" s="7" t="str">
        <f>IF('Database MK'!EB437="","Belum",'Database MK'!DU437-'Database MK'!EB437)</f>
        <v>Belum</v>
      </c>
      <c r="AI436" s="7" t="str">
        <f>IF('Database MK'!EN437="","Belum",'Database MK'!EL437-'Database MK'!EN437)</f>
        <v>Belum</v>
      </c>
      <c r="AJ436" s="7">
        <f>'Database MK'!FY437-'Database MK'!FZ437</f>
        <v>20</v>
      </c>
      <c r="AK436" s="7">
        <f>IF('Database MK'!GC437="","Belum",'Database MK'!GB437-'Database MK'!GC437)</f>
        <v>-37</v>
      </c>
      <c r="AL436" s="7">
        <f>IF('Database MK'!GF437="","Belum",'Database MK'!GE437-'Database MK'!GF437)</f>
        <v>-30</v>
      </c>
      <c r="AM436" s="279">
        <f>IF('Database MK'!GJ437="","Belum",'Database MK'!GI437-'Database MK'!GJ437)</f>
        <v>-23</v>
      </c>
      <c r="AN436" s="7" t="str">
        <f>IF('Database MK'!HG437="","Belum",'Database MK'!HF437-'Database MK'!HG437)</f>
        <v>Belum</v>
      </c>
      <c r="AO436" s="7" t="str">
        <f>IF('Database MK'!HQ437="","Belum",'Database MK'!HN437-'Database MK'!HQ437)</f>
        <v>Belum</v>
      </c>
      <c r="AP436" s="7" t="str">
        <f>IF('Database MK'!HW437="","Belum",'Database MK'!HU437-'Database MK'!HW437)</f>
        <v>Belum</v>
      </c>
    </row>
    <row r="437" spans="2:42" hidden="1" x14ac:dyDescent="0.25">
      <c r="B437" s="7">
        <f>SUBTOTAL(3,$C$4:C437)</f>
        <v>74</v>
      </c>
      <c r="C437" s="269" t="s">
        <v>629</v>
      </c>
      <c r="D437" s="4" t="s">
        <v>3445</v>
      </c>
      <c r="E437" s="4" t="s">
        <v>3446</v>
      </c>
      <c r="F437" s="270">
        <v>46296</v>
      </c>
      <c r="G437" s="4" t="s">
        <v>681</v>
      </c>
      <c r="H437" s="4" t="str">
        <f ca="1">'Database MK'!Q438</f>
        <v>MC-0</v>
      </c>
      <c r="I437" s="24">
        <f>'Database MK'!S438</f>
        <v>9.7467154224221836E-2</v>
      </c>
      <c r="J437" s="24">
        <f>'Database MK'!T438</f>
        <v>7.7792465862849797E-2</v>
      </c>
      <c r="K437" s="571">
        <f>'Database MK'!U438</f>
        <v>-1.9674688361372039E-2</v>
      </c>
      <c r="L437" s="561">
        <f>'Database MK'!V438</f>
        <v>574</v>
      </c>
      <c r="M437" s="561">
        <f>'Database MK'!W438</f>
        <v>0</v>
      </c>
      <c r="N437" s="561">
        <f>Table3[[#This Row],[Total Panjang Pipa Aktual]]-Table3[[#This Row],[Volume
BA MC-0]]</f>
        <v>-574</v>
      </c>
      <c r="O437" s="7" t="str">
        <f ca="1">'Database MK'!DE438</f>
        <v>Sudah, OnSchedule</v>
      </c>
      <c r="P437" s="7" t="str">
        <f ca="1">'Database MK'!DI438</f>
        <v>Sudah, OnSchedule</v>
      </c>
      <c r="Q437" s="7" t="str">
        <f ca="1">'Database MK'!DN438</f>
        <v>Sudah, OnSchedule</v>
      </c>
      <c r="R437" s="7" t="str">
        <f ca="1">'Database MK'!DR438</f>
        <v>Sudah, OnSchedule</v>
      </c>
      <c r="S437" s="7" t="str">
        <f ca="1">'Database MK'!EA438</f>
        <v>Sudah, OnSchedule</v>
      </c>
      <c r="T437" s="7" t="str">
        <f ca="1">'Database MK'!EI438</f>
        <v>Sudah, Delay</v>
      </c>
      <c r="U437" s="7" t="str">
        <f ca="1">'Database MK'!ET438</f>
        <v>Belum, OnSchedule</v>
      </c>
      <c r="V437" s="7" t="str">
        <f ca="1">'Database MK'!GA438</f>
        <v>Sudah, OnSchedule</v>
      </c>
      <c r="W437" s="7" t="str">
        <f ca="1">'Database MK'!GD438</f>
        <v>Sudah, OnSchedule</v>
      </c>
      <c r="X437" s="7" t="str">
        <f ca="1">'Database MK'!GG438</f>
        <v>Sudah, OnSchedule</v>
      </c>
      <c r="Y437" s="7" t="str">
        <f ca="1">'Database MK'!GK438</f>
        <v>Sudah, OnSchedule</v>
      </c>
      <c r="Z437" s="7" t="str">
        <f ca="1">'Database MK'!HH438</f>
        <v>Belum, OnSchedule</v>
      </c>
      <c r="AA437" s="7" t="str">
        <f ca="1">'Database MK'!HR438</f>
        <v>Belum, OnSchedule</v>
      </c>
      <c r="AB437" s="7" t="str">
        <f ca="1">'Database MK'!HX438</f>
        <v>Belum, OnSchedule</v>
      </c>
      <c r="AC437" s="7">
        <f>'Database MK'!DA438-'Database MK'!DB438</f>
        <v>40</v>
      </c>
      <c r="AD437" s="7">
        <f>'Database MK'!DA438-'Database MK'!DF438</f>
        <v>26</v>
      </c>
      <c r="AE437" s="7">
        <f>'Database MK'!DK438-'Database MK'!DL438</f>
        <v>109</v>
      </c>
      <c r="AF437" s="7">
        <f>'Database MK'!DK438-'Database MK'!DO438</f>
        <v>88</v>
      </c>
      <c r="AG437" s="7">
        <f>'Database MK'!DU438-'Database MK'!DW438</f>
        <v>53</v>
      </c>
      <c r="AH437" s="7">
        <f>IF('Database MK'!EB438="","Belum",'Database MK'!DU438-'Database MK'!EB438)</f>
        <v>-44</v>
      </c>
      <c r="AI437" s="7" t="str">
        <f>IF('Database MK'!EN438="","Belum",'Database MK'!EL438-'Database MK'!EN438)</f>
        <v>Belum</v>
      </c>
      <c r="AJ437" s="7">
        <f>'Database MK'!FY438-'Database MK'!FZ438</f>
        <v>101</v>
      </c>
      <c r="AK437" s="7">
        <f>IF('Database MK'!GC438="","Belum",'Database MK'!GB438-'Database MK'!GC438)</f>
        <v>54</v>
      </c>
      <c r="AL437" s="7">
        <f>IF('Database MK'!GF438="","Belum",'Database MK'!GE438-'Database MK'!GF438)</f>
        <v>61</v>
      </c>
      <c r="AM437" s="279">
        <f>IF('Database MK'!GJ438="","Belum",'Database MK'!GI438-'Database MK'!GJ438)</f>
        <v>68</v>
      </c>
      <c r="AN437" s="7" t="str">
        <f>IF('Database MK'!HG438="","Belum",'Database MK'!HF438-'Database MK'!HG438)</f>
        <v>Belum</v>
      </c>
      <c r="AO437" s="7" t="str">
        <f>IF('Database MK'!HQ438="","Belum",'Database MK'!HN438-'Database MK'!HQ438)</f>
        <v>Belum</v>
      </c>
      <c r="AP437" s="7" t="str">
        <f>IF('Database MK'!HW438="","Belum",'Database MK'!HU438-'Database MK'!HW438)</f>
        <v>Belum</v>
      </c>
    </row>
    <row r="438" spans="2:42" hidden="1" x14ac:dyDescent="0.25">
      <c r="B438" s="7">
        <f>SUBTOTAL(3,$C$4:C438)</f>
        <v>74</v>
      </c>
      <c r="C438" s="269" t="s">
        <v>629</v>
      </c>
      <c r="D438" s="4" t="s">
        <v>3453</v>
      </c>
      <c r="E438" s="4" t="s">
        <v>3454</v>
      </c>
      <c r="F438" s="270">
        <v>46296</v>
      </c>
      <c r="G438" s="4" t="s">
        <v>681</v>
      </c>
      <c r="H438" s="4" t="str">
        <f ca="1">'Database MK'!Q439</f>
        <v>MC-0</v>
      </c>
      <c r="I438" s="24">
        <f>'Database MK'!S439</f>
        <v>0.17610541232741345</v>
      </c>
      <c r="J438" s="24">
        <f>'Database MK'!T439</f>
        <v>8.2014649679598206E-2</v>
      </c>
      <c r="K438" s="571">
        <f>'Database MK'!U439</f>
        <v>-9.409076264781524E-2</v>
      </c>
      <c r="L438" s="561">
        <f>'Database MK'!V439</f>
        <v>591</v>
      </c>
      <c r="M438" s="561">
        <f>'Database MK'!W439</f>
        <v>0</v>
      </c>
      <c r="N438" s="561">
        <f>Table3[[#This Row],[Total Panjang Pipa Aktual]]-Table3[[#This Row],[Volume
BA MC-0]]</f>
        <v>-591</v>
      </c>
      <c r="O438" s="7" t="str">
        <f ca="1">'Database MK'!DE439</f>
        <v>Sudah, OnSchedule</v>
      </c>
      <c r="P438" s="7" t="str">
        <f ca="1">'Database MK'!DI439</f>
        <v>Sudah, OnSchedule</v>
      </c>
      <c r="Q438" s="7" t="str">
        <f ca="1">'Database MK'!DN439</f>
        <v>Sudah, OnSchedule</v>
      </c>
      <c r="R438" s="7" t="str">
        <f ca="1">'Database MK'!DR439</f>
        <v>Sudah, OnSchedule</v>
      </c>
      <c r="S438" s="7" t="str">
        <f ca="1">'Database MK'!EA439</f>
        <v>Sudah, OnSchedule</v>
      </c>
      <c r="T438" s="7" t="str">
        <f ca="1">'Database MK'!EI439</f>
        <v>Sudah, Delay</v>
      </c>
      <c r="U438" s="7" t="str">
        <f ca="1">'Database MK'!ET439</f>
        <v>Belum, Delay</v>
      </c>
      <c r="V438" s="7" t="str">
        <f ca="1">'Database MK'!GA439</f>
        <v>Sudah, OnSchedule</v>
      </c>
      <c r="W438" s="7" t="str">
        <f ca="1">'Database MK'!GD439</f>
        <v>Sudah, OnSchedule</v>
      </c>
      <c r="X438" s="7" t="str">
        <f ca="1">'Database MK'!GG439</f>
        <v>Sudah, OnSchedule</v>
      </c>
      <c r="Y438" s="7" t="str">
        <f ca="1">'Database MK'!GK439</f>
        <v>Sudah, OnSchedule</v>
      </c>
      <c r="Z438" s="7" t="str">
        <f ca="1">'Database MK'!HH439</f>
        <v>Belum, OnSchedule</v>
      </c>
      <c r="AA438" s="7" t="str">
        <f ca="1">'Database MK'!HR439</f>
        <v>Belum, OnSchedule</v>
      </c>
      <c r="AB438" s="7" t="str">
        <f ca="1">'Database MK'!HX439</f>
        <v>Belum, OnSchedule</v>
      </c>
      <c r="AC438" s="7">
        <f>'Database MK'!DA439-'Database MK'!DB439</f>
        <v>40</v>
      </c>
      <c r="AD438" s="7">
        <f>'Database MK'!DA439-'Database MK'!DF439</f>
        <v>26</v>
      </c>
      <c r="AE438" s="7">
        <f>'Database MK'!DK439-'Database MK'!DL439</f>
        <v>109</v>
      </c>
      <c r="AF438" s="7">
        <f>'Database MK'!DK439-'Database MK'!DO439</f>
        <v>88</v>
      </c>
      <c r="AG438" s="7">
        <f>'Database MK'!DU439-'Database MK'!DW439</f>
        <v>53</v>
      </c>
      <c r="AH438" s="7">
        <f>IF('Database MK'!EB439="","Belum",'Database MK'!DU439-'Database MK'!EB439)</f>
        <v>-45</v>
      </c>
      <c r="AI438" s="7" t="str">
        <f>IF('Database MK'!EN439="","Belum",'Database MK'!EL439-'Database MK'!EN439)</f>
        <v>Belum</v>
      </c>
      <c r="AJ438" s="7">
        <f>'Database MK'!FY439-'Database MK'!FZ439</f>
        <v>101</v>
      </c>
      <c r="AK438" s="7">
        <f>IF('Database MK'!GC439="","Belum",'Database MK'!GB439-'Database MK'!GC439)</f>
        <v>54</v>
      </c>
      <c r="AL438" s="7">
        <f>IF('Database MK'!GF439="","Belum",'Database MK'!GE439-'Database MK'!GF439)</f>
        <v>61</v>
      </c>
      <c r="AM438" s="279">
        <f>IF('Database MK'!GJ439="","Belum",'Database MK'!GI439-'Database MK'!GJ439)</f>
        <v>68</v>
      </c>
      <c r="AN438" s="7" t="str">
        <f>IF('Database MK'!HG439="","Belum",'Database MK'!HF439-'Database MK'!HG439)</f>
        <v>Belum</v>
      </c>
      <c r="AO438" s="7" t="str">
        <f>IF('Database MK'!HQ439="","Belum",'Database MK'!HN439-'Database MK'!HQ439)</f>
        <v>Belum</v>
      </c>
      <c r="AP438" s="7" t="str">
        <f>IF('Database MK'!HW439="","Belum",'Database MK'!HU439-'Database MK'!HW439)</f>
        <v>Belum</v>
      </c>
    </row>
    <row r="439" spans="2:42" hidden="1" x14ac:dyDescent="0.25">
      <c r="B439" s="7">
        <f>SUBTOTAL(3,$C$4:C439)</f>
        <v>74</v>
      </c>
      <c r="C439" s="269" t="s">
        <v>629</v>
      </c>
      <c r="D439" s="4" t="s">
        <v>3461</v>
      </c>
      <c r="E439" s="4" t="s">
        <v>3462</v>
      </c>
      <c r="F439" s="270">
        <v>46296</v>
      </c>
      <c r="G439" s="4" t="s">
        <v>681</v>
      </c>
      <c r="H439" s="4" t="str">
        <f ca="1">'Database MK'!Q440</f>
        <v>Proses Konstruksi</v>
      </c>
      <c r="I439" s="24">
        <f>'Database MK'!S440</f>
        <v>0</v>
      </c>
      <c r="J439" s="24">
        <f>'Database MK'!T440</f>
        <v>0</v>
      </c>
      <c r="K439" s="571">
        <f>'Database MK'!U440</f>
        <v>0</v>
      </c>
      <c r="L439" s="561">
        <f>'Database MK'!V440</f>
        <v>136</v>
      </c>
      <c r="M439" s="561">
        <f>'Database MK'!W440</f>
        <v>136</v>
      </c>
      <c r="N439" s="561">
        <f>Table3[[#This Row],[Total Panjang Pipa Aktual]]-Table3[[#This Row],[Volume
BA MC-0]]</f>
        <v>0</v>
      </c>
      <c r="O439" s="7" t="str">
        <f ca="1">'Database MK'!DE440</f>
        <v>Sudah, Delay</v>
      </c>
      <c r="P439" s="7" t="str">
        <f ca="1">'Database MK'!DI440</f>
        <v>Sudah, Delay</v>
      </c>
      <c r="Q439" s="7" t="str">
        <f ca="1">'Database MK'!DN440</f>
        <v>Sudah, OnSchedule</v>
      </c>
      <c r="R439" s="7" t="str">
        <f ca="1">'Database MK'!DR440</f>
        <v>Sudah, OnSchedule</v>
      </c>
      <c r="S439" s="7" t="str">
        <f ca="1">'Database MK'!EA440</f>
        <v>Sudah, Delay</v>
      </c>
      <c r="T439" s="7" t="str">
        <f ca="1">'Database MK'!EI440</f>
        <v>Belum, Delay</v>
      </c>
      <c r="U439" s="7" t="str">
        <f ca="1">'Database MK'!ET440</f>
        <v>Belum, Delay</v>
      </c>
      <c r="V439" s="7" t="str">
        <f ca="1">'Database MK'!GA440</f>
        <v>Sudah, OnSchedule</v>
      </c>
      <c r="W439" s="7" t="str">
        <f ca="1">'Database MK'!GD440</f>
        <v>Sudah, OnSchedule</v>
      </c>
      <c r="X439" s="7" t="str">
        <f ca="1">'Database MK'!GG440</f>
        <v>Sudah, OnSchedule</v>
      </c>
      <c r="Y439" s="7" t="str">
        <f ca="1">'Database MK'!GK440</f>
        <v>Sudah, OnSchedule</v>
      </c>
      <c r="Z439" s="7" t="str">
        <f ca="1">'Database MK'!HH440</f>
        <v>Belum, OnSchedule</v>
      </c>
      <c r="AA439" s="7" t="str">
        <f ca="1">'Database MK'!HR440</f>
        <v>Belum, OnSchedule</v>
      </c>
      <c r="AB439" s="7" t="str">
        <f ca="1">'Database MK'!HX440</f>
        <v>Belum, OnSchedule</v>
      </c>
      <c r="AC439" s="7">
        <f>'Database MK'!DA440-'Database MK'!DB440</f>
        <v>-23</v>
      </c>
      <c r="AD439" s="7">
        <f>'Database MK'!DA440-'Database MK'!DF440</f>
        <v>-52</v>
      </c>
      <c r="AE439" s="7">
        <f>'Database MK'!DK440-'Database MK'!DL440</f>
        <v>31</v>
      </c>
      <c r="AF439" s="7">
        <f>'Database MK'!DK440-'Database MK'!DO440</f>
        <v>13</v>
      </c>
      <c r="AG439" s="7">
        <f>'Database MK'!DU440-'Database MK'!DW440</f>
        <v>-32</v>
      </c>
      <c r="AH439" s="7" t="str">
        <f>IF('Database MK'!EB440="","Belum",'Database MK'!DU440-'Database MK'!EB440)</f>
        <v>Belum</v>
      </c>
      <c r="AI439" s="7" t="str">
        <f>IF('Database MK'!EN440="","Belum",'Database MK'!EL440-'Database MK'!EN440)</f>
        <v>Belum</v>
      </c>
      <c r="AJ439" s="7">
        <f>'Database MK'!FY440-'Database MK'!FZ440</f>
        <v>39</v>
      </c>
      <c r="AK439" s="7">
        <f>IF('Database MK'!GC440="","Belum",'Database MK'!GB440-'Database MK'!GC440)</f>
        <v>54</v>
      </c>
      <c r="AL439" s="7">
        <f>IF('Database MK'!GF440="","Belum",'Database MK'!GE440-'Database MK'!GF440)</f>
        <v>61</v>
      </c>
      <c r="AM439" s="279">
        <f>IF('Database MK'!GJ440="","Belum",'Database MK'!GI440-'Database MK'!GJ440)</f>
        <v>67</v>
      </c>
      <c r="AN439" s="7" t="str">
        <f>IF('Database MK'!HG440="","Belum",'Database MK'!HF440-'Database MK'!HG440)</f>
        <v>Belum</v>
      </c>
      <c r="AO439" s="7" t="str">
        <f>IF('Database MK'!HQ440="","Belum",'Database MK'!HN440-'Database MK'!HQ440)</f>
        <v>Belum</v>
      </c>
      <c r="AP439" s="7" t="str">
        <f>IF('Database MK'!HW440="","Belum",'Database MK'!HU440-'Database MK'!HW440)</f>
        <v>Belum</v>
      </c>
    </row>
    <row r="440" spans="2:42" hidden="1" x14ac:dyDescent="0.25">
      <c r="B440" s="7">
        <f>SUBTOTAL(3,$C$4:C440)</f>
        <v>74</v>
      </c>
      <c r="C440" s="269" t="s">
        <v>244</v>
      </c>
      <c r="D440" s="4" t="s">
        <v>3469</v>
      </c>
      <c r="E440" s="4" t="s">
        <v>3470</v>
      </c>
      <c r="F440" s="270">
        <v>46478</v>
      </c>
      <c r="G440" s="4" t="s">
        <v>247</v>
      </c>
      <c r="H440" s="4" t="str">
        <f ca="1">'Database MK'!Q441</f>
        <v>Persiapan</v>
      </c>
      <c r="I440" s="24">
        <f>'Database MK'!S441</f>
        <v>0</v>
      </c>
      <c r="J440" s="24">
        <f>'Database MK'!T441</f>
        <v>0</v>
      </c>
      <c r="K440" s="571">
        <f>'Database MK'!U441</f>
        <v>0</v>
      </c>
      <c r="L440" s="561">
        <f>'Database MK'!V441</f>
        <v>0</v>
      </c>
      <c r="M440" s="561">
        <f>'Database MK'!W441</f>
        <v>0</v>
      </c>
      <c r="N440" s="561">
        <f>Table3[[#This Row],[Total Panjang Pipa Aktual]]-Table3[[#This Row],[Volume
BA MC-0]]</f>
        <v>0</v>
      </c>
      <c r="O440" s="7" t="str">
        <f ca="1">'Database MK'!DE441</f>
        <v>Belum, Delay</v>
      </c>
      <c r="P440" s="7" t="str">
        <f ca="1">'Database MK'!DI441</f>
        <v>Belum, Delay</v>
      </c>
      <c r="Q440" s="7" t="str">
        <f ca="1">'Database MK'!DN441</f>
        <v>Belum, Delay</v>
      </c>
      <c r="R440" s="7" t="str">
        <f ca="1">'Database MK'!DR441</f>
        <v>Belum, Delay</v>
      </c>
      <c r="S440" s="7" t="str">
        <f ca="1">'Database MK'!EA441</f>
        <v>Belum, Delay</v>
      </c>
      <c r="T440" s="7" t="str">
        <f ca="1">'Database MK'!EI441</f>
        <v>Belum, Delay</v>
      </c>
      <c r="U440" s="7" t="str">
        <f ca="1">'Database MK'!ET441</f>
        <v>Belum, Delay</v>
      </c>
      <c r="V440" s="7" t="str">
        <f ca="1">'Database MK'!GA441</f>
        <v>Belum, Delay</v>
      </c>
      <c r="W440" s="7" t="str">
        <f ca="1">'Database MK'!GD441</f>
        <v>Belum, Delay</v>
      </c>
      <c r="X440" s="7" t="str">
        <f ca="1">'Database MK'!GG441</f>
        <v>Belum, Delay</v>
      </c>
      <c r="Y440" s="7" t="str">
        <f ca="1">'Database MK'!GK441</f>
        <v>Belum, Delay</v>
      </c>
      <c r="Z440" s="7" t="str">
        <f ca="1">'Database MK'!HH441</f>
        <v>Belum, Delay</v>
      </c>
      <c r="AA440" s="7" t="str">
        <f ca="1">'Database MK'!HR441</f>
        <v>Belum, Delay</v>
      </c>
      <c r="AB440" s="7" t="str">
        <f ca="1">'Database MK'!HX441</f>
        <v>Belum, Delay</v>
      </c>
      <c r="AC440" s="7">
        <f>'Database MK'!DA441-'Database MK'!DB441</f>
        <v>0</v>
      </c>
      <c r="AD440" s="7">
        <f>'Database MK'!DA441-'Database MK'!DF441</f>
        <v>0</v>
      </c>
      <c r="AE440" s="7">
        <f>'Database MK'!DK441-'Database MK'!DL441</f>
        <v>0</v>
      </c>
      <c r="AF440" s="7">
        <f>'Database MK'!DK441-'Database MK'!DO441</f>
        <v>0</v>
      </c>
      <c r="AG440" s="7">
        <f>'Database MK'!DU441-'Database MK'!DW441</f>
        <v>0</v>
      </c>
      <c r="AH440" s="7" t="str">
        <f>IF('Database MK'!EB441="","Belum",'Database MK'!DU441-'Database MK'!EB441)</f>
        <v>Belum</v>
      </c>
      <c r="AI440" s="7" t="str">
        <f>IF('Database MK'!EN441="","Belum",'Database MK'!EL441-'Database MK'!EN441)</f>
        <v>Belum</v>
      </c>
      <c r="AJ440" s="7">
        <f>'Database MK'!FY441-'Database MK'!FZ441</f>
        <v>0</v>
      </c>
      <c r="AK440" s="7" t="str">
        <f>IF('Database MK'!GC441="","Belum",'Database MK'!GB441-'Database MK'!GC441)</f>
        <v>Belum</v>
      </c>
      <c r="AL440" s="7" t="str">
        <f>IF('Database MK'!GF441="","Belum",'Database MK'!GE441-'Database MK'!GF441)</f>
        <v>Belum</v>
      </c>
      <c r="AM440" s="279" t="str">
        <f>IF('Database MK'!GJ441="","Belum",'Database MK'!GI441-'Database MK'!GJ441)</f>
        <v>Belum</v>
      </c>
      <c r="AN440" s="7" t="str">
        <f>IF('Database MK'!HG441="","Belum",'Database MK'!HF441-'Database MK'!HG441)</f>
        <v>Belum</v>
      </c>
      <c r="AO440" s="7" t="str">
        <f>IF('Database MK'!HQ441="","Belum",'Database MK'!HN441-'Database MK'!HQ441)</f>
        <v>Belum</v>
      </c>
      <c r="AP440" s="7" t="str">
        <f>IF('Database MK'!HW441="","Belum",'Database MK'!HU441-'Database MK'!HW441)</f>
        <v>Belum</v>
      </c>
    </row>
    <row r="441" spans="2:42" hidden="1" x14ac:dyDescent="0.25">
      <c r="B441" s="7">
        <f>SUBTOTAL(3,$C$4:C441)</f>
        <v>74</v>
      </c>
      <c r="C441" s="269" t="s">
        <v>244</v>
      </c>
      <c r="D441" s="7" t="s">
        <v>3471</v>
      </c>
      <c r="E441" s="4" t="s">
        <v>3472</v>
      </c>
      <c r="F441" s="270">
        <v>46478</v>
      </c>
      <c r="G441" s="4" t="s">
        <v>247</v>
      </c>
      <c r="H441" s="4" t="str">
        <f ca="1">'Database MK'!Q442</f>
        <v>Persiapan</v>
      </c>
      <c r="I441" s="24">
        <f>'Database MK'!S442</f>
        <v>0</v>
      </c>
      <c r="J441" s="24">
        <f>'Database MK'!T442</f>
        <v>0</v>
      </c>
      <c r="K441" s="571">
        <f>'Database MK'!U442</f>
        <v>0</v>
      </c>
      <c r="L441" s="561">
        <f>'Database MK'!V442</f>
        <v>0</v>
      </c>
      <c r="M441" s="561">
        <f>'Database MK'!W442</f>
        <v>0</v>
      </c>
      <c r="N441" s="561">
        <f>Table3[[#This Row],[Total Panjang Pipa Aktual]]-Table3[[#This Row],[Volume
BA MC-0]]</f>
        <v>0</v>
      </c>
      <c r="O441" s="7" t="str">
        <f ca="1">'Database MK'!DE442</f>
        <v>Belum, Delay</v>
      </c>
      <c r="P441" s="7" t="str">
        <f ca="1">'Database MK'!DI442</f>
        <v>Belum, Delay</v>
      </c>
      <c r="Q441" s="7" t="str">
        <f ca="1">'Database MK'!DN442</f>
        <v>Belum, Delay</v>
      </c>
      <c r="R441" s="7" t="str">
        <f ca="1">'Database MK'!DR442</f>
        <v>Belum, Delay</v>
      </c>
      <c r="S441" s="7" t="str">
        <f ca="1">'Database MK'!EA442</f>
        <v>Belum, Delay</v>
      </c>
      <c r="T441" s="7" t="str">
        <f ca="1">'Database MK'!EI442</f>
        <v>Belum, Delay</v>
      </c>
      <c r="U441" s="7" t="str">
        <f ca="1">'Database MK'!ET442</f>
        <v>Belum, Delay</v>
      </c>
      <c r="V441" s="7" t="str">
        <f ca="1">'Database MK'!GA442</f>
        <v>Belum, Delay</v>
      </c>
      <c r="W441" s="7" t="str">
        <f ca="1">'Database MK'!GD442</f>
        <v>Belum, Delay</v>
      </c>
      <c r="X441" s="7" t="str">
        <f ca="1">'Database MK'!GG442</f>
        <v>Belum, Delay</v>
      </c>
      <c r="Y441" s="7" t="str">
        <f ca="1">'Database MK'!GK442</f>
        <v>Belum, Delay</v>
      </c>
      <c r="Z441" s="7" t="str">
        <f ca="1">'Database MK'!HH442</f>
        <v>Belum, Delay</v>
      </c>
      <c r="AA441" s="7" t="str">
        <f ca="1">'Database MK'!HR442</f>
        <v>Belum, Delay</v>
      </c>
      <c r="AB441" s="7" t="str">
        <f ca="1">'Database MK'!HX442</f>
        <v>Belum, Delay</v>
      </c>
      <c r="AC441" s="7">
        <f>'Database MK'!DA442-'Database MK'!DB442</f>
        <v>0</v>
      </c>
      <c r="AD441" s="7">
        <f>'Database MK'!DA442-'Database MK'!DF442</f>
        <v>0</v>
      </c>
      <c r="AE441" s="7">
        <f>'Database MK'!DK442-'Database MK'!DL442</f>
        <v>0</v>
      </c>
      <c r="AF441" s="7">
        <f>'Database MK'!DK442-'Database MK'!DO442</f>
        <v>0</v>
      </c>
      <c r="AG441" s="7">
        <f>'Database MK'!DU442-'Database MK'!DW442</f>
        <v>0</v>
      </c>
      <c r="AH441" s="7" t="str">
        <f>IF('Database MK'!EB442="","Belum",'Database MK'!DU442-'Database MK'!EB442)</f>
        <v>Belum</v>
      </c>
      <c r="AI441" s="7" t="str">
        <f>IF('Database MK'!EN442="","Belum",'Database MK'!EL442-'Database MK'!EN442)</f>
        <v>Belum</v>
      </c>
      <c r="AJ441" s="7">
        <f>'Database MK'!FY442-'Database MK'!FZ442</f>
        <v>0</v>
      </c>
      <c r="AK441" s="7" t="str">
        <f>IF('Database MK'!GC442="","Belum",'Database MK'!GB442-'Database MK'!GC442)</f>
        <v>Belum</v>
      </c>
      <c r="AL441" s="7" t="str">
        <f>IF('Database MK'!GF442="","Belum",'Database MK'!GE442-'Database MK'!GF442)</f>
        <v>Belum</v>
      </c>
      <c r="AM441" s="279" t="str">
        <f>IF('Database MK'!GJ442="","Belum",'Database MK'!GI442-'Database MK'!GJ442)</f>
        <v>Belum</v>
      </c>
      <c r="AN441" s="7" t="str">
        <f>IF('Database MK'!HG442="","Belum",'Database MK'!HF442-'Database MK'!HG442)</f>
        <v>Belum</v>
      </c>
      <c r="AO441" s="7" t="str">
        <f>IF('Database MK'!HQ442="","Belum",'Database MK'!HN442-'Database MK'!HQ442)</f>
        <v>Belum</v>
      </c>
      <c r="AP441" s="7" t="str">
        <f>IF('Database MK'!HW442="","Belum",'Database MK'!HU442-'Database MK'!HW442)</f>
        <v>Belum</v>
      </c>
    </row>
    <row r="442" spans="2:42" hidden="1" x14ac:dyDescent="0.25">
      <c r="B442" s="7">
        <f>SUBTOTAL(3,$C$4:C442)</f>
        <v>74</v>
      </c>
      <c r="C442" s="269" t="s">
        <v>244</v>
      </c>
      <c r="D442" s="7" t="s">
        <v>3473</v>
      </c>
      <c r="E442" s="4" t="s">
        <v>3474</v>
      </c>
      <c r="F442" s="270">
        <v>46478</v>
      </c>
      <c r="G442" s="4" t="s">
        <v>247</v>
      </c>
      <c r="H442" s="4" t="str">
        <f ca="1">'Database MK'!Q443</f>
        <v>Persiapan</v>
      </c>
      <c r="I442" s="24">
        <f>'Database MK'!S443</f>
        <v>0</v>
      </c>
      <c r="J442" s="24">
        <f>'Database MK'!T443</f>
        <v>0</v>
      </c>
      <c r="K442" s="571">
        <f>'Database MK'!U443</f>
        <v>0</v>
      </c>
      <c r="L442" s="561">
        <f>'Database MK'!V443</f>
        <v>0</v>
      </c>
      <c r="M442" s="561">
        <f>'Database MK'!W443</f>
        <v>0</v>
      </c>
      <c r="N442" s="561">
        <f>Table3[[#This Row],[Total Panjang Pipa Aktual]]-Table3[[#This Row],[Volume
BA MC-0]]</f>
        <v>0</v>
      </c>
      <c r="O442" s="7" t="str">
        <f ca="1">'Database MK'!DE443</f>
        <v>Belum, Delay</v>
      </c>
      <c r="P442" s="7" t="str">
        <f ca="1">'Database MK'!DI443</f>
        <v>Belum, Delay</v>
      </c>
      <c r="Q442" s="7" t="str">
        <f ca="1">'Database MK'!DN443</f>
        <v>Belum, Delay</v>
      </c>
      <c r="R442" s="7" t="str">
        <f ca="1">'Database MK'!DR443</f>
        <v>Belum, Delay</v>
      </c>
      <c r="S442" s="7" t="str">
        <f ca="1">'Database MK'!EA443</f>
        <v>Belum, Delay</v>
      </c>
      <c r="T442" s="7" t="str">
        <f ca="1">'Database MK'!EI443</f>
        <v>Belum, Delay</v>
      </c>
      <c r="U442" s="7" t="str">
        <f ca="1">'Database MK'!ET443</f>
        <v>Belum, Delay</v>
      </c>
      <c r="V442" s="7" t="str">
        <f ca="1">'Database MK'!GA443</f>
        <v>Belum, Delay</v>
      </c>
      <c r="W442" s="7" t="str">
        <f ca="1">'Database MK'!GD443</f>
        <v>Belum, Delay</v>
      </c>
      <c r="X442" s="7" t="str">
        <f ca="1">'Database MK'!GG443</f>
        <v>Belum, Delay</v>
      </c>
      <c r="Y442" s="7" t="str">
        <f ca="1">'Database MK'!GK443</f>
        <v>Belum, Delay</v>
      </c>
      <c r="Z442" s="7" t="str">
        <f ca="1">'Database MK'!HH443</f>
        <v>Belum, Delay</v>
      </c>
      <c r="AA442" s="7" t="str">
        <f ca="1">'Database MK'!HR443</f>
        <v>Belum, Delay</v>
      </c>
      <c r="AB442" s="7" t="str">
        <f ca="1">'Database MK'!HX443</f>
        <v>Belum, Delay</v>
      </c>
      <c r="AC442" s="7">
        <f>'Database MK'!DA443-'Database MK'!DB443</f>
        <v>0</v>
      </c>
      <c r="AD442" s="7">
        <f>'Database MK'!DA443-'Database MK'!DF443</f>
        <v>0</v>
      </c>
      <c r="AE442" s="7">
        <f>'Database MK'!DK443-'Database MK'!DL443</f>
        <v>0</v>
      </c>
      <c r="AF442" s="7">
        <f>'Database MK'!DK443-'Database MK'!DO443</f>
        <v>0</v>
      </c>
      <c r="AG442" s="7">
        <f>'Database MK'!DU443-'Database MK'!DW443</f>
        <v>0</v>
      </c>
      <c r="AH442" s="7" t="str">
        <f>IF('Database MK'!EB443="","Belum",'Database MK'!DU443-'Database MK'!EB443)</f>
        <v>Belum</v>
      </c>
      <c r="AI442" s="7" t="str">
        <f>IF('Database MK'!EN443="","Belum",'Database MK'!EL443-'Database MK'!EN443)</f>
        <v>Belum</v>
      </c>
      <c r="AJ442" s="7">
        <f>'Database MK'!FY443-'Database MK'!FZ443</f>
        <v>0</v>
      </c>
      <c r="AK442" s="7" t="str">
        <f>IF('Database MK'!GC443="","Belum",'Database MK'!GB443-'Database MK'!GC443)</f>
        <v>Belum</v>
      </c>
      <c r="AL442" s="7" t="str">
        <f>IF('Database MK'!GF443="","Belum",'Database MK'!GE443-'Database MK'!GF443)</f>
        <v>Belum</v>
      </c>
      <c r="AM442" s="279" t="str">
        <f>IF('Database MK'!GJ443="","Belum",'Database MK'!GI443-'Database MK'!GJ443)</f>
        <v>Belum</v>
      </c>
      <c r="AN442" s="7" t="str">
        <f>IF('Database MK'!HG443="","Belum",'Database MK'!HF443-'Database MK'!HG443)</f>
        <v>Belum</v>
      </c>
      <c r="AO442" s="7" t="str">
        <f>IF('Database MK'!HQ443="","Belum",'Database MK'!HN443-'Database MK'!HQ443)</f>
        <v>Belum</v>
      </c>
      <c r="AP442" s="7" t="str">
        <f>IF('Database MK'!HW443="","Belum",'Database MK'!HU443-'Database MK'!HW443)</f>
        <v>Belum</v>
      </c>
    </row>
    <row r="443" spans="2:42" hidden="1" x14ac:dyDescent="0.25">
      <c r="B443" s="7">
        <f>SUBTOTAL(3,$C$4:C443)</f>
        <v>74</v>
      </c>
      <c r="C443" s="269" t="s">
        <v>244</v>
      </c>
      <c r="D443" s="4" t="s">
        <v>3475</v>
      </c>
      <c r="E443" s="4" t="s">
        <v>3476</v>
      </c>
      <c r="F443" s="270">
        <v>46478</v>
      </c>
      <c r="G443" s="4" t="s">
        <v>681</v>
      </c>
      <c r="H443" s="4" t="str">
        <f ca="1">'Database MK'!Q444</f>
        <v>Persiapan</v>
      </c>
      <c r="I443" s="24">
        <f>'Database MK'!S444</f>
        <v>0</v>
      </c>
      <c r="J443" s="24">
        <f>'Database MK'!T444</f>
        <v>0</v>
      </c>
      <c r="K443" s="571">
        <f>'Database MK'!U444</f>
        <v>0</v>
      </c>
      <c r="L443" s="561">
        <f>'Database MK'!V444</f>
        <v>0</v>
      </c>
      <c r="M443" s="561">
        <f>'Database MK'!W444</f>
        <v>0</v>
      </c>
      <c r="N443" s="561">
        <f>Table3[[#This Row],[Total Panjang Pipa Aktual]]-Table3[[#This Row],[Volume
BA MC-0]]</f>
        <v>0</v>
      </c>
      <c r="O443" s="7" t="str">
        <f ca="1">'Database MK'!DE444</f>
        <v>Belum, Delay</v>
      </c>
      <c r="P443" s="7" t="str">
        <f ca="1">'Database MK'!DI444</f>
        <v>Belum, Delay</v>
      </c>
      <c r="Q443" s="7" t="str">
        <f ca="1">'Database MK'!DN444</f>
        <v>Belum, Delay</v>
      </c>
      <c r="R443" s="7" t="str">
        <f ca="1">'Database MK'!DR444</f>
        <v>Belum, Delay</v>
      </c>
      <c r="S443" s="7" t="str">
        <f ca="1">'Database MK'!EA444</f>
        <v>Belum, Delay</v>
      </c>
      <c r="T443" s="7" t="str">
        <f ca="1">'Database MK'!EI444</f>
        <v>Belum, Delay</v>
      </c>
      <c r="U443" s="7" t="str">
        <f ca="1">'Database MK'!ET444</f>
        <v>Belum, Delay</v>
      </c>
      <c r="V443" s="7" t="str">
        <f ca="1">'Database MK'!GA444</f>
        <v>Belum, Delay</v>
      </c>
      <c r="W443" s="7" t="str">
        <f ca="1">'Database MK'!GD444</f>
        <v>Belum, Delay</v>
      </c>
      <c r="X443" s="7" t="str">
        <f ca="1">'Database MK'!GG444</f>
        <v>Belum, Delay</v>
      </c>
      <c r="Y443" s="7" t="str">
        <f ca="1">'Database MK'!GK444</f>
        <v>Belum, Delay</v>
      </c>
      <c r="Z443" s="7" t="str">
        <f ca="1">'Database MK'!HH444</f>
        <v>Belum, Delay</v>
      </c>
      <c r="AA443" s="7" t="str">
        <f ca="1">'Database MK'!HR444</f>
        <v>Belum, Delay</v>
      </c>
      <c r="AB443" s="7" t="str">
        <f ca="1">'Database MK'!HX444</f>
        <v>Belum, Delay</v>
      </c>
      <c r="AC443" s="7">
        <f>'Database MK'!DA444-'Database MK'!DB444</f>
        <v>0</v>
      </c>
      <c r="AD443" s="7">
        <f>'Database MK'!DA444-'Database MK'!DF444</f>
        <v>0</v>
      </c>
      <c r="AE443" s="7">
        <f>'Database MK'!DK444-'Database MK'!DL444</f>
        <v>0</v>
      </c>
      <c r="AF443" s="7">
        <f>'Database MK'!DK444-'Database MK'!DO444</f>
        <v>0</v>
      </c>
      <c r="AG443" s="7">
        <f>'Database MK'!DU444-'Database MK'!DW444</f>
        <v>0</v>
      </c>
      <c r="AH443" s="7" t="str">
        <f>IF('Database MK'!EB444="","Belum",'Database MK'!DU444-'Database MK'!EB444)</f>
        <v>Belum</v>
      </c>
      <c r="AI443" s="7" t="str">
        <f>IF('Database MK'!EN444="","Belum",'Database MK'!EL444-'Database MK'!EN444)</f>
        <v>Belum</v>
      </c>
      <c r="AJ443" s="7">
        <f>'Database MK'!FY444-'Database MK'!FZ444</f>
        <v>0</v>
      </c>
      <c r="AK443" s="7" t="str">
        <f>IF('Database MK'!GC444="","Belum",'Database MK'!GB444-'Database MK'!GC444)</f>
        <v>Belum</v>
      </c>
      <c r="AL443" s="7" t="str">
        <f>IF('Database MK'!GF444="","Belum",'Database MK'!GE444-'Database MK'!GF444)</f>
        <v>Belum</v>
      </c>
      <c r="AM443" s="279" t="str">
        <f>IF('Database MK'!GJ444="","Belum",'Database MK'!GI444-'Database MK'!GJ444)</f>
        <v>Belum</v>
      </c>
      <c r="AN443" s="7" t="str">
        <f>IF('Database MK'!HG444="","Belum",'Database MK'!HF444-'Database MK'!HG444)</f>
        <v>Belum</v>
      </c>
      <c r="AO443" s="7" t="str">
        <f>IF('Database MK'!HQ444="","Belum",'Database MK'!HN444-'Database MK'!HQ444)</f>
        <v>Belum</v>
      </c>
      <c r="AP443" s="7" t="str">
        <f>IF('Database MK'!HW444="","Belum",'Database MK'!HU444-'Database MK'!HW444)</f>
        <v>Belum</v>
      </c>
    </row>
    <row r="444" spans="2:42" hidden="1" x14ac:dyDescent="0.25">
      <c r="B444" s="7">
        <f>SUBTOTAL(3,$C$4:C444)</f>
        <v>74</v>
      </c>
      <c r="C444" s="269" t="s">
        <v>244</v>
      </c>
      <c r="D444" s="4" t="s">
        <v>3477</v>
      </c>
      <c r="E444" s="4" t="s">
        <v>3478</v>
      </c>
      <c r="F444" s="270">
        <v>46478</v>
      </c>
      <c r="G444" s="4" t="s">
        <v>681</v>
      </c>
      <c r="H444" s="4" t="str">
        <f ca="1">'Database MK'!Q445</f>
        <v>Proses Konstruksi</v>
      </c>
      <c r="I444" s="24">
        <f>'Database MK'!S445</f>
        <v>0</v>
      </c>
      <c r="J444" s="24">
        <f>'Database MK'!T445</f>
        <v>0</v>
      </c>
      <c r="K444" s="571">
        <f>'Database MK'!U445</f>
        <v>0</v>
      </c>
      <c r="L444" s="561">
        <f>'Database MK'!V445</f>
        <v>0</v>
      </c>
      <c r="M444" s="561">
        <f>'Database MK'!W445</f>
        <v>538</v>
      </c>
      <c r="N444" s="561">
        <f>Table3[[#This Row],[Total Panjang Pipa Aktual]]-Table3[[#This Row],[Volume
BA MC-0]]</f>
        <v>538</v>
      </c>
      <c r="O444" s="7" t="str">
        <f ca="1">'Database MK'!DE445</f>
        <v>Belum, Delay</v>
      </c>
      <c r="P444" s="7" t="str">
        <f ca="1">'Database MK'!DI445</f>
        <v>Belum, Delay</v>
      </c>
      <c r="Q444" s="7" t="str">
        <f ca="1">'Database MK'!DN445</f>
        <v>Belum, Delay</v>
      </c>
      <c r="R444" s="7" t="str">
        <f ca="1">'Database MK'!DR445</f>
        <v>Belum, Delay</v>
      </c>
      <c r="S444" s="7" t="str">
        <f ca="1">'Database MK'!EA445</f>
        <v>Belum, Delay</v>
      </c>
      <c r="T444" s="7" t="str">
        <f ca="1">'Database MK'!EI445</f>
        <v>Belum, Delay</v>
      </c>
      <c r="U444" s="7" t="str">
        <f ca="1">'Database MK'!ET445</f>
        <v>Belum, Delay</v>
      </c>
      <c r="V444" s="7" t="str">
        <f ca="1">'Database MK'!GA445</f>
        <v>Belum, Delay</v>
      </c>
      <c r="W444" s="7" t="str">
        <f ca="1">'Database MK'!GD445</f>
        <v>Sudah, Delay</v>
      </c>
      <c r="X444" s="7" t="str">
        <f ca="1">'Database MK'!GG445</f>
        <v>Sudah, Delay</v>
      </c>
      <c r="Y444" s="7" t="str">
        <f ca="1">'Database MK'!GK445</f>
        <v>Sudah, Delay</v>
      </c>
      <c r="Z444" s="7" t="str">
        <f ca="1">'Database MK'!HH445</f>
        <v>Belum, Delay</v>
      </c>
      <c r="AA444" s="7" t="str">
        <f ca="1">'Database MK'!HR445</f>
        <v>Belum, Delay</v>
      </c>
      <c r="AB444" s="7" t="str">
        <f ca="1">'Database MK'!HX445</f>
        <v>Belum, Delay</v>
      </c>
      <c r="AC444" s="7">
        <f>'Database MK'!DA445-'Database MK'!DB445</f>
        <v>0</v>
      </c>
      <c r="AD444" s="7">
        <f>'Database MK'!DA445-'Database MK'!DF445</f>
        <v>0</v>
      </c>
      <c r="AE444" s="7">
        <f>'Database MK'!DK445-'Database MK'!DL445</f>
        <v>0</v>
      </c>
      <c r="AF444" s="7">
        <f>'Database MK'!DK445-'Database MK'!DO445</f>
        <v>0</v>
      </c>
      <c r="AG444" s="7">
        <f>'Database MK'!DU445-'Database MK'!DW445</f>
        <v>0</v>
      </c>
      <c r="AH444" s="7" t="str">
        <f>IF('Database MK'!EB445="","Belum",'Database MK'!DU445-'Database MK'!EB445)</f>
        <v>Belum</v>
      </c>
      <c r="AI444" s="7" t="str">
        <f>IF('Database MK'!EN445="","Belum",'Database MK'!EL445-'Database MK'!EN445)</f>
        <v>Belum</v>
      </c>
      <c r="AJ444" s="7">
        <f>'Database MK'!FY445-'Database MK'!FZ445</f>
        <v>0</v>
      </c>
      <c r="AK444" s="7">
        <f>IF('Database MK'!GC445="","Belum",'Database MK'!GB445-'Database MK'!GC445)</f>
        <v>-46141</v>
      </c>
      <c r="AL444" s="7">
        <f>IF('Database MK'!GF445="","Belum",'Database MK'!GE445-'Database MK'!GF445)</f>
        <v>-46141</v>
      </c>
      <c r="AM444" s="279">
        <f>IF('Database MK'!GJ445="","Belum",'Database MK'!GI445-'Database MK'!GJ445)</f>
        <v>-46142</v>
      </c>
      <c r="AN444" s="7" t="str">
        <f>IF('Database MK'!HG445="","Belum",'Database MK'!HF445-'Database MK'!HG445)</f>
        <v>Belum</v>
      </c>
      <c r="AO444" s="7" t="str">
        <f>IF('Database MK'!HQ445="","Belum",'Database MK'!HN445-'Database MK'!HQ445)</f>
        <v>Belum</v>
      </c>
      <c r="AP444" s="7" t="str">
        <f>IF('Database MK'!HW445="","Belum",'Database MK'!HU445-'Database MK'!HW445)</f>
        <v>Belum</v>
      </c>
    </row>
    <row r="445" spans="2:42" hidden="1" x14ac:dyDescent="0.25">
      <c r="B445" s="7">
        <f>SUBTOTAL(3,$C$4:C445)</f>
        <v>74</v>
      </c>
      <c r="C445" s="269" t="s">
        <v>673</v>
      </c>
      <c r="D445" s="4" t="s">
        <v>3479</v>
      </c>
      <c r="E445" s="4" t="s">
        <v>3480</v>
      </c>
      <c r="F445" s="270">
        <v>46478</v>
      </c>
      <c r="G445" s="4" t="s">
        <v>247</v>
      </c>
      <c r="H445" s="4" t="str">
        <f ca="1">'Database MK'!Q446</f>
        <v>Persiapan</v>
      </c>
      <c r="I445" s="24">
        <f>'Database MK'!S446</f>
        <v>0</v>
      </c>
      <c r="J445" s="24">
        <f>'Database MK'!T446</f>
        <v>0</v>
      </c>
      <c r="K445" s="571">
        <f>'Database MK'!U446</f>
        <v>0</v>
      </c>
      <c r="L445" s="561">
        <f>'Database MK'!V446</f>
        <v>0</v>
      </c>
      <c r="M445" s="561">
        <f>'Database MK'!W446</f>
        <v>0</v>
      </c>
      <c r="N445" s="561">
        <f>Table3[[#This Row],[Total Panjang Pipa Aktual]]-Table3[[#This Row],[Volume
BA MC-0]]</f>
        <v>0</v>
      </c>
      <c r="O445" s="7" t="str">
        <f ca="1">'Database MK'!DE446</f>
        <v>Belum, Delay</v>
      </c>
      <c r="P445" s="7" t="str">
        <f ca="1">'Database MK'!DI446</f>
        <v>Belum, Delay</v>
      </c>
      <c r="Q445" s="7" t="str">
        <f ca="1">'Database MK'!DN446</f>
        <v>Belum, Delay</v>
      </c>
      <c r="R445" s="7" t="str">
        <f ca="1">'Database MK'!DR446</f>
        <v>Belum, Delay</v>
      </c>
      <c r="S445" s="7" t="str">
        <f ca="1">'Database MK'!EA446</f>
        <v>Belum, Delay</v>
      </c>
      <c r="T445" s="7" t="str">
        <f ca="1">'Database MK'!EI446</f>
        <v>Belum, Delay</v>
      </c>
      <c r="U445" s="7" t="str">
        <f ca="1">'Database MK'!ET446</f>
        <v>Belum, Delay</v>
      </c>
      <c r="V445" s="7" t="str">
        <f ca="1">'Database MK'!GA446</f>
        <v>Belum, Delay</v>
      </c>
      <c r="W445" s="7" t="str">
        <f ca="1">'Database MK'!GD446</f>
        <v>Belum, Delay</v>
      </c>
      <c r="X445" s="7" t="str">
        <f ca="1">'Database MK'!GG446</f>
        <v>Belum, Delay</v>
      </c>
      <c r="Y445" s="7" t="str">
        <f ca="1">'Database MK'!GK446</f>
        <v>Belum, Delay</v>
      </c>
      <c r="Z445" s="7" t="str">
        <f ca="1">'Database MK'!HH446</f>
        <v>Belum, Delay</v>
      </c>
      <c r="AA445" s="7" t="str">
        <f ca="1">'Database MK'!HR446</f>
        <v>Belum, Delay</v>
      </c>
      <c r="AB445" s="7" t="str">
        <f ca="1">'Database MK'!HX446</f>
        <v>Belum, Delay</v>
      </c>
      <c r="AC445" s="7">
        <f>'Database MK'!DA446-'Database MK'!DB446</f>
        <v>0</v>
      </c>
      <c r="AD445" s="7">
        <f>'Database MK'!DA446-'Database MK'!DF446</f>
        <v>0</v>
      </c>
      <c r="AE445" s="7">
        <f>'Database MK'!DK446-'Database MK'!DL446</f>
        <v>0</v>
      </c>
      <c r="AF445" s="7">
        <f>'Database MK'!DK446-'Database MK'!DO446</f>
        <v>0</v>
      </c>
      <c r="AG445" s="7">
        <f>'Database MK'!DU446-'Database MK'!DW446</f>
        <v>0</v>
      </c>
      <c r="AH445" s="7" t="str">
        <f>IF('Database MK'!EB446="","Belum",'Database MK'!DU446-'Database MK'!EB446)</f>
        <v>Belum</v>
      </c>
      <c r="AI445" s="7" t="str">
        <f>IF('Database MK'!EN446="","Belum",'Database MK'!EL446-'Database MK'!EN446)</f>
        <v>Belum</v>
      </c>
      <c r="AJ445" s="7">
        <f>'Database MK'!FY446-'Database MK'!FZ446</f>
        <v>0</v>
      </c>
      <c r="AK445" s="7" t="str">
        <f>IF('Database MK'!GC446="","Belum",'Database MK'!GB446-'Database MK'!GC446)</f>
        <v>Belum</v>
      </c>
      <c r="AL445" s="7" t="str">
        <f>IF('Database MK'!GF446="","Belum",'Database MK'!GE446-'Database MK'!GF446)</f>
        <v>Belum</v>
      </c>
      <c r="AM445" s="279" t="str">
        <f>IF('Database MK'!GJ446="","Belum",'Database MK'!GI446-'Database MK'!GJ446)</f>
        <v>Belum</v>
      </c>
      <c r="AN445" s="7" t="str">
        <f>IF('Database MK'!HG446="","Belum",'Database MK'!HF446-'Database MK'!HG446)</f>
        <v>Belum</v>
      </c>
      <c r="AO445" s="7" t="str">
        <f>IF('Database MK'!HQ446="","Belum",'Database MK'!HN446-'Database MK'!HQ446)</f>
        <v>Belum</v>
      </c>
      <c r="AP445" s="7" t="str">
        <f>IF('Database MK'!HW446="","Belum",'Database MK'!HU446-'Database MK'!HW446)</f>
        <v>Belum</v>
      </c>
    </row>
    <row r="446" spans="2:42" hidden="1" x14ac:dyDescent="0.25">
      <c r="B446" s="7">
        <f>SUBTOTAL(3,$C$4:C446)</f>
        <v>74</v>
      </c>
      <c r="C446" s="269" t="s">
        <v>673</v>
      </c>
      <c r="D446" s="4" t="s">
        <v>3481</v>
      </c>
      <c r="E446" s="4" t="s">
        <v>3482</v>
      </c>
      <c r="F446" s="270">
        <v>46478</v>
      </c>
      <c r="G446" s="4" t="s">
        <v>247</v>
      </c>
      <c r="H446" s="4" t="str">
        <f ca="1">'Database MK'!Q447</f>
        <v>Persiapan</v>
      </c>
      <c r="I446" s="24">
        <f>'Database MK'!S447</f>
        <v>0</v>
      </c>
      <c r="J446" s="24">
        <f>'Database MK'!T447</f>
        <v>0</v>
      </c>
      <c r="K446" s="571">
        <f>'Database MK'!U447</f>
        <v>0</v>
      </c>
      <c r="L446" s="561">
        <f>'Database MK'!V447</f>
        <v>0</v>
      </c>
      <c r="M446" s="561">
        <f>'Database MK'!W447</f>
        <v>0</v>
      </c>
      <c r="N446" s="561">
        <f>Table3[[#This Row],[Total Panjang Pipa Aktual]]-Table3[[#This Row],[Volume
BA MC-0]]</f>
        <v>0</v>
      </c>
      <c r="O446" s="7" t="str">
        <f ca="1">'Database MK'!DE447</f>
        <v>Belum, Delay</v>
      </c>
      <c r="P446" s="7" t="str">
        <f ca="1">'Database MK'!DI447</f>
        <v>Belum, Delay</v>
      </c>
      <c r="Q446" s="7" t="str">
        <f ca="1">'Database MK'!DN447</f>
        <v>Belum, Delay</v>
      </c>
      <c r="R446" s="7" t="str">
        <f ca="1">'Database MK'!DR447</f>
        <v>Belum, Delay</v>
      </c>
      <c r="S446" s="7" t="str">
        <f ca="1">'Database MK'!EA447</f>
        <v>Belum, Delay</v>
      </c>
      <c r="T446" s="7" t="str">
        <f ca="1">'Database MK'!EI447</f>
        <v>Belum, Delay</v>
      </c>
      <c r="U446" s="7" t="str">
        <f ca="1">'Database MK'!ET447</f>
        <v>Belum, Delay</v>
      </c>
      <c r="V446" s="7" t="str">
        <f ca="1">'Database MK'!GA447</f>
        <v>Belum, Delay</v>
      </c>
      <c r="W446" s="7" t="str">
        <f ca="1">'Database MK'!GD447</f>
        <v>Belum, Delay</v>
      </c>
      <c r="X446" s="7" t="str">
        <f ca="1">'Database MK'!GG447</f>
        <v>Belum, Delay</v>
      </c>
      <c r="Y446" s="7" t="str">
        <f ca="1">'Database MK'!GK447</f>
        <v>Belum, Delay</v>
      </c>
      <c r="Z446" s="7" t="str">
        <f ca="1">'Database MK'!HH447</f>
        <v>Belum, Delay</v>
      </c>
      <c r="AA446" s="7" t="str">
        <f ca="1">'Database MK'!HR447</f>
        <v>Belum, Delay</v>
      </c>
      <c r="AB446" s="7" t="str">
        <f ca="1">'Database MK'!HX447</f>
        <v>Belum, Delay</v>
      </c>
      <c r="AC446" s="7">
        <f>'Database MK'!DA447-'Database MK'!DB447</f>
        <v>0</v>
      </c>
      <c r="AD446" s="7">
        <f>'Database MK'!DA447-'Database MK'!DF447</f>
        <v>0</v>
      </c>
      <c r="AE446" s="7">
        <f>'Database MK'!DK447-'Database MK'!DL447</f>
        <v>0</v>
      </c>
      <c r="AF446" s="7">
        <f>'Database MK'!DK447-'Database MK'!DO447</f>
        <v>0</v>
      </c>
      <c r="AG446" s="7">
        <f>'Database MK'!DU447-'Database MK'!DW447</f>
        <v>0</v>
      </c>
      <c r="AH446" s="7" t="str">
        <f>IF('Database MK'!EB447="","Belum",'Database MK'!DU447-'Database MK'!EB447)</f>
        <v>Belum</v>
      </c>
      <c r="AI446" s="7" t="str">
        <f>IF('Database MK'!EN447="","Belum",'Database MK'!EL447-'Database MK'!EN447)</f>
        <v>Belum</v>
      </c>
      <c r="AJ446" s="7">
        <f>'Database MK'!FY447-'Database MK'!FZ447</f>
        <v>0</v>
      </c>
      <c r="AK446" s="7" t="str">
        <f>IF('Database MK'!GC447="","Belum",'Database MK'!GB447-'Database MK'!GC447)</f>
        <v>Belum</v>
      </c>
      <c r="AL446" s="7" t="str">
        <f>IF('Database MK'!GF447="","Belum",'Database MK'!GE447-'Database MK'!GF447)</f>
        <v>Belum</v>
      </c>
      <c r="AM446" s="279" t="str">
        <f>IF('Database MK'!GJ447="","Belum",'Database MK'!GI447-'Database MK'!GJ447)</f>
        <v>Belum</v>
      </c>
      <c r="AN446" s="7" t="str">
        <f>IF('Database MK'!HG447="","Belum",'Database MK'!HF447-'Database MK'!HG447)</f>
        <v>Belum</v>
      </c>
      <c r="AO446" s="7" t="str">
        <f>IF('Database MK'!HQ447="","Belum",'Database MK'!HN447-'Database MK'!HQ447)</f>
        <v>Belum</v>
      </c>
      <c r="AP446" s="7" t="str">
        <f>IF('Database MK'!HW447="","Belum",'Database MK'!HU447-'Database MK'!HW447)</f>
        <v>Belum</v>
      </c>
    </row>
    <row r="447" spans="2:42" hidden="1" x14ac:dyDescent="0.25">
      <c r="B447" s="7">
        <f>SUBTOTAL(3,$C$4:C447)</f>
        <v>74</v>
      </c>
      <c r="C447" s="269" t="s">
        <v>673</v>
      </c>
      <c r="D447" s="4" t="s">
        <v>3483</v>
      </c>
      <c r="E447" s="4" t="s">
        <v>3484</v>
      </c>
      <c r="F447" s="270">
        <v>46478</v>
      </c>
      <c r="G447" s="4" t="s">
        <v>681</v>
      </c>
      <c r="H447" s="4" t="str">
        <f ca="1">'Database MK'!Q448</f>
        <v>MC-0</v>
      </c>
      <c r="I447" s="24">
        <f>'Database MK'!S448</f>
        <v>0</v>
      </c>
      <c r="J447" s="24">
        <f>'Database MK'!T448</f>
        <v>0</v>
      </c>
      <c r="K447" s="571">
        <f>'Database MK'!U448</f>
        <v>0</v>
      </c>
      <c r="L447" s="561">
        <f>'Database MK'!V448</f>
        <v>0</v>
      </c>
      <c r="M447" s="561">
        <f>'Database MK'!W448</f>
        <v>0</v>
      </c>
      <c r="N447" s="561">
        <f>Table3[[#This Row],[Total Panjang Pipa Aktual]]-Table3[[#This Row],[Volume
BA MC-0]]</f>
        <v>0</v>
      </c>
      <c r="O447" s="7" t="str">
        <f ca="1">'Database MK'!DE448</f>
        <v>Belum, Delay</v>
      </c>
      <c r="P447" s="7" t="str">
        <f ca="1">'Database MK'!DI448</f>
        <v>Belum, Delay</v>
      </c>
      <c r="Q447" s="7" t="str">
        <f ca="1">'Database MK'!DN448</f>
        <v>Belum, Delay</v>
      </c>
      <c r="R447" s="7" t="str">
        <f ca="1">'Database MK'!DR448</f>
        <v>Belum, Delay</v>
      </c>
      <c r="S447" s="7" t="str">
        <f ca="1">'Database MK'!EA448</f>
        <v>Belum, Delay</v>
      </c>
      <c r="T447" s="7" t="str">
        <f ca="1">'Database MK'!EI448</f>
        <v>Belum, Delay</v>
      </c>
      <c r="U447" s="7" t="str">
        <f ca="1">'Database MK'!ET448</f>
        <v>Belum, Delay</v>
      </c>
      <c r="V447" s="7" t="str">
        <f ca="1">'Database MK'!GA448</f>
        <v>Belum, Delay</v>
      </c>
      <c r="W447" s="7" t="str">
        <f ca="1">'Database MK'!GD448</f>
        <v>Belum, Delay</v>
      </c>
      <c r="X447" s="7" t="str">
        <f ca="1">'Database MK'!GG448</f>
        <v>Belum, Delay</v>
      </c>
      <c r="Y447" s="7" t="str">
        <f ca="1">'Database MK'!GK448</f>
        <v>Sudah, Delay</v>
      </c>
      <c r="Z447" s="7" t="str">
        <f ca="1">'Database MK'!HH448</f>
        <v>Belum, Delay</v>
      </c>
      <c r="AA447" s="7" t="str">
        <f ca="1">'Database MK'!HR448</f>
        <v>Belum, Delay</v>
      </c>
      <c r="AB447" s="7" t="str">
        <f ca="1">'Database MK'!HX448</f>
        <v>Belum, Delay</v>
      </c>
      <c r="AC447" s="7">
        <f>'Database MK'!DA448-'Database MK'!DB448</f>
        <v>0</v>
      </c>
      <c r="AD447" s="7">
        <f>'Database MK'!DA448-'Database MK'!DF448</f>
        <v>0</v>
      </c>
      <c r="AE447" s="7">
        <f>'Database MK'!DK448-'Database MK'!DL448</f>
        <v>0</v>
      </c>
      <c r="AF447" s="7">
        <f>'Database MK'!DK448-'Database MK'!DO448</f>
        <v>0</v>
      </c>
      <c r="AG447" s="7">
        <f>'Database MK'!DU448-'Database MK'!DW448</f>
        <v>0</v>
      </c>
      <c r="AH447" s="7" t="str">
        <f>IF('Database MK'!EB448="","Belum",'Database MK'!DU448-'Database MK'!EB448)</f>
        <v>Belum</v>
      </c>
      <c r="AI447" s="7" t="str">
        <f>IF('Database MK'!EN448="","Belum",'Database MK'!EL448-'Database MK'!EN448)</f>
        <v>Belum</v>
      </c>
      <c r="AJ447" s="7">
        <f>'Database MK'!FY448-'Database MK'!FZ448</f>
        <v>0</v>
      </c>
      <c r="AK447" s="7" t="str">
        <f>IF('Database MK'!GC448="","Belum",'Database MK'!GB448-'Database MK'!GC448)</f>
        <v>Belum</v>
      </c>
      <c r="AL447" s="7" t="str">
        <f>IF('Database MK'!GF448="","Belum",'Database MK'!GE448-'Database MK'!GF448)</f>
        <v>Belum</v>
      </c>
      <c r="AM447" s="279">
        <f>IF('Database MK'!GJ448="","Belum",'Database MK'!GI448-'Database MK'!GJ448)</f>
        <v>-46121</v>
      </c>
      <c r="AN447" s="7" t="str">
        <f>IF('Database MK'!HG448="","Belum",'Database MK'!HF448-'Database MK'!HG448)</f>
        <v>Belum</v>
      </c>
      <c r="AO447" s="7" t="str">
        <f>IF('Database MK'!HQ448="","Belum",'Database MK'!HN448-'Database MK'!HQ448)</f>
        <v>Belum</v>
      </c>
      <c r="AP447" s="7" t="str">
        <f>IF('Database MK'!HW448="","Belum",'Database MK'!HU448-'Database MK'!HW448)</f>
        <v>Belum</v>
      </c>
    </row>
    <row r="448" spans="2:42" hidden="1" x14ac:dyDescent="0.25">
      <c r="B448" s="7">
        <f>SUBTOTAL(3,$C$4:C448)</f>
        <v>74</v>
      </c>
      <c r="C448" s="269" t="s">
        <v>673</v>
      </c>
      <c r="D448" s="4" t="s">
        <v>3485</v>
      </c>
      <c r="E448" s="4" t="s">
        <v>3486</v>
      </c>
      <c r="F448" s="270">
        <v>46478</v>
      </c>
      <c r="G448" s="4" t="s">
        <v>681</v>
      </c>
      <c r="H448" s="4" t="str">
        <f ca="1">'Database MK'!Q449</f>
        <v>Persiapan</v>
      </c>
      <c r="I448" s="24">
        <f>'Database MK'!S449</f>
        <v>0</v>
      </c>
      <c r="J448" s="24">
        <f>'Database MK'!T449</f>
        <v>0</v>
      </c>
      <c r="K448" s="571">
        <f>'Database MK'!U449</f>
        <v>0</v>
      </c>
      <c r="L448" s="561">
        <f>'Database MK'!V449</f>
        <v>0</v>
      </c>
      <c r="M448" s="561">
        <f>'Database MK'!W449</f>
        <v>0</v>
      </c>
      <c r="N448" s="561">
        <f>Table3[[#This Row],[Total Panjang Pipa Aktual]]-Table3[[#This Row],[Volume
BA MC-0]]</f>
        <v>0</v>
      </c>
      <c r="O448" s="7" t="str">
        <f ca="1">'Database MK'!DE449</f>
        <v>Belum, Delay</v>
      </c>
      <c r="P448" s="7" t="str">
        <f ca="1">'Database MK'!DI449</f>
        <v>Belum, Delay</v>
      </c>
      <c r="Q448" s="7" t="str">
        <f ca="1">'Database MK'!DN449</f>
        <v>Belum, Delay</v>
      </c>
      <c r="R448" s="7" t="str">
        <f ca="1">'Database MK'!DR449</f>
        <v>Belum, Delay</v>
      </c>
      <c r="S448" s="7" t="str">
        <f ca="1">'Database MK'!EA449</f>
        <v>Belum, Delay</v>
      </c>
      <c r="T448" s="7" t="str">
        <f ca="1">'Database MK'!EI449</f>
        <v>Belum, Delay</v>
      </c>
      <c r="U448" s="7" t="str">
        <f ca="1">'Database MK'!ET449</f>
        <v>Belum, Delay</v>
      </c>
      <c r="V448" s="7" t="str">
        <f ca="1">'Database MK'!GA449</f>
        <v>Belum, Delay</v>
      </c>
      <c r="W448" s="7" t="str">
        <f ca="1">'Database MK'!GD449</f>
        <v>Belum, Delay</v>
      </c>
      <c r="X448" s="7" t="str">
        <f ca="1">'Database MK'!GG449</f>
        <v>Belum, Delay</v>
      </c>
      <c r="Y448" s="7" t="str">
        <f ca="1">'Database MK'!GK449</f>
        <v>Belum, Delay</v>
      </c>
      <c r="Z448" s="7" t="str">
        <f ca="1">'Database MK'!HH449</f>
        <v>Belum, Delay</v>
      </c>
      <c r="AA448" s="7" t="str">
        <f ca="1">'Database MK'!HR449</f>
        <v>Belum, Delay</v>
      </c>
      <c r="AB448" s="7" t="str">
        <f ca="1">'Database MK'!HX449</f>
        <v>Belum, Delay</v>
      </c>
      <c r="AC448" s="7">
        <f>'Database MK'!DA449-'Database MK'!DB449</f>
        <v>0</v>
      </c>
      <c r="AD448" s="7">
        <f>'Database MK'!DA449-'Database MK'!DF449</f>
        <v>0</v>
      </c>
      <c r="AE448" s="7">
        <f>'Database MK'!DK449-'Database MK'!DL449</f>
        <v>0</v>
      </c>
      <c r="AF448" s="7">
        <f>'Database MK'!DK449-'Database MK'!DO449</f>
        <v>0</v>
      </c>
      <c r="AG448" s="7">
        <f>'Database MK'!DU449-'Database MK'!DW449</f>
        <v>0</v>
      </c>
      <c r="AH448" s="7" t="str">
        <f>IF('Database MK'!EB449="","Belum",'Database MK'!DU449-'Database MK'!EB449)</f>
        <v>Belum</v>
      </c>
      <c r="AI448" s="7" t="str">
        <f>IF('Database MK'!EN449="","Belum",'Database MK'!EL449-'Database MK'!EN449)</f>
        <v>Belum</v>
      </c>
      <c r="AJ448" s="7">
        <f>'Database MK'!FY449-'Database MK'!FZ449</f>
        <v>0</v>
      </c>
      <c r="AK448" s="7" t="str">
        <f>IF('Database MK'!GC449="","Belum",'Database MK'!GB449-'Database MK'!GC449)</f>
        <v>Belum</v>
      </c>
      <c r="AL448" s="7" t="str">
        <f>IF('Database MK'!GF449="","Belum",'Database MK'!GE449-'Database MK'!GF449)</f>
        <v>Belum</v>
      </c>
      <c r="AM448" s="279" t="str">
        <f>IF('Database MK'!GJ449="","Belum",'Database MK'!GI449-'Database MK'!GJ449)</f>
        <v>Belum</v>
      </c>
      <c r="AN448" s="7" t="str">
        <f>IF('Database MK'!HG449="","Belum",'Database MK'!HF449-'Database MK'!HG449)</f>
        <v>Belum</v>
      </c>
      <c r="AO448" s="7" t="str">
        <f>IF('Database MK'!HQ449="","Belum",'Database MK'!HN449-'Database MK'!HQ449)</f>
        <v>Belum</v>
      </c>
      <c r="AP448" s="7" t="str">
        <f>IF('Database MK'!HW449="","Belum",'Database MK'!HU449-'Database MK'!HW449)</f>
        <v>Belum</v>
      </c>
    </row>
    <row r="449" spans="2:42" hidden="1" x14ac:dyDescent="0.25">
      <c r="B449" s="7">
        <f>SUBTOTAL(3,$C$4:C449)</f>
        <v>74</v>
      </c>
      <c r="C449" s="269" t="s">
        <v>673</v>
      </c>
      <c r="D449" s="4" t="s">
        <v>3487</v>
      </c>
      <c r="E449" s="4" t="s">
        <v>3488</v>
      </c>
      <c r="F449" s="270">
        <v>46478</v>
      </c>
      <c r="G449" s="4" t="s">
        <v>681</v>
      </c>
      <c r="H449" s="4" t="str">
        <f ca="1">'Database MK'!Q450</f>
        <v>Persiapan</v>
      </c>
      <c r="I449" s="24">
        <f>'Database MK'!S450</f>
        <v>0</v>
      </c>
      <c r="J449" s="24">
        <f>'Database MK'!T450</f>
        <v>0</v>
      </c>
      <c r="K449" s="571">
        <f>'Database MK'!U450</f>
        <v>0</v>
      </c>
      <c r="L449" s="561">
        <f>'Database MK'!V450</f>
        <v>0</v>
      </c>
      <c r="M449" s="561">
        <f>'Database MK'!W450</f>
        <v>0</v>
      </c>
      <c r="N449" s="561">
        <f>Table3[[#This Row],[Total Panjang Pipa Aktual]]-Table3[[#This Row],[Volume
BA MC-0]]</f>
        <v>0</v>
      </c>
      <c r="O449" s="7" t="str">
        <f ca="1">'Database MK'!DE450</f>
        <v>Belum, Delay</v>
      </c>
      <c r="P449" s="7" t="str">
        <f ca="1">'Database MK'!DI450</f>
        <v>Belum, Delay</v>
      </c>
      <c r="Q449" s="7" t="str">
        <f ca="1">'Database MK'!DN450</f>
        <v>Belum, Delay</v>
      </c>
      <c r="R449" s="7" t="str">
        <f ca="1">'Database MK'!DR450</f>
        <v>Belum, Delay</v>
      </c>
      <c r="S449" s="7" t="str">
        <f ca="1">'Database MK'!EA450</f>
        <v>Belum, Delay</v>
      </c>
      <c r="T449" s="7" t="str">
        <f ca="1">'Database MK'!EI450</f>
        <v>Belum, Delay</v>
      </c>
      <c r="U449" s="7" t="str">
        <f ca="1">'Database MK'!ET450</f>
        <v>Belum, Delay</v>
      </c>
      <c r="V449" s="7" t="str">
        <f ca="1">'Database MK'!GA450</f>
        <v>Belum, Delay</v>
      </c>
      <c r="W449" s="7" t="str">
        <f ca="1">'Database MK'!GD450</f>
        <v>Belum, Delay</v>
      </c>
      <c r="X449" s="7" t="str">
        <f ca="1">'Database MK'!GG450</f>
        <v>Belum, Delay</v>
      </c>
      <c r="Y449" s="7" t="str">
        <f ca="1">'Database MK'!GK450</f>
        <v>Belum, Delay</v>
      </c>
      <c r="Z449" s="7" t="str">
        <f ca="1">'Database MK'!HH450</f>
        <v>Belum, Delay</v>
      </c>
      <c r="AA449" s="7" t="str">
        <f ca="1">'Database MK'!HR450</f>
        <v>Belum, Delay</v>
      </c>
      <c r="AB449" s="7" t="str">
        <f ca="1">'Database MK'!HX450</f>
        <v>Belum, Delay</v>
      </c>
      <c r="AC449" s="7">
        <f>'Database MK'!DA450-'Database MK'!DB450</f>
        <v>0</v>
      </c>
      <c r="AD449" s="7">
        <f>'Database MK'!DA450-'Database MK'!DF450</f>
        <v>0</v>
      </c>
      <c r="AE449" s="7">
        <f>'Database MK'!DK450-'Database MK'!DL450</f>
        <v>0</v>
      </c>
      <c r="AF449" s="7">
        <f>'Database MK'!DK450-'Database MK'!DO450</f>
        <v>0</v>
      </c>
      <c r="AG449" s="7">
        <f>'Database MK'!DU450-'Database MK'!DW450</f>
        <v>0</v>
      </c>
      <c r="AH449" s="7" t="str">
        <f>IF('Database MK'!EB450="","Belum",'Database MK'!DU450-'Database MK'!EB450)</f>
        <v>Belum</v>
      </c>
      <c r="AI449" s="7" t="str">
        <f>IF('Database MK'!EN450="","Belum",'Database MK'!EL450-'Database MK'!EN450)</f>
        <v>Belum</v>
      </c>
      <c r="AJ449" s="7">
        <f>'Database MK'!FY450-'Database MK'!FZ450</f>
        <v>0</v>
      </c>
      <c r="AK449" s="7" t="str">
        <f>IF('Database MK'!GC450="","Belum",'Database MK'!GB450-'Database MK'!GC450)</f>
        <v>Belum</v>
      </c>
      <c r="AL449" s="7" t="str">
        <f>IF('Database MK'!GF450="","Belum",'Database MK'!GE450-'Database MK'!GF450)</f>
        <v>Belum</v>
      </c>
      <c r="AM449" s="279" t="str">
        <f>IF('Database MK'!GJ450="","Belum",'Database MK'!GI450-'Database MK'!GJ450)</f>
        <v>Belum</v>
      </c>
      <c r="AN449" s="7" t="str">
        <f>IF('Database MK'!HG450="","Belum",'Database MK'!HF450-'Database MK'!HG450)</f>
        <v>Belum</v>
      </c>
      <c r="AO449" s="7" t="str">
        <f>IF('Database MK'!HQ450="","Belum",'Database MK'!HN450-'Database MK'!HQ450)</f>
        <v>Belum</v>
      </c>
      <c r="AP449" s="7" t="str">
        <f>IF('Database MK'!HW450="","Belum",'Database MK'!HU450-'Database MK'!HW450)</f>
        <v>Belum</v>
      </c>
    </row>
    <row r="450" spans="2:42" hidden="1" x14ac:dyDescent="0.25">
      <c r="B450" s="7">
        <f>SUBTOTAL(3,$C$4:C450)</f>
        <v>74</v>
      </c>
      <c r="C450" s="269" t="s">
        <v>673</v>
      </c>
      <c r="D450" s="4" t="s">
        <v>3489</v>
      </c>
      <c r="E450" s="4" t="s">
        <v>3490</v>
      </c>
      <c r="F450" s="270">
        <v>46478</v>
      </c>
      <c r="G450" s="4" t="s">
        <v>681</v>
      </c>
      <c r="H450" s="4" t="str">
        <f ca="1">'Database MK'!Q451</f>
        <v>Persiapan</v>
      </c>
      <c r="I450" s="24">
        <f>'Database MK'!S451</f>
        <v>0</v>
      </c>
      <c r="J450" s="24">
        <f>'Database MK'!T451</f>
        <v>0</v>
      </c>
      <c r="K450" s="571">
        <f>'Database MK'!U451</f>
        <v>0</v>
      </c>
      <c r="L450" s="561">
        <f>'Database MK'!V451</f>
        <v>0</v>
      </c>
      <c r="M450" s="561">
        <f>'Database MK'!W451</f>
        <v>0</v>
      </c>
      <c r="N450" s="561">
        <f>Table3[[#This Row],[Total Panjang Pipa Aktual]]-Table3[[#This Row],[Volume
BA MC-0]]</f>
        <v>0</v>
      </c>
      <c r="O450" s="7" t="str">
        <f ca="1">'Database MK'!DE451</f>
        <v>Belum, Delay</v>
      </c>
      <c r="P450" s="7" t="str">
        <f ca="1">'Database MK'!DI451</f>
        <v>Belum, Delay</v>
      </c>
      <c r="Q450" s="7" t="str">
        <f ca="1">'Database MK'!DN451</f>
        <v>Belum, Delay</v>
      </c>
      <c r="R450" s="7" t="str">
        <f ca="1">'Database MK'!DR451</f>
        <v>Belum, Delay</v>
      </c>
      <c r="S450" s="7" t="str">
        <f ca="1">'Database MK'!EA451</f>
        <v>Belum, Delay</v>
      </c>
      <c r="T450" s="7" t="str">
        <f ca="1">'Database MK'!EI451</f>
        <v>Belum, Delay</v>
      </c>
      <c r="U450" s="7" t="str">
        <f ca="1">'Database MK'!ET451</f>
        <v>Belum, Delay</v>
      </c>
      <c r="V450" s="7" t="str">
        <f ca="1">'Database MK'!GA451</f>
        <v>Belum, Delay</v>
      </c>
      <c r="W450" s="7" t="str">
        <f ca="1">'Database MK'!GD451</f>
        <v>Belum, Delay</v>
      </c>
      <c r="X450" s="7" t="str">
        <f ca="1">'Database MK'!GG451</f>
        <v>Belum, Delay</v>
      </c>
      <c r="Y450" s="7" t="str">
        <f ca="1">'Database MK'!GK451</f>
        <v>Belum, Delay</v>
      </c>
      <c r="Z450" s="7" t="str">
        <f ca="1">'Database MK'!HH451</f>
        <v>Belum, Delay</v>
      </c>
      <c r="AA450" s="7" t="str">
        <f ca="1">'Database MK'!HR451</f>
        <v>Belum, Delay</v>
      </c>
      <c r="AB450" s="7" t="str">
        <f ca="1">'Database MK'!HX451</f>
        <v>Belum, Delay</v>
      </c>
      <c r="AC450" s="7">
        <f>'Database MK'!DA451-'Database MK'!DB451</f>
        <v>0</v>
      </c>
      <c r="AD450" s="7">
        <f>'Database MK'!DA451-'Database MK'!DF451</f>
        <v>0</v>
      </c>
      <c r="AE450" s="7">
        <f>'Database MK'!DK451-'Database MK'!DL451</f>
        <v>0</v>
      </c>
      <c r="AF450" s="7">
        <f>'Database MK'!DK451-'Database MK'!DO451</f>
        <v>0</v>
      </c>
      <c r="AG450" s="7">
        <f>'Database MK'!DU451-'Database MK'!DW451</f>
        <v>0</v>
      </c>
      <c r="AH450" s="7" t="str">
        <f>IF('Database MK'!EB451="","Belum",'Database MK'!DU451-'Database MK'!EB451)</f>
        <v>Belum</v>
      </c>
      <c r="AI450" s="7" t="str">
        <f>IF('Database MK'!EN451="","Belum",'Database MK'!EL451-'Database MK'!EN451)</f>
        <v>Belum</v>
      </c>
      <c r="AJ450" s="7">
        <f>'Database MK'!FY451-'Database MK'!FZ451</f>
        <v>0</v>
      </c>
      <c r="AK450" s="7" t="str">
        <f>IF('Database MK'!GC451="","Belum",'Database MK'!GB451-'Database MK'!GC451)</f>
        <v>Belum</v>
      </c>
      <c r="AL450" s="7" t="str">
        <f>IF('Database MK'!GF451="","Belum",'Database MK'!GE451-'Database MK'!GF451)</f>
        <v>Belum</v>
      </c>
      <c r="AM450" s="279" t="str">
        <f>IF('Database MK'!GJ451="","Belum",'Database MK'!GI451-'Database MK'!GJ451)</f>
        <v>Belum</v>
      </c>
      <c r="AN450" s="7" t="str">
        <f>IF('Database MK'!HG451="","Belum",'Database MK'!HF451-'Database MK'!HG451)</f>
        <v>Belum</v>
      </c>
      <c r="AO450" s="7" t="str">
        <f>IF('Database MK'!HQ451="","Belum",'Database MK'!HN451-'Database MK'!HQ451)</f>
        <v>Belum</v>
      </c>
      <c r="AP450" s="7" t="str">
        <f>IF('Database MK'!HW451="","Belum",'Database MK'!HU451-'Database MK'!HW451)</f>
        <v>Belum</v>
      </c>
    </row>
    <row r="451" spans="2:42" hidden="1" x14ac:dyDescent="0.25">
      <c r="B451" s="7">
        <f>SUBTOTAL(3,$C$4:C451)</f>
        <v>74</v>
      </c>
      <c r="C451" s="269" t="s">
        <v>673</v>
      </c>
      <c r="D451" s="4" t="s">
        <v>3491</v>
      </c>
      <c r="E451" s="4" t="s">
        <v>3492</v>
      </c>
      <c r="F451" s="270">
        <v>46478</v>
      </c>
      <c r="G451" s="4" t="s">
        <v>681</v>
      </c>
      <c r="H451" s="4" t="str">
        <f ca="1">'Database MK'!Q452</f>
        <v>Persiapan</v>
      </c>
      <c r="I451" s="24">
        <f>'Database MK'!S452</f>
        <v>0</v>
      </c>
      <c r="J451" s="24">
        <f>'Database MK'!T452</f>
        <v>0</v>
      </c>
      <c r="K451" s="571">
        <f>'Database MK'!U452</f>
        <v>0</v>
      </c>
      <c r="L451" s="561">
        <f>'Database MK'!V452</f>
        <v>0</v>
      </c>
      <c r="M451" s="561">
        <f>'Database MK'!W452</f>
        <v>0</v>
      </c>
      <c r="N451" s="561">
        <f>Table3[[#This Row],[Total Panjang Pipa Aktual]]-Table3[[#This Row],[Volume
BA MC-0]]</f>
        <v>0</v>
      </c>
      <c r="O451" s="7" t="str">
        <f ca="1">'Database MK'!DE452</f>
        <v>Belum, Delay</v>
      </c>
      <c r="P451" s="7" t="str">
        <f ca="1">'Database MK'!DI452</f>
        <v>Belum, Delay</v>
      </c>
      <c r="Q451" s="7" t="str">
        <f ca="1">'Database MK'!DN452</f>
        <v>Belum, Delay</v>
      </c>
      <c r="R451" s="7" t="str">
        <f ca="1">'Database MK'!DR452</f>
        <v>Belum, Delay</v>
      </c>
      <c r="S451" s="7" t="str">
        <f ca="1">'Database MK'!EA452</f>
        <v>Belum, Delay</v>
      </c>
      <c r="T451" s="7" t="str">
        <f ca="1">'Database MK'!EI452</f>
        <v>Belum, Delay</v>
      </c>
      <c r="U451" s="7" t="str">
        <f ca="1">'Database MK'!ET452</f>
        <v>Belum, Delay</v>
      </c>
      <c r="V451" s="7" t="str">
        <f ca="1">'Database MK'!GA452</f>
        <v>Belum, Delay</v>
      </c>
      <c r="W451" s="7" t="str">
        <f ca="1">'Database MK'!GD452</f>
        <v>Belum, Delay</v>
      </c>
      <c r="X451" s="7" t="str">
        <f ca="1">'Database MK'!GG452</f>
        <v>Belum, Delay</v>
      </c>
      <c r="Y451" s="7" t="str">
        <f ca="1">'Database MK'!GK452</f>
        <v>Belum, Delay</v>
      </c>
      <c r="Z451" s="7" t="str">
        <f ca="1">'Database MK'!HH452</f>
        <v>Belum, Delay</v>
      </c>
      <c r="AA451" s="7" t="str">
        <f ca="1">'Database MK'!HR452</f>
        <v>Belum, Delay</v>
      </c>
      <c r="AB451" s="7" t="str">
        <f ca="1">'Database MK'!HX452</f>
        <v>Belum, Delay</v>
      </c>
      <c r="AC451" s="7">
        <f>'Database MK'!DA452-'Database MK'!DB452</f>
        <v>0</v>
      </c>
      <c r="AD451" s="7">
        <f>'Database MK'!DA452-'Database MK'!DF452</f>
        <v>0</v>
      </c>
      <c r="AE451" s="7">
        <f>'Database MK'!DK452-'Database MK'!DL452</f>
        <v>0</v>
      </c>
      <c r="AF451" s="7">
        <f>'Database MK'!DK452-'Database MK'!DO452</f>
        <v>0</v>
      </c>
      <c r="AG451" s="7">
        <f>'Database MK'!DU452-'Database MK'!DW452</f>
        <v>0</v>
      </c>
      <c r="AH451" s="7" t="str">
        <f>IF('Database MK'!EB452="","Belum",'Database MK'!DU452-'Database MK'!EB452)</f>
        <v>Belum</v>
      </c>
      <c r="AI451" s="7" t="str">
        <f>IF('Database MK'!EN452="","Belum",'Database MK'!EL452-'Database MK'!EN452)</f>
        <v>Belum</v>
      </c>
      <c r="AJ451" s="7">
        <f>'Database MK'!FY452-'Database MK'!FZ452</f>
        <v>0</v>
      </c>
      <c r="AK451" s="7" t="str">
        <f>IF('Database MK'!GC452="","Belum",'Database MK'!GB452-'Database MK'!GC452)</f>
        <v>Belum</v>
      </c>
      <c r="AL451" s="7" t="str">
        <f>IF('Database MK'!GF452="","Belum",'Database MK'!GE452-'Database MK'!GF452)</f>
        <v>Belum</v>
      </c>
      <c r="AM451" s="279" t="str">
        <f>IF('Database MK'!GJ452="","Belum",'Database MK'!GI452-'Database MK'!GJ452)</f>
        <v>Belum</v>
      </c>
      <c r="AN451" s="7" t="str">
        <f>IF('Database MK'!HG452="","Belum",'Database MK'!HF452-'Database MK'!HG452)</f>
        <v>Belum</v>
      </c>
      <c r="AO451" s="7" t="str">
        <f>IF('Database MK'!HQ452="","Belum",'Database MK'!HN452-'Database MK'!HQ452)</f>
        <v>Belum</v>
      </c>
      <c r="AP451" s="7" t="str">
        <f>IF('Database MK'!HW452="","Belum",'Database MK'!HU452-'Database MK'!HW452)</f>
        <v>Belum</v>
      </c>
    </row>
    <row r="452" spans="2:42" hidden="1" x14ac:dyDescent="0.25">
      <c r="B452" s="7">
        <f>SUBTOTAL(3,$C$4:C452)</f>
        <v>74</v>
      </c>
      <c r="C452" s="269" t="s">
        <v>673</v>
      </c>
      <c r="D452" s="4" t="s">
        <v>3493</v>
      </c>
      <c r="E452" s="4" t="s">
        <v>3494</v>
      </c>
      <c r="F452" s="270">
        <v>46478</v>
      </c>
      <c r="G452" s="4" t="s">
        <v>681</v>
      </c>
      <c r="H452" s="4" t="str">
        <f ca="1">'Database MK'!Q453</f>
        <v>MC-0</v>
      </c>
      <c r="I452" s="24">
        <f>'Database MK'!S453</f>
        <v>0</v>
      </c>
      <c r="J452" s="24">
        <f>'Database MK'!T453</f>
        <v>0</v>
      </c>
      <c r="K452" s="571">
        <f>'Database MK'!U453</f>
        <v>0</v>
      </c>
      <c r="L452" s="561">
        <f>'Database MK'!V453</f>
        <v>0</v>
      </c>
      <c r="M452" s="561">
        <f>'Database MK'!W453</f>
        <v>0</v>
      </c>
      <c r="N452" s="561">
        <f>Table3[[#This Row],[Total Panjang Pipa Aktual]]-Table3[[#This Row],[Volume
BA MC-0]]</f>
        <v>0</v>
      </c>
      <c r="O452" s="7" t="str">
        <f ca="1">'Database MK'!DE453</f>
        <v>Belum, Delay</v>
      </c>
      <c r="P452" s="7" t="str">
        <f ca="1">'Database MK'!DI453</f>
        <v>Belum, Delay</v>
      </c>
      <c r="Q452" s="7" t="str">
        <f ca="1">'Database MK'!DN453</f>
        <v>Belum, Delay</v>
      </c>
      <c r="R452" s="7" t="str">
        <f ca="1">'Database MK'!DR453</f>
        <v>Belum, Delay</v>
      </c>
      <c r="S452" s="7" t="str">
        <f ca="1">'Database MK'!EA453</f>
        <v>Belum, Delay</v>
      </c>
      <c r="T452" s="7" t="str">
        <f ca="1">'Database MK'!EI453</f>
        <v>Belum, Delay</v>
      </c>
      <c r="U452" s="7" t="str">
        <f ca="1">'Database MK'!ET453</f>
        <v>Belum, Delay</v>
      </c>
      <c r="V452" s="7" t="str">
        <f ca="1">'Database MK'!GA453</f>
        <v>Belum, Delay</v>
      </c>
      <c r="W452" s="7" t="str">
        <f ca="1">'Database MK'!GD453</f>
        <v>Sudah, Delay</v>
      </c>
      <c r="X452" s="7" t="str">
        <f ca="1">'Database MK'!GG453</f>
        <v>Sudah, Delay</v>
      </c>
      <c r="Y452" s="7" t="str">
        <f ca="1">'Database MK'!GK453</f>
        <v>Sudah, Delay</v>
      </c>
      <c r="Z452" s="7" t="str">
        <f ca="1">'Database MK'!HH453</f>
        <v>Belum, Delay</v>
      </c>
      <c r="AA452" s="7" t="str">
        <f ca="1">'Database MK'!HR453</f>
        <v>Belum, Delay</v>
      </c>
      <c r="AB452" s="7" t="str">
        <f ca="1">'Database MK'!HX453</f>
        <v>Belum, Delay</v>
      </c>
      <c r="AC452" s="7">
        <f>'Database MK'!DA453-'Database MK'!DB453</f>
        <v>0</v>
      </c>
      <c r="AD452" s="7">
        <f>'Database MK'!DA453-'Database MK'!DF453</f>
        <v>0</v>
      </c>
      <c r="AE452" s="7">
        <f>'Database MK'!DK453-'Database MK'!DL453</f>
        <v>0</v>
      </c>
      <c r="AF452" s="7">
        <f>'Database MK'!DK453-'Database MK'!DO453</f>
        <v>0</v>
      </c>
      <c r="AG452" s="7">
        <f>'Database MK'!DU453-'Database MK'!DW453</f>
        <v>0</v>
      </c>
      <c r="AH452" s="7" t="str">
        <f>IF('Database MK'!EB453="","Belum",'Database MK'!DU453-'Database MK'!EB453)</f>
        <v>Belum</v>
      </c>
      <c r="AI452" s="7" t="str">
        <f>IF('Database MK'!EN453="","Belum",'Database MK'!EL453-'Database MK'!EN453)</f>
        <v>Belum</v>
      </c>
      <c r="AJ452" s="7">
        <f>'Database MK'!FY453-'Database MK'!FZ453</f>
        <v>0</v>
      </c>
      <c r="AK452" s="7">
        <f>IF('Database MK'!GC453="","Belum",'Database MK'!GB453-'Database MK'!GC453)</f>
        <v>-46112</v>
      </c>
      <c r="AL452" s="7">
        <f>IF('Database MK'!GF453="","Belum",'Database MK'!GE453-'Database MK'!GF453)</f>
        <v>-46112</v>
      </c>
      <c r="AM452" s="279">
        <f>IF('Database MK'!GJ453="","Belum",'Database MK'!GI453-'Database MK'!GJ453)</f>
        <v>-46150</v>
      </c>
      <c r="AN452" s="7" t="str">
        <f>IF('Database MK'!HG453="","Belum",'Database MK'!HF453-'Database MK'!HG453)</f>
        <v>Belum</v>
      </c>
      <c r="AO452" s="7" t="str">
        <f>IF('Database MK'!HQ453="","Belum",'Database MK'!HN453-'Database MK'!HQ453)</f>
        <v>Belum</v>
      </c>
      <c r="AP452" s="7" t="str">
        <f>IF('Database MK'!HW453="","Belum",'Database MK'!HU453-'Database MK'!HW453)</f>
        <v>Belum</v>
      </c>
    </row>
    <row r="453" spans="2:42" hidden="1" x14ac:dyDescent="0.25">
      <c r="B453" s="7">
        <f>SUBTOTAL(3,$C$4:C453)</f>
        <v>74</v>
      </c>
      <c r="C453" s="269" t="s">
        <v>673</v>
      </c>
      <c r="D453" s="4" t="s">
        <v>3495</v>
      </c>
      <c r="E453" s="4" t="s">
        <v>3496</v>
      </c>
      <c r="F453" s="270">
        <v>46478</v>
      </c>
      <c r="G453" s="4" t="s">
        <v>681</v>
      </c>
      <c r="H453" s="4" t="str">
        <f ca="1">'Database MK'!Q454</f>
        <v>MC-0</v>
      </c>
      <c r="I453" s="24">
        <f>'Database MK'!S454</f>
        <v>0</v>
      </c>
      <c r="J453" s="24">
        <f>'Database MK'!T454</f>
        <v>0</v>
      </c>
      <c r="K453" s="571">
        <f>'Database MK'!U454</f>
        <v>0</v>
      </c>
      <c r="L453" s="561">
        <f>'Database MK'!V454</f>
        <v>0</v>
      </c>
      <c r="M453" s="561">
        <f>'Database MK'!W454</f>
        <v>0</v>
      </c>
      <c r="N453" s="561">
        <f>Table3[[#This Row],[Total Panjang Pipa Aktual]]-Table3[[#This Row],[Volume
BA MC-0]]</f>
        <v>0</v>
      </c>
      <c r="O453" s="7" t="str">
        <f ca="1">'Database MK'!DE454</f>
        <v>Belum, Delay</v>
      </c>
      <c r="P453" s="7" t="str">
        <f ca="1">'Database MK'!DI454</f>
        <v>Belum, Delay</v>
      </c>
      <c r="Q453" s="7" t="str">
        <f ca="1">'Database MK'!DN454</f>
        <v>Belum, Delay</v>
      </c>
      <c r="R453" s="7" t="str">
        <f ca="1">'Database MK'!DR454</f>
        <v>Belum, Delay</v>
      </c>
      <c r="S453" s="7" t="str">
        <f ca="1">'Database MK'!EA454</f>
        <v>Belum, Delay</v>
      </c>
      <c r="T453" s="7" t="str">
        <f ca="1">'Database MK'!EI454</f>
        <v>Belum, Delay</v>
      </c>
      <c r="U453" s="7" t="str">
        <f ca="1">'Database MK'!ET454</f>
        <v>Belum, Delay</v>
      </c>
      <c r="V453" s="7" t="str">
        <f ca="1">'Database MK'!GA454</f>
        <v>Belum, Delay</v>
      </c>
      <c r="W453" s="7" t="str">
        <f ca="1">'Database MK'!GD454</f>
        <v>Sudah, Delay</v>
      </c>
      <c r="X453" s="7" t="str">
        <f ca="1">'Database MK'!GG454</f>
        <v>Sudah, Delay</v>
      </c>
      <c r="Y453" s="7" t="str">
        <f ca="1">'Database MK'!GK454</f>
        <v>Sudah, Delay</v>
      </c>
      <c r="Z453" s="7" t="str">
        <f ca="1">'Database MK'!HH454</f>
        <v>Belum, Delay</v>
      </c>
      <c r="AA453" s="7" t="str">
        <f ca="1">'Database MK'!HR454</f>
        <v>Belum, Delay</v>
      </c>
      <c r="AB453" s="7" t="str">
        <f ca="1">'Database MK'!HX454</f>
        <v>Belum, Delay</v>
      </c>
      <c r="AC453" s="7">
        <f>'Database MK'!DA454-'Database MK'!DB454</f>
        <v>0</v>
      </c>
      <c r="AD453" s="7">
        <f>'Database MK'!DA454-'Database MK'!DF454</f>
        <v>0</v>
      </c>
      <c r="AE453" s="7">
        <f>'Database MK'!DK454-'Database MK'!DL454</f>
        <v>0</v>
      </c>
      <c r="AF453" s="7">
        <f>'Database MK'!DK454-'Database MK'!DO454</f>
        <v>0</v>
      </c>
      <c r="AG453" s="7">
        <f>'Database MK'!DU454-'Database MK'!DW454</f>
        <v>0</v>
      </c>
      <c r="AH453" s="7" t="str">
        <f>IF('Database MK'!EB454="","Belum",'Database MK'!DU454-'Database MK'!EB454)</f>
        <v>Belum</v>
      </c>
      <c r="AI453" s="7" t="str">
        <f>IF('Database MK'!EN454="","Belum",'Database MK'!EL454-'Database MK'!EN454)</f>
        <v>Belum</v>
      </c>
      <c r="AJ453" s="7">
        <f>'Database MK'!FY454-'Database MK'!FZ454</f>
        <v>0</v>
      </c>
      <c r="AK453" s="7">
        <f>IF('Database MK'!GC454="","Belum",'Database MK'!GB454-'Database MK'!GC454)</f>
        <v>-46161</v>
      </c>
      <c r="AL453" s="7">
        <f>IF('Database MK'!GF454="","Belum",'Database MK'!GE454-'Database MK'!GF454)</f>
        <v>-46161</v>
      </c>
      <c r="AM453" s="279">
        <f>IF('Database MK'!GJ454="","Belum",'Database MK'!GI454-'Database MK'!GJ454)</f>
        <v>-46163</v>
      </c>
      <c r="AN453" s="7" t="str">
        <f>IF('Database MK'!HG454="","Belum",'Database MK'!HF454-'Database MK'!HG454)</f>
        <v>Belum</v>
      </c>
      <c r="AO453" s="7" t="str">
        <f>IF('Database MK'!HQ454="","Belum",'Database MK'!HN454-'Database MK'!HQ454)</f>
        <v>Belum</v>
      </c>
      <c r="AP453" s="7" t="str">
        <f>IF('Database MK'!HW454="","Belum",'Database MK'!HU454-'Database MK'!HW454)</f>
        <v>Belum</v>
      </c>
    </row>
    <row r="454" spans="2:42" hidden="1" x14ac:dyDescent="0.25">
      <c r="B454" s="7">
        <f>SUBTOTAL(3,$C$4:C454)</f>
        <v>74</v>
      </c>
      <c r="C454" s="269" t="s">
        <v>629</v>
      </c>
      <c r="D454" s="4" t="s">
        <v>3497</v>
      </c>
      <c r="E454" s="4" t="s">
        <v>3498</v>
      </c>
      <c r="F454" s="270">
        <v>46478</v>
      </c>
      <c r="G454" s="4" t="s">
        <v>247</v>
      </c>
      <c r="H454" s="4" t="str">
        <f>'Database MK'!Q455</f>
        <v>Proses Konstruksi</v>
      </c>
      <c r="I454" s="24">
        <f>'Database MK'!S455</f>
        <v>0.99999999999999989</v>
      </c>
      <c r="J454" s="24">
        <f>'Database MK'!T455</f>
        <v>0</v>
      </c>
      <c r="K454" s="571">
        <f>'Database MK'!U455</f>
        <v>-0.99999999999999989</v>
      </c>
      <c r="L454" s="561">
        <f>'Database MK'!V455</f>
        <v>2725</v>
      </c>
      <c r="M454" s="561">
        <f>'Database MK'!W455</f>
        <v>0</v>
      </c>
      <c r="N454" s="561">
        <f>Table3[[#This Row],[Total Panjang Pipa Aktual]]-Table3[[#This Row],[Volume
BA MC-0]]</f>
        <v>-2725</v>
      </c>
      <c r="O454" s="7" t="str">
        <f ca="1">'Database MK'!DE455</f>
        <v>Belum, Delay</v>
      </c>
      <c r="P454" s="7" t="str">
        <f ca="1">'Database MK'!DI455</f>
        <v>Belum, Delay</v>
      </c>
      <c r="Q454" s="7" t="str">
        <f ca="1">'Database MK'!DN455</f>
        <v>Belum, Delay</v>
      </c>
      <c r="R454" s="7" t="str">
        <f ca="1">'Database MK'!DR455</f>
        <v>Belum, Delay</v>
      </c>
      <c r="S454" s="7" t="str">
        <f ca="1">'Database MK'!EA455</f>
        <v>Belum, Delay</v>
      </c>
      <c r="T454" s="7" t="str">
        <f ca="1">'Database MK'!EI455</f>
        <v>Belum, Delay</v>
      </c>
      <c r="U454" s="7" t="str">
        <f ca="1">'Database MK'!ET455</f>
        <v>Belum, Delay</v>
      </c>
      <c r="V454" s="7" t="str">
        <f ca="1">'Database MK'!GA455</f>
        <v>Belum, Delay</v>
      </c>
      <c r="W454" s="7" t="str">
        <f ca="1">'Database MK'!GD455</f>
        <v>Belum, Delay</v>
      </c>
      <c r="X454" s="7" t="str">
        <f ca="1">'Database MK'!GG455</f>
        <v>Sudah, Delay</v>
      </c>
      <c r="Y454" s="7" t="str">
        <f ca="1">'Database MK'!GK455</f>
        <v>Sudah, Delay</v>
      </c>
      <c r="Z454" s="7" t="str">
        <f ca="1">'Database MK'!HH455</f>
        <v>Belum, Delay</v>
      </c>
      <c r="AA454" s="7" t="str">
        <f ca="1">'Database MK'!HR455</f>
        <v>Belum, Delay</v>
      </c>
      <c r="AB454" s="7" t="str">
        <f ca="1">'Database MK'!HX455</f>
        <v>Belum, Delay</v>
      </c>
      <c r="AC454" s="7">
        <f>'Database MK'!DA455-'Database MK'!DB455</f>
        <v>0</v>
      </c>
      <c r="AD454" s="7">
        <f>'Database MK'!DA455-'Database MK'!DF455</f>
        <v>0</v>
      </c>
      <c r="AE454" s="7">
        <f>'Database MK'!DK455-'Database MK'!DL455</f>
        <v>0</v>
      </c>
      <c r="AF454" s="7">
        <f>'Database MK'!DK455-'Database MK'!DO455</f>
        <v>0</v>
      </c>
      <c r="AG454" s="7">
        <f>'Database MK'!DU455-'Database MK'!DW455</f>
        <v>0</v>
      </c>
      <c r="AH454" s="7" t="str">
        <f>IF('Database MK'!EB455="","Belum",'Database MK'!DU455-'Database MK'!EB455)</f>
        <v>Belum</v>
      </c>
      <c r="AI454" s="7" t="str">
        <f>IF('Database MK'!EN455="","Belum",'Database MK'!EL455-'Database MK'!EN455)</f>
        <v>Belum</v>
      </c>
      <c r="AJ454" s="7">
        <f>'Database MK'!FY455-'Database MK'!FZ455</f>
        <v>0</v>
      </c>
      <c r="AK454" s="7" t="str">
        <f>IF('Database MK'!GC455="","Belum",'Database MK'!GB455-'Database MK'!GC455)</f>
        <v>Belum</v>
      </c>
      <c r="AL454" s="7">
        <f>IF('Database MK'!GF455="","Belum",'Database MK'!GE455-'Database MK'!GF455)</f>
        <v>-46148</v>
      </c>
      <c r="AM454" s="279">
        <f>IF('Database MK'!GJ455="","Belum",'Database MK'!GI455-'Database MK'!GJ455)</f>
        <v>-46155</v>
      </c>
      <c r="AN454" s="7" t="str">
        <f>IF('Database MK'!HG455="","Belum",'Database MK'!HF455-'Database MK'!HG455)</f>
        <v>Belum</v>
      </c>
      <c r="AO454" s="7" t="str">
        <f>IF('Database MK'!HQ455="","Belum",'Database MK'!HN455-'Database MK'!HQ455)</f>
        <v>Belum</v>
      </c>
      <c r="AP454" s="7" t="str">
        <f>IF('Database MK'!HW455="","Belum",'Database MK'!HU455-'Database MK'!HW455)</f>
        <v>Belum</v>
      </c>
    </row>
    <row r="455" spans="2:42" hidden="1" x14ac:dyDescent="0.25">
      <c r="B455" s="7">
        <f>SUBTOTAL(3,$C$4:C455)</f>
        <v>74</v>
      </c>
      <c r="C455" s="269" t="s">
        <v>629</v>
      </c>
      <c r="D455" s="4" t="s">
        <v>3500</v>
      </c>
      <c r="E455" s="4" t="s">
        <v>3501</v>
      </c>
      <c r="F455" s="270">
        <v>46478</v>
      </c>
      <c r="G455" s="4" t="s">
        <v>247</v>
      </c>
      <c r="H455" s="4" t="str">
        <f ca="1">'Database MK'!Q456</f>
        <v>Persiapan</v>
      </c>
      <c r="I455" s="24">
        <f>'Database MK'!S456</f>
        <v>0.99999999999999989</v>
      </c>
      <c r="J455" s="24">
        <f>'Database MK'!T456</f>
        <v>0</v>
      </c>
      <c r="K455" s="571">
        <f>'Database MK'!U456</f>
        <v>-0.99999999999999989</v>
      </c>
      <c r="L455" s="561">
        <f>'Database MK'!V456</f>
        <v>0</v>
      </c>
      <c r="M455" s="561">
        <f>'Database MK'!W456</f>
        <v>0</v>
      </c>
      <c r="N455" s="561">
        <f>Table3[[#This Row],[Total Panjang Pipa Aktual]]-Table3[[#This Row],[Volume
BA MC-0]]</f>
        <v>0</v>
      </c>
      <c r="O455" s="7" t="str">
        <f ca="1">'Database MK'!DE456</f>
        <v>Belum, Delay</v>
      </c>
      <c r="P455" s="7" t="str">
        <f ca="1">'Database MK'!DI456</f>
        <v>Belum, Delay</v>
      </c>
      <c r="Q455" s="7" t="str">
        <f ca="1">'Database MK'!DN456</f>
        <v>Belum, Delay</v>
      </c>
      <c r="R455" s="7" t="str">
        <f ca="1">'Database MK'!DR456</f>
        <v>Belum, Delay</v>
      </c>
      <c r="S455" s="7" t="str">
        <f ca="1">'Database MK'!EA456</f>
        <v>Belum, Delay</v>
      </c>
      <c r="T455" s="7" t="str">
        <f ca="1">'Database MK'!EI456</f>
        <v>Belum, Delay</v>
      </c>
      <c r="U455" s="7" t="str">
        <f ca="1">'Database MK'!ET456</f>
        <v>Belum, Delay</v>
      </c>
      <c r="V455" s="7" t="str">
        <f ca="1">'Database MK'!GA456</f>
        <v>Belum, Delay</v>
      </c>
      <c r="W455" s="7" t="str">
        <f ca="1">'Database MK'!GD456</f>
        <v>Belum, Delay</v>
      </c>
      <c r="X455" s="7" t="str">
        <f ca="1">'Database MK'!GG456</f>
        <v>Belum, Delay</v>
      </c>
      <c r="Y455" s="7" t="str">
        <f ca="1">'Database MK'!GK456</f>
        <v>Belum, Delay</v>
      </c>
      <c r="Z455" s="7" t="str">
        <f ca="1">'Database MK'!HH456</f>
        <v>Belum, Delay</v>
      </c>
      <c r="AA455" s="7" t="str">
        <f ca="1">'Database MK'!HR456</f>
        <v>Belum, Delay</v>
      </c>
      <c r="AB455" s="7" t="str">
        <f ca="1">'Database MK'!HX456</f>
        <v>Belum, Delay</v>
      </c>
      <c r="AC455" s="7">
        <f>'Database MK'!DA456-'Database MK'!DB456</f>
        <v>0</v>
      </c>
      <c r="AD455" s="7">
        <f>'Database MK'!DA456-'Database MK'!DF456</f>
        <v>0</v>
      </c>
      <c r="AE455" s="7">
        <f>'Database MK'!DK456-'Database MK'!DL456</f>
        <v>0</v>
      </c>
      <c r="AF455" s="7">
        <f>'Database MK'!DK456-'Database MK'!DO456</f>
        <v>0</v>
      </c>
      <c r="AG455" s="7">
        <f>'Database MK'!DU456-'Database MK'!DW456</f>
        <v>0</v>
      </c>
      <c r="AH455" s="7" t="str">
        <f>IF('Database MK'!EB456="","Belum",'Database MK'!DU456-'Database MK'!EB456)</f>
        <v>Belum</v>
      </c>
      <c r="AI455" s="7" t="str">
        <f>IF('Database MK'!EN456="","Belum",'Database MK'!EL456-'Database MK'!EN456)</f>
        <v>Belum</v>
      </c>
      <c r="AJ455" s="7">
        <f>'Database MK'!FY456-'Database MK'!FZ456</f>
        <v>0</v>
      </c>
      <c r="AK455" s="7" t="str">
        <f>IF('Database MK'!GC456="","Belum",'Database MK'!GB456-'Database MK'!GC456)</f>
        <v>Belum</v>
      </c>
      <c r="AL455" s="7" t="str">
        <f>IF('Database MK'!GF456="","Belum",'Database MK'!GE456-'Database MK'!GF456)</f>
        <v>Belum</v>
      </c>
      <c r="AM455" s="279" t="str">
        <f>IF('Database MK'!GJ456="","Belum",'Database MK'!GI456-'Database MK'!GJ456)</f>
        <v>Belum</v>
      </c>
      <c r="AN455" s="7" t="str">
        <f>IF('Database MK'!HG456="","Belum",'Database MK'!HF456-'Database MK'!HG456)</f>
        <v>Belum</v>
      </c>
      <c r="AO455" s="7" t="str">
        <f>IF('Database MK'!HQ456="","Belum",'Database MK'!HN456-'Database MK'!HQ456)</f>
        <v>Belum</v>
      </c>
      <c r="AP455" s="7" t="str">
        <f>IF('Database MK'!HW456="","Belum",'Database MK'!HU456-'Database MK'!HW456)</f>
        <v>Belum</v>
      </c>
    </row>
    <row r="456" spans="2:42" hidden="1" x14ac:dyDescent="0.25">
      <c r="B456" s="7">
        <f>SUBTOTAL(3,$C$4:C456)</f>
        <v>74</v>
      </c>
      <c r="C456" s="269" t="s">
        <v>629</v>
      </c>
      <c r="D456" s="4" t="s">
        <v>3502</v>
      </c>
      <c r="E456" s="4" t="s">
        <v>3503</v>
      </c>
      <c r="F456" s="270">
        <v>46478</v>
      </c>
      <c r="G456" s="4" t="s">
        <v>247</v>
      </c>
      <c r="H456" s="4" t="str">
        <f>'Database MK'!Q457</f>
        <v>Proses Konstruksi</v>
      </c>
      <c r="I456" s="24">
        <f>'Database MK'!S457</f>
        <v>0.99999999999999989</v>
      </c>
      <c r="J456" s="24">
        <f>'Database MK'!T457</f>
        <v>0</v>
      </c>
      <c r="K456" s="571">
        <f>'Database MK'!U457</f>
        <v>-0.99999999999999989</v>
      </c>
      <c r="L456" s="561">
        <f>'Database MK'!V457</f>
        <v>2382</v>
      </c>
      <c r="M456" s="561">
        <f>'Database MK'!W457</f>
        <v>0</v>
      </c>
      <c r="N456" s="561">
        <f>Table3[[#This Row],[Total Panjang Pipa Aktual]]-Table3[[#This Row],[Volume
BA MC-0]]</f>
        <v>-2382</v>
      </c>
      <c r="O456" s="7" t="str">
        <f ca="1">'Database MK'!DE457</f>
        <v>Belum, Delay</v>
      </c>
      <c r="P456" s="7" t="str">
        <f ca="1">'Database MK'!DI457</f>
        <v>Belum, Delay</v>
      </c>
      <c r="Q456" s="7" t="str">
        <f ca="1">'Database MK'!DN457</f>
        <v>Belum, Delay</v>
      </c>
      <c r="R456" s="7" t="str">
        <f ca="1">'Database MK'!DR457</f>
        <v>Belum, Delay</v>
      </c>
      <c r="S456" s="7" t="str">
        <f ca="1">'Database MK'!EA457</f>
        <v>Belum, Delay</v>
      </c>
      <c r="T456" s="7" t="str">
        <f ca="1">'Database MK'!EI457</f>
        <v>Belum, Delay</v>
      </c>
      <c r="U456" s="7" t="str">
        <f ca="1">'Database MK'!ET457</f>
        <v>Belum, Delay</v>
      </c>
      <c r="V456" s="7" t="str">
        <f ca="1">'Database MK'!GA457</f>
        <v>Belum, Delay</v>
      </c>
      <c r="W456" s="7" t="str">
        <f ca="1">'Database MK'!GD457</f>
        <v>Belum, Delay</v>
      </c>
      <c r="X456" s="7" t="str">
        <f ca="1">'Database MK'!GG457</f>
        <v>Sudah, Delay</v>
      </c>
      <c r="Y456" s="7" t="str">
        <f ca="1">'Database MK'!GK457</f>
        <v>Sudah, Delay</v>
      </c>
      <c r="Z456" s="7" t="str">
        <f ca="1">'Database MK'!HH457</f>
        <v>Belum, Delay</v>
      </c>
      <c r="AA456" s="7" t="str">
        <f ca="1">'Database MK'!HR457</f>
        <v>Belum, Delay</v>
      </c>
      <c r="AB456" s="7" t="str">
        <f ca="1">'Database MK'!HX457</f>
        <v>Belum, Delay</v>
      </c>
      <c r="AC456" s="7">
        <f>'Database MK'!DA457-'Database MK'!DB457</f>
        <v>0</v>
      </c>
      <c r="AD456" s="7">
        <f>'Database MK'!DA457-'Database MK'!DF457</f>
        <v>0</v>
      </c>
      <c r="AE456" s="7">
        <f>'Database MK'!DK457-'Database MK'!DL457</f>
        <v>0</v>
      </c>
      <c r="AF456" s="7">
        <f>'Database MK'!DK457-'Database MK'!DO457</f>
        <v>0</v>
      </c>
      <c r="AG456" s="7">
        <f>'Database MK'!DU457-'Database MK'!DW457</f>
        <v>0</v>
      </c>
      <c r="AH456" s="7" t="str">
        <f>IF('Database MK'!EB457="","Belum",'Database MK'!DU457-'Database MK'!EB457)</f>
        <v>Belum</v>
      </c>
      <c r="AI456" s="7" t="str">
        <f>IF('Database MK'!EN457="","Belum",'Database MK'!EL457-'Database MK'!EN457)</f>
        <v>Belum</v>
      </c>
      <c r="AJ456" s="7">
        <f>'Database MK'!FY457-'Database MK'!FZ457</f>
        <v>0</v>
      </c>
      <c r="AK456" s="7" t="str">
        <f>IF('Database MK'!GC457="","Belum",'Database MK'!GB457-'Database MK'!GC457)</f>
        <v>Belum</v>
      </c>
      <c r="AL456" s="7">
        <f>IF('Database MK'!GF457="","Belum",'Database MK'!GE457-'Database MK'!GF457)</f>
        <v>-46148</v>
      </c>
      <c r="AM456" s="279">
        <f>IF('Database MK'!GJ457="","Belum",'Database MK'!GI457-'Database MK'!GJ457)</f>
        <v>-46155</v>
      </c>
      <c r="AN456" s="7" t="str">
        <f>IF('Database MK'!HG457="","Belum",'Database MK'!HF457-'Database MK'!HG457)</f>
        <v>Belum</v>
      </c>
      <c r="AO456" s="7" t="str">
        <f>IF('Database MK'!HQ457="","Belum",'Database MK'!HN457-'Database MK'!HQ457)</f>
        <v>Belum</v>
      </c>
      <c r="AP456" s="7" t="str">
        <f>IF('Database MK'!HW457="","Belum",'Database MK'!HU457-'Database MK'!HW457)</f>
        <v>Belum</v>
      </c>
    </row>
    <row r="457" spans="2:42" hidden="1" x14ac:dyDescent="0.25">
      <c r="B457" s="7">
        <f>SUBTOTAL(3,$C$4:C457)</f>
        <v>74</v>
      </c>
      <c r="C457" s="269" t="s">
        <v>629</v>
      </c>
      <c r="D457" s="4" t="s">
        <v>3504</v>
      </c>
      <c r="E457" s="4" t="s">
        <v>3505</v>
      </c>
      <c r="F457" s="270">
        <v>46478</v>
      </c>
      <c r="G457" s="4" t="s">
        <v>247</v>
      </c>
      <c r="H457" s="4" t="str">
        <f ca="1">'Database MK'!Q458</f>
        <v>Persiapan</v>
      </c>
      <c r="I457" s="24">
        <f>'Database MK'!S458</f>
        <v>0.99999999999999989</v>
      </c>
      <c r="J457" s="24">
        <f>'Database MK'!T458</f>
        <v>0</v>
      </c>
      <c r="K457" s="571">
        <f>'Database MK'!U458</f>
        <v>-0.99999999999999989</v>
      </c>
      <c r="L457" s="561">
        <f>'Database MK'!V458</f>
        <v>0</v>
      </c>
      <c r="M457" s="561">
        <f>'Database MK'!W458</f>
        <v>0</v>
      </c>
      <c r="N457" s="561">
        <f>Table3[[#This Row],[Total Panjang Pipa Aktual]]-Table3[[#This Row],[Volume
BA MC-0]]</f>
        <v>0</v>
      </c>
      <c r="O457" s="7" t="str">
        <f ca="1">'Database MK'!DE458</f>
        <v>Belum, Delay</v>
      </c>
      <c r="P457" s="7" t="str">
        <f ca="1">'Database MK'!DI458</f>
        <v>Belum, Delay</v>
      </c>
      <c r="Q457" s="7" t="str">
        <f ca="1">'Database MK'!DN458</f>
        <v>Belum, Delay</v>
      </c>
      <c r="R457" s="7" t="str">
        <f ca="1">'Database MK'!DR458</f>
        <v>Belum, Delay</v>
      </c>
      <c r="S457" s="7" t="str">
        <f ca="1">'Database MK'!EA458</f>
        <v>Belum, Delay</v>
      </c>
      <c r="T457" s="7" t="str">
        <f ca="1">'Database MK'!EI458</f>
        <v>Belum, Delay</v>
      </c>
      <c r="U457" s="7" t="str">
        <f ca="1">'Database MK'!ET458</f>
        <v>Belum, Delay</v>
      </c>
      <c r="V457" s="7" t="str">
        <f ca="1">'Database MK'!GA458</f>
        <v>Belum, Delay</v>
      </c>
      <c r="W457" s="7" t="str">
        <f ca="1">'Database MK'!GD458</f>
        <v>Belum, Delay</v>
      </c>
      <c r="X457" s="7" t="str">
        <f ca="1">'Database MK'!GG458</f>
        <v>Belum, Delay</v>
      </c>
      <c r="Y457" s="7" t="str">
        <f ca="1">'Database MK'!GK458</f>
        <v>Belum, Delay</v>
      </c>
      <c r="Z457" s="7" t="str">
        <f ca="1">'Database MK'!HH458</f>
        <v>Belum, Delay</v>
      </c>
      <c r="AA457" s="7" t="str">
        <f ca="1">'Database MK'!HR458</f>
        <v>Belum, Delay</v>
      </c>
      <c r="AB457" s="7" t="str">
        <f ca="1">'Database MK'!HX458</f>
        <v>Belum, Delay</v>
      </c>
      <c r="AC457" s="7">
        <f>'Database MK'!DA458-'Database MK'!DB458</f>
        <v>0</v>
      </c>
      <c r="AD457" s="7">
        <f>'Database MK'!DA458-'Database MK'!DF458</f>
        <v>0</v>
      </c>
      <c r="AE457" s="7">
        <f>'Database MK'!DK458-'Database MK'!DL458</f>
        <v>0</v>
      </c>
      <c r="AF457" s="7">
        <f>'Database MK'!DK458-'Database MK'!DO458</f>
        <v>0</v>
      </c>
      <c r="AG457" s="7">
        <f>'Database MK'!DU458-'Database MK'!DW458</f>
        <v>0</v>
      </c>
      <c r="AH457" s="7" t="str">
        <f>IF('Database MK'!EB458="","Belum",'Database MK'!DU458-'Database MK'!EB458)</f>
        <v>Belum</v>
      </c>
      <c r="AI457" s="7" t="str">
        <f>IF('Database MK'!EN458="","Belum",'Database MK'!EL458-'Database MK'!EN458)</f>
        <v>Belum</v>
      </c>
      <c r="AJ457" s="7">
        <f>'Database MK'!FY458-'Database MK'!FZ458</f>
        <v>0</v>
      </c>
      <c r="AK457" s="7" t="str">
        <f>IF('Database MK'!GC458="","Belum",'Database MK'!GB458-'Database MK'!GC458)</f>
        <v>Belum</v>
      </c>
      <c r="AL457" s="7" t="str">
        <f>IF('Database MK'!GF458="","Belum",'Database MK'!GE458-'Database MK'!GF458)</f>
        <v>Belum</v>
      </c>
      <c r="AM457" s="279" t="str">
        <f>IF('Database MK'!GJ458="","Belum",'Database MK'!GI458-'Database MK'!GJ458)</f>
        <v>Belum</v>
      </c>
      <c r="AN457" s="7" t="str">
        <f>IF('Database MK'!HG458="","Belum",'Database MK'!HF458-'Database MK'!HG458)</f>
        <v>Belum</v>
      </c>
      <c r="AO457" s="7" t="str">
        <f>IF('Database MK'!HQ458="","Belum",'Database MK'!HN458-'Database MK'!HQ458)</f>
        <v>Belum</v>
      </c>
      <c r="AP457" s="7" t="str">
        <f>IF('Database MK'!HW458="","Belum",'Database MK'!HU458-'Database MK'!HW458)</f>
        <v>Belum</v>
      </c>
    </row>
    <row r="458" spans="2:42" hidden="1" x14ac:dyDescent="0.25">
      <c r="B458" s="7">
        <f>SUBTOTAL(3,$C$4:C458)</f>
        <v>74</v>
      </c>
      <c r="C458" s="269" t="s">
        <v>629</v>
      </c>
      <c r="D458" s="4" t="s">
        <v>3506</v>
      </c>
      <c r="E458" s="4" t="s">
        <v>3507</v>
      </c>
      <c r="F458" s="270">
        <v>46478</v>
      </c>
      <c r="G458" s="4" t="s">
        <v>247</v>
      </c>
      <c r="H458" s="4" t="str">
        <f ca="1">'Database MK'!Q459</f>
        <v>Persiapan</v>
      </c>
      <c r="I458" s="24">
        <f>'Database MK'!S459</f>
        <v>0.99999999999999989</v>
      </c>
      <c r="J458" s="24">
        <f>'Database MK'!T459</f>
        <v>0</v>
      </c>
      <c r="K458" s="571">
        <f>'Database MK'!U459</f>
        <v>-0.99999999999999989</v>
      </c>
      <c r="L458" s="561">
        <f>'Database MK'!V459</f>
        <v>0</v>
      </c>
      <c r="M458" s="561">
        <f>'Database MK'!W459</f>
        <v>0</v>
      </c>
      <c r="N458" s="561">
        <f>Table3[[#This Row],[Total Panjang Pipa Aktual]]-Table3[[#This Row],[Volume
BA MC-0]]</f>
        <v>0</v>
      </c>
      <c r="O458" s="7" t="str">
        <f ca="1">'Database MK'!DE459</f>
        <v>Belum, Delay</v>
      </c>
      <c r="P458" s="7" t="str">
        <f ca="1">'Database MK'!DI459</f>
        <v>Belum, Delay</v>
      </c>
      <c r="Q458" s="7" t="str">
        <f ca="1">'Database MK'!DN459</f>
        <v>Belum, Delay</v>
      </c>
      <c r="R458" s="7" t="str">
        <f ca="1">'Database MK'!DR459</f>
        <v>Belum, Delay</v>
      </c>
      <c r="S458" s="7" t="str">
        <f ca="1">'Database MK'!EA459</f>
        <v>Belum, Delay</v>
      </c>
      <c r="T458" s="7" t="str">
        <f ca="1">'Database MK'!EI459</f>
        <v>Belum, Delay</v>
      </c>
      <c r="U458" s="7" t="str">
        <f ca="1">'Database MK'!ET459</f>
        <v>Belum, Delay</v>
      </c>
      <c r="V458" s="7" t="str">
        <f ca="1">'Database MK'!GA459</f>
        <v>Belum, Delay</v>
      </c>
      <c r="W458" s="7" t="str">
        <f ca="1">'Database MK'!GD459</f>
        <v>Belum, Delay</v>
      </c>
      <c r="X458" s="7" t="str">
        <f ca="1">'Database MK'!GG459</f>
        <v>Belum, Delay</v>
      </c>
      <c r="Y458" s="7" t="str">
        <f ca="1">'Database MK'!GK459</f>
        <v>Belum, Delay</v>
      </c>
      <c r="Z458" s="7" t="str">
        <f ca="1">'Database MK'!HH459</f>
        <v>Belum, Delay</v>
      </c>
      <c r="AA458" s="7" t="str">
        <f ca="1">'Database MK'!HR459</f>
        <v>Belum, Delay</v>
      </c>
      <c r="AB458" s="7" t="str">
        <f ca="1">'Database MK'!HX459</f>
        <v>Belum, Delay</v>
      </c>
      <c r="AC458" s="7">
        <f>'Database MK'!DA459-'Database MK'!DB459</f>
        <v>0</v>
      </c>
      <c r="AD458" s="7">
        <f>'Database MK'!DA459-'Database MK'!DF459</f>
        <v>0</v>
      </c>
      <c r="AE458" s="7">
        <f>'Database MK'!DK459-'Database MK'!DL459</f>
        <v>0</v>
      </c>
      <c r="AF458" s="7">
        <f>'Database MK'!DK459-'Database MK'!DO459</f>
        <v>0</v>
      </c>
      <c r="AG458" s="7">
        <f>'Database MK'!DU459-'Database MK'!DW459</f>
        <v>0</v>
      </c>
      <c r="AH458" s="7" t="str">
        <f>IF('Database MK'!EB459="","Belum",'Database MK'!DU459-'Database MK'!EB459)</f>
        <v>Belum</v>
      </c>
      <c r="AI458" s="7" t="str">
        <f>IF('Database MK'!EN459="","Belum",'Database MK'!EL459-'Database MK'!EN459)</f>
        <v>Belum</v>
      </c>
      <c r="AJ458" s="7">
        <f>'Database MK'!FY459-'Database MK'!FZ459</f>
        <v>0</v>
      </c>
      <c r="AK458" s="7" t="str">
        <f>IF('Database MK'!GC459="","Belum",'Database MK'!GB459-'Database MK'!GC459)</f>
        <v>Belum</v>
      </c>
      <c r="AL458" s="7" t="str">
        <f>IF('Database MK'!GF459="","Belum",'Database MK'!GE459-'Database MK'!GF459)</f>
        <v>Belum</v>
      </c>
      <c r="AM458" s="279" t="str">
        <f>IF('Database MK'!GJ459="","Belum",'Database MK'!GI459-'Database MK'!GJ459)</f>
        <v>Belum</v>
      </c>
      <c r="AN458" s="7" t="str">
        <f>IF('Database MK'!HG459="","Belum",'Database MK'!HF459-'Database MK'!HG459)</f>
        <v>Belum</v>
      </c>
      <c r="AO458" s="7" t="str">
        <f>IF('Database MK'!HQ459="","Belum",'Database MK'!HN459-'Database MK'!HQ459)</f>
        <v>Belum</v>
      </c>
      <c r="AP458" s="7" t="str">
        <f>IF('Database MK'!HW459="","Belum",'Database MK'!HU459-'Database MK'!HW459)</f>
        <v>Belum</v>
      </c>
    </row>
    <row r="459" spans="2:42" hidden="1" x14ac:dyDescent="0.25">
      <c r="B459" s="7">
        <f>SUBTOTAL(3,$C$4:C459)</f>
        <v>74</v>
      </c>
      <c r="C459" s="269" t="s">
        <v>629</v>
      </c>
      <c r="D459" s="4" t="s">
        <v>3508</v>
      </c>
      <c r="E459" s="4" t="s">
        <v>3509</v>
      </c>
      <c r="F459" s="270">
        <v>46478</v>
      </c>
      <c r="G459" s="4" t="s">
        <v>247</v>
      </c>
      <c r="H459" s="4" t="str">
        <f ca="1">'Database MK'!Q460</f>
        <v>Persiapan</v>
      </c>
      <c r="I459" s="24">
        <f>'Database MK'!S460</f>
        <v>0.99999999999999989</v>
      </c>
      <c r="J459" s="24">
        <f>'Database MK'!T460</f>
        <v>0</v>
      </c>
      <c r="K459" s="571">
        <f>'Database MK'!U460</f>
        <v>-0.99999999999999989</v>
      </c>
      <c r="L459" s="561">
        <f>'Database MK'!V460</f>
        <v>0</v>
      </c>
      <c r="M459" s="561">
        <f>'Database MK'!W460</f>
        <v>0</v>
      </c>
      <c r="N459" s="561">
        <f>Table3[[#This Row],[Total Panjang Pipa Aktual]]-Table3[[#This Row],[Volume
BA MC-0]]</f>
        <v>0</v>
      </c>
      <c r="O459" s="7" t="str">
        <f ca="1">'Database MK'!DE460</f>
        <v>Belum, Delay</v>
      </c>
      <c r="P459" s="7" t="str">
        <f ca="1">'Database MK'!DI460</f>
        <v>Belum, Delay</v>
      </c>
      <c r="Q459" s="7" t="str">
        <f ca="1">'Database MK'!DN460</f>
        <v>Belum, Delay</v>
      </c>
      <c r="R459" s="7" t="str">
        <f ca="1">'Database MK'!DR460</f>
        <v>Belum, Delay</v>
      </c>
      <c r="S459" s="7" t="str">
        <f ca="1">'Database MK'!EA460</f>
        <v>Belum, Delay</v>
      </c>
      <c r="T459" s="7" t="str">
        <f ca="1">'Database MK'!EI460</f>
        <v>Belum, Delay</v>
      </c>
      <c r="U459" s="7" t="str">
        <f ca="1">'Database MK'!ET460</f>
        <v>Belum, Delay</v>
      </c>
      <c r="V459" s="7" t="str">
        <f ca="1">'Database MK'!GA460</f>
        <v>Belum, Delay</v>
      </c>
      <c r="W459" s="7" t="str">
        <f ca="1">'Database MK'!GD460</f>
        <v>Belum, Delay</v>
      </c>
      <c r="X459" s="7" t="str">
        <f ca="1">'Database MK'!GG460</f>
        <v>Belum, Delay</v>
      </c>
      <c r="Y459" s="7" t="str">
        <f ca="1">'Database MK'!GK460</f>
        <v>Belum, Delay</v>
      </c>
      <c r="Z459" s="7" t="str">
        <f ca="1">'Database MK'!HH460</f>
        <v>Belum, Delay</v>
      </c>
      <c r="AA459" s="7" t="str">
        <f ca="1">'Database MK'!HR460</f>
        <v>Belum, Delay</v>
      </c>
      <c r="AB459" s="7" t="str">
        <f ca="1">'Database MK'!HX460</f>
        <v>Belum, Delay</v>
      </c>
      <c r="AC459" s="7">
        <f>'Database MK'!DA460-'Database MK'!DB460</f>
        <v>0</v>
      </c>
      <c r="AD459" s="7">
        <f>'Database MK'!DA460-'Database MK'!DF460</f>
        <v>0</v>
      </c>
      <c r="AE459" s="7">
        <f>'Database MK'!DK460-'Database MK'!DL460</f>
        <v>0</v>
      </c>
      <c r="AF459" s="7">
        <f>'Database MK'!DK460-'Database MK'!DO460</f>
        <v>0</v>
      </c>
      <c r="AG459" s="7">
        <f>'Database MK'!DU460-'Database MK'!DW460</f>
        <v>0</v>
      </c>
      <c r="AH459" s="7" t="str">
        <f>IF('Database MK'!EB460="","Belum",'Database MK'!DU460-'Database MK'!EB460)</f>
        <v>Belum</v>
      </c>
      <c r="AI459" s="7" t="str">
        <f>IF('Database MK'!EN460="","Belum",'Database MK'!EL460-'Database MK'!EN460)</f>
        <v>Belum</v>
      </c>
      <c r="AJ459" s="7">
        <f>'Database MK'!FY460-'Database MK'!FZ460</f>
        <v>0</v>
      </c>
      <c r="AK459" s="7" t="str">
        <f>IF('Database MK'!GC460="","Belum",'Database MK'!GB460-'Database MK'!GC460)</f>
        <v>Belum</v>
      </c>
      <c r="AL459" s="7" t="str">
        <f>IF('Database MK'!GF460="","Belum",'Database MK'!GE460-'Database MK'!GF460)</f>
        <v>Belum</v>
      </c>
      <c r="AM459" s="279" t="str">
        <f>IF('Database MK'!GJ460="","Belum",'Database MK'!GI460-'Database MK'!GJ460)</f>
        <v>Belum</v>
      </c>
      <c r="AN459" s="7" t="str">
        <f>IF('Database MK'!HG460="","Belum",'Database MK'!HF460-'Database MK'!HG460)</f>
        <v>Belum</v>
      </c>
      <c r="AO459" s="7" t="str">
        <f>IF('Database MK'!HQ460="","Belum",'Database MK'!HN460-'Database MK'!HQ460)</f>
        <v>Belum</v>
      </c>
      <c r="AP459" s="7" t="str">
        <f>IF('Database MK'!HW460="","Belum",'Database MK'!HU460-'Database MK'!HW460)</f>
        <v>Belum</v>
      </c>
    </row>
    <row r="460" spans="2:42" hidden="1" x14ac:dyDescent="0.25">
      <c r="B460" s="7">
        <f>SUBTOTAL(3,$C$4:C460)</f>
        <v>74</v>
      </c>
      <c r="C460" s="269" t="s">
        <v>629</v>
      </c>
      <c r="D460" s="4" t="s">
        <v>3510</v>
      </c>
      <c r="E460" s="4" t="s">
        <v>3511</v>
      </c>
      <c r="F460" s="270">
        <v>46478</v>
      </c>
      <c r="G460" s="4" t="s">
        <v>247</v>
      </c>
      <c r="H460" s="4" t="str">
        <f ca="1">'Database MK'!Q461</f>
        <v>Persiapan</v>
      </c>
      <c r="I460" s="24">
        <f>'Database MK'!S461</f>
        <v>0.99999999999999989</v>
      </c>
      <c r="J460" s="24">
        <f>'Database MK'!T461</f>
        <v>0</v>
      </c>
      <c r="K460" s="571">
        <f>'Database MK'!U461</f>
        <v>-0.99999999999999989</v>
      </c>
      <c r="L460" s="561">
        <f>'Database MK'!V461</f>
        <v>0</v>
      </c>
      <c r="M460" s="561">
        <f>'Database MK'!W461</f>
        <v>0</v>
      </c>
      <c r="N460" s="561">
        <f>Table3[[#This Row],[Total Panjang Pipa Aktual]]-Table3[[#This Row],[Volume
BA MC-0]]</f>
        <v>0</v>
      </c>
      <c r="O460" s="7" t="str">
        <f ca="1">'Database MK'!DE461</f>
        <v>Belum, Delay</v>
      </c>
      <c r="P460" s="7" t="str">
        <f ca="1">'Database MK'!DI461</f>
        <v>Belum, Delay</v>
      </c>
      <c r="Q460" s="7" t="str">
        <f ca="1">'Database MK'!DN461</f>
        <v>Belum, Delay</v>
      </c>
      <c r="R460" s="7" t="str">
        <f ca="1">'Database MK'!DR461</f>
        <v>Belum, Delay</v>
      </c>
      <c r="S460" s="7" t="str">
        <f ca="1">'Database MK'!EA461</f>
        <v>Belum, Delay</v>
      </c>
      <c r="T460" s="7" t="str">
        <f ca="1">'Database MK'!EI461</f>
        <v>Belum, Delay</v>
      </c>
      <c r="U460" s="7" t="str">
        <f ca="1">'Database MK'!ET461</f>
        <v>Belum, Delay</v>
      </c>
      <c r="V460" s="7" t="str">
        <f ca="1">'Database MK'!GA461</f>
        <v>Belum, Delay</v>
      </c>
      <c r="W460" s="7" t="str">
        <f ca="1">'Database MK'!GD461</f>
        <v>Belum, Delay</v>
      </c>
      <c r="X460" s="7" t="str">
        <f ca="1">'Database MK'!GG461</f>
        <v>Belum, Delay</v>
      </c>
      <c r="Y460" s="7" t="str">
        <f ca="1">'Database MK'!GK461</f>
        <v>Belum, Delay</v>
      </c>
      <c r="Z460" s="7" t="str">
        <f ca="1">'Database MK'!HH461</f>
        <v>Belum, Delay</v>
      </c>
      <c r="AA460" s="7" t="str">
        <f ca="1">'Database MK'!HR461</f>
        <v>Belum, Delay</v>
      </c>
      <c r="AB460" s="7" t="str">
        <f ca="1">'Database MK'!HX461</f>
        <v>Belum, Delay</v>
      </c>
      <c r="AC460" s="7">
        <f>'Database MK'!DA461-'Database MK'!DB461</f>
        <v>0</v>
      </c>
      <c r="AD460" s="7">
        <f>'Database MK'!DA461-'Database MK'!DF461</f>
        <v>0</v>
      </c>
      <c r="AE460" s="7">
        <f>'Database MK'!DK461-'Database MK'!DL461</f>
        <v>0</v>
      </c>
      <c r="AF460" s="7">
        <f>'Database MK'!DK461-'Database MK'!DO461</f>
        <v>0</v>
      </c>
      <c r="AG460" s="7">
        <f>'Database MK'!DU461-'Database MK'!DW461</f>
        <v>0</v>
      </c>
      <c r="AH460" s="7" t="str">
        <f>IF('Database MK'!EB461="","Belum",'Database MK'!DU461-'Database MK'!EB461)</f>
        <v>Belum</v>
      </c>
      <c r="AI460" s="7" t="str">
        <f>IF('Database MK'!EN461="","Belum",'Database MK'!EL461-'Database MK'!EN461)</f>
        <v>Belum</v>
      </c>
      <c r="AJ460" s="7">
        <f>'Database MK'!FY461-'Database MK'!FZ461</f>
        <v>0</v>
      </c>
      <c r="AK460" s="7" t="str">
        <f>IF('Database MK'!GC461="","Belum",'Database MK'!GB461-'Database MK'!GC461)</f>
        <v>Belum</v>
      </c>
      <c r="AL460" s="7" t="str">
        <f>IF('Database MK'!GF461="","Belum",'Database MK'!GE461-'Database MK'!GF461)</f>
        <v>Belum</v>
      </c>
      <c r="AM460" s="279" t="str">
        <f>IF('Database MK'!GJ461="","Belum",'Database MK'!GI461-'Database MK'!GJ461)</f>
        <v>Belum</v>
      </c>
      <c r="AN460" s="7" t="str">
        <f>IF('Database MK'!HG461="","Belum",'Database MK'!HF461-'Database MK'!HG461)</f>
        <v>Belum</v>
      </c>
      <c r="AO460" s="7" t="str">
        <f>IF('Database MK'!HQ461="","Belum",'Database MK'!HN461-'Database MK'!HQ461)</f>
        <v>Belum</v>
      </c>
      <c r="AP460" s="7" t="str">
        <f>IF('Database MK'!HW461="","Belum",'Database MK'!HU461-'Database MK'!HW461)</f>
        <v>Belum</v>
      </c>
    </row>
    <row r="461" spans="2:42" hidden="1" x14ac:dyDescent="0.25">
      <c r="B461" s="7">
        <f>SUBTOTAL(3,$C$4:C461)</f>
        <v>74</v>
      </c>
      <c r="C461" s="269" t="s">
        <v>629</v>
      </c>
      <c r="D461" s="4" t="s">
        <v>3512</v>
      </c>
      <c r="E461" s="4" t="s">
        <v>3513</v>
      </c>
      <c r="F461" s="270">
        <v>46478</v>
      </c>
      <c r="G461" s="4" t="s">
        <v>247</v>
      </c>
      <c r="H461" s="4" t="str">
        <f ca="1">'Database MK'!Q462</f>
        <v>Persiapan</v>
      </c>
      <c r="I461" s="24">
        <f>'Database MK'!S462</f>
        <v>0.99999999999999989</v>
      </c>
      <c r="J461" s="24">
        <f>'Database MK'!T462</f>
        <v>0</v>
      </c>
      <c r="K461" s="571">
        <f>'Database MK'!U462</f>
        <v>-0.99999999999999989</v>
      </c>
      <c r="L461" s="561">
        <f>'Database MK'!V462</f>
        <v>0</v>
      </c>
      <c r="M461" s="561">
        <f>'Database MK'!W462</f>
        <v>0</v>
      </c>
      <c r="N461" s="561">
        <f>Table3[[#This Row],[Total Panjang Pipa Aktual]]-Table3[[#This Row],[Volume
BA MC-0]]</f>
        <v>0</v>
      </c>
      <c r="O461" s="7" t="str">
        <f ca="1">'Database MK'!DE462</f>
        <v>Belum, Delay</v>
      </c>
      <c r="P461" s="7" t="str">
        <f ca="1">'Database MK'!DI462</f>
        <v>Belum, Delay</v>
      </c>
      <c r="Q461" s="7" t="str">
        <f ca="1">'Database MK'!DN462</f>
        <v>Belum, Delay</v>
      </c>
      <c r="R461" s="7" t="str">
        <f ca="1">'Database MK'!DR462</f>
        <v>Belum, Delay</v>
      </c>
      <c r="S461" s="7" t="str">
        <f ca="1">'Database MK'!EA462</f>
        <v>Belum, Delay</v>
      </c>
      <c r="T461" s="7" t="str">
        <f ca="1">'Database MK'!EI462</f>
        <v>Belum, Delay</v>
      </c>
      <c r="U461" s="7" t="str">
        <f ca="1">'Database MK'!ET462</f>
        <v>Belum, Delay</v>
      </c>
      <c r="V461" s="7" t="str">
        <f ca="1">'Database MK'!GA462</f>
        <v>Belum, Delay</v>
      </c>
      <c r="W461" s="7" t="str">
        <f ca="1">'Database MK'!GD462</f>
        <v>Belum, Delay</v>
      </c>
      <c r="X461" s="7" t="str">
        <f ca="1">'Database MK'!GG462</f>
        <v>Belum, Delay</v>
      </c>
      <c r="Y461" s="7" t="str">
        <f ca="1">'Database MK'!GK462</f>
        <v>Belum, Delay</v>
      </c>
      <c r="Z461" s="7" t="str">
        <f ca="1">'Database MK'!HH462</f>
        <v>Belum, Delay</v>
      </c>
      <c r="AA461" s="7" t="str">
        <f ca="1">'Database MK'!HR462</f>
        <v>Belum, Delay</v>
      </c>
      <c r="AB461" s="7" t="str">
        <f ca="1">'Database MK'!HX462</f>
        <v>Belum, Delay</v>
      </c>
      <c r="AC461" s="7">
        <f>'Database MK'!DA462-'Database MK'!DB462</f>
        <v>0</v>
      </c>
      <c r="AD461" s="7">
        <f>'Database MK'!DA462-'Database MK'!DF462</f>
        <v>0</v>
      </c>
      <c r="AE461" s="7">
        <f>'Database MK'!DK462-'Database MK'!DL462</f>
        <v>0</v>
      </c>
      <c r="AF461" s="7">
        <f>'Database MK'!DK462-'Database MK'!DO462</f>
        <v>0</v>
      </c>
      <c r="AG461" s="7">
        <f>'Database MK'!DU462-'Database MK'!DW462</f>
        <v>0</v>
      </c>
      <c r="AH461" s="7" t="str">
        <f>IF('Database MK'!EB462="","Belum",'Database MK'!DU462-'Database MK'!EB462)</f>
        <v>Belum</v>
      </c>
      <c r="AI461" s="7" t="str">
        <f>IF('Database MK'!EN462="","Belum",'Database MK'!EL462-'Database MK'!EN462)</f>
        <v>Belum</v>
      </c>
      <c r="AJ461" s="7">
        <f>'Database MK'!FY462-'Database MK'!FZ462</f>
        <v>0</v>
      </c>
      <c r="AK461" s="7" t="str">
        <f>IF('Database MK'!GC462="","Belum",'Database MK'!GB462-'Database MK'!GC462)</f>
        <v>Belum</v>
      </c>
      <c r="AL461" s="7" t="str">
        <f>IF('Database MK'!GF462="","Belum",'Database MK'!GE462-'Database MK'!GF462)</f>
        <v>Belum</v>
      </c>
      <c r="AM461" s="279" t="str">
        <f>IF('Database MK'!GJ462="","Belum",'Database MK'!GI462-'Database MK'!GJ462)</f>
        <v>Belum</v>
      </c>
      <c r="AN461" s="7" t="str">
        <f>IF('Database MK'!HG462="","Belum",'Database MK'!HF462-'Database MK'!HG462)</f>
        <v>Belum</v>
      </c>
      <c r="AO461" s="7" t="str">
        <f>IF('Database MK'!HQ462="","Belum",'Database MK'!HN462-'Database MK'!HQ462)</f>
        <v>Belum</v>
      </c>
      <c r="AP461" s="7" t="str">
        <f>IF('Database MK'!HW462="","Belum",'Database MK'!HU462-'Database MK'!HW462)</f>
        <v>Belum</v>
      </c>
    </row>
    <row r="462" spans="2:42" hidden="1" x14ac:dyDescent="0.25">
      <c r="B462" s="7">
        <f>SUBTOTAL(3,$C$4:C462)</f>
        <v>74</v>
      </c>
      <c r="C462" s="269" t="s">
        <v>629</v>
      </c>
      <c r="D462" s="4" t="s">
        <v>3514</v>
      </c>
      <c r="E462" s="4" t="s">
        <v>3515</v>
      </c>
      <c r="F462" s="270">
        <v>46478</v>
      </c>
      <c r="G462" s="4" t="s">
        <v>247</v>
      </c>
      <c r="H462" s="4" t="str">
        <f ca="1">'Database MK'!Q463</f>
        <v>Persiapan</v>
      </c>
      <c r="I462" s="24">
        <f>'Database MK'!S463</f>
        <v>0.99999999999999989</v>
      </c>
      <c r="J462" s="24">
        <f>'Database MK'!T463</f>
        <v>0</v>
      </c>
      <c r="K462" s="571">
        <f>'Database MK'!U463</f>
        <v>-0.99999999999999989</v>
      </c>
      <c r="L462" s="561">
        <f>'Database MK'!V463</f>
        <v>0</v>
      </c>
      <c r="M462" s="561">
        <f>'Database MK'!W463</f>
        <v>0</v>
      </c>
      <c r="N462" s="561">
        <f>Table3[[#This Row],[Total Panjang Pipa Aktual]]-Table3[[#This Row],[Volume
BA MC-0]]</f>
        <v>0</v>
      </c>
      <c r="O462" s="7" t="str">
        <f ca="1">'Database MK'!DE463</f>
        <v>Belum, Delay</v>
      </c>
      <c r="P462" s="7" t="str">
        <f ca="1">'Database MK'!DI463</f>
        <v>Belum, Delay</v>
      </c>
      <c r="Q462" s="7" t="str">
        <f ca="1">'Database MK'!DN463</f>
        <v>Belum, Delay</v>
      </c>
      <c r="R462" s="7" t="str">
        <f ca="1">'Database MK'!DR463</f>
        <v>Belum, Delay</v>
      </c>
      <c r="S462" s="7" t="str">
        <f ca="1">'Database MK'!EA463</f>
        <v>Belum, Delay</v>
      </c>
      <c r="T462" s="7" t="str">
        <f ca="1">'Database MK'!EI463</f>
        <v>Belum, Delay</v>
      </c>
      <c r="U462" s="7" t="str">
        <f ca="1">'Database MK'!ET463</f>
        <v>Belum, Delay</v>
      </c>
      <c r="V462" s="7" t="str">
        <f ca="1">'Database MK'!GA463</f>
        <v>Belum, Delay</v>
      </c>
      <c r="W462" s="7" t="str">
        <f ca="1">'Database MK'!GD463</f>
        <v>Belum, Delay</v>
      </c>
      <c r="X462" s="7" t="str">
        <f ca="1">'Database MK'!GG463</f>
        <v>Belum, Delay</v>
      </c>
      <c r="Y462" s="7" t="str">
        <f ca="1">'Database MK'!GK463</f>
        <v>Belum, Delay</v>
      </c>
      <c r="Z462" s="7" t="str">
        <f ca="1">'Database MK'!HH463</f>
        <v>Belum, Delay</v>
      </c>
      <c r="AA462" s="7" t="str">
        <f ca="1">'Database MK'!HR463</f>
        <v>Belum, Delay</v>
      </c>
      <c r="AB462" s="7" t="str">
        <f ca="1">'Database MK'!HX463</f>
        <v>Belum, Delay</v>
      </c>
      <c r="AC462" s="7">
        <f>'Database MK'!DA463-'Database MK'!DB463</f>
        <v>0</v>
      </c>
      <c r="AD462" s="7">
        <f>'Database MK'!DA463-'Database MK'!DF463</f>
        <v>0</v>
      </c>
      <c r="AE462" s="7">
        <f>'Database MK'!DK463-'Database MK'!DL463</f>
        <v>0</v>
      </c>
      <c r="AF462" s="7">
        <f>'Database MK'!DK463-'Database MK'!DO463</f>
        <v>0</v>
      </c>
      <c r="AG462" s="7">
        <f>'Database MK'!DU463-'Database MK'!DW463</f>
        <v>0</v>
      </c>
      <c r="AH462" s="7" t="str">
        <f>IF('Database MK'!EB463="","Belum",'Database MK'!DU463-'Database MK'!EB463)</f>
        <v>Belum</v>
      </c>
      <c r="AI462" s="7" t="str">
        <f>IF('Database MK'!EN463="","Belum",'Database MK'!EL463-'Database MK'!EN463)</f>
        <v>Belum</v>
      </c>
      <c r="AJ462" s="7">
        <f>'Database MK'!FY463-'Database MK'!FZ463</f>
        <v>0</v>
      </c>
      <c r="AK462" s="7" t="str">
        <f>IF('Database MK'!GC463="","Belum",'Database MK'!GB463-'Database MK'!GC463)</f>
        <v>Belum</v>
      </c>
      <c r="AL462" s="7" t="str">
        <f>IF('Database MK'!GF463="","Belum",'Database MK'!GE463-'Database MK'!GF463)</f>
        <v>Belum</v>
      </c>
      <c r="AM462" s="279" t="str">
        <f>IF('Database MK'!GJ463="","Belum",'Database MK'!GI463-'Database MK'!GJ463)</f>
        <v>Belum</v>
      </c>
      <c r="AN462" s="7" t="str">
        <f>IF('Database MK'!HG463="","Belum",'Database MK'!HF463-'Database MK'!HG463)</f>
        <v>Belum</v>
      </c>
      <c r="AO462" s="7" t="str">
        <f>IF('Database MK'!HQ463="","Belum",'Database MK'!HN463-'Database MK'!HQ463)</f>
        <v>Belum</v>
      </c>
      <c r="AP462" s="7" t="str">
        <f>IF('Database MK'!HW463="","Belum",'Database MK'!HU463-'Database MK'!HW463)</f>
        <v>Belum</v>
      </c>
    </row>
    <row r="463" spans="2:42" hidden="1" x14ac:dyDescent="0.25">
      <c r="B463" s="7">
        <f>SUBTOTAL(3,$C$4:C463)</f>
        <v>74</v>
      </c>
      <c r="C463" s="269" t="s">
        <v>629</v>
      </c>
      <c r="D463" s="4" t="s">
        <v>3516</v>
      </c>
      <c r="E463" s="4" t="s">
        <v>3517</v>
      </c>
      <c r="F463" s="270">
        <v>46478</v>
      </c>
      <c r="G463" s="4" t="s">
        <v>247</v>
      </c>
      <c r="H463" s="4" t="str">
        <f ca="1">'Database MK'!Q464</f>
        <v>Persiapan</v>
      </c>
      <c r="I463" s="24">
        <f>'Database MK'!S464</f>
        <v>0.99999999999999989</v>
      </c>
      <c r="J463" s="24">
        <f>'Database MK'!T464</f>
        <v>0</v>
      </c>
      <c r="K463" s="571">
        <f>'Database MK'!U464</f>
        <v>-0.99999999999999989</v>
      </c>
      <c r="L463" s="561">
        <f>'Database MK'!V464</f>
        <v>0</v>
      </c>
      <c r="M463" s="561">
        <f>'Database MK'!W464</f>
        <v>0</v>
      </c>
      <c r="N463" s="561">
        <f>Table3[[#This Row],[Total Panjang Pipa Aktual]]-Table3[[#This Row],[Volume
BA MC-0]]</f>
        <v>0</v>
      </c>
      <c r="O463" s="7" t="str">
        <f ca="1">'Database MK'!DE464</f>
        <v>Belum, Delay</v>
      </c>
      <c r="P463" s="7" t="str">
        <f ca="1">'Database MK'!DI464</f>
        <v>Belum, Delay</v>
      </c>
      <c r="Q463" s="7" t="str">
        <f ca="1">'Database MK'!DN464</f>
        <v>Belum, Delay</v>
      </c>
      <c r="R463" s="7" t="str">
        <f ca="1">'Database MK'!DR464</f>
        <v>Belum, Delay</v>
      </c>
      <c r="S463" s="7" t="str">
        <f ca="1">'Database MK'!EA464</f>
        <v>Belum, Delay</v>
      </c>
      <c r="T463" s="7" t="str">
        <f ca="1">'Database MK'!EI464</f>
        <v>Belum, Delay</v>
      </c>
      <c r="U463" s="7" t="str">
        <f ca="1">'Database MK'!ET464</f>
        <v>Belum, Delay</v>
      </c>
      <c r="V463" s="7" t="str">
        <f ca="1">'Database MK'!GA464</f>
        <v>Belum, Delay</v>
      </c>
      <c r="W463" s="7" t="str">
        <f ca="1">'Database MK'!GD464</f>
        <v>Belum, Delay</v>
      </c>
      <c r="X463" s="7" t="str">
        <f ca="1">'Database MK'!GG464</f>
        <v>Belum, Delay</v>
      </c>
      <c r="Y463" s="7" t="str">
        <f ca="1">'Database MK'!GK464</f>
        <v>Belum, Delay</v>
      </c>
      <c r="Z463" s="7" t="str">
        <f ca="1">'Database MK'!HH464</f>
        <v>Belum, Delay</v>
      </c>
      <c r="AA463" s="7" t="str">
        <f ca="1">'Database MK'!HR464</f>
        <v>Belum, Delay</v>
      </c>
      <c r="AB463" s="7" t="str">
        <f ca="1">'Database MK'!HX464</f>
        <v>Belum, Delay</v>
      </c>
      <c r="AC463" s="7">
        <f>'Database MK'!DA464-'Database MK'!DB464</f>
        <v>0</v>
      </c>
      <c r="AD463" s="7">
        <f>'Database MK'!DA464-'Database MK'!DF464</f>
        <v>0</v>
      </c>
      <c r="AE463" s="7">
        <f>'Database MK'!DK464-'Database MK'!DL464</f>
        <v>0</v>
      </c>
      <c r="AF463" s="7">
        <f>'Database MK'!DK464-'Database MK'!DO464</f>
        <v>0</v>
      </c>
      <c r="AG463" s="7">
        <f>'Database MK'!DU464-'Database MK'!DW464</f>
        <v>0</v>
      </c>
      <c r="AH463" s="7" t="str">
        <f>IF('Database MK'!EB464="","Belum",'Database MK'!DU464-'Database MK'!EB464)</f>
        <v>Belum</v>
      </c>
      <c r="AI463" s="7" t="str">
        <f>IF('Database MK'!EN464="","Belum",'Database MK'!EL464-'Database MK'!EN464)</f>
        <v>Belum</v>
      </c>
      <c r="AJ463" s="7">
        <f>'Database MK'!FY464-'Database MK'!FZ464</f>
        <v>0</v>
      </c>
      <c r="AK463" s="7" t="str">
        <f>IF('Database MK'!GC464="","Belum",'Database MK'!GB464-'Database MK'!GC464)</f>
        <v>Belum</v>
      </c>
      <c r="AL463" s="7" t="str">
        <f>IF('Database MK'!GF464="","Belum",'Database MK'!GE464-'Database MK'!GF464)</f>
        <v>Belum</v>
      </c>
      <c r="AM463" s="279" t="str">
        <f>IF('Database MK'!GJ464="","Belum",'Database MK'!GI464-'Database MK'!GJ464)</f>
        <v>Belum</v>
      </c>
      <c r="AN463" s="7" t="str">
        <f>IF('Database MK'!HG464="","Belum",'Database MK'!HF464-'Database MK'!HG464)</f>
        <v>Belum</v>
      </c>
      <c r="AO463" s="7" t="str">
        <f>IF('Database MK'!HQ464="","Belum",'Database MK'!HN464-'Database MK'!HQ464)</f>
        <v>Belum</v>
      </c>
      <c r="AP463" s="7" t="str">
        <f>IF('Database MK'!HW464="","Belum",'Database MK'!HU464-'Database MK'!HW464)</f>
        <v>Belum</v>
      </c>
    </row>
    <row r="464" spans="2:42" hidden="1" x14ac:dyDescent="0.25">
      <c r="B464" s="7">
        <f>SUBTOTAL(3,$C$4:C464)</f>
        <v>74</v>
      </c>
      <c r="C464" s="269" t="s">
        <v>629</v>
      </c>
      <c r="D464" s="4" t="s">
        <v>3518</v>
      </c>
      <c r="E464" s="4" t="s">
        <v>3519</v>
      </c>
      <c r="F464" s="270">
        <v>46478</v>
      </c>
      <c r="G464" s="4" t="s">
        <v>247</v>
      </c>
      <c r="H464" s="4" t="str">
        <f ca="1">'Database MK'!Q465</f>
        <v>Persiapan</v>
      </c>
      <c r="I464" s="24">
        <f>'Database MK'!S465</f>
        <v>0.99999999999999989</v>
      </c>
      <c r="J464" s="24">
        <f>'Database MK'!T465</f>
        <v>0</v>
      </c>
      <c r="K464" s="571">
        <f>'Database MK'!U465</f>
        <v>-0.99999999999999989</v>
      </c>
      <c r="L464" s="561">
        <f>'Database MK'!V465</f>
        <v>0</v>
      </c>
      <c r="M464" s="561">
        <f>'Database MK'!W465</f>
        <v>0</v>
      </c>
      <c r="N464" s="561">
        <f>Table3[[#This Row],[Total Panjang Pipa Aktual]]-Table3[[#This Row],[Volume
BA MC-0]]</f>
        <v>0</v>
      </c>
      <c r="O464" s="7" t="str">
        <f ca="1">'Database MK'!DE465</f>
        <v>Belum, Delay</v>
      </c>
      <c r="P464" s="7" t="str">
        <f ca="1">'Database MK'!DI465</f>
        <v>Belum, Delay</v>
      </c>
      <c r="Q464" s="7" t="str">
        <f ca="1">'Database MK'!DN465</f>
        <v>Belum, Delay</v>
      </c>
      <c r="R464" s="7" t="str">
        <f ca="1">'Database MK'!DR465</f>
        <v>Belum, Delay</v>
      </c>
      <c r="S464" s="7" t="str">
        <f ca="1">'Database MK'!EA465</f>
        <v>Belum, Delay</v>
      </c>
      <c r="T464" s="7" t="str">
        <f ca="1">'Database MK'!EI465</f>
        <v>Belum, Delay</v>
      </c>
      <c r="U464" s="7" t="str">
        <f ca="1">'Database MK'!ET465</f>
        <v>Belum, Delay</v>
      </c>
      <c r="V464" s="7" t="str">
        <f ca="1">'Database MK'!GA465</f>
        <v>Belum, Delay</v>
      </c>
      <c r="W464" s="7" t="str">
        <f ca="1">'Database MK'!GD465</f>
        <v>Belum, Delay</v>
      </c>
      <c r="X464" s="7" t="str">
        <f ca="1">'Database MK'!GG465</f>
        <v>Belum, Delay</v>
      </c>
      <c r="Y464" s="7" t="str">
        <f ca="1">'Database MK'!GK465</f>
        <v>Belum, Delay</v>
      </c>
      <c r="Z464" s="7" t="str">
        <f ca="1">'Database MK'!HH465</f>
        <v>Belum, Delay</v>
      </c>
      <c r="AA464" s="7" t="str">
        <f ca="1">'Database MK'!HR465</f>
        <v>Belum, Delay</v>
      </c>
      <c r="AB464" s="7" t="str">
        <f ca="1">'Database MK'!HX465</f>
        <v>Belum, Delay</v>
      </c>
      <c r="AC464" s="7">
        <f>'Database MK'!DA465-'Database MK'!DB465</f>
        <v>0</v>
      </c>
      <c r="AD464" s="7">
        <f>'Database MK'!DA465-'Database MK'!DF465</f>
        <v>0</v>
      </c>
      <c r="AE464" s="7">
        <f>'Database MK'!DK465-'Database MK'!DL465</f>
        <v>0</v>
      </c>
      <c r="AF464" s="7">
        <f>'Database MK'!DK465-'Database MK'!DO465</f>
        <v>0</v>
      </c>
      <c r="AG464" s="7">
        <f>'Database MK'!DU465-'Database MK'!DW465</f>
        <v>0</v>
      </c>
      <c r="AH464" s="7" t="str">
        <f>IF('Database MK'!EB465="","Belum",'Database MK'!DU465-'Database MK'!EB465)</f>
        <v>Belum</v>
      </c>
      <c r="AI464" s="7" t="str">
        <f>IF('Database MK'!EN465="","Belum",'Database MK'!EL465-'Database MK'!EN465)</f>
        <v>Belum</v>
      </c>
      <c r="AJ464" s="7">
        <f>'Database MK'!FY465-'Database MK'!FZ465</f>
        <v>0</v>
      </c>
      <c r="AK464" s="7" t="str">
        <f>IF('Database MK'!GC465="","Belum",'Database MK'!GB465-'Database MK'!GC465)</f>
        <v>Belum</v>
      </c>
      <c r="AL464" s="7" t="str">
        <f>IF('Database MK'!GF465="","Belum",'Database MK'!GE465-'Database MK'!GF465)</f>
        <v>Belum</v>
      </c>
      <c r="AM464" s="279" t="str">
        <f>IF('Database MK'!GJ465="","Belum",'Database MK'!GI465-'Database MK'!GJ465)</f>
        <v>Belum</v>
      </c>
      <c r="AN464" s="7" t="str">
        <f>IF('Database MK'!HG465="","Belum",'Database MK'!HF465-'Database MK'!HG465)</f>
        <v>Belum</v>
      </c>
      <c r="AO464" s="7" t="str">
        <f>IF('Database MK'!HQ465="","Belum",'Database MK'!HN465-'Database MK'!HQ465)</f>
        <v>Belum</v>
      </c>
      <c r="AP464" s="7" t="str">
        <f>IF('Database MK'!HW465="","Belum",'Database MK'!HU465-'Database MK'!HW465)</f>
        <v>Belum</v>
      </c>
    </row>
    <row r="465" spans="2:42" hidden="1" x14ac:dyDescent="0.25">
      <c r="B465" s="7">
        <f>SUBTOTAL(3,$C$4:C465)</f>
        <v>74</v>
      </c>
      <c r="C465" s="269" t="s">
        <v>629</v>
      </c>
      <c r="D465" s="4" t="s">
        <v>3520</v>
      </c>
      <c r="E465" s="4" t="s">
        <v>3521</v>
      </c>
      <c r="F465" s="270">
        <v>46478</v>
      </c>
      <c r="G465" s="4" t="s">
        <v>247</v>
      </c>
      <c r="H465" s="4" t="str">
        <f ca="1">'Database MK'!Q466</f>
        <v>Persiapan</v>
      </c>
      <c r="I465" s="24">
        <f>'Database MK'!S466</f>
        <v>0.99999999999999989</v>
      </c>
      <c r="J465" s="24">
        <f>'Database MK'!T466</f>
        <v>0</v>
      </c>
      <c r="K465" s="571">
        <f>'Database MK'!U466</f>
        <v>-0.99999999999999989</v>
      </c>
      <c r="L465" s="561">
        <f>'Database MK'!V466</f>
        <v>0</v>
      </c>
      <c r="M465" s="561">
        <f>'Database MK'!W466</f>
        <v>0</v>
      </c>
      <c r="N465" s="561">
        <f>Table3[[#This Row],[Total Panjang Pipa Aktual]]-Table3[[#This Row],[Volume
BA MC-0]]</f>
        <v>0</v>
      </c>
      <c r="O465" s="7" t="str">
        <f ca="1">'Database MK'!DE466</f>
        <v>Belum, Delay</v>
      </c>
      <c r="P465" s="7" t="str">
        <f ca="1">'Database MK'!DI466</f>
        <v>Belum, Delay</v>
      </c>
      <c r="Q465" s="7" t="str">
        <f ca="1">'Database MK'!DN466</f>
        <v>Belum, Delay</v>
      </c>
      <c r="R465" s="7" t="str">
        <f ca="1">'Database MK'!DR466</f>
        <v>Belum, Delay</v>
      </c>
      <c r="S465" s="7" t="str">
        <f ca="1">'Database MK'!EA466</f>
        <v>Belum, Delay</v>
      </c>
      <c r="T465" s="7" t="str">
        <f ca="1">'Database MK'!EI466</f>
        <v>Belum, Delay</v>
      </c>
      <c r="U465" s="7" t="str">
        <f ca="1">'Database MK'!ET466</f>
        <v>Belum, Delay</v>
      </c>
      <c r="V465" s="7" t="str">
        <f ca="1">'Database MK'!GA466</f>
        <v>Belum, Delay</v>
      </c>
      <c r="W465" s="7" t="str">
        <f ca="1">'Database MK'!GD466</f>
        <v>Belum, Delay</v>
      </c>
      <c r="X465" s="7" t="str">
        <f ca="1">'Database MK'!GG466</f>
        <v>Belum, Delay</v>
      </c>
      <c r="Y465" s="7" t="str">
        <f ca="1">'Database MK'!GK466</f>
        <v>Belum, Delay</v>
      </c>
      <c r="Z465" s="7" t="str">
        <f ca="1">'Database MK'!HH466</f>
        <v>Belum, Delay</v>
      </c>
      <c r="AA465" s="7" t="str">
        <f ca="1">'Database MK'!HR466</f>
        <v>Belum, Delay</v>
      </c>
      <c r="AB465" s="7" t="str">
        <f ca="1">'Database MK'!HX466</f>
        <v>Belum, Delay</v>
      </c>
      <c r="AC465" s="7">
        <f>'Database MK'!DA466-'Database MK'!DB466</f>
        <v>0</v>
      </c>
      <c r="AD465" s="7">
        <f>'Database MK'!DA466-'Database MK'!DF466</f>
        <v>0</v>
      </c>
      <c r="AE465" s="7">
        <f>'Database MK'!DK466-'Database MK'!DL466</f>
        <v>0</v>
      </c>
      <c r="AF465" s="7">
        <f>'Database MK'!DK466-'Database MK'!DO466</f>
        <v>0</v>
      </c>
      <c r="AG465" s="7">
        <f>'Database MK'!DU466-'Database MK'!DW466</f>
        <v>0</v>
      </c>
      <c r="AH465" s="7" t="str">
        <f>IF('Database MK'!EB466="","Belum",'Database MK'!DU466-'Database MK'!EB466)</f>
        <v>Belum</v>
      </c>
      <c r="AI465" s="7" t="str">
        <f>IF('Database MK'!EN466="","Belum",'Database MK'!EL466-'Database MK'!EN466)</f>
        <v>Belum</v>
      </c>
      <c r="AJ465" s="7">
        <f>'Database MK'!FY466-'Database MK'!FZ466</f>
        <v>0</v>
      </c>
      <c r="AK465" s="7" t="str">
        <f>IF('Database MK'!GC466="","Belum",'Database MK'!GB466-'Database MK'!GC466)</f>
        <v>Belum</v>
      </c>
      <c r="AL465" s="7" t="str">
        <f>IF('Database MK'!GF466="","Belum",'Database MK'!GE466-'Database MK'!GF466)</f>
        <v>Belum</v>
      </c>
      <c r="AM465" s="279" t="str">
        <f>IF('Database MK'!GJ466="","Belum",'Database MK'!GI466-'Database MK'!GJ466)</f>
        <v>Belum</v>
      </c>
      <c r="AN465" s="7" t="str">
        <f>IF('Database MK'!HG466="","Belum",'Database MK'!HF466-'Database MK'!HG466)</f>
        <v>Belum</v>
      </c>
      <c r="AO465" s="7" t="str">
        <f>IF('Database MK'!HQ466="","Belum",'Database MK'!HN466-'Database MK'!HQ466)</f>
        <v>Belum</v>
      </c>
      <c r="AP465" s="7" t="str">
        <f>IF('Database MK'!HW466="","Belum",'Database MK'!HU466-'Database MK'!HW466)</f>
        <v>Belum</v>
      </c>
    </row>
    <row r="466" spans="2:42" hidden="1" x14ac:dyDescent="0.25">
      <c r="B466" s="7">
        <f>SUBTOTAL(3,$C$4:C466)</f>
        <v>74</v>
      </c>
      <c r="C466" s="269" t="s">
        <v>629</v>
      </c>
      <c r="D466" s="4" t="s">
        <v>3522</v>
      </c>
      <c r="E466" s="4" t="s">
        <v>3523</v>
      </c>
      <c r="F466" s="270">
        <v>46478</v>
      </c>
      <c r="G466" s="4" t="s">
        <v>247</v>
      </c>
      <c r="H466" s="4" t="str">
        <f ca="1">'Database MK'!Q467</f>
        <v>Persiapan</v>
      </c>
      <c r="I466" s="24">
        <f>'Database MK'!S467</f>
        <v>0.99999999999999989</v>
      </c>
      <c r="J466" s="24">
        <f>'Database MK'!T467</f>
        <v>0</v>
      </c>
      <c r="K466" s="571">
        <f>'Database MK'!U467</f>
        <v>-0.99999999999999989</v>
      </c>
      <c r="L466" s="561">
        <f>'Database MK'!V467</f>
        <v>0</v>
      </c>
      <c r="M466" s="561">
        <f>'Database MK'!W467</f>
        <v>0</v>
      </c>
      <c r="N466" s="561">
        <f>Table3[[#This Row],[Total Panjang Pipa Aktual]]-Table3[[#This Row],[Volume
BA MC-0]]</f>
        <v>0</v>
      </c>
      <c r="O466" s="7" t="str">
        <f ca="1">'Database MK'!DE467</f>
        <v>Belum, Delay</v>
      </c>
      <c r="P466" s="7" t="str">
        <f ca="1">'Database MK'!DI467</f>
        <v>Belum, Delay</v>
      </c>
      <c r="Q466" s="7" t="str">
        <f ca="1">'Database MK'!DN467</f>
        <v>Belum, Delay</v>
      </c>
      <c r="R466" s="7" t="str">
        <f ca="1">'Database MK'!DR467</f>
        <v>Belum, Delay</v>
      </c>
      <c r="S466" s="7" t="str">
        <f ca="1">'Database MK'!EA467</f>
        <v>Belum, Delay</v>
      </c>
      <c r="T466" s="7" t="str">
        <f ca="1">'Database MK'!EI467</f>
        <v>Belum, Delay</v>
      </c>
      <c r="U466" s="7" t="str">
        <f ca="1">'Database MK'!ET467</f>
        <v>Belum, Delay</v>
      </c>
      <c r="V466" s="7" t="str">
        <f ca="1">'Database MK'!GA467</f>
        <v>Belum, Delay</v>
      </c>
      <c r="W466" s="7" t="str">
        <f ca="1">'Database MK'!GD467</f>
        <v>Belum, Delay</v>
      </c>
      <c r="X466" s="7" t="str">
        <f ca="1">'Database MK'!GG467</f>
        <v>Belum, Delay</v>
      </c>
      <c r="Y466" s="7" t="str">
        <f ca="1">'Database MK'!GK467</f>
        <v>Belum, Delay</v>
      </c>
      <c r="Z466" s="7" t="str">
        <f ca="1">'Database MK'!HH467</f>
        <v>Belum, Delay</v>
      </c>
      <c r="AA466" s="7" t="str">
        <f ca="1">'Database MK'!HR467</f>
        <v>Belum, Delay</v>
      </c>
      <c r="AB466" s="7" t="str">
        <f ca="1">'Database MK'!HX467</f>
        <v>Belum, Delay</v>
      </c>
      <c r="AC466" s="7">
        <f>'Database MK'!DA467-'Database MK'!DB467</f>
        <v>0</v>
      </c>
      <c r="AD466" s="7">
        <f>'Database MK'!DA467-'Database MK'!DF467</f>
        <v>0</v>
      </c>
      <c r="AE466" s="7">
        <f>'Database MK'!DK467-'Database MK'!DL467</f>
        <v>0</v>
      </c>
      <c r="AF466" s="7">
        <f>'Database MK'!DK467-'Database MK'!DO467</f>
        <v>0</v>
      </c>
      <c r="AG466" s="7">
        <f>'Database MK'!DU467-'Database MK'!DW467</f>
        <v>0</v>
      </c>
      <c r="AH466" s="7" t="str">
        <f>IF('Database MK'!EB467="","Belum",'Database MK'!DU467-'Database MK'!EB467)</f>
        <v>Belum</v>
      </c>
      <c r="AI466" s="7" t="str">
        <f>IF('Database MK'!EN467="","Belum",'Database MK'!EL467-'Database MK'!EN467)</f>
        <v>Belum</v>
      </c>
      <c r="AJ466" s="7">
        <f>'Database MK'!FY467-'Database MK'!FZ467</f>
        <v>0</v>
      </c>
      <c r="AK466" s="7" t="str">
        <f>IF('Database MK'!GC467="","Belum",'Database MK'!GB467-'Database MK'!GC467)</f>
        <v>Belum</v>
      </c>
      <c r="AL466" s="7" t="str">
        <f>IF('Database MK'!GF467="","Belum",'Database MK'!GE467-'Database MK'!GF467)</f>
        <v>Belum</v>
      </c>
      <c r="AM466" s="279" t="str">
        <f>IF('Database MK'!GJ467="","Belum",'Database MK'!GI467-'Database MK'!GJ467)</f>
        <v>Belum</v>
      </c>
      <c r="AN466" s="7" t="str">
        <f>IF('Database MK'!HG467="","Belum",'Database MK'!HF467-'Database MK'!HG467)</f>
        <v>Belum</v>
      </c>
      <c r="AO466" s="7" t="str">
        <f>IF('Database MK'!HQ467="","Belum",'Database MK'!HN467-'Database MK'!HQ467)</f>
        <v>Belum</v>
      </c>
      <c r="AP466" s="7" t="str">
        <f>IF('Database MK'!HW467="","Belum",'Database MK'!HU467-'Database MK'!HW467)</f>
        <v>Belum</v>
      </c>
    </row>
    <row r="467" spans="2:42" hidden="1" x14ac:dyDescent="0.25">
      <c r="B467" s="7">
        <f>SUBTOTAL(3,$C$4:C467)</f>
        <v>74</v>
      </c>
      <c r="C467" s="269" t="s">
        <v>629</v>
      </c>
      <c r="D467" s="4" t="s">
        <v>3524</v>
      </c>
      <c r="E467" s="4" t="s">
        <v>3525</v>
      </c>
      <c r="F467" s="270">
        <v>46478</v>
      </c>
      <c r="G467" s="4" t="s">
        <v>247</v>
      </c>
      <c r="H467" s="4" t="str">
        <f ca="1">'Database MK'!Q468</f>
        <v>Persiapan</v>
      </c>
      <c r="I467" s="24">
        <f>'Database MK'!S468</f>
        <v>0.99999999999999989</v>
      </c>
      <c r="J467" s="24">
        <f>'Database MK'!T468</f>
        <v>0</v>
      </c>
      <c r="K467" s="571">
        <f>'Database MK'!U468</f>
        <v>-0.99999999999999989</v>
      </c>
      <c r="L467" s="561">
        <f>'Database MK'!V468</f>
        <v>0</v>
      </c>
      <c r="M467" s="561">
        <f>'Database MK'!W468</f>
        <v>0</v>
      </c>
      <c r="N467" s="561">
        <f>Table3[[#This Row],[Total Panjang Pipa Aktual]]-Table3[[#This Row],[Volume
BA MC-0]]</f>
        <v>0</v>
      </c>
      <c r="O467" s="7" t="str">
        <f ca="1">'Database MK'!DE468</f>
        <v>Belum, Delay</v>
      </c>
      <c r="P467" s="7" t="str">
        <f ca="1">'Database MK'!DI468</f>
        <v>Belum, Delay</v>
      </c>
      <c r="Q467" s="7" t="str">
        <f ca="1">'Database MK'!DN468</f>
        <v>Belum, Delay</v>
      </c>
      <c r="R467" s="7" t="str">
        <f ca="1">'Database MK'!DR468</f>
        <v>Belum, Delay</v>
      </c>
      <c r="S467" s="7" t="str">
        <f ca="1">'Database MK'!EA468</f>
        <v>Belum, Delay</v>
      </c>
      <c r="T467" s="7" t="str">
        <f ca="1">'Database MK'!EI468</f>
        <v>Belum, Delay</v>
      </c>
      <c r="U467" s="7" t="str">
        <f ca="1">'Database MK'!ET468</f>
        <v>Belum, Delay</v>
      </c>
      <c r="V467" s="7" t="str">
        <f ca="1">'Database MK'!GA468</f>
        <v>Belum, Delay</v>
      </c>
      <c r="W467" s="7" t="str">
        <f ca="1">'Database MK'!GD468</f>
        <v>Belum, Delay</v>
      </c>
      <c r="X467" s="7" t="str">
        <f ca="1">'Database MK'!GG468</f>
        <v>Belum, Delay</v>
      </c>
      <c r="Y467" s="7" t="str">
        <f ca="1">'Database MK'!GK468</f>
        <v>Belum, Delay</v>
      </c>
      <c r="Z467" s="7" t="str">
        <f ca="1">'Database MK'!HH468</f>
        <v>Belum, Delay</v>
      </c>
      <c r="AA467" s="7" t="str">
        <f ca="1">'Database MK'!HR468</f>
        <v>Belum, Delay</v>
      </c>
      <c r="AB467" s="7" t="str">
        <f ca="1">'Database MK'!HX468</f>
        <v>Belum, Delay</v>
      </c>
      <c r="AC467" s="7">
        <f>'Database MK'!DA468-'Database MK'!DB468</f>
        <v>0</v>
      </c>
      <c r="AD467" s="7">
        <f>'Database MK'!DA468-'Database MK'!DF468</f>
        <v>0</v>
      </c>
      <c r="AE467" s="7">
        <f>'Database MK'!DK468-'Database MK'!DL468</f>
        <v>0</v>
      </c>
      <c r="AF467" s="7">
        <f>'Database MK'!DK468-'Database MK'!DO468</f>
        <v>0</v>
      </c>
      <c r="AG467" s="7">
        <f>'Database MK'!DU468-'Database MK'!DW468</f>
        <v>0</v>
      </c>
      <c r="AH467" s="7" t="str">
        <f>IF('Database MK'!EB468="","Belum",'Database MK'!DU468-'Database MK'!EB468)</f>
        <v>Belum</v>
      </c>
      <c r="AI467" s="7" t="str">
        <f>IF('Database MK'!EN468="","Belum",'Database MK'!EL468-'Database MK'!EN468)</f>
        <v>Belum</v>
      </c>
      <c r="AJ467" s="7">
        <f>'Database MK'!FY468-'Database MK'!FZ468</f>
        <v>0</v>
      </c>
      <c r="AK467" s="7" t="str">
        <f>IF('Database MK'!GC468="","Belum",'Database MK'!GB468-'Database MK'!GC468)</f>
        <v>Belum</v>
      </c>
      <c r="AL467" s="7" t="str">
        <f>IF('Database MK'!GF468="","Belum",'Database MK'!GE468-'Database MK'!GF468)</f>
        <v>Belum</v>
      </c>
      <c r="AM467" s="279" t="str">
        <f>IF('Database MK'!GJ468="","Belum",'Database MK'!GI468-'Database MK'!GJ468)</f>
        <v>Belum</v>
      </c>
      <c r="AN467" s="7" t="str">
        <f>IF('Database MK'!HG468="","Belum",'Database MK'!HF468-'Database MK'!HG468)</f>
        <v>Belum</v>
      </c>
      <c r="AO467" s="7" t="str">
        <f>IF('Database MK'!HQ468="","Belum",'Database MK'!HN468-'Database MK'!HQ468)</f>
        <v>Belum</v>
      </c>
      <c r="AP467" s="7" t="str">
        <f>IF('Database MK'!HW468="","Belum",'Database MK'!HU468-'Database MK'!HW468)</f>
        <v>Belum</v>
      </c>
    </row>
    <row r="469" spans="2:42" x14ac:dyDescent="0.25">
      <c r="B469" s="4" t="s">
        <v>3553</v>
      </c>
    </row>
    <row r="470" spans="2:42" x14ac:dyDescent="0.25">
      <c r="B470" s="564"/>
      <c r="E470" s="569" t="s">
        <v>3554</v>
      </c>
    </row>
    <row r="471" spans="2:42" x14ac:dyDescent="0.25">
      <c r="B471" s="565"/>
      <c r="E471" s="4" t="s">
        <v>3555</v>
      </c>
    </row>
    <row r="472" spans="2:42" x14ac:dyDescent="0.25">
      <c r="B472" s="566"/>
      <c r="E472" s="4" t="s">
        <v>3556</v>
      </c>
    </row>
    <row r="473" spans="2:42" x14ac:dyDescent="0.25">
      <c r="B473" s="567"/>
      <c r="E473" s="4" t="s">
        <v>3557</v>
      </c>
    </row>
    <row r="474" spans="2:42" x14ac:dyDescent="0.25">
      <c r="B474" s="568"/>
      <c r="E474" s="4" t="s">
        <v>3558</v>
      </c>
    </row>
    <row r="475" spans="2:42" x14ac:dyDescent="0.25">
      <c r="B475" s="570" t="str">
        <f>IF('Database MK'!CU476="","Belum",'Database MK'!CO476-'Database MK'!CU476)</f>
        <v>Belum</v>
      </c>
      <c r="E475" s="4" t="s">
        <v>3559</v>
      </c>
    </row>
  </sheetData>
  <phoneticPr fontId="9" type="noConversion"/>
  <conditionalFormatting sqref="B475">
    <cfRule type="expression" dxfId="61" priority="1">
      <formula>$H475="BATAL / CANCEL"</formula>
    </cfRule>
    <cfRule type="containsText" dxfId="60" priority="2" operator="containsText" text="Belum">
      <formula>NOT(ISERROR(SEARCH("Belum",B475)))</formula>
    </cfRule>
    <cfRule type="cellIs" dxfId="59" priority="3" operator="between">
      <formula>-301</formula>
      <formula>-1000</formula>
    </cfRule>
    <cfRule type="cellIs" dxfId="58" priority="4" operator="between">
      <formula>-201</formula>
      <formula>-300</formula>
    </cfRule>
    <cfRule type="cellIs" dxfId="57" priority="5" operator="between">
      <formula>-101</formula>
      <formula>-200</formula>
    </cfRule>
    <cfRule type="cellIs" dxfId="56" priority="6" operator="between">
      <formula>-31</formula>
      <formula>-100</formula>
    </cfRule>
    <cfRule type="cellIs" dxfId="55" priority="7" operator="between">
      <formula>-1</formula>
      <formula>-30</formula>
    </cfRule>
  </conditionalFormatting>
  <conditionalFormatting sqref="B4:AP467">
    <cfRule type="expression" dxfId="54" priority="8">
      <formula>$H4="BATAL / CANCEL"</formula>
    </cfRule>
  </conditionalFormatting>
  <conditionalFormatting sqref="O3:AB467">
    <cfRule type="containsText" dxfId="53" priority="10" operator="containsText" text="Belum">
      <formula>NOT(ISERROR(SEARCH("Belum",O3)))</formula>
    </cfRule>
  </conditionalFormatting>
  <conditionalFormatting sqref="AC3:AP467">
    <cfRule type="containsText" dxfId="52" priority="9" operator="containsText" text="Belum">
      <formula>NOT(ISERROR(SEARCH("Belum",AC3)))</formula>
    </cfRule>
    <cfRule type="cellIs" dxfId="51" priority="11" operator="between">
      <formula>-301</formula>
      <formula>-1000</formula>
    </cfRule>
    <cfRule type="cellIs" dxfId="50" priority="12" operator="between">
      <formula>-201</formula>
      <formula>-300</formula>
    </cfRule>
    <cfRule type="cellIs" dxfId="49" priority="13" operator="between">
      <formula>-101</formula>
      <formula>-200</formula>
    </cfRule>
    <cfRule type="cellIs" dxfId="48" priority="14" operator="between">
      <formula>-31</formula>
      <formula>-100</formula>
    </cfRule>
    <cfRule type="cellIs" dxfId="47" priority="15" operator="between">
      <formula>-1</formula>
      <formula>-30</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A5EA-E26B-4D80-953C-38603C1347B2}">
  <sheetPr codeName="Sheet2"/>
  <dimension ref="A1:BG24"/>
  <sheetViews>
    <sheetView topLeftCell="C1" zoomScale="70" zoomScaleNormal="70" workbookViewId="0">
      <selection activeCell="AY5" sqref="AY5:BD12"/>
    </sheetView>
  </sheetViews>
  <sheetFormatPr defaultColWidth="9" defaultRowHeight="15" outlineLevelCol="1" x14ac:dyDescent="0.25"/>
  <cols>
    <col min="1" max="1" width="9" style="4" customWidth="1"/>
    <col min="2" max="2" width="23.85546875" style="4" bestFit="1" customWidth="1"/>
    <col min="3" max="3" width="11.42578125" style="4" bestFit="1" customWidth="1"/>
    <col min="4" max="4" width="10" style="4" customWidth="1"/>
    <col min="5" max="5" width="7.85546875" style="4" hidden="1" customWidth="1"/>
    <col min="6" max="6" width="5.5703125" style="4" customWidth="1"/>
    <col min="7" max="8" width="5.5703125" style="4" hidden="1" customWidth="1" outlineLevel="1"/>
    <col min="9" max="9" width="5.5703125" style="4" customWidth="1" collapsed="1"/>
    <col min="10" max="11" width="5.5703125" style="4" hidden="1" customWidth="1" outlineLevel="1"/>
    <col min="12" max="12" width="5.5703125" style="4" customWidth="1" collapsed="1"/>
    <col min="13" max="14" width="5.5703125" style="4" hidden="1" customWidth="1" outlineLevel="1"/>
    <col min="15" max="15" width="5.5703125" style="4" customWidth="1" collapsed="1"/>
    <col min="16" max="17" width="5.5703125" style="4" hidden="1" customWidth="1" outlineLevel="1"/>
    <col min="18" max="18" width="5.5703125" style="4" customWidth="1" collapsed="1"/>
    <col min="19" max="20" width="5.5703125" style="4" hidden="1" customWidth="1" outlineLevel="1"/>
    <col min="21" max="21" width="5.5703125" style="4" customWidth="1" collapsed="1"/>
    <col min="22" max="23" width="5.5703125" style="4" hidden="1" customWidth="1" outlineLevel="1"/>
    <col min="24" max="24" width="5.5703125" style="4" customWidth="1" collapsed="1"/>
    <col min="25" max="26" width="5.5703125" style="4" hidden="1" customWidth="1" outlineLevel="1"/>
    <col min="27" max="27" width="5.5703125" style="4" customWidth="1" collapsed="1"/>
    <col min="28" max="29" width="5.5703125" style="4" hidden="1" customWidth="1" outlineLevel="1"/>
    <col min="30" max="30" width="5.5703125" style="4" customWidth="1" collapsed="1"/>
    <col min="31" max="32" width="5.5703125" style="4" hidden="1" customWidth="1" outlineLevel="1"/>
    <col min="33" max="33" width="5.5703125" style="4" customWidth="1" collapsed="1"/>
    <col min="34" max="35" width="5.5703125" style="4" hidden="1" customWidth="1" outlineLevel="1"/>
    <col min="36" max="36" width="5.5703125" style="4" customWidth="1" collapsed="1"/>
    <col min="37" max="39" width="5.5703125" style="4" customWidth="1"/>
    <col min="40" max="41" width="8.42578125" style="4" hidden="1" customWidth="1" outlineLevel="1"/>
    <col min="42" max="42" width="5.5703125" style="4" customWidth="1" collapsed="1"/>
    <col min="43" max="45" width="5.5703125" style="4" customWidth="1"/>
    <col min="46" max="47" width="8.42578125" style="4" hidden="1" customWidth="1" outlineLevel="1"/>
    <col min="48" max="48" width="9" style="4" customWidth="1" collapsed="1"/>
    <col min="49" max="49" width="23.5703125" style="4" customWidth="1"/>
    <col min="50" max="50" width="12.5703125" style="4" customWidth="1"/>
    <col min="51" max="51" width="9" style="4"/>
    <col min="52" max="52" width="15.28515625" style="4" customWidth="1" collapsed="1"/>
    <col min="53" max="56" width="15.28515625" style="4" customWidth="1"/>
    <col min="57" max="16384" width="9" style="4"/>
  </cols>
  <sheetData>
    <row r="1" spans="1:59" ht="15.75" thickBot="1" x14ac:dyDescent="0.3"/>
    <row r="2" spans="1:59" ht="24" customHeight="1" x14ac:dyDescent="0.25">
      <c r="B2" s="797" t="s">
        <v>3560</v>
      </c>
      <c r="C2" s="798"/>
      <c r="D2" s="798"/>
      <c r="E2" s="799"/>
      <c r="F2" s="800" t="s">
        <v>3527</v>
      </c>
      <c r="G2" s="801"/>
      <c r="H2" s="801"/>
      <c r="I2" s="801"/>
      <c r="J2" s="801"/>
      <c r="K2" s="802"/>
      <c r="L2" s="806" t="s">
        <v>3528</v>
      </c>
      <c r="M2" s="801"/>
      <c r="N2" s="801"/>
      <c r="O2" s="801"/>
      <c r="P2" s="801"/>
      <c r="Q2" s="807"/>
      <c r="R2" s="803" t="s">
        <v>3561</v>
      </c>
      <c r="S2" s="804"/>
      <c r="T2" s="804"/>
      <c r="U2" s="804"/>
      <c r="V2" s="804"/>
      <c r="W2" s="805"/>
      <c r="X2" s="808" t="s">
        <v>3562</v>
      </c>
      <c r="Y2" s="804"/>
      <c r="Z2" s="804"/>
      <c r="AA2" s="804"/>
      <c r="AB2" s="804"/>
      <c r="AC2" s="805"/>
      <c r="AD2" s="792" t="s">
        <v>3563</v>
      </c>
      <c r="AE2" s="793"/>
      <c r="AF2" s="793"/>
      <c r="AG2" s="793"/>
      <c r="AH2" s="793"/>
      <c r="AI2" s="794"/>
      <c r="AJ2" s="792" t="s">
        <v>3564</v>
      </c>
      <c r="AK2" s="793"/>
      <c r="AL2" s="793"/>
      <c r="AM2" s="793"/>
      <c r="AN2" s="793"/>
      <c r="AO2" s="816"/>
      <c r="AP2" s="813" t="s">
        <v>3533</v>
      </c>
      <c r="AQ2" s="814"/>
      <c r="AR2" s="814"/>
      <c r="AS2" s="814"/>
      <c r="AT2" s="814"/>
      <c r="AU2" s="815"/>
      <c r="AW2" s="817" t="s">
        <v>3560</v>
      </c>
      <c r="AX2" s="818"/>
      <c r="AY2" s="818"/>
      <c r="AZ2" s="818"/>
      <c r="BA2" s="818"/>
      <c r="BB2" s="818"/>
      <c r="BC2" s="818"/>
      <c r="BD2" s="819"/>
    </row>
    <row r="3" spans="1:59" s="146" customFormat="1" ht="105.75" customHeight="1" x14ac:dyDescent="0.25">
      <c r="B3" s="795" t="s">
        <v>3565</v>
      </c>
      <c r="C3" s="796" t="s">
        <v>18</v>
      </c>
      <c r="D3" s="811" t="s">
        <v>3566</v>
      </c>
      <c r="E3" s="812" t="s">
        <v>3567</v>
      </c>
      <c r="F3" s="164" t="s">
        <v>260</v>
      </c>
      <c r="G3" s="202" t="s">
        <v>3568</v>
      </c>
      <c r="H3" s="202" t="s">
        <v>3569</v>
      </c>
      <c r="I3" s="159" t="s">
        <v>3570</v>
      </c>
      <c r="J3" s="202" t="s">
        <v>3568</v>
      </c>
      <c r="K3" s="243" t="s">
        <v>3569</v>
      </c>
      <c r="L3" s="244" t="s">
        <v>260</v>
      </c>
      <c r="M3" s="202" t="s">
        <v>3568</v>
      </c>
      <c r="N3" s="202" t="s">
        <v>3569</v>
      </c>
      <c r="O3" s="159" t="s">
        <v>3570</v>
      </c>
      <c r="P3" s="202" t="s">
        <v>3568</v>
      </c>
      <c r="Q3" s="203" t="s">
        <v>3569</v>
      </c>
      <c r="R3" s="171" t="s">
        <v>260</v>
      </c>
      <c r="S3" s="204" t="s">
        <v>3568</v>
      </c>
      <c r="T3" s="204" t="s">
        <v>3569</v>
      </c>
      <c r="U3" s="169" t="s">
        <v>3570</v>
      </c>
      <c r="V3" s="204" t="s">
        <v>3568</v>
      </c>
      <c r="W3" s="249" t="s">
        <v>3569</v>
      </c>
      <c r="X3" s="239" t="s">
        <v>260</v>
      </c>
      <c r="Y3" s="204" t="s">
        <v>3568</v>
      </c>
      <c r="Z3" s="204" t="s">
        <v>3569</v>
      </c>
      <c r="AA3" s="169" t="s">
        <v>3570</v>
      </c>
      <c r="AB3" s="204" t="s">
        <v>3568</v>
      </c>
      <c r="AC3" s="249" t="s">
        <v>3569</v>
      </c>
      <c r="AD3" s="177" t="s">
        <v>260</v>
      </c>
      <c r="AE3" s="175" t="s">
        <v>3568</v>
      </c>
      <c r="AF3" s="175" t="s">
        <v>3569</v>
      </c>
      <c r="AG3" s="175" t="s">
        <v>3570</v>
      </c>
      <c r="AH3" s="175" t="s">
        <v>3568</v>
      </c>
      <c r="AI3" s="178" t="s">
        <v>3569</v>
      </c>
      <c r="AJ3" s="177" t="s">
        <v>3571</v>
      </c>
      <c r="AK3" s="175" t="s">
        <v>3572</v>
      </c>
      <c r="AL3" s="175" t="s">
        <v>3573</v>
      </c>
      <c r="AM3" s="175" t="s">
        <v>3574</v>
      </c>
      <c r="AN3" s="175" t="s">
        <v>3575</v>
      </c>
      <c r="AO3" s="181" t="s">
        <v>3576</v>
      </c>
      <c r="AP3" s="187" t="s">
        <v>3577</v>
      </c>
      <c r="AQ3" s="185" t="s">
        <v>3578</v>
      </c>
      <c r="AR3" s="185" t="s">
        <v>3579</v>
      </c>
      <c r="AS3" s="185" t="s">
        <v>3580</v>
      </c>
      <c r="AT3" s="185" t="s">
        <v>3575</v>
      </c>
      <c r="AU3" s="188" t="s">
        <v>3576</v>
      </c>
      <c r="AW3" s="796" t="s">
        <v>3565</v>
      </c>
      <c r="AX3" s="796" t="s">
        <v>18</v>
      </c>
      <c r="AY3" s="811" t="s">
        <v>3581</v>
      </c>
      <c r="AZ3" s="820" t="s">
        <v>3582</v>
      </c>
      <c r="BA3" s="820" t="s">
        <v>3583</v>
      </c>
      <c r="BB3" s="820" t="s">
        <v>3584</v>
      </c>
      <c r="BC3" s="809" t="s">
        <v>152</v>
      </c>
      <c r="BD3" s="809" t="s">
        <v>3585</v>
      </c>
    </row>
    <row r="4" spans="1:59" s="90" customFormat="1" ht="16.5" customHeight="1" x14ac:dyDescent="0.25">
      <c r="B4" s="795"/>
      <c r="C4" s="796"/>
      <c r="D4" s="811"/>
      <c r="E4" s="812"/>
      <c r="F4" s="162" t="s">
        <v>3586</v>
      </c>
      <c r="G4" s="160" t="s">
        <v>3586</v>
      </c>
      <c r="H4" s="160" t="s">
        <v>3586</v>
      </c>
      <c r="I4" s="160" t="s">
        <v>3586</v>
      </c>
      <c r="J4" s="160" t="s">
        <v>3586</v>
      </c>
      <c r="K4" s="163" t="s">
        <v>3586</v>
      </c>
      <c r="L4" s="245" t="s">
        <v>3586</v>
      </c>
      <c r="M4" s="160" t="s">
        <v>3586</v>
      </c>
      <c r="N4" s="160" t="s">
        <v>3586</v>
      </c>
      <c r="O4" s="160" t="s">
        <v>3586</v>
      </c>
      <c r="P4" s="160" t="s">
        <v>3586</v>
      </c>
      <c r="Q4" s="166" t="s">
        <v>3586</v>
      </c>
      <c r="R4" s="173" t="s">
        <v>3586</v>
      </c>
      <c r="S4" s="170" t="s">
        <v>3586</v>
      </c>
      <c r="T4" s="170" t="s">
        <v>3586</v>
      </c>
      <c r="U4" s="170" t="s">
        <v>3586</v>
      </c>
      <c r="V4" s="170" t="s">
        <v>3586</v>
      </c>
      <c r="W4" s="174" t="s">
        <v>3586</v>
      </c>
      <c r="X4" s="240" t="s">
        <v>3586</v>
      </c>
      <c r="Y4" s="170" t="s">
        <v>3586</v>
      </c>
      <c r="Z4" s="170" t="s">
        <v>3586</v>
      </c>
      <c r="AA4" s="170" t="s">
        <v>3586</v>
      </c>
      <c r="AB4" s="170" t="s">
        <v>3586</v>
      </c>
      <c r="AC4" s="174" t="s">
        <v>3586</v>
      </c>
      <c r="AD4" s="179" t="s">
        <v>3586</v>
      </c>
      <c r="AE4" s="176" t="s">
        <v>3586</v>
      </c>
      <c r="AF4" s="176" t="s">
        <v>3586</v>
      </c>
      <c r="AG4" s="176" t="s">
        <v>3586</v>
      </c>
      <c r="AH4" s="176" t="s">
        <v>3586</v>
      </c>
      <c r="AI4" s="180" t="s">
        <v>3586</v>
      </c>
      <c r="AJ4" s="179" t="s">
        <v>3586</v>
      </c>
      <c r="AK4" s="176" t="s">
        <v>3586</v>
      </c>
      <c r="AL4" s="176" t="s">
        <v>3586</v>
      </c>
      <c r="AM4" s="176" t="s">
        <v>3586</v>
      </c>
      <c r="AN4" s="176" t="s">
        <v>3587</v>
      </c>
      <c r="AO4" s="182" t="s">
        <v>3587</v>
      </c>
      <c r="AP4" s="191" t="s">
        <v>3586</v>
      </c>
      <c r="AQ4" s="186" t="s">
        <v>3586</v>
      </c>
      <c r="AR4" s="186" t="s">
        <v>3586</v>
      </c>
      <c r="AS4" s="186" t="s">
        <v>3586</v>
      </c>
      <c r="AT4" s="186" t="s">
        <v>3587</v>
      </c>
      <c r="AU4" s="189" t="s">
        <v>3587</v>
      </c>
      <c r="AW4" s="796"/>
      <c r="AX4" s="796"/>
      <c r="AY4" s="811"/>
      <c r="AZ4" s="821"/>
      <c r="BA4" s="821"/>
      <c r="BB4" s="821"/>
      <c r="BC4" s="810"/>
      <c r="BD4" s="810"/>
    </row>
    <row r="5" spans="1:59" s="90" customFormat="1" ht="16.5" customHeight="1" x14ac:dyDescent="0.25">
      <c r="B5" s="135" t="s">
        <v>244</v>
      </c>
      <c r="C5" s="38" t="s">
        <v>3588</v>
      </c>
      <c r="D5" s="775">
        <f>COUNTIFS('Database MK'!$G:$G,'Database MK'!$G$237,'Database MK'!$D:$D,'Summary PR PO GR'!$B5,'Database MK'!$J:$J,'Summary PR PO GR'!$C5)</f>
        <v>0</v>
      </c>
      <c r="E5" s="774"/>
      <c r="F5" s="130">
        <f>G5+H5</f>
        <v>0</v>
      </c>
      <c r="G5" s="39">
        <f>COUNTIFS('Database MK'!$G:$G,'Database MK'!$G$237,'Database MK'!$D:$D,'Summary PR PO GR'!$B5,'Database MK'!$J:$J,'Summary PR PO GR'!$C5,'Database MK'!$DE:$DE,"Sudah, OnSchedule")</f>
        <v>0</v>
      </c>
      <c r="H5" s="39">
        <f>COUNTIFS('Database MK'!$G:$G,'Database MK'!$G$237,'Database MK'!$D:$D,'Summary PR PO GR'!$B5,'Database MK'!$J:$J,'Summary PR PO GR'!$C5,'Database MK'!$DE:$DE,"Sudah, Delay")</f>
        <v>0</v>
      </c>
      <c r="I5" s="39">
        <f>J5+K5</f>
        <v>0</v>
      </c>
      <c r="J5" s="39">
        <f>COUNTIFS('Database MK'!$G:$G,'Database MK'!$G$237,'Database MK'!$D:$D,'Summary PR PO GR'!$B5,'Database MK'!$J:$J,'Summary PR PO GR'!$C5,'Database MK'!$DE:$DE,"Belum, OnSchedule")</f>
        <v>0</v>
      </c>
      <c r="K5" s="131">
        <f>COUNTIFS('Database MK'!$G:$G,'Database MK'!$G$237,'Database MK'!$D:$D,'Summary PR PO GR'!$B5,'Database MK'!$J:$J,'Summary PR PO GR'!$C5,'Database MK'!$DE:$DE,"Belum, Delay")</f>
        <v>0</v>
      </c>
      <c r="L5" s="246">
        <f>M5+N5</f>
        <v>0</v>
      </c>
      <c r="M5" s="39">
        <f>COUNTIFS('Database MK'!$G:$G,'Database MK'!$G$237,'Database MK'!$D:$D,'Summary PR PO GR'!$B5,'Database MK'!$J:$J,'Summary PR PO GR'!$C5,'Database MK'!$DI:$DI,"Sudah, OnSchedule")</f>
        <v>0</v>
      </c>
      <c r="N5" s="39">
        <f>COUNTIFS('Database MK'!$G:$G,'Database MK'!$G$237,'Database MK'!$D:$D,'Summary PR PO GR'!$B5,'Database MK'!$J:$J,'Summary PR PO GR'!$C5,'Database MK'!$DI:$DI,"Sudah, Delay")</f>
        <v>0</v>
      </c>
      <c r="O5" s="39">
        <f>P5+Q5</f>
        <v>0</v>
      </c>
      <c r="P5" s="39">
        <f>COUNTIFS('Database MK'!$G:$G,'Database MK'!$G$237,'Database MK'!$D:$D,'Summary PR PO GR'!$B5,'Database MK'!$J:$J,'Summary PR PO GR'!$C5,'Database MK'!$DI:$DI,"Belum, OnSchedule")</f>
        <v>0</v>
      </c>
      <c r="Q5" s="167">
        <f>COUNTIFS('Database MK'!$G:$G,'Database MK'!$G$237,'Database MK'!$D:$D,'Summary PR PO GR'!$B5,'Database MK'!$J:$J,'Summary PR PO GR'!$C5,'Database MK'!$DI:$DI,"Belum, Delay")</f>
        <v>0</v>
      </c>
      <c r="R5" s="136">
        <f>S5+T5</f>
        <v>0</v>
      </c>
      <c r="S5" s="77">
        <f>COUNTIFS('Database MK'!$G:$G,'Database MK'!$G$237,'Database MK'!$D:$D,'Summary PR PO GR'!$B5,'Database MK'!$J:$J,'Summary PR PO GR'!$C5,'Database MK'!$DN:$DN,"Sudah, OnSchedule")</f>
        <v>0</v>
      </c>
      <c r="T5" s="77">
        <f>COUNTIFS('Database MK'!$G:$G,'Database MK'!$G$237,'Database MK'!$D:$D,'Summary PR PO GR'!$B5,'Database MK'!$J:$J,'Summary PR PO GR'!$C5,'Database MK'!$DN:$DN,"Sudah, Delay")</f>
        <v>0</v>
      </c>
      <c r="U5" s="77">
        <f>V5+W5</f>
        <v>0</v>
      </c>
      <c r="V5" s="77">
        <f>COUNTIFS('Database MK'!$G:$G,'Database MK'!$G$237,'Database MK'!$D:$D,'Summary PR PO GR'!$B5,'Database MK'!$J:$J,'Summary PR PO GR'!$C5,'Database MK'!$DN:$DN,"Belum, OnShcedule")</f>
        <v>0</v>
      </c>
      <c r="W5" s="137">
        <f>COUNTIFS('Database MK'!$G:$G,'Database MK'!$G$237,'Database MK'!$D:$D,'Summary PR PO GR'!$B5,'Database MK'!$J:$J,'Summary PR PO GR'!$C5,'Database MK'!$DN:$DN,"Belum, Delay")</f>
        <v>0</v>
      </c>
      <c r="X5" s="241">
        <f>Y5+Z5</f>
        <v>0</v>
      </c>
      <c r="Y5" s="77">
        <f>COUNTIFS('Database MK'!$G:$G,'Database MK'!$G$237,'Database MK'!$D:$D,'Summary PR PO GR'!$B5,'Database MK'!$J:$J,'Summary PR PO GR'!$C5,'Database MK'!$DR:$DR,"Sudah, OnSchedule")</f>
        <v>0</v>
      </c>
      <c r="Z5" s="77">
        <f>COUNTIFS('Database MK'!$G:$G,'Database MK'!$G$237,'Database MK'!$D:$D,'Summary PR PO GR'!$B5,'Database MK'!$J:$J,'Summary PR PO GR'!$C5,'Database MK'!$DR:$DR,"Sudah, Delay")</f>
        <v>0</v>
      </c>
      <c r="AA5" s="77">
        <f>AB5+AC5</f>
        <v>0</v>
      </c>
      <c r="AB5" s="77">
        <f>COUNTIFS('Database MK'!$G:$G,'Database MK'!$G$237,'Database MK'!$D:$D,'Summary PR PO GR'!$B5,'Database MK'!$J:$J,'Summary PR PO GR'!$C5,'Database MK'!$DR:$DR,"Belum, OnSchedule")</f>
        <v>0</v>
      </c>
      <c r="AC5" s="137">
        <f>COUNTIFS('Database MK'!$G:$G,'Database MK'!$G$237,'Database MK'!$D:$D,'Summary PR PO GR'!$B5,'Database MK'!$J:$J,'Summary PR PO GR'!$C5,'Database MK'!$DR:$DR,"Belum, Delay")</f>
        <v>0</v>
      </c>
      <c r="AD5" s="141">
        <f>AE5+AF5</f>
        <v>0</v>
      </c>
      <c r="AE5" s="114">
        <f>COUNTIFS('Database MK'!$G:$G,'Database MK'!$G$237,'Database MK'!$D:$D,'Summary PR PO GR'!$B5,'Database MK'!$J:$J,'Summary PR PO GR'!$C5,'Database MK'!$EA:$EA,"Sudah, OnSchedule")</f>
        <v>0</v>
      </c>
      <c r="AF5" s="114">
        <f>COUNTIFS('Database MK'!$G:$G,'Database MK'!$G$237,'Database MK'!$D:$D,'Summary PR PO GR'!$B5,'Database MK'!$J:$J,'Summary PR PO GR'!$C5,'Database MK'!$EA:$EA,"Sudah, Delay")</f>
        <v>0</v>
      </c>
      <c r="AG5" s="114">
        <f>AH5+AI5</f>
        <v>0</v>
      </c>
      <c r="AH5" s="114">
        <f>COUNTIFS('Database MK'!$G:$G,'Database MK'!$G$237,'Database MK'!$D:$D,'Summary PR PO GR'!$B5,'Database MK'!$J:$J,'Summary PR PO GR'!$C5,'Database MK'!$EA:$EA,"Belum, OnSchedule")</f>
        <v>0</v>
      </c>
      <c r="AI5" s="142">
        <f>COUNTIFS('Database MK'!$G:$G,'Database MK'!$G$237,'Database MK'!$D:$D,'Summary PR PO GR'!$B5,'Database MK'!$J:$J,'Summary PR PO GR'!$C5,'Database MK'!$EA:$EA,"Belum, Delay")</f>
        <v>0</v>
      </c>
      <c r="AJ5" s="141">
        <f>COUNTIFS('Database MK'!$G:$G,'Database MK'!$G$237,'Database MK'!$D:$D,'Summary PR PO GR'!$B5,'Database MK'!$J:$J,'Summary PR PO GR'!$C5,'Database MK'!$EH:$EH,'Summary PR PO GR'!AJ$3)</f>
        <v>0</v>
      </c>
      <c r="AK5" s="114">
        <f>COUNTIFS('Database MK'!$G:$G,'Database MK'!$G$237,'Database MK'!$D:$D,'Summary PR PO GR'!$B5,'Database MK'!$J:$J,'Summary PR PO GR'!$C5,'Database MK'!$EH:$EH,'Summary PR PO GR'!AK$3)</f>
        <v>0</v>
      </c>
      <c r="AL5" s="114">
        <f>COUNTIFS('Database MK'!$G:$G,'Database MK'!$G$237,'Database MK'!$D:$D,'Summary PR PO GR'!$B5,'Database MK'!$J:$J,'Summary PR PO GR'!$C5,'Database MK'!$EH:$EH,'Summary PR PO GR'!AL$3)</f>
        <v>0</v>
      </c>
      <c r="AM5" s="114">
        <f>COUNTIFS('Database MK'!$G:$G,'Database MK'!$G$237,'Database MK'!$D:$D,'Summary PR PO GR'!$B5,'Database MK'!$J:$J,'Summary PR PO GR'!$C5,'Database MK'!$EH:$EH,'Summary PR PO GR'!AM$3)</f>
        <v>0</v>
      </c>
      <c r="AN5" s="115">
        <f>IFERROR(_xlfn.MINIFS('Database MK'!$EF:$EF,'Database MK'!$G:$G,'Database MK'!$G$239,'Database MK'!$D:$D,'Summary PR PO GR'!$B5,'Database MK'!$J:$J,'Summary PR PO GR'!$C5),0)</f>
        <v>0</v>
      </c>
      <c r="AO5" s="183">
        <f>IFERROR(_xlfn.MAXIFS('Database MK'!$EF:$EF,'Database MK'!$G:$G,'Database MK'!$G$239,'Database MK'!$D:$D,'Summary PR PO GR'!$B5,'Database MK'!$J:$J,'Summary PR PO GR'!$C5),0)</f>
        <v>0</v>
      </c>
      <c r="AP5" s="151">
        <f>COUNTIFS('Database MK'!$G:$G,'Database MK'!$G$237,'Database MK'!$D:$D,'Summary PR PO GR'!$B5,'Database MK'!$J:$J,'Summary PR PO GR'!$C5,'Database MK'!$ES:$ES,'Summary PR PO GR'!AP$3)</f>
        <v>0</v>
      </c>
      <c r="AQ5" s="151">
        <f>COUNTIFS('Database MK'!$G:$G,'Database MK'!$G$237,'Database MK'!$D:$D,'Summary PR PO GR'!$B5,'Database MK'!$J:$J,'Summary PR PO GR'!$C5,'Database MK'!$ES:$ES,'Summary PR PO GR'!AQ$3)</f>
        <v>0</v>
      </c>
      <c r="AR5" s="151">
        <f>COUNTIFS('Database MK'!$G:$G,'Database MK'!$G$237,'Database MK'!$D:$D,'Summary PR PO GR'!$B5,'Database MK'!$J:$J,'Summary PR PO GR'!$C5,'Database MK'!$ES:$ES,'Summary PR PO GR'!AR$3)</f>
        <v>0</v>
      </c>
      <c r="AS5" s="151">
        <f>COUNTIFS('Database MK'!$G:$G,'Database MK'!$G$237,'Database MK'!$D:$D,'Summary PR PO GR'!$B5,'Database MK'!$J:$J,'Summary PR PO GR'!$C5,'Database MK'!$ES:$ES,'Summary PR PO GR'!AS$3)</f>
        <v>0</v>
      </c>
      <c r="AT5" s="78">
        <f>IFERROR(_xlfn.MINIFS('Database MK'!$FB:$FB,'Database MK'!$G:$G,'Database MK'!$G$239,'Database MK'!$D:$D,'Summary PR PO GR'!$B5,'Database MK'!$J:$J,'Summary PR PO GR'!$C5),0)</f>
        <v>0</v>
      </c>
      <c r="AU5" s="152">
        <f>IFERROR(_xlfn.MAXIFS('Database MK'!$FB:$FB,'Database MK'!$G:$G,'Database MK'!$G$239,'Database MK'!$D:$D,'Summary PR PO GR'!$B5,'Database MK'!$J:$J,'Summary PR PO GR'!$C5),0)</f>
        <v>0</v>
      </c>
      <c r="AW5" s="135" t="s">
        <v>244</v>
      </c>
      <c r="AX5" s="38" t="s">
        <v>3588</v>
      </c>
      <c r="AY5" s="775">
        <f>SUMIFS('Database MK'!$DY:$DY,'Database MK'!$G:$G,'Database MK'!$G$237,'Database MK'!$D:$D,$AW5,'Database MK'!$J:$J,$AX5,'Database MK'!$EA:$EA,"&lt;&gt;")</f>
        <v>0</v>
      </c>
      <c r="AZ5" s="114">
        <f>SUMIFS('Database MK'!$DY:$DY,'Database MK'!$G:$G,'Database MK'!$G$237,'Database MK'!$D:$D,$AW5,'Database MK'!$J:$J,$AX5,'Database MK'!$EA:$EA,"&lt;&gt;")</f>
        <v>0</v>
      </c>
      <c r="BA5" s="114">
        <f>SUMIFS('Database MK'!$ED:$ED,'Database MK'!$G:$G,'Database MK'!$G$237,'Database MK'!$D:$D,$AW5,'Database MK'!$J:$J,$AX5,'Database MK'!$EA:$EA,"&lt;&gt;")</f>
        <v>0</v>
      </c>
      <c r="BB5" s="194">
        <f>IFERROR(BA5/AZ5,0)</f>
        <v>0</v>
      </c>
      <c r="BC5" s="40">
        <f>SUMIFS('Database MK'!$EO:$EO,'Database MK'!$G:$G,'Database MK'!$G$237,'Database MK'!$D:$D,$AW5,'Database MK'!$J:$J,$AX5,'Database MK'!$EA:$EA,"&lt;&gt;")</f>
        <v>0</v>
      </c>
      <c r="BD5" s="195">
        <f>IFERROR(BC5/AZ5,0)</f>
        <v>0</v>
      </c>
    </row>
    <row r="6" spans="1:59" x14ac:dyDescent="0.25">
      <c r="A6" s="72" t="s">
        <v>3589</v>
      </c>
      <c r="B6" s="135" t="s">
        <v>244</v>
      </c>
      <c r="C6" s="38" t="s">
        <v>1830</v>
      </c>
      <c r="D6" s="775">
        <f>COUNTIFS('Database MK'!$G:$G,'Database MK'!$G$237,'Database MK'!$D:$D,'Summary PR PO GR'!$B6,'Database MK'!$J:$J,'Summary PR PO GR'!$C6)</f>
        <v>22</v>
      </c>
      <c r="E6" s="157">
        <f ca="1">COUNTIFS('Database MK'!$G:$G,'Database MK'!$G$237,'Database MK'!$D:$D,'Summary PR PO GR'!$B6,'Database MK'!$Q:$Q,"BATAL / CANCEL")</f>
        <v>15</v>
      </c>
      <c r="F6" s="130">
        <f ca="1">G6+H6</f>
        <v>22</v>
      </c>
      <c r="G6" s="39">
        <f ca="1">COUNTIFS('Database MK'!$G:$G,'Database MK'!$G$237,'Database MK'!$D:$D,'Summary PR PO GR'!$B6,'Database MK'!$J:$J,'Summary PR PO GR'!$C6,'Database MK'!$DE:$DE,"Sudah, OnSchedule")</f>
        <v>19</v>
      </c>
      <c r="H6" s="39">
        <f ca="1">COUNTIFS('Database MK'!$G:$G,'Database MK'!$G$237,'Database MK'!$D:$D,'Summary PR PO GR'!$B6,'Database MK'!$J:$J,'Summary PR PO GR'!$C6,'Database MK'!$DE:$DE,"Sudah, Delay")</f>
        <v>3</v>
      </c>
      <c r="I6" s="39">
        <f ca="1">J6+K6</f>
        <v>0</v>
      </c>
      <c r="J6" s="39">
        <f ca="1">COUNTIFS('Database MK'!$G:$G,'Database MK'!$G$237,'Database MK'!$D:$D,'Summary PR PO GR'!$B6,'Database MK'!$J:$J,'Summary PR PO GR'!$C6,'Database MK'!$DE:$DE,"Belum, OnSchedule")</f>
        <v>0</v>
      </c>
      <c r="K6" s="131">
        <f ca="1">COUNTIFS('Database MK'!$G:$G,'Database MK'!$G$237,'Database MK'!$D:$D,'Summary PR PO GR'!$B6,'Database MK'!$J:$J,'Summary PR PO GR'!$C6,'Database MK'!$DE:$DE,"Belum, Delay")</f>
        <v>0</v>
      </c>
      <c r="L6" s="246">
        <f ca="1">M6+N6</f>
        <v>22</v>
      </c>
      <c r="M6" s="39">
        <f ca="1">COUNTIFS('Database MK'!$G:$G,'Database MK'!$G$237,'Database MK'!$D:$D,'Summary PR PO GR'!$B6,'Database MK'!$J:$J,'Summary PR PO GR'!$C6,'Database MK'!$DI:$DI,"Sudah, OnSchedule")</f>
        <v>17</v>
      </c>
      <c r="N6" s="39">
        <f ca="1">COUNTIFS('Database MK'!$G:$G,'Database MK'!$G$237,'Database MK'!$D:$D,'Summary PR PO GR'!$B6,'Database MK'!$J:$J,'Summary PR PO GR'!$C6,'Database MK'!$DI:$DI,"Sudah, Delay")</f>
        <v>5</v>
      </c>
      <c r="O6" s="39">
        <f ca="1">P6+Q6</f>
        <v>0</v>
      </c>
      <c r="P6" s="39">
        <f ca="1">COUNTIFS('Database MK'!$G:$G,'Database MK'!$G$237,'Database MK'!$D:$D,'Summary PR PO GR'!$B6,'Database MK'!$J:$J,'Summary PR PO GR'!$C6,'Database MK'!$DI:$DI,"Belum, OnSchedule")</f>
        <v>0</v>
      </c>
      <c r="Q6" s="167">
        <f ca="1">COUNTIFS('Database MK'!$G:$G,'Database MK'!$G$237,'Database MK'!$D:$D,'Summary PR PO GR'!$B6,'Database MK'!$J:$J,'Summary PR PO GR'!$C6,'Database MK'!$DI:$DI,"Belum, Delay")</f>
        <v>0</v>
      </c>
      <c r="R6" s="136">
        <f ca="1">S6+T6</f>
        <v>22</v>
      </c>
      <c r="S6" s="77">
        <f ca="1">COUNTIFS('Database MK'!$G:$G,'Database MK'!$G$237,'Database MK'!$D:$D,'Summary PR PO GR'!$B6,'Database MK'!$J:$J,'Summary PR PO GR'!$C6,'Database MK'!$DN:$DN,"Sudah, OnSchedule")</f>
        <v>20</v>
      </c>
      <c r="T6" s="77">
        <f ca="1">COUNTIFS('Database MK'!$G:$G,'Database MK'!$G$237,'Database MK'!$D:$D,'Summary PR PO GR'!$B6,'Database MK'!$J:$J,'Summary PR PO GR'!$C6,'Database MK'!$DN:$DN,"Sudah, Delay")</f>
        <v>2</v>
      </c>
      <c r="U6" s="77">
        <f ca="1">V6+W6</f>
        <v>0</v>
      </c>
      <c r="V6" s="77">
        <f ca="1">COUNTIFS('Database MK'!$G:$G,'Database MK'!$G$237,'Database MK'!$D:$D,'Summary PR PO GR'!$B6,'Database MK'!$J:$J,'Summary PR PO GR'!$C6,'Database MK'!$DN:$DN,"Belum, OnShcedule")</f>
        <v>0</v>
      </c>
      <c r="W6" s="137">
        <f ca="1">COUNTIFS('Database MK'!$G:$G,'Database MK'!$G$237,'Database MK'!$D:$D,'Summary PR PO GR'!$B6,'Database MK'!$J:$J,'Summary PR PO GR'!$C6,'Database MK'!$DN:$DN,"Belum, Delay")</f>
        <v>0</v>
      </c>
      <c r="X6" s="241">
        <f ca="1">Y6+Z6</f>
        <v>22</v>
      </c>
      <c r="Y6" s="77">
        <f ca="1">COUNTIFS('Database MK'!$G:$G,'Database MK'!$G$237,'Database MK'!$D:$D,'Summary PR PO GR'!$B6,'Database MK'!$J:$J,'Summary PR PO GR'!$C6,'Database MK'!$DR:$DR,"Sudah, OnSchedule")</f>
        <v>20</v>
      </c>
      <c r="Z6" s="77">
        <f ca="1">COUNTIFS('Database MK'!$G:$G,'Database MK'!$G$237,'Database MK'!$D:$D,'Summary PR PO GR'!$B6,'Database MK'!$J:$J,'Summary PR PO GR'!$C6,'Database MK'!$DR:$DR,"Sudah, Delay")</f>
        <v>2</v>
      </c>
      <c r="AA6" s="77">
        <f ca="1">AB6+AC6</f>
        <v>0</v>
      </c>
      <c r="AB6" s="77">
        <f ca="1">COUNTIFS('Database MK'!$G:$G,'Database MK'!$G$237,'Database MK'!$D:$D,'Summary PR PO GR'!$B6,'Database MK'!$J:$J,'Summary PR PO GR'!$C6,'Database MK'!$DR:$DR,"Belum, OnSchedule")</f>
        <v>0</v>
      </c>
      <c r="AC6" s="137">
        <f ca="1">COUNTIFS('Database MK'!$G:$G,'Database MK'!$G$237,'Database MK'!$D:$D,'Summary PR PO GR'!$B6,'Database MK'!$J:$J,'Summary PR PO GR'!$C6,'Database MK'!$DR:$DR,"Belum, Delay")</f>
        <v>0</v>
      </c>
      <c r="AD6" s="141">
        <f ca="1">AE6+AF6</f>
        <v>22</v>
      </c>
      <c r="AE6" s="114">
        <f ca="1">COUNTIFS('Database MK'!$G:$G,'Database MK'!$G$237,'Database MK'!$D:$D,'Summary PR PO GR'!$B6,'Database MK'!$J:$J,'Summary PR PO GR'!$C6,'Database MK'!$EA:$EA,"Sudah, OnSchedule")</f>
        <v>14</v>
      </c>
      <c r="AF6" s="114">
        <f ca="1">COUNTIFS('Database MK'!$G:$G,'Database MK'!$G$237,'Database MK'!$D:$D,'Summary PR PO GR'!$B6,'Database MK'!$J:$J,'Summary PR PO GR'!$C6,'Database MK'!$EA:$EA,"Sudah, Delay")</f>
        <v>8</v>
      </c>
      <c r="AG6" s="114">
        <f ca="1">AH6+AI6</f>
        <v>0</v>
      </c>
      <c r="AH6" s="114">
        <f ca="1">COUNTIFS('Database MK'!$G:$G,'Database MK'!$G$237,'Database MK'!$D:$D,'Summary PR PO GR'!$B6,'Database MK'!$J:$J,'Summary PR PO GR'!$C6,'Database MK'!$EA:$EA,"Belum, OnSchedule")</f>
        <v>0</v>
      </c>
      <c r="AI6" s="142">
        <f ca="1">COUNTIFS('Database MK'!$G:$G,'Database MK'!$G$237,'Database MK'!$D:$D,'Summary PR PO GR'!$B6,'Database MK'!$J:$J,'Summary PR PO GR'!$C6,'Database MK'!$EA:$EA,"Belum, Delay")</f>
        <v>0</v>
      </c>
      <c r="AJ6" s="141">
        <f>COUNTIFS('Database MK'!$G:$G,'Database MK'!$G$237,'Database MK'!$D:$D,'Summary PR PO GR'!$B6,'Database MK'!$J:$J,'Summary PR PO GR'!$C6,'Database MK'!$EH:$EH,'Summary PR PO GR'!AJ$3)</f>
        <v>20</v>
      </c>
      <c r="AK6" s="114">
        <f>COUNTIFS('Database MK'!$G:$G,'Database MK'!$G$237,'Database MK'!$D:$D,'Summary PR PO GR'!$B6,'Database MK'!$J:$J,'Summary PR PO GR'!$C6,'Database MK'!$EH:$EH,'Summary PR PO GR'!AK$3)</f>
        <v>2</v>
      </c>
      <c r="AL6" s="114">
        <f>COUNTIFS('Database MK'!$G:$G,'Database MK'!$G$237,'Database MK'!$D:$D,'Summary PR PO GR'!$B6,'Database MK'!$J:$J,'Summary PR PO GR'!$C6,'Database MK'!$EH:$EH,'Summary PR PO GR'!AL$3)</f>
        <v>0</v>
      </c>
      <c r="AM6" s="114">
        <f>COUNTIFS('Database MK'!$G:$G,'Database MK'!$G$237,'Database MK'!$D:$D,'Summary PR PO GR'!$B6,'Database MK'!$J:$J,'Summary PR PO GR'!$C6,'Database MK'!$EH:$EH,'Summary PR PO GR'!AM$3)</f>
        <v>0</v>
      </c>
      <c r="AN6" s="115">
        <f>IFERROR(_xlfn.MINIFS('Database MK'!$EF:$EF,'Database MK'!$G:$G,'Database MK'!$G$239,'Database MK'!$D:$D,'Summary PR PO GR'!$B6,'Database MK'!$J:$J,'Summary PR PO GR'!$C6),0)</f>
        <v>0.88888888888888884</v>
      </c>
      <c r="AO6" s="183">
        <f>IFERROR(_xlfn.MAXIFS('Database MK'!$EF:$EF,'Database MK'!$G:$G,'Database MK'!$G$239,'Database MK'!$D:$D,'Summary PR PO GR'!$B6,'Database MK'!$J:$J,'Summary PR PO GR'!$C6),0)</f>
        <v>1</v>
      </c>
      <c r="AP6" s="151">
        <f>COUNTIFS('Database MK'!$G:$G,'Database MK'!$G$237,'Database MK'!$D:$D,'Summary PR PO GR'!$B6,'Database MK'!$J:$J,'Summary PR PO GR'!$C6,'Database MK'!$ES:$ES,'Summary PR PO GR'!AP$3)</f>
        <v>0</v>
      </c>
      <c r="AQ6" s="151">
        <f>COUNTIFS('Database MK'!$G:$G,'Database MK'!$G$237,'Database MK'!$D:$D,'Summary PR PO GR'!$B6,'Database MK'!$J:$J,'Summary PR PO GR'!$C6,'Database MK'!$ES:$ES,'Summary PR PO GR'!AQ$3)</f>
        <v>22</v>
      </c>
      <c r="AR6" s="151">
        <f>COUNTIFS('Database MK'!$G:$G,'Database MK'!$G$237,'Database MK'!$D:$D,'Summary PR PO GR'!$B6,'Database MK'!$J:$J,'Summary PR PO GR'!$C6,'Database MK'!$ES:$ES,'Summary PR PO GR'!AR$3)</f>
        <v>0</v>
      </c>
      <c r="AS6" s="151">
        <f>COUNTIFS('Database MK'!$G:$G,'Database MK'!$G$237,'Database MK'!$D:$D,'Summary PR PO GR'!$B6,'Database MK'!$J:$J,'Summary PR PO GR'!$C6,'Database MK'!$ES:$ES,'Summary PR PO GR'!AS$3)</f>
        <v>0</v>
      </c>
      <c r="AT6" s="78">
        <f>IFERROR(_xlfn.MINIFS('Database MK'!$FB:$FB,'Database MK'!$G:$G,'Database MK'!$G$239,'Database MK'!$D:$D,'Summary PR PO GR'!$B6,'Database MK'!$J:$J,'Summary PR PO GR'!$C6),0)</f>
        <v>0</v>
      </c>
      <c r="AU6" s="152">
        <f>IFERROR(_xlfn.MAXIFS('Database MK'!$FB:$FB,'Database MK'!$G:$G,'Database MK'!$G$239,'Database MK'!$D:$D,'Summary PR PO GR'!$B6,'Database MK'!$J:$J,'Summary PR PO GR'!$C6),0)</f>
        <v>0</v>
      </c>
      <c r="AW6" s="38" t="s">
        <v>244</v>
      </c>
      <c r="AX6" s="38" t="s">
        <v>1830</v>
      </c>
      <c r="AY6" s="775">
        <f ca="1">SUMIFS('Database MK'!$DY:$DY,'Database MK'!$G:$G,'Database MK'!$G$237,'Database MK'!$D:$D,$AW6,'Database MK'!$J:$J,$AX6,'Database MK'!$EA:$EA,"&lt;&gt;")</f>
        <v>828</v>
      </c>
      <c r="AZ6" s="114">
        <f ca="1">SUMIFS('Database MK'!$DY:$DY,'Database MK'!$G:$G,'Database MK'!$G$237,'Database MK'!$D:$D,$AW6,'Database MK'!$J:$J,$AX6,'Database MK'!$EA:$EA,"&lt;&gt;")</f>
        <v>828</v>
      </c>
      <c r="BA6" s="114">
        <f ca="1">SUMIFS('Database MK'!$ED:$ED,'Database MK'!$G:$G,'Database MK'!$G$237,'Database MK'!$D:$D,$AW6,'Database MK'!$J:$J,$AX6,'Database MK'!$EA:$EA,"&lt;&gt;")</f>
        <v>762</v>
      </c>
      <c r="BB6" s="194">
        <f ca="1">IFERROR(BA6/AZ6,0)</f>
        <v>0.92028985507246375</v>
      </c>
      <c r="BC6" s="40">
        <f ca="1">SUMIFS('Database MK'!$EO:$EO,'Database MK'!$G:$G,'Database MK'!$G$237,'Database MK'!$D:$D,$AW6,'Database MK'!$J:$J,$AX6,'Database MK'!$EA:$EA,"&lt;&gt;")</f>
        <v>747</v>
      </c>
      <c r="BD6" s="195">
        <f ca="1">IFERROR(BC6/AZ6,0)</f>
        <v>0.90217391304347827</v>
      </c>
    </row>
    <row r="7" spans="1:59" x14ac:dyDescent="0.25">
      <c r="A7" s="72" t="s">
        <v>3590</v>
      </c>
      <c r="B7" s="135" t="s">
        <v>244</v>
      </c>
      <c r="C7" s="38" t="s">
        <v>1818</v>
      </c>
      <c r="D7" s="775">
        <f>COUNTIFS('Database MK'!$G:$G,'Database MK'!$G$237,'Database MK'!$D:$D,'Summary PR PO GR'!$B7,'Database MK'!$J:$J,'Summary PR PO GR'!$C7)</f>
        <v>22</v>
      </c>
      <c r="E7" s="157">
        <f ca="1">COUNTIFS('Database MK'!$G:$G,'Database MK'!$G$237,'Database MK'!$D:$D,'Summary PR PO GR'!$B7,'Database MK'!$Q:$Q,"BATAL / CANCEL")</f>
        <v>15</v>
      </c>
      <c r="F7" s="130">
        <f t="shared" ref="F7:F11" ca="1" si="0">G7+H7</f>
        <v>22</v>
      </c>
      <c r="G7" s="39">
        <f ca="1">COUNTIFS('Database MK'!$G:$G,'Database MK'!$G$237,'Database MK'!$D:$D,'Summary PR PO GR'!$B7,'Database MK'!$J:$J,'Summary PR PO GR'!$C7,'Database MK'!$DE:$DE,"Sudah, OnSchedule")</f>
        <v>22</v>
      </c>
      <c r="H7" s="39">
        <f ca="1">COUNTIFS('Database MK'!$G:$G,'Database MK'!$G$237,'Database MK'!$D:$D,'Summary PR PO GR'!$B7,'Database MK'!$J:$J,'Summary PR PO GR'!$C7,'Database MK'!$DE:$DE,"Sudah, Delay")</f>
        <v>0</v>
      </c>
      <c r="I7" s="39">
        <f t="shared" ref="I7:I11" ca="1" si="1">J7+K7</f>
        <v>0</v>
      </c>
      <c r="J7" s="39">
        <f ca="1">COUNTIFS('Database MK'!$G:$G,'Database MK'!$G$237,'Database MK'!$D:$D,'Summary PR PO GR'!$B7,'Database MK'!$J:$J,'Summary PR PO GR'!$C7,'Database MK'!$DE:$DE,"Belum, OnSchedule")</f>
        <v>0</v>
      </c>
      <c r="K7" s="131">
        <f ca="1">COUNTIFS('Database MK'!$G:$G,'Database MK'!$G$237,'Database MK'!$D:$D,'Summary PR PO GR'!$B7,'Database MK'!$J:$J,'Summary PR PO GR'!$C7,'Database MK'!$DE:$DE,"Belum, Delay")</f>
        <v>0</v>
      </c>
      <c r="L7" s="246">
        <f t="shared" ref="L7:L11" ca="1" si="2">M7+N7</f>
        <v>22</v>
      </c>
      <c r="M7" s="39">
        <f ca="1">COUNTIFS('Database MK'!$G:$G,'Database MK'!$G$237,'Database MK'!$D:$D,'Summary PR PO GR'!$B7,'Database MK'!$J:$J,'Summary PR PO GR'!$C7,'Database MK'!$DI:$DI,"Sudah, OnSchedule")</f>
        <v>21</v>
      </c>
      <c r="N7" s="39">
        <f ca="1">COUNTIFS('Database MK'!$G:$G,'Database MK'!$G$237,'Database MK'!$D:$D,'Summary PR PO GR'!$B7,'Database MK'!$J:$J,'Summary PR PO GR'!$C7,'Database MK'!$DI:$DI,"Sudah, Delay")</f>
        <v>1</v>
      </c>
      <c r="O7" s="39">
        <f t="shared" ref="O7:O11" ca="1" si="3">P7+Q7</f>
        <v>0</v>
      </c>
      <c r="P7" s="39">
        <f ca="1">COUNTIFS('Database MK'!$G:$G,'Database MK'!$G$237,'Database MK'!$D:$D,'Summary PR PO GR'!$B7,'Database MK'!$J:$J,'Summary PR PO GR'!$C7,'Database MK'!$DI:$DI,"Belum, OnSchedule")</f>
        <v>0</v>
      </c>
      <c r="Q7" s="167">
        <f ca="1">COUNTIFS('Database MK'!$G:$G,'Database MK'!$G$237,'Database MK'!$D:$D,'Summary PR PO GR'!$B7,'Database MK'!$J:$J,'Summary PR PO GR'!$C7,'Database MK'!$DI:$DI,"Belum, Delay")</f>
        <v>0</v>
      </c>
      <c r="R7" s="136">
        <f t="shared" ref="R7:R11" ca="1" si="4">S7+T7</f>
        <v>22</v>
      </c>
      <c r="S7" s="77">
        <f ca="1">COUNTIFS('Database MK'!$G:$G,'Database MK'!$G$237,'Database MK'!$D:$D,'Summary PR PO GR'!$B7,'Database MK'!$J:$J,'Summary PR PO GR'!$C7,'Database MK'!$DN:$DN,"Sudah, OnSchedule")</f>
        <v>22</v>
      </c>
      <c r="T7" s="77">
        <f ca="1">COUNTIFS('Database MK'!$G:$G,'Database MK'!$G$237,'Database MK'!$D:$D,'Summary PR PO GR'!$B7,'Database MK'!$J:$J,'Summary PR PO GR'!$C7,'Database MK'!$DN:$DN,"Sudah, Delay")</f>
        <v>0</v>
      </c>
      <c r="U7" s="77">
        <f t="shared" ref="U7:U11" ca="1" si="5">V7+W7</f>
        <v>0</v>
      </c>
      <c r="V7" s="77">
        <f ca="1">COUNTIFS('Database MK'!$G:$G,'Database MK'!$G$237,'Database MK'!$D:$D,'Summary PR PO GR'!$B7,'Database MK'!$J:$J,'Summary PR PO GR'!$C7,'Database MK'!$DN:$DN,"Belum, OnShcedule")</f>
        <v>0</v>
      </c>
      <c r="W7" s="137">
        <f ca="1">COUNTIFS('Database MK'!$G:$G,'Database MK'!$G$237,'Database MK'!$D:$D,'Summary PR PO GR'!$B7,'Database MK'!$J:$J,'Summary PR PO GR'!$C7,'Database MK'!$DN:$DN,"Belum, Delay")</f>
        <v>0</v>
      </c>
      <c r="X7" s="241">
        <f t="shared" ref="X7:X11" ca="1" si="6">Y7+Z7</f>
        <v>22</v>
      </c>
      <c r="Y7" s="77">
        <f ca="1">COUNTIFS('Database MK'!$G:$G,'Database MK'!$G$237,'Database MK'!$D:$D,'Summary PR PO GR'!$B7,'Database MK'!$J:$J,'Summary PR PO GR'!$C7,'Database MK'!$DR:$DR,"Sudah, OnSchedule")</f>
        <v>13</v>
      </c>
      <c r="Z7" s="77">
        <f ca="1">COUNTIFS('Database MK'!$G:$G,'Database MK'!$G$237,'Database MK'!$D:$D,'Summary PR PO GR'!$B7,'Database MK'!$J:$J,'Summary PR PO GR'!$C7,'Database MK'!$DR:$DR,"Sudah, Delay")</f>
        <v>9</v>
      </c>
      <c r="AA7" s="77">
        <f t="shared" ref="AA7:AA11" ca="1" si="7">AB7+AC7</f>
        <v>0</v>
      </c>
      <c r="AB7" s="77">
        <f ca="1">COUNTIFS('Database MK'!$G:$G,'Database MK'!$G$237,'Database MK'!$D:$D,'Summary PR PO GR'!$B7,'Database MK'!$J:$J,'Summary PR PO GR'!$C7,'Database MK'!$DR:$DR,"Belum, OnSchedule")</f>
        <v>0</v>
      </c>
      <c r="AC7" s="137">
        <f ca="1">COUNTIFS('Database MK'!$G:$G,'Database MK'!$G$237,'Database MK'!$D:$D,'Summary PR PO GR'!$B7,'Database MK'!$J:$J,'Summary PR PO GR'!$C7,'Database MK'!$DR:$DR,"Belum, Delay")</f>
        <v>0</v>
      </c>
      <c r="AD7" s="141">
        <f t="shared" ref="AD7:AD11" ca="1" si="8">AE7+AF7</f>
        <v>22</v>
      </c>
      <c r="AE7" s="114">
        <f ca="1">COUNTIFS('Database MK'!$G:$G,'Database MK'!$G$237,'Database MK'!$D:$D,'Summary PR PO GR'!$B7,'Database MK'!$J:$J,'Summary PR PO GR'!$C7,'Database MK'!$EA:$EA,"Sudah, OnSchedule")</f>
        <v>20</v>
      </c>
      <c r="AF7" s="114">
        <f ca="1">COUNTIFS('Database MK'!$G:$G,'Database MK'!$G$237,'Database MK'!$D:$D,'Summary PR PO GR'!$B7,'Database MK'!$J:$J,'Summary PR PO GR'!$C7,'Database MK'!$EA:$EA,"Sudah, Delay")</f>
        <v>2</v>
      </c>
      <c r="AG7" s="114">
        <f t="shared" ref="AG7:AG11" ca="1" si="9">AH7+AI7</f>
        <v>0</v>
      </c>
      <c r="AH7" s="114">
        <f ca="1">COUNTIFS('Database MK'!$G:$G,'Database MK'!$G$237,'Database MK'!$D:$D,'Summary PR PO GR'!$B7,'Database MK'!$J:$J,'Summary PR PO GR'!$C7,'Database MK'!$EA:$EA,"Belum, OnSchedule")</f>
        <v>0</v>
      </c>
      <c r="AI7" s="142">
        <f ca="1">COUNTIFS('Database MK'!$G:$G,'Database MK'!$G$237,'Database MK'!$D:$D,'Summary PR PO GR'!$B7,'Database MK'!$J:$J,'Summary PR PO GR'!$C7,'Database MK'!$EA:$EA,"Belum, Delay")</f>
        <v>0</v>
      </c>
      <c r="AJ7" s="141">
        <f>COUNTIFS('Database MK'!$G:$G,'Database MK'!$G$237,'Database MK'!$D:$D,'Summary PR PO GR'!$B7,'Database MK'!$J:$J,'Summary PR PO GR'!$C7,'Database MK'!$EH:$EH,'Summary PR PO GR'!AJ$3)</f>
        <v>1</v>
      </c>
      <c r="AK7" s="114">
        <f>COUNTIFS('Database MK'!$G:$G,'Database MK'!$G$237,'Database MK'!$D:$D,'Summary PR PO GR'!$B7,'Database MK'!$J:$J,'Summary PR PO GR'!$C7,'Database MK'!$EH:$EH,'Summary PR PO GR'!AK$3)</f>
        <v>21</v>
      </c>
      <c r="AL7" s="114">
        <f>COUNTIFS('Database MK'!$G:$G,'Database MK'!$G$237,'Database MK'!$D:$D,'Summary PR PO GR'!$B7,'Database MK'!$J:$J,'Summary PR PO GR'!$C7,'Database MK'!$EH:$EH,'Summary PR PO GR'!AL$3)</f>
        <v>0</v>
      </c>
      <c r="AM7" s="114">
        <f>COUNTIFS('Database MK'!$G:$G,'Database MK'!$G$237,'Database MK'!$D:$D,'Summary PR PO GR'!$B7,'Database MK'!$J:$J,'Summary PR PO GR'!$C7,'Database MK'!$EH:$EH,'Summary PR PO GR'!AM$3)</f>
        <v>0</v>
      </c>
      <c r="AN7" s="115">
        <f>IFERROR(_xlfn.MINIFS('Database MK'!$EF:$EF,'Database MK'!$G:$G,'Database MK'!$G$239,'Database MK'!$D:$D,'Summary PR PO GR'!$B7,'Database MK'!$J:$J,'Summary PR PO GR'!$C7),0)</f>
        <v>0.75</v>
      </c>
      <c r="AO7" s="183">
        <f>IFERROR(_xlfn.MAXIFS('Database MK'!$EF:$EF,'Database MK'!$G:$G,'Database MK'!$G$239,'Database MK'!$D:$D,'Summary PR PO GR'!$B7,'Database MK'!$J:$J,'Summary PR PO GR'!$C7),0)</f>
        <v>1</v>
      </c>
      <c r="AP7" s="151">
        <f>COUNTIFS('Database MK'!$G:$G,'Database MK'!$G$237,'Database MK'!$D:$D,'Summary PR PO GR'!$B7,'Database MK'!$J:$J,'Summary PR PO GR'!$C7,'Database MK'!$ES:$ES,'Summary PR PO GR'!AP$3)</f>
        <v>1</v>
      </c>
      <c r="AQ7" s="151">
        <f>COUNTIFS('Database MK'!$G:$G,'Database MK'!$G$237,'Database MK'!$D:$D,'Summary PR PO GR'!$B7,'Database MK'!$J:$J,'Summary PR PO GR'!$C7,'Database MK'!$ES:$ES,'Summary PR PO GR'!AQ$3)</f>
        <v>21</v>
      </c>
      <c r="AR7" s="151">
        <f>COUNTIFS('Database MK'!$G:$G,'Database MK'!$G$237,'Database MK'!$D:$D,'Summary PR PO GR'!$B7,'Database MK'!$J:$J,'Summary PR PO GR'!$C7,'Database MK'!$ES:$ES,'Summary PR PO GR'!AR$3)</f>
        <v>0</v>
      </c>
      <c r="AS7" s="151">
        <f>COUNTIFS('Database MK'!$G:$G,'Database MK'!$G$237,'Database MK'!$D:$D,'Summary PR PO GR'!$B7,'Database MK'!$J:$J,'Summary PR PO GR'!$C7,'Database MK'!$ES:$ES,'Summary PR PO GR'!AS$3)</f>
        <v>0</v>
      </c>
      <c r="AT7" s="78">
        <f>IFERROR(_xlfn.MINIFS('Database MK'!$FB:$FB,'Database MK'!$G:$G,'Database MK'!$G$239,'Database MK'!$D:$D,'Summary PR PO GR'!$B7,'Database MK'!$J:$J,'Summary PR PO GR'!$C7),0)</f>
        <v>0</v>
      </c>
      <c r="AU7" s="152">
        <f>IFERROR(_xlfn.MAXIFS('Database MK'!$FB:$FB,'Database MK'!$G:$G,'Database MK'!$G$239,'Database MK'!$D:$D,'Summary PR PO GR'!$B7,'Database MK'!$J:$J,'Summary PR PO GR'!$C7),0)</f>
        <v>0</v>
      </c>
      <c r="AW7" s="38" t="s">
        <v>244</v>
      </c>
      <c r="AX7" s="38" t="s">
        <v>1818</v>
      </c>
      <c r="AY7" s="775">
        <f ca="1">SUMIFS('Database MK'!$DY:$DY,'Database MK'!$G:$G,'Database MK'!$G$237,'Database MK'!$D:$D,$AW7,'Database MK'!$J:$J,$AX7,'Database MK'!$EA:$EA,"&lt;&gt;")</f>
        <v>1142</v>
      </c>
      <c r="AZ7" s="114">
        <f ca="1">SUMIFS('Database MK'!$DY:$DY,'Database MK'!$G:$G,'Database MK'!$G$237,'Database MK'!$D:$D,$AW7,'Database MK'!$J:$J,$AX7,'Database MK'!$EA:$EA,"&lt;&gt;")</f>
        <v>1142</v>
      </c>
      <c r="BA7" s="114">
        <f ca="1">SUMIFS('Database MK'!$ED:$ED,'Database MK'!$G:$G,'Database MK'!$G$237,'Database MK'!$D:$D,$AW7,'Database MK'!$J:$J,$AX7,'Database MK'!$EA:$EA,"&lt;&gt;")</f>
        <v>1044</v>
      </c>
      <c r="BB7" s="194">
        <f t="shared" ref="BB7:BB11" ca="1" si="10">IFERROR(BA7/AZ7,0)</f>
        <v>0.91418563922942209</v>
      </c>
      <c r="BC7" s="40">
        <f ca="1">SUMIFS('Database MK'!$EO:$EO,'Database MK'!$G:$G,'Database MK'!$G$237,'Database MK'!$D:$D,$AW7,'Database MK'!$J:$J,$AX7,'Database MK'!$EA:$EA,"&lt;&gt;")</f>
        <v>1032</v>
      </c>
      <c r="BD7" s="195">
        <f t="shared" ref="BD7:BD11" ca="1" si="11">IFERROR(BC7/AZ7,0)</f>
        <v>0.90367775831873909</v>
      </c>
    </row>
    <row r="8" spans="1:59" x14ac:dyDescent="0.25">
      <c r="A8" s="72" t="s">
        <v>3591</v>
      </c>
      <c r="B8" s="135" t="s">
        <v>673</v>
      </c>
      <c r="C8" s="38" t="s">
        <v>1830</v>
      </c>
      <c r="D8" s="775">
        <f>COUNTIFS('Database MK'!$G:$G,'Database MK'!$G$237,'Database MK'!$D:$D,'Summary PR PO GR'!$B8,'Database MK'!$J:$J,'Summary PR PO GR'!$C8)</f>
        <v>9</v>
      </c>
      <c r="E8" s="157">
        <f ca="1">COUNTIFS('Database MK'!$G:$G,'Database MK'!$G$237,'Database MK'!$D:$D,'Summary PR PO GR'!$B8,'Database MK'!$Q:$Q,"BATAL / CANCEL")</f>
        <v>6</v>
      </c>
      <c r="F8" s="130">
        <f t="shared" ca="1" si="0"/>
        <v>9</v>
      </c>
      <c r="G8" s="39">
        <f ca="1">COUNTIFS('Database MK'!$G:$G,'Database MK'!$G$237,'Database MK'!$D:$D,'Summary PR PO GR'!$B8,'Database MK'!$J:$J,'Summary PR PO GR'!$C8,'Database MK'!$DE:$DE,"Sudah, OnSchedule")</f>
        <v>7</v>
      </c>
      <c r="H8" s="39">
        <f ca="1">COUNTIFS('Database MK'!$G:$G,'Database MK'!$G$237,'Database MK'!$D:$D,'Summary PR PO GR'!$B8,'Database MK'!$J:$J,'Summary PR PO GR'!$C8,'Database MK'!$DE:$DE,"Sudah, Delay")</f>
        <v>2</v>
      </c>
      <c r="I8" s="39">
        <f t="shared" ca="1" si="1"/>
        <v>0</v>
      </c>
      <c r="J8" s="39">
        <f ca="1">COUNTIFS('Database MK'!$G:$G,'Database MK'!$G$237,'Database MK'!$D:$D,'Summary PR PO GR'!$B8,'Database MK'!$J:$J,'Summary PR PO GR'!$C8,'Database MK'!$DE:$DE,"Belum, OnSchedule")</f>
        <v>0</v>
      </c>
      <c r="K8" s="131">
        <f ca="1">COUNTIFS('Database MK'!$G:$G,'Database MK'!$G$237,'Database MK'!$D:$D,'Summary PR PO GR'!$B8,'Database MK'!$J:$J,'Summary PR PO GR'!$C8,'Database MK'!$DE:$DE,"Belum, Delay")</f>
        <v>0</v>
      </c>
      <c r="L8" s="246">
        <f t="shared" ca="1" si="2"/>
        <v>9</v>
      </c>
      <c r="M8" s="39">
        <f ca="1">COUNTIFS('Database MK'!$G:$G,'Database MK'!$G$237,'Database MK'!$D:$D,'Summary PR PO GR'!$B8,'Database MK'!$J:$J,'Summary PR PO GR'!$C8,'Database MK'!$DI:$DI,"Sudah, OnSchedule")</f>
        <v>6</v>
      </c>
      <c r="N8" s="39">
        <f ca="1">COUNTIFS('Database MK'!$G:$G,'Database MK'!$G$237,'Database MK'!$D:$D,'Summary PR PO GR'!$B8,'Database MK'!$J:$J,'Summary PR PO GR'!$C8,'Database MK'!$DI:$DI,"Sudah, Delay")</f>
        <v>3</v>
      </c>
      <c r="O8" s="39">
        <f t="shared" ca="1" si="3"/>
        <v>0</v>
      </c>
      <c r="P8" s="39">
        <f ca="1">COUNTIFS('Database MK'!$G:$G,'Database MK'!$G$237,'Database MK'!$D:$D,'Summary PR PO GR'!$B8,'Database MK'!$J:$J,'Summary PR PO GR'!$C8,'Database MK'!$DI:$DI,"Belum, OnSchedule")</f>
        <v>0</v>
      </c>
      <c r="Q8" s="167">
        <f ca="1">COUNTIFS('Database MK'!$G:$G,'Database MK'!$G$237,'Database MK'!$D:$D,'Summary PR PO GR'!$B8,'Database MK'!$J:$J,'Summary PR PO GR'!$C8,'Database MK'!$DI:$DI,"Belum, Delay")</f>
        <v>0</v>
      </c>
      <c r="R8" s="136">
        <f t="shared" ca="1" si="4"/>
        <v>9</v>
      </c>
      <c r="S8" s="77">
        <f ca="1">COUNTIFS('Database MK'!$G:$G,'Database MK'!$G$237,'Database MK'!$D:$D,'Summary PR PO GR'!$B8,'Database MK'!$J:$J,'Summary PR PO GR'!$C8,'Database MK'!$DN:$DN,"Sudah, OnSchedule")</f>
        <v>9</v>
      </c>
      <c r="T8" s="77">
        <f ca="1">COUNTIFS('Database MK'!$G:$G,'Database MK'!$G$237,'Database MK'!$D:$D,'Summary PR PO GR'!$B8,'Database MK'!$J:$J,'Summary PR PO GR'!$C8,'Database MK'!$DN:$DN,"Sudah, Delay")</f>
        <v>0</v>
      </c>
      <c r="U8" s="77">
        <f t="shared" ca="1" si="5"/>
        <v>0</v>
      </c>
      <c r="V8" s="77">
        <f ca="1">COUNTIFS('Database MK'!$G:$G,'Database MK'!$G$237,'Database MK'!$D:$D,'Summary PR PO GR'!$B8,'Database MK'!$J:$J,'Summary PR PO GR'!$C8,'Database MK'!$DN:$DN,"Belum, OnShcedule")</f>
        <v>0</v>
      </c>
      <c r="W8" s="137">
        <f ca="1">COUNTIFS('Database MK'!$G:$G,'Database MK'!$G$237,'Database MK'!$D:$D,'Summary PR PO GR'!$B8,'Database MK'!$J:$J,'Summary PR PO GR'!$C8,'Database MK'!$DN:$DN,"Belum, Delay")</f>
        <v>0</v>
      </c>
      <c r="X8" s="241">
        <f t="shared" ca="1" si="6"/>
        <v>9</v>
      </c>
      <c r="Y8" s="77">
        <f ca="1">COUNTIFS('Database MK'!$G:$G,'Database MK'!$G$237,'Database MK'!$D:$D,'Summary PR PO GR'!$B8,'Database MK'!$J:$J,'Summary PR PO GR'!$C8,'Database MK'!$DR:$DR,"Sudah, OnSchedule")</f>
        <v>7</v>
      </c>
      <c r="Z8" s="77">
        <f ca="1">COUNTIFS('Database MK'!$G:$G,'Database MK'!$G$237,'Database MK'!$D:$D,'Summary PR PO GR'!$B8,'Database MK'!$J:$J,'Summary PR PO GR'!$C8,'Database MK'!$DR:$DR,"Sudah, Delay")</f>
        <v>2</v>
      </c>
      <c r="AA8" s="77">
        <f t="shared" ca="1" si="7"/>
        <v>0</v>
      </c>
      <c r="AB8" s="77">
        <f ca="1">COUNTIFS('Database MK'!$G:$G,'Database MK'!$G$237,'Database MK'!$D:$D,'Summary PR PO GR'!$B8,'Database MK'!$J:$J,'Summary PR PO GR'!$C8,'Database MK'!$DR:$DR,"Belum, OnSchedule")</f>
        <v>0</v>
      </c>
      <c r="AC8" s="137">
        <f ca="1">COUNTIFS('Database MK'!$G:$G,'Database MK'!$G$237,'Database MK'!$D:$D,'Summary PR PO GR'!$B8,'Database MK'!$J:$J,'Summary PR PO GR'!$C8,'Database MK'!$DR:$DR,"Belum, Delay")</f>
        <v>0</v>
      </c>
      <c r="AD8" s="141">
        <f t="shared" ca="1" si="8"/>
        <v>9</v>
      </c>
      <c r="AE8" s="114">
        <f ca="1">COUNTIFS('Database MK'!$G:$G,'Database MK'!$G$237,'Database MK'!$D:$D,'Summary PR PO GR'!$B8,'Database MK'!$J:$J,'Summary PR PO GR'!$C8,'Database MK'!$EA:$EA,"Sudah, OnSchedule")</f>
        <v>7</v>
      </c>
      <c r="AF8" s="114">
        <f ca="1">COUNTIFS('Database MK'!$G:$G,'Database MK'!$G$237,'Database MK'!$D:$D,'Summary PR PO GR'!$B8,'Database MK'!$J:$J,'Summary PR PO GR'!$C8,'Database MK'!$EA:$EA,"Sudah, Delay")</f>
        <v>2</v>
      </c>
      <c r="AG8" s="114">
        <f t="shared" ca="1" si="9"/>
        <v>0</v>
      </c>
      <c r="AH8" s="114">
        <f ca="1">COUNTIFS('Database MK'!$G:$G,'Database MK'!$G$237,'Database MK'!$D:$D,'Summary PR PO GR'!$B8,'Database MK'!$J:$J,'Summary PR PO GR'!$C8,'Database MK'!$EA:$EA,"Belum, OnSchedule")</f>
        <v>0</v>
      </c>
      <c r="AI8" s="142">
        <f ca="1">COUNTIFS('Database MK'!$G:$G,'Database MK'!$G$237,'Database MK'!$D:$D,'Summary PR PO GR'!$B8,'Database MK'!$J:$J,'Summary PR PO GR'!$C8,'Database MK'!$EA:$EA,"Belum, Delay")</f>
        <v>0</v>
      </c>
      <c r="AJ8" s="141">
        <f>COUNTIFS('Database MK'!$G:$G,'Database MK'!$G$237,'Database MK'!$D:$D,'Summary PR PO GR'!$B8,'Database MK'!$J:$J,'Summary PR PO GR'!$C8,'Database MK'!$EH:$EH,'Summary PR PO GR'!AJ$3)</f>
        <v>9</v>
      </c>
      <c r="AK8" s="114">
        <f>COUNTIFS('Database MK'!$G:$G,'Database MK'!$G$237,'Database MK'!$D:$D,'Summary PR PO GR'!$B8,'Database MK'!$J:$J,'Summary PR PO GR'!$C8,'Database MK'!$EH:$EH,'Summary PR PO GR'!AK$3)</f>
        <v>0</v>
      </c>
      <c r="AL8" s="114">
        <f>COUNTIFS('Database MK'!$G:$G,'Database MK'!$G$237,'Database MK'!$D:$D,'Summary PR PO GR'!$B8,'Database MK'!$J:$J,'Summary PR PO GR'!$C8,'Database MK'!$EH:$EH,'Summary PR PO GR'!AL$3)</f>
        <v>0</v>
      </c>
      <c r="AM8" s="114">
        <f>COUNTIFS('Database MK'!$G:$G,'Database MK'!$G$237,'Database MK'!$D:$D,'Summary PR PO GR'!$B8,'Database MK'!$J:$J,'Summary PR PO GR'!$C8,'Database MK'!$EH:$EH,'Summary PR PO GR'!AM$3)</f>
        <v>0</v>
      </c>
      <c r="AN8" s="115">
        <f>IFERROR(_xlfn.MINIFS('Database MK'!$EF:$EF,'Database MK'!$G:$G,'Database MK'!$G$239,'Database MK'!$D:$D,'Summary PR PO GR'!$B8,'Database MK'!$J:$J,'Summary PR PO GR'!$C8),0)</f>
        <v>1</v>
      </c>
      <c r="AO8" s="183">
        <f>IFERROR(_xlfn.MAXIFS('Database MK'!$EF:$EF,'Database MK'!$G:$G,'Database MK'!$G$239,'Database MK'!$D:$D,'Summary PR PO GR'!$B8,'Database MK'!$J:$J,'Summary PR PO GR'!$C8),0)</f>
        <v>1</v>
      </c>
      <c r="AP8" s="151">
        <f>COUNTIFS('Database MK'!$G:$G,'Database MK'!$G$237,'Database MK'!$D:$D,'Summary PR PO GR'!$B8,'Database MK'!$J:$J,'Summary PR PO GR'!$C8,'Database MK'!$ES:$ES,'Summary PR PO GR'!AP$3)</f>
        <v>1</v>
      </c>
      <c r="AQ8" s="151">
        <f>COUNTIFS('Database MK'!$G:$G,'Database MK'!$G$237,'Database MK'!$D:$D,'Summary PR PO GR'!$B8,'Database MK'!$J:$J,'Summary PR PO GR'!$C8,'Database MK'!$ES:$ES,'Summary PR PO GR'!AQ$3)</f>
        <v>8</v>
      </c>
      <c r="AR8" s="151">
        <f>COUNTIFS('Database MK'!$G:$G,'Database MK'!$G$237,'Database MK'!$D:$D,'Summary PR PO GR'!$B8,'Database MK'!$J:$J,'Summary PR PO GR'!$C8,'Database MK'!$ES:$ES,'Summary PR PO GR'!AR$3)</f>
        <v>0</v>
      </c>
      <c r="AS8" s="151">
        <f>COUNTIFS('Database MK'!$G:$G,'Database MK'!$G$237,'Database MK'!$D:$D,'Summary PR PO GR'!$B8,'Database MK'!$J:$J,'Summary PR PO GR'!$C8,'Database MK'!$ES:$ES,'Summary PR PO GR'!AS$3)</f>
        <v>0</v>
      </c>
      <c r="AT8" s="78">
        <f>IFERROR(_xlfn.MINIFS('Database MK'!$FB:$FB,'Database MK'!$G:$G,'Database MK'!$G$239,'Database MK'!$D:$D,'Summary PR PO GR'!$B8,'Database MK'!$J:$J,'Summary PR PO GR'!$C8),0)</f>
        <v>0</v>
      </c>
      <c r="AU8" s="152">
        <f>IFERROR(_xlfn.MAXIFS('Database MK'!$FB:$FB,'Database MK'!$G:$G,'Database MK'!$G$239,'Database MK'!$D:$D,'Summary PR PO GR'!$B8,'Database MK'!$J:$J,'Summary PR PO GR'!$C8),0)</f>
        <v>0</v>
      </c>
      <c r="AW8" s="38" t="s">
        <v>673</v>
      </c>
      <c r="AX8" s="38" t="s">
        <v>1830</v>
      </c>
      <c r="AY8" s="775">
        <f ca="1">SUMIFS('Database MK'!$DY:$DY,'Database MK'!$G:$G,'Database MK'!$G$237,'Database MK'!$D:$D,$AW8,'Database MK'!$J:$J,$AX8,'Database MK'!$EA:$EA,"&lt;&gt;")</f>
        <v>262</v>
      </c>
      <c r="AZ8" s="114">
        <f ca="1">SUMIFS('Database MK'!$DY:$DY,'Database MK'!$G:$G,'Database MK'!$G$237,'Database MK'!$D:$D,$AW8,'Database MK'!$J:$J,$AX8,'Database MK'!$EA:$EA,"&lt;&gt;")</f>
        <v>262</v>
      </c>
      <c r="BA8" s="114">
        <f ca="1">SUMIFS('Database MK'!$ED:$ED,'Database MK'!$G:$G,'Database MK'!$G$237,'Database MK'!$D:$D,$AW8,'Database MK'!$J:$J,$AX8,'Database MK'!$EA:$EA,"&lt;&gt;")</f>
        <v>245</v>
      </c>
      <c r="BB8" s="194">
        <f t="shared" ca="1" si="10"/>
        <v>0.93511450381679384</v>
      </c>
      <c r="BC8" s="40">
        <f ca="1">SUMIFS('Database MK'!$EO:$EO,'Database MK'!$G:$G,'Database MK'!$G$237,'Database MK'!$D:$D,$AW8,'Database MK'!$J:$J,$AX8,'Database MK'!$EA:$EA,"&lt;&gt;")</f>
        <v>242</v>
      </c>
      <c r="BD8" s="195">
        <f t="shared" ca="1" si="11"/>
        <v>0.92366412213740456</v>
      </c>
    </row>
    <row r="9" spans="1:59" x14ac:dyDescent="0.25">
      <c r="A9" s="72" t="s">
        <v>3592</v>
      </c>
      <c r="B9" s="135" t="s">
        <v>673</v>
      </c>
      <c r="C9" s="38" t="s">
        <v>1818</v>
      </c>
      <c r="D9" s="775">
        <f>COUNTIFS('Database MK'!$G:$G,'Database MK'!$G$237,'Database MK'!$D:$D,'Summary PR PO GR'!$B9,'Database MK'!$J:$J,'Summary PR PO GR'!$C9)</f>
        <v>11</v>
      </c>
      <c r="E9" s="157">
        <f ca="1">COUNTIFS('Database MK'!$G:$G,'Database MK'!$G$237,'Database MK'!$D:$D,'Summary PR PO GR'!$B9,'Database MK'!$Q:$Q,"BATAL / CANCEL")</f>
        <v>6</v>
      </c>
      <c r="F9" s="130">
        <f t="shared" ca="1" si="0"/>
        <v>11</v>
      </c>
      <c r="G9" s="39">
        <f ca="1">COUNTIFS('Database MK'!$G:$G,'Database MK'!$G$237,'Database MK'!$D:$D,'Summary PR PO GR'!$B9,'Database MK'!$J:$J,'Summary PR PO GR'!$C9,'Database MK'!$DE:$DE,"Sudah, OnSchedule")</f>
        <v>6</v>
      </c>
      <c r="H9" s="39">
        <f ca="1">COUNTIFS('Database MK'!$G:$G,'Database MK'!$G$237,'Database MK'!$D:$D,'Summary PR PO GR'!$B9,'Database MK'!$J:$J,'Summary PR PO GR'!$C9,'Database MK'!$DE:$DE,"Sudah, Delay")</f>
        <v>5</v>
      </c>
      <c r="I9" s="39">
        <f t="shared" ca="1" si="1"/>
        <v>0</v>
      </c>
      <c r="J9" s="39">
        <f ca="1">COUNTIFS('Database MK'!$G:$G,'Database MK'!$G$237,'Database MK'!$D:$D,'Summary PR PO GR'!$B9,'Database MK'!$J:$J,'Summary PR PO GR'!$C9,'Database MK'!$DE:$DE,"Belum, OnSchedule")</f>
        <v>0</v>
      </c>
      <c r="K9" s="131">
        <f ca="1">COUNTIFS('Database MK'!$G:$G,'Database MK'!$G$237,'Database MK'!$D:$D,'Summary PR PO GR'!$B9,'Database MK'!$J:$J,'Summary PR PO GR'!$C9,'Database MK'!$DE:$DE,"Belum, Delay")</f>
        <v>0</v>
      </c>
      <c r="L9" s="246">
        <f t="shared" ca="1" si="2"/>
        <v>11</v>
      </c>
      <c r="M9" s="39">
        <f ca="1">COUNTIFS('Database MK'!$G:$G,'Database MK'!$G$237,'Database MK'!$D:$D,'Summary PR PO GR'!$B9,'Database MK'!$J:$J,'Summary PR PO GR'!$C9,'Database MK'!$DI:$DI,"Sudah, OnSchedule")</f>
        <v>6</v>
      </c>
      <c r="N9" s="39">
        <f ca="1">COUNTIFS('Database MK'!$G:$G,'Database MK'!$G$237,'Database MK'!$D:$D,'Summary PR PO GR'!$B9,'Database MK'!$J:$J,'Summary PR PO GR'!$C9,'Database MK'!$DI:$DI,"Sudah, Delay")</f>
        <v>5</v>
      </c>
      <c r="O9" s="39">
        <f t="shared" ca="1" si="3"/>
        <v>0</v>
      </c>
      <c r="P9" s="39">
        <f ca="1">COUNTIFS('Database MK'!$G:$G,'Database MK'!$G$237,'Database MK'!$D:$D,'Summary PR PO GR'!$B9,'Database MK'!$J:$J,'Summary PR PO GR'!$C9,'Database MK'!$DI:$DI,"Belum, OnSchedule")</f>
        <v>0</v>
      </c>
      <c r="Q9" s="167">
        <f ca="1">COUNTIFS('Database MK'!$G:$G,'Database MK'!$G$237,'Database MK'!$D:$D,'Summary PR PO GR'!$B9,'Database MK'!$J:$J,'Summary PR PO GR'!$C9,'Database MK'!$DI:$DI,"Belum, Delay")</f>
        <v>0</v>
      </c>
      <c r="R9" s="136">
        <f t="shared" ca="1" si="4"/>
        <v>11</v>
      </c>
      <c r="S9" s="77">
        <f ca="1">COUNTIFS('Database MK'!$G:$G,'Database MK'!$G$237,'Database MK'!$D:$D,'Summary PR PO GR'!$B9,'Database MK'!$J:$J,'Summary PR PO GR'!$C9,'Database MK'!$DN:$DN,"Sudah, OnSchedule")</f>
        <v>11</v>
      </c>
      <c r="T9" s="77">
        <f ca="1">COUNTIFS('Database MK'!$G:$G,'Database MK'!$G$237,'Database MK'!$D:$D,'Summary PR PO GR'!$B9,'Database MK'!$J:$J,'Summary PR PO GR'!$C9,'Database MK'!$DN:$DN,"Sudah, Delay")</f>
        <v>0</v>
      </c>
      <c r="U9" s="77">
        <f t="shared" ca="1" si="5"/>
        <v>0</v>
      </c>
      <c r="V9" s="77">
        <f ca="1">COUNTIFS('Database MK'!$G:$G,'Database MK'!$G$237,'Database MK'!$D:$D,'Summary PR PO GR'!$B9,'Database MK'!$J:$J,'Summary PR PO GR'!$C9,'Database MK'!$DN:$DN,"Belum, OnShcedule")</f>
        <v>0</v>
      </c>
      <c r="W9" s="137">
        <f ca="1">COUNTIFS('Database MK'!$G:$G,'Database MK'!$G$237,'Database MK'!$D:$D,'Summary PR PO GR'!$B9,'Database MK'!$J:$J,'Summary PR PO GR'!$C9,'Database MK'!$DN:$DN,"Belum, Delay")</f>
        <v>0</v>
      </c>
      <c r="X9" s="241">
        <f t="shared" ca="1" si="6"/>
        <v>11</v>
      </c>
      <c r="Y9" s="77">
        <f ca="1">COUNTIFS('Database MK'!$G:$G,'Database MK'!$G$237,'Database MK'!$D:$D,'Summary PR PO GR'!$B9,'Database MK'!$J:$J,'Summary PR PO GR'!$C9,'Database MK'!$DR:$DR,"Sudah, OnSchedule")</f>
        <v>8</v>
      </c>
      <c r="Z9" s="77">
        <f ca="1">COUNTIFS('Database MK'!$G:$G,'Database MK'!$G$237,'Database MK'!$D:$D,'Summary PR PO GR'!$B9,'Database MK'!$J:$J,'Summary PR PO GR'!$C9,'Database MK'!$DR:$DR,"Sudah, Delay")</f>
        <v>3</v>
      </c>
      <c r="AA9" s="77">
        <f t="shared" ca="1" si="7"/>
        <v>0</v>
      </c>
      <c r="AB9" s="77">
        <f ca="1">COUNTIFS('Database MK'!$G:$G,'Database MK'!$G$237,'Database MK'!$D:$D,'Summary PR PO GR'!$B9,'Database MK'!$J:$J,'Summary PR PO GR'!$C9,'Database MK'!$DR:$DR,"Belum, OnSchedule")</f>
        <v>0</v>
      </c>
      <c r="AC9" s="137">
        <f ca="1">COUNTIFS('Database MK'!$G:$G,'Database MK'!$G$237,'Database MK'!$D:$D,'Summary PR PO GR'!$B9,'Database MK'!$J:$J,'Summary PR PO GR'!$C9,'Database MK'!$DR:$DR,"Belum, Delay")</f>
        <v>0</v>
      </c>
      <c r="AD9" s="141">
        <f t="shared" ca="1" si="8"/>
        <v>11</v>
      </c>
      <c r="AE9" s="114">
        <f ca="1">COUNTIFS('Database MK'!$G:$G,'Database MK'!$G$237,'Database MK'!$D:$D,'Summary PR PO GR'!$B9,'Database MK'!$J:$J,'Summary PR PO GR'!$C9,'Database MK'!$EA:$EA,"Sudah, OnSchedule")</f>
        <v>7</v>
      </c>
      <c r="AF9" s="114">
        <f ca="1">COUNTIFS('Database MK'!$G:$G,'Database MK'!$G$237,'Database MK'!$D:$D,'Summary PR PO GR'!$B9,'Database MK'!$J:$J,'Summary PR PO GR'!$C9,'Database MK'!$EA:$EA,"Sudah, Delay")</f>
        <v>4</v>
      </c>
      <c r="AG9" s="114">
        <f t="shared" ca="1" si="9"/>
        <v>0</v>
      </c>
      <c r="AH9" s="114">
        <f ca="1">COUNTIFS('Database MK'!$G:$G,'Database MK'!$G$237,'Database MK'!$D:$D,'Summary PR PO GR'!$B9,'Database MK'!$J:$J,'Summary PR PO GR'!$C9,'Database MK'!$EA:$EA,"Belum, OnSchedule")</f>
        <v>0</v>
      </c>
      <c r="AI9" s="142">
        <f ca="1">COUNTIFS('Database MK'!$G:$G,'Database MK'!$G$237,'Database MK'!$D:$D,'Summary PR PO GR'!$B9,'Database MK'!$J:$J,'Summary PR PO GR'!$C9,'Database MK'!$EA:$EA,"Belum, Delay")</f>
        <v>0</v>
      </c>
      <c r="AJ9" s="141">
        <f>COUNTIFS('Database MK'!$G:$G,'Database MK'!$G$237,'Database MK'!$D:$D,'Summary PR PO GR'!$B9,'Database MK'!$J:$J,'Summary PR PO GR'!$C9,'Database MK'!$EH:$EH,'Summary PR PO GR'!AJ$3)</f>
        <v>2</v>
      </c>
      <c r="AK9" s="114">
        <f>COUNTIFS('Database MK'!$G:$G,'Database MK'!$G$237,'Database MK'!$D:$D,'Summary PR PO GR'!$B9,'Database MK'!$J:$J,'Summary PR PO GR'!$C9,'Database MK'!$EH:$EH,'Summary PR PO GR'!AK$3)</f>
        <v>9</v>
      </c>
      <c r="AL9" s="114">
        <f>COUNTIFS('Database MK'!$G:$G,'Database MK'!$G$237,'Database MK'!$D:$D,'Summary PR PO GR'!$B9,'Database MK'!$J:$J,'Summary PR PO GR'!$C9,'Database MK'!$EH:$EH,'Summary PR PO GR'!AL$3)</f>
        <v>0</v>
      </c>
      <c r="AM9" s="114">
        <f>COUNTIFS('Database MK'!$G:$G,'Database MK'!$G$237,'Database MK'!$D:$D,'Summary PR PO GR'!$B9,'Database MK'!$J:$J,'Summary PR PO GR'!$C9,'Database MK'!$EH:$EH,'Summary PR PO GR'!AM$3)</f>
        <v>0</v>
      </c>
      <c r="AN9" s="115">
        <f>IFERROR(_xlfn.MINIFS('Database MK'!$EF:$EF,'Database MK'!$G:$G,'Database MK'!$G$239,'Database MK'!$D:$D,'Summary PR PO GR'!$B9,'Database MK'!$J:$J,'Summary PR PO GR'!$C9),0)</f>
        <v>0.79365079365079361</v>
      </c>
      <c r="AO9" s="183">
        <f>IFERROR(_xlfn.MAXIFS('Database MK'!$EF:$EF,'Database MK'!$G:$G,'Database MK'!$G$239,'Database MK'!$D:$D,'Summary PR PO GR'!$B9,'Database MK'!$J:$J,'Summary PR PO GR'!$C9),0)</f>
        <v>1</v>
      </c>
      <c r="AP9" s="151">
        <f>COUNTIFS('Database MK'!$G:$G,'Database MK'!$G$237,'Database MK'!$D:$D,'Summary PR PO GR'!$B9,'Database MK'!$J:$J,'Summary PR PO GR'!$C9,'Database MK'!$ES:$ES,'Summary PR PO GR'!AP$3)</f>
        <v>2</v>
      </c>
      <c r="AQ9" s="151">
        <f>COUNTIFS('Database MK'!$G:$G,'Database MK'!$G$237,'Database MK'!$D:$D,'Summary PR PO GR'!$B9,'Database MK'!$J:$J,'Summary PR PO GR'!$C9,'Database MK'!$ES:$ES,'Summary PR PO GR'!AQ$3)</f>
        <v>8</v>
      </c>
      <c r="AR9" s="151">
        <f>COUNTIFS('Database MK'!$G:$G,'Database MK'!$G$237,'Database MK'!$D:$D,'Summary PR PO GR'!$B9,'Database MK'!$J:$J,'Summary PR PO GR'!$C9,'Database MK'!$ES:$ES,'Summary PR PO GR'!AR$3)</f>
        <v>1</v>
      </c>
      <c r="AS9" s="151">
        <f>COUNTIFS('Database MK'!$G:$G,'Database MK'!$G$237,'Database MK'!$D:$D,'Summary PR PO GR'!$B9,'Database MK'!$J:$J,'Summary PR PO GR'!$C9,'Database MK'!$ES:$ES,'Summary PR PO GR'!AS$3)</f>
        <v>0</v>
      </c>
      <c r="AT9" s="78">
        <f>IFERROR(_xlfn.MINIFS('Database MK'!$FB:$FB,'Database MK'!$G:$G,'Database MK'!$G$239,'Database MK'!$D:$D,'Summary PR PO GR'!$B9,'Database MK'!$J:$J,'Summary PR PO GR'!$C9),0)</f>
        <v>0</v>
      </c>
      <c r="AU9" s="152">
        <f>IFERROR(_xlfn.MAXIFS('Database MK'!$FB:$FB,'Database MK'!$G:$G,'Database MK'!$G$239,'Database MK'!$D:$D,'Summary PR PO GR'!$B9,'Database MK'!$J:$J,'Summary PR PO GR'!$C9),0)</f>
        <v>0</v>
      </c>
      <c r="AW9" s="38" t="s">
        <v>673</v>
      </c>
      <c r="AX9" s="38" t="s">
        <v>1818</v>
      </c>
      <c r="AY9" s="775">
        <f ca="1">SUMIFS('Database MK'!$DY:$DY,'Database MK'!$G:$G,'Database MK'!$G$237,'Database MK'!$D:$D,$AW9,'Database MK'!$J:$J,$AX9,'Database MK'!$EA:$EA,"&lt;&gt;")</f>
        <v>539</v>
      </c>
      <c r="AZ9" s="114">
        <f ca="1">SUMIFS('Database MK'!$DY:$DY,'Database MK'!$G:$G,'Database MK'!$G$237,'Database MK'!$D:$D,$AW9,'Database MK'!$J:$J,$AX9,'Database MK'!$EA:$EA,"&lt;&gt;")</f>
        <v>539</v>
      </c>
      <c r="BA9" s="114">
        <f ca="1">SUMIFS('Database MK'!$ED:$ED,'Database MK'!$G:$G,'Database MK'!$G$237,'Database MK'!$D:$D,$AW9,'Database MK'!$J:$J,$AX9,'Database MK'!$EA:$EA,"&lt;&gt;")</f>
        <v>471</v>
      </c>
      <c r="BB9" s="194">
        <f t="shared" ca="1" si="10"/>
        <v>0.87384044526901672</v>
      </c>
      <c r="BC9" s="40">
        <f ca="1">SUMIFS('Database MK'!$EO:$EO,'Database MK'!$G:$G,'Database MK'!$G$237,'Database MK'!$D:$D,$AW9,'Database MK'!$J:$J,$AX9,'Database MK'!$EA:$EA,"&lt;&gt;")</f>
        <v>438</v>
      </c>
      <c r="BD9" s="195">
        <f t="shared" ca="1" si="11"/>
        <v>0.81261595547309828</v>
      </c>
    </row>
    <row r="10" spans="1:59" x14ac:dyDescent="0.25">
      <c r="A10" s="72" t="s">
        <v>3593</v>
      </c>
      <c r="B10" s="135" t="s">
        <v>629</v>
      </c>
      <c r="C10" s="38" t="s">
        <v>1830</v>
      </c>
      <c r="D10" s="775">
        <f>COUNTIFS('Database MK'!$G:$G,'Database MK'!$G$237,'Database MK'!$D:$D,'Summary PR PO GR'!$B10,'Database MK'!$J:$J,'Summary PR PO GR'!$C10)</f>
        <v>8</v>
      </c>
      <c r="E10" s="157">
        <f ca="1">COUNTIFS('Database MK'!$G:$G,'Database MK'!$G$237,'Database MK'!$D:$D,'Summary PR PO GR'!$B10,'Database MK'!$Q:$Q,"BATAL / CANCEL")</f>
        <v>0</v>
      </c>
      <c r="F10" s="130">
        <f t="shared" ca="1" si="0"/>
        <v>8</v>
      </c>
      <c r="G10" s="39">
        <f ca="1">COUNTIFS('Database MK'!$G:$G,'Database MK'!$G$237,'Database MK'!$D:$D,'Summary PR PO GR'!$B10,'Database MK'!$J:$J,'Summary PR PO GR'!$C10,'Database MK'!$DE:$DE,"Sudah, OnSchedule")</f>
        <v>7</v>
      </c>
      <c r="H10" s="39">
        <f ca="1">COUNTIFS('Database MK'!$G:$G,'Database MK'!$G$237,'Database MK'!$D:$D,'Summary PR PO GR'!$B10,'Database MK'!$J:$J,'Summary PR PO GR'!$C10,'Database MK'!$DE:$DE,"Sudah, Delay")</f>
        <v>1</v>
      </c>
      <c r="I10" s="39">
        <f t="shared" ca="1" si="1"/>
        <v>0</v>
      </c>
      <c r="J10" s="39">
        <f ca="1">COUNTIFS('Database MK'!$G:$G,'Database MK'!$G$237,'Database MK'!$D:$D,'Summary PR PO GR'!$B10,'Database MK'!$J:$J,'Summary PR PO GR'!$C10,'Database MK'!$DE:$DE,"Belum, OnSchedule")</f>
        <v>0</v>
      </c>
      <c r="K10" s="131">
        <f ca="1">COUNTIFS('Database MK'!$G:$G,'Database MK'!$G$237,'Database MK'!$D:$D,'Summary PR PO GR'!$B10,'Database MK'!$J:$J,'Summary PR PO GR'!$C10,'Database MK'!$DE:$DE,"Belum, Delay")</f>
        <v>0</v>
      </c>
      <c r="L10" s="246">
        <f t="shared" ca="1" si="2"/>
        <v>8</v>
      </c>
      <c r="M10" s="39">
        <f ca="1">COUNTIFS('Database MK'!$G:$G,'Database MK'!$G$237,'Database MK'!$D:$D,'Summary PR PO GR'!$B10,'Database MK'!$J:$J,'Summary PR PO GR'!$C10,'Database MK'!$DI:$DI,"Sudah, OnSchedule")</f>
        <v>7</v>
      </c>
      <c r="N10" s="39">
        <f ca="1">COUNTIFS('Database MK'!$G:$G,'Database MK'!$G$237,'Database MK'!$D:$D,'Summary PR PO GR'!$B10,'Database MK'!$J:$J,'Summary PR PO GR'!$C10,'Database MK'!$DI:$DI,"Sudah, Delay")</f>
        <v>1</v>
      </c>
      <c r="O10" s="39">
        <f t="shared" ca="1" si="3"/>
        <v>0</v>
      </c>
      <c r="P10" s="39">
        <f ca="1">COUNTIFS('Database MK'!$G:$G,'Database MK'!$G$237,'Database MK'!$D:$D,'Summary PR PO GR'!$B10,'Database MK'!$J:$J,'Summary PR PO GR'!$C10,'Database MK'!$DI:$DI,"Belum, OnSchedule")</f>
        <v>0</v>
      </c>
      <c r="Q10" s="167">
        <f ca="1">COUNTIFS('Database MK'!$G:$G,'Database MK'!$G$237,'Database MK'!$D:$D,'Summary PR PO GR'!$B10,'Database MK'!$J:$J,'Summary PR PO GR'!$C10,'Database MK'!$DI:$DI,"Belum, Delay")</f>
        <v>0</v>
      </c>
      <c r="R10" s="136">
        <f t="shared" ca="1" si="4"/>
        <v>8</v>
      </c>
      <c r="S10" s="77">
        <f ca="1">COUNTIFS('Database MK'!$G:$G,'Database MK'!$G$237,'Database MK'!$D:$D,'Summary PR PO GR'!$B10,'Database MK'!$J:$J,'Summary PR PO GR'!$C10,'Database MK'!$DN:$DN,"Sudah, OnSchedule")</f>
        <v>8</v>
      </c>
      <c r="T10" s="77">
        <f ca="1">COUNTIFS('Database MK'!$G:$G,'Database MK'!$G$237,'Database MK'!$D:$D,'Summary PR PO GR'!$B10,'Database MK'!$J:$J,'Summary PR PO GR'!$C10,'Database MK'!$DN:$DN,"Sudah, Delay")</f>
        <v>0</v>
      </c>
      <c r="U10" s="77">
        <f t="shared" ca="1" si="5"/>
        <v>0</v>
      </c>
      <c r="V10" s="77">
        <f ca="1">COUNTIFS('Database MK'!$G:$G,'Database MK'!$G$237,'Database MK'!$D:$D,'Summary PR PO GR'!$B10,'Database MK'!$J:$J,'Summary PR PO GR'!$C10,'Database MK'!$DN:$DN,"Belum, OnShcedule")</f>
        <v>0</v>
      </c>
      <c r="W10" s="137">
        <f ca="1">COUNTIFS('Database MK'!$G:$G,'Database MK'!$G$237,'Database MK'!$D:$D,'Summary PR PO GR'!$B10,'Database MK'!$J:$J,'Summary PR PO GR'!$C10,'Database MK'!$DN:$DN,"Belum, Delay")</f>
        <v>0</v>
      </c>
      <c r="X10" s="241">
        <f t="shared" ca="1" si="6"/>
        <v>8</v>
      </c>
      <c r="Y10" s="77">
        <f ca="1">COUNTIFS('Database MK'!$G:$G,'Database MK'!$G$237,'Database MK'!$D:$D,'Summary PR PO GR'!$B10,'Database MK'!$J:$J,'Summary PR PO GR'!$C10,'Database MK'!$DR:$DR,"Sudah, OnSchedule")</f>
        <v>4</v>
      </c>
      <c r="Z10" s="77">
        <f ca="1">COUNTIFS('Database MK'!$G:$G,'Database MK'!$G$237,'Database MK'!$D:$D,'Summary PR PO GR'!$B10,'Database MK'!$J:$J,'Summary PR PO GR'!$C10,'Database MK'!$DR:$DR,"Sudah, Delay")</f>
        <v>4</v>
      </c>
      <c r="AA10" s="77">
        <f t="shared" ca="1" si="7"/>
        <v>0</v>
      </c>
      <c r="AB10" s="77">
        <f ca="1">COUNTIFS('Database MK'!$G:$G,'Database MK'!$G$237,'Database MK'!$D:$D,'Summary PR PO GR'!$B10,'Database MK'!$J:$J,'Summary PR PO GR'!$C10,'Database MK'!$DR:$DR,"Belum, OnSchedule")</f>
        <v>0</v>
      </c>
      <c r="AC10" s="137">
        <f ca="1">COUNTIFS('Database MK'!$G:$G,'Database MK'!$G$237,'Database MK'!$D:$D,'Summary PR PO GR'!$B10,'Database MK'!$J:$J,'Summary PR PO GR'!$C10,'Database MK'!$DR:$DR,"Belum, Delay")</f>
        <v>0</v>
      </c>
      <c r="AD10" s="141">
        <f t="shared" ca="1" si="8"/>
        <v>8</v>
      </c>
      <c r="AE10" s="114">
        <f ca="1">COUNTIFS('Database MK'!$G:$G,'Database MK'!$G$237,'Database MK'!$D:$D,'Summary PR PO GR'!$B10,'Database MK'!$J:$J,'Summary PR PO GR'!$C10,'Database MK'!$EA:$EA,"Sudah, OnSchedule")</f>
        <v>3</v>
      </c>
      <c r="AF10" s="114">
        <f ca="1">COUNTIFS('Database MK'!$G:$G,'Database MK'!$G$237,'Database MK'!$D:$D,'Summary PR PO GR'!$B10,'Database MK'!$J:$J,'Summary PR PO GR'!$C10,'Database MK'!$EA:$EA,"Sudah, Delay")</f>
        <v>5</v>
      </c>
      <c r="AG10" s="114">
        <f t="shared" ca="1" si="9"/>
        <v>0</v>
      </c>
      <c r="AH10" s="114">
        <f ca="1">COUNTIFS('Database MK'!$G:$G,'Database MK'!$G$237,'Database MK'!$D:$D,'Summary PR PO GR'!$B10,'Database MK'!$J:$J,'Summary PR PO GR'!$C10,'Database MK'!$EA:$EA,"Belum, OnSchedule")</f>
        <v>0</v>
      </c>
      <c r="AI10" s="142">
        <f ca="1">COUNTIFS('Database MK'!$G:$G,'Database MK'!$G$237,'Database MK'!$D:$D,'Summary PR PO GR'!$B10,'Database MK'!$J:$J,'Summary PR PO GR'!$C10,'Database MK'!$EA:$EA,"Belum, Delay")</f>
        <v>0</v>
      </c>
      <c r="AJ10" s="141">
        <f>COUNTIFS('Database MK'!$G:$G,'Database MK'!$G$237,'Database MK'!$D:$D,'Summary PR PO GR'!$B10,'Database MK'!$J:$J,'Summary PR PO GR'!$C10,'Database MK'!$EH:$EH,'Summary PR PO GR'!AJ$3)</f>
        <v>7</v>
      </c>
      <c r="AK10" s="114">
        <f>COUNTIFS('Database MK'!$G:$G,'Database MK'!$G$237,'Database MK'!$D:$D,'Summary PR PO GR'!$B10,'Database MK'!$J:$J,'Summary PR PO GR'!$C10,'Database MK'!$EH:$EH,'Summary PR PO GR'!AK$3)</f>
        <v>1</v>
      </c>
      <c r="AL10" s="114">
        <f>COUNTIFS('Database MK'!$G:$G,'Database MK'!$G$237,'Database MK'!$D:$D,'Summary PR PO GR'!$B10,'Database MK'!$J:$J,'Summary PR PO GR'!$C10,'Database MK'!$EH:$EH,'Summary PR PO GR'!AL$3)</f>
        <v>0</v>
      </c>
      <c r="AM10" s="114">
        <f>COUNTIFS('Database MK'!$G:$G,'Database MK'!$G$237,'Database MK'!$D:$D,'Summary PR PO GR'!$B10,'Database MK'!$J:$J,'Summary PR PO GR'!$C10,'Database MK'!$EH:$EH,'Summary PR PO GR'!AM$3)</f>
        <v>0</v>
      </c>
      <c r="AN10" s="115">
        <f>IFERROR(_xlfn.MINIFS('Database MK'!$EF:$EF,'Database MK'!$G:$G,'Database MK'!$G$239,'Database MK'!$D:$D,'Summary PR PO GR'!$B10,'Database MK'!$J:$J,'Summary PR PO GR'!$C10),0)</f>
        <v>0.92307692307692313</v>
      </c>
      <c r="AO10" s="183">
        <f>IFERROR(_xlfn.MAXIFS('Database MK'!$EF:$EF,'Database MK'!$G:$G,'Database MK'!$G$239,'Database MK'!$D:$D,'Summary PR PO GR'!$B10,'Database MK'!$J:$J,'Summary PR PO GR'!$C10),0)</f>
        <v>1</v>
      </c>
      <c r="AP10" s="151">
        <f>COUNTIFS('Database MK'!$G:$G,'Database MK'!$G$237,'Database MK'!$D:$D,'Summary PR PO GR'!$B10,'Database MK'!$J:$J,'Summary PR PO GR'!$C10,'Database MK'!$ES:$ES,'Summary PR PO GR'!AP$3)</f>
        <v>0</v>
      </c>
      <c r="AQ10" s="151">
        <f>COUNTIFS('Database MK'!$G:$G,'Database MK'!$G$237,'Database MK'!$D:$D,'Summary PR PO GR'!$B10,'Database MK'!$J:$J,'Summary PR PO GR'!$C10,'Database MK'!$ES:$ES,'Summary PR PO GR'!AQ$3)</f>
        <v>8</v>
      </c>
      <c r="AR10" s="151">
        <f>COUNTIFS('Database MK'!$G:$G,'Database MK'!$G$237,'Database MK'!$D:$D,'Summary PR PO GR'!$B10,'Database MK'!$J:$J,'Summary PR PO GR'!$C10,'Database MK'!$ES:$ES,'Summary PR PO GR'!AR$3)</f>
        <v>0</v>
      </c>
      <c r="AS10" s="151">
        <f>COUNTIFS('Database MK'!$G:$G,'Database MK'!$G$237,'Database MK'!$D:$D,'Summary PR PO GR'!$B10,'Database MK'!$J:$J,'Summary PR PO GR'!$C10,'Database MK'!$ES:$ES,'Summary PR PO GR'!AS$3)</f>
        <v>0</v>
      </c>
      <c r="AT10" s="78">
        <f>IFERROR(_xlfn.MINIFS('Database MK'!$FB:$FB,'Database MK'!$G:$G,'Database MK'!$G$239,'Database MK'!$D:$D,'Summary PR PO GR'!$B10,'Database MK'!$J:$J,'Summary PR PO GR'!$C10),0)</f>
        <v>0</v>
      </c>
      <c r="AU10" s="152">
        <f>IFERROR(_xlfn.MAXIFS('Database MK'!$FB:$FB,'Database MK'!$G:$G,'Database MK'!$G$239,'Database MK'!$D:$D,'Summary PR PO GR'!$B10,'Database MK'!$J:$J,'Summary PR PO GR'!$C10),0)</f>
        <v>0</v>
      </c>
      <c r="AW10" s="38" t="s">
        <v>629</v>
      </c>
      <c r="AX10" s="38" t="s">
        <v>1830</v>
      </c>
      <c r="AY10" s="775">
        <f ca="1">SUMIFS('Database MK'!$DY:$DY,'Database MK'!$G:$G,'Database MK'!$G$237,'Database MK'!$D:$D,$AW10,'Database MK'!$J:$J,$AX10,'Database MK'!$EA:$EA,"&lt;&gt;")</f>
        <v>457</v>
      </c>
      <c r="AZ10" s="114">
        <f ca="1">SUMIFS('Database MK'!$DY:$DY,'Database MK'!$G:$G,'Database MK'!$G$237,'Database MK'!$D:$D,$AW10,'Database MK'!$J:$J,$AX10,'Database MK'!$EA:$EA,"&lt;&gt;")</f>
        <v>457</v>
      </c>
      <c r="BA10" s="114">
        <f ca="1">SUMIFS('Database MK'!$ED:$ED,'Database MK'!$G:$G,'Database MK'!$G$237,'Database MK'!$D:$D,$AW10,'Database MK'!$J:$J,$AX10,'Database MK'!$EA:$EA,"&lt;&gt;")</f>
        <v>382</v>
      </c>
      <c r="BB10" s="194">
        <f t="shared" ca="1" si="10"/>
        <v>0.83588621444201316</v>
      </c>
      <c r="BC10" s="40">
        <f ca="1">SUMIFS('Database MK'!$EO:$EO,'Database MK'!$G:$G,'Database MK'!$G$237,'Database MK'!$D:$D,$AW10,'Database MK'!$J:$J,$AX10,'Database MK'!$EA:$EA,"&lt;&gt;")</f>
        <v>377</v>
      </c>
      <c r="BD10" s="195">
        <f t="shared" ca="1" si="11"/>
        <v>0.82494529540481398</v>
      </c>
    </row>
    <row r="11" spans="1:59" x14ac:dyDescent="0.25">
      <c r="A11" s="72" t="s">
        <v>3594</v>
      </c>
      <c r="B11" s="135" t="s">
        <v>629</v>
      </c>
      <c r="C11" s="38" t="s">
        <v>1818</v>
      </c>
      <c r="D11" s="775">
        <f>COUNTIFS('Database MK'!$G:$G,'Database MK'!$G$237,'Database MK'!$D:$D,'Summary PR PO GR'!$B11,'Database MK'!$J:$J,'Summary PR PO GR'!$C11)</f>
        <v>16</v>
      </c>
      <c r="E11" s="157">
        <f ca="1">COUNTIFS('Database MK'!$G:$G,'Database MK'!$G$237,'Database MK'!$D:$D,'Summary PR PO GR'!$B11,'Database MK'!$Q:$Q,"BATAL / CANCEL")</f>
        <v>0</v>
      </c>
      <c r="F11" s="130">
        <f t="shared" ca="1" si="0"/>
        <v>16</v>
      </c>
      <c r="G11" s="39">
        <f ca="1">COUNTIFS('Database MK'!$G:$G,'Database MK'!$G$237,'Database MK'!$D:$D,'Summary PR PO GR'!$B11,'Database MK'!$J:$J,'Summary PR PO GR'!$C11,'Database MK'!$DE:$DE,"Sudah, OnSchedule")</f>
        <v>5</v>
      </c>
      <c r="H11" s="39">
        <f ca="1">COUNTIFS('Database MK'!$G:$G,'Database MK'!$G$237,'Database MK'!$D:$D,'Summary PR PO GR'!$B11,'Database MK'!$J:$J,'Summary PR PO GR'!$C11,'Database MK'!$DE:$DE,"Sudah, Delay")</f>
        <v>11</v>
      </c>
      <c r="I11" s="39">
        <f t="shared" ca="1" si="1"/>
        <v>0</v>
      </c>
      <c r="J11" s="39">
        <f ca="1">COUNTIFS('Database MK'!$G:$G,'Database MK'!$G$237,'Database MK'!$D:$D,'Summary PR PO GR'!$B11,'Database MK'!$J:$J,'Summary PR PO GR'!$C11,'Database MK'!$DE:$DE,"Belum, OnSchedule")</f>
        <v>0</v>
      </c>
      <c r="K11" s="131">
        <f ca="1">COUNTIFS('Database MK'!$G:$G,'Database MK'!$G$237,'Database MK'!$D:$D,'Summary PR PO GR'!$B11,'Database MK'!$J:$J,'Summary PR PO GR'!$C11,'Database MK'!$DE:$DE,"Belum, Delay")</f>
        <v>0</v>
      </c>
      <c r="L11" s="246">
        <f t="shared" ca="1" si="2"/>
        <v>16</v>
      </c>
      <c r="M11" s="39">
        <f ca="1">COUNTIFS('Database MK'!$G:$G,'Database MK'!$G$237,'Database MK'!$D:$D,'Summary PR PO GR'!$B11,'Database MK'!$J:$J,'Summary PR PO GR'!$C11,'Database MK'!$DI:$DI,"Sudah, OnSchedule")</f>
        <v>6</v>
      </c>
      <c r="N11" s="39">
        <f ca="1">COUNTIFS('Database MK'!$G:$G,'Database MK'!$G$237,'Database MK'!$D:$D,'Summary PR PO GR'!$B11,'Database MK'!$J:$J,'Summary PR PO GR'!$C11,'Database MK'!$DI:$DI,"Sudah, Delay")</f>
        <v>10</v>
      </c>
      <c r="O11" s="39">
        <f t="shared" ca="1" si="3"/>
        <v>0</v>
      </c>
      <c r="P11" s="39">
        <f ca="1">COUNTIFS('Database MK'!$G:$G,'Database MK'!$G$237,'Database MK'!$D:$D,'Summary PR PO GR'!$B11,'Database MK'!$J:$J,'Summary PR PO GR'!$C11,'Database MK'!$DI:$DI,"Belum, OnSchedule")</f>
        <v>0</v>
      </c>
      <c r="Q11" s="167">
        <f ca="1">COUNTIFS('Database MK'!$G:$G,'Database MK'!$G$237,'Database MK'!$D:$D,'Summary PR PO GR'!$B11,'Database MK'!$J:$J,'Summary PR PO GR'!$C11,'Database MK'!$DI:$DI,"Belum, Delay")</f>
        <v>0</v>
      </c>
      <c r="R11" s="136">
        <f t="shared" ca="1" si="4"/>
        <v>16</v>
      </c>
      <c r="S11" s="77">
        <f ca="1">COUNTIFS('Database MK'!$G:$G,'Database MK'!$G$237,'Database MK'!$D:$D,'Summary PR PO GR'!$B11,'Database MK'!$J:$J,'Summary PR PO GR'!$C11,'Database MK'!$DN:$DN,"Sudah, OnSchedule")</f>
        <v>5</v>
      </c>
      <c r="T11" s="77">
        <f ca="1">COUNTIFS('Database MK'!$G:$G,'Database MK'!$G$237,'Database MK'!$D:$D,'Summary PR PO GR'!$B11,'Database MK'!$J:$J,'Summary PR PO GR'!$C11,'Database MK'!$DN:$DN,"Sudah, Delay")</f>
        <v>11</v>
      </c>
      <c r="U11" s="77">
        <f t="shared" ca="1" si="5"/>
        <v>0</v>
      </c>
      <c r="V11" s="77">
        <f ca="1">COUNTIFS('Database MK'!$G:$G,'Database MK'!$G$237,'Database MK'!$D:$D,'Summary PR PO GR'!$B11,'Database MK'!$J:$J,'Summary PR PO GR'!$C11,'Database MK'!$DN:$DN,"Belum, OnShcedule")</f>
        <v>0</v>
      </c>
      <c r="W11" s="137">
        <f ca="1">COUNTIFS('Database MK'!$G:$G,'Database MK'!$G$237,'Database MK'!$D:$D,'Summary PR PO GR'!$B11,'Database MK'!$J:$J,'Summary PR PO GR'!$C11,'Database MK'!$DN:$DN,"Belum, Delay")</f>
        <v>0</v>
      </c>
      <c r="X11" s="241">
        <f t="shared" ca="1" si="6"/>
        <v>16</v>
      </c>
      <c r="Y11" s="77">
        <f ca="1">COUNTIFS('Database MK'!$G:$G,'Database MK'!$G$237,'Database MK'!$D:$D,'Summary PR PO GR'!$B11,'Database MK'!$J:$J,'Summary PR PO GR'!$C11,'Database MK'!$DR:$DR,"Sudah, OnSchedule")</f>
        <v>3</v>
      </c>
      <c r="Z11" s="77">
        <f ca="1">COUNTIFS('Database MK'!$G:$G,'Database MK'!$G$237,'Database MK'!$D:$D,'Summary PR PO GR'!$B11,'Database MK'!$J:$J,'Summary PR PO GR'!$C11,'Database MK'!$DR:$DR,"Sudah, Delay")</f>
        <v>13</v>
      </c>
      <c r="AA11" s="77">
        <f t="shared" ca="1" si="7"/>
        <v>0</v>
      </c>
      <c r="AB11" s="77">
        <f ca="1">COUNTIFS('Database MK'!$G:$G,'Database MK'!$G$237,'Database MK'!$D:$D,'Summary PR PO GR'!$B11,'Database MK'!$J:$J,'Summary PR PO GR'!$C11,'Database MK'!$DR:$DR,"Belum, OnSchedule")</f>
        <v>0</v>
      </c>
      <c r="AC11" s="137">
        <f ca="1">COUNTIFS('Database MK'!$G:$G,'Database MK'!$G$237,'Database MK'!$D:$D,'Summary PR PO GR'!$B11,'Database MK'!$J:$J,'Summary PR PO GR'!$C11,'Database MK'!$DR:$DR,"Belum, Delay")</f>
        <v>0</v>
      </c>
      <c r="AD11" s="141">
        <f t="shared" ca="1" si="8"/>
        <v>16</v>
      </c>
      <c r="AE11" s="114">
        <f ca="1">COUNTIFS('Database MK'!$G:$G,'Database MK'!$G$237,'Database MK'!$D:$D,'Summary PR PO GR'!$B11,'Database MK'!$J:$J,'Summary PR PO GR'!$C11,'Database MK'!$EA:$EA,"Sudah, OnSchedule")</f>
        <v>1</v>
      </c>
      <c r="AF11" s="114">
        <f ca="1">COUNTIFS('Database MK'!$G:$G,'Database MK'!$G$237,'Database MK'!$D:$D,'Summary PR PO GR'!$B11,'Database MK'!$J:$J,'Summary PR PO GR'!$C11,'Database MK'!$EA:$EA,"Sudah, Delay")</f>
        <v>15</v>
      </c>
      <c r="AG11" s="114">
        <f t="shared" ca="1" si="9"/>
        <v>0</v>
      </c>
      <c r="AH11" s="114">
        <f ca="1">COUNTIFS('Database MK'!$G:$G,'Database MK'!$G$237,'Database MK'!$D:$D,'Summary PR PO GR'!$B11,'Database MK'!$J:$J,'Summary PR PO GR'!$C11,'Database MK'!$EA:$EA,"Belum, OnSchedule")</f>
        <v>0</v>
      </c>
      <c r="AI11" s="142">
        <f ca="1">COUNTIFS('Database MK'!$G:$G,'Database MK'!$G$237,'Database MK'!$D:$D,'Summary PR PO GR'!$B11,'Database MK'!$J:$J,'Summary PR PO GR'!$C11,'Database MK'!$EA:$EA,"Belum, Delay")</f>
        <v>0</v>
      </c>
      <c r="AJ11" s="141">
        <f>COUNTIFS('Database MK'!$G:$G,'Database MK'!$G$237,'Database MK'!$D:$D,'Summary PR PO GR'!$B11,'Database MK'!$J:$J,'Summary PR PO GR'!$C11,'Database MK'!$EH:$EH,'Summary PR PO GR'!AJ$3)</f>
        <v>4</v>
      </c>
      <c r="AK11" s="114">
        <f>COUNTIFS('Database MK'!$G:$G,'Database MK'!$G$237,'Database MK'!$D:$D,'Summary PR PO GR'!$B11,'Database MK'!$J:$J,'Summary PR PO GR'!$C11,'Database MK'!$EH:$EH,'Summary PR PO GR'!AK$3)</f>
        <v>12</v>
      </c>
      <c r="AL11" s="114">
        <f>COUNTIFS('Database MK'!$G:$G,'Database MK'!$G$237,'Database MK'!$D:$D,'Summary PR PO GR'!$B11,'Database MK'!$J:$J,'Summary PR PO GR'!$C11,'Database MK'!$EH:$EH,'Summary PR PO GR'!AL$3)</f>
        <v>0</v>
      </c>
      <c r="AM11" s="114">
        <f>COUNTIFS('Database MK'!$G:$G,'Database MK'!$G$237,'Database MK'!$D:$D,'Summary PR PO GR'!$B11,'Database MK'!$J:$J,'Summary PR PO GR'!$C11,'Database MK'!$EH:$EH,'Summary PR PO GR'!AM$3)</f>
        <v>0</v>
      </c>
      <c r="AN11" s="115">
        <f>IFERROR(_xlfn.MINIFS('Database MK'!$EF:$EF,'Database MK'!$G:$G,'Database MK'!$G$239,'Database MK'!$D:$D,'Summary PR PO GR'!$B11,'Database MK'!$J:$J,'Summary PR PO GR'!$C11),0)</f>
        <v>0.72289156626506024</v>
      </c>
      <c r="AO11" s="183">
        <f>IFERROR(_xlfn.MAXIFS('Database MK'!$EF:$EF,'Database MK'!$G:$G,'Database MK'!$G$239,'Database MK'!$D:$D,'Summary PR PO GR'!$B11,'Database MK'!$J:$J,'Summary PR PO GR'!$C11),0)</f>
        <v>1</v>
      </c>
      <c r="AP11" s="151">
        <f>COUNTIFS('Database MK'!$G:$G,'Database MK'!$G$237,'Database MK'!$D:$D,'Summary PR PO GR'!$B11,'Database MK'!$J:$J,'Summary PR PO GR'!$C11,'Database MK'!$ES:$ES,'Summary PR PO GR'!AP$3)</f>
        <v>2</v>
      </c>
      <c r="AQ11" s="151">
        <f>COUNTIFS('Database MK'!$G:$G,'Database MK'!$G$237,'Database MK'!$D:$D,'Summary PR PO GR'!$B11,'Database MK'!$J:$J,'Summary PR PO GR'!$C11,'Database MK'!$ES:$ES,'Summary PR PO GR'!AQ$3)</f>
        <v>14</v>
      </c>
      <c r="AR11" s="151">
        <f>COUNTIFS('Database MK'!$G:$G,'Database MK'!$G$237,'Database MK'!$D:$D,'Summary PR PO GR'!$B11,'Database MK'!$J:$J,'Summary PR PO GR'!$C11,'Database MK'!$ES:$ES,'Summary PR PO GR'!AR$3)</f>
        <v>0</v>
      </c>
      <c r="AS11" s="151">
        <f>COUNTIFS('Database MK'!$G:$G,'Database MK'!$G$237,'Database MK'!$D:$D,'Summary PR PO GR'!$B11,'Database MK'!$J:$J,'Summary PR PO GR'!$C11,'Database MK'!$ES:$ES,'Summary PR PO GR'!AS$3)</f>
        <v>0</v>
      </c>
      <c r="AT11" s="78">
        <f>IFERROR(_xlfn.MINIFS('Database MK'!$FB:$FB,'Database MK'!$G:$G,'Database MK'!$G$239,'Database MK'!$D:$D,'Summary PR PO GR'!$B11,'Database MK'!$J:$J,'Summary PR PO GR'!$C11),0)</f>
        <v>0</v>
      </c>
      <c r="AU11" s="152">
        <f>IFERROR(_xlfn.MAXIFS('Database MK'!$FB:$FB,'Database MK'!$G:$G,'Database MK'!$G$239,'Database MK'!$D:$D,'Summary PR PO GR'!$B11,'Database MK'!$J:$J,'Summary PR PO GR'!$C11),0)</f>
        <v>0</v>
      </c>
      <c r="AW11" s="38" t="s">
        <v>629</v>
      </c>
      <c r="AX11" s="38" t="s">
        <v>1818</v>
      </c>
      <c r="AY11" s="775">
        <f ca="1">SUMIFS('Database MK'!$DY:$DY,'Database MK'!$G:$G,'Database MK'!$G$237,'Database MK'!$D:$D,$AW11,'Database MK'!$J:$J,$AX11,'Database MK'!$EA:$EA,"&lt;&gt;")</f>
        <v>2343</v>
      </c>
      <c r="AZ11" s="114">
        <f ca="1">SUMIFS('Database MK'!$DY:$DY,'Database MK'!$G:$G,'Database MK'!$G$237,'Database MK'!$D:$D,$AW11,'Database MK'!$J:$J,$AX11,'Database MK'!$EA:$EA,"&lt;&gt;")</f>
        <v>2343</v>
      </c>
      <c r="BA11" s="114">
        <f ca="1">SUMIFS('Database MK'!$ED:$ED,'Database MK'!$G:$G,'Database MK'!$G$237,'Database MK'!$D:$D,$AW11,'Database MK'!$J:$J,$AX11,'Database MK'!$EA:$EA,"&lt;&gt;")</f>
        <v>2151</v>
      </c>
      <c r="BB11" s="194">
        <f t="shared" ca="1" si="10"/>
        <v>0.91805377720870673</v>
      </c>
      <c r="BC11" s="40">
        <f ca="1">SUMIFS('Database MK'!$EO:$EO,'Database MK'!$G:$G,'Database MK'!$G$237,'Database MK'!$D:$D,$AW11,'Database MK'!$J:$J,$AX11,'Database MK'!$EA:$EA,"&lt;&gt;")</f>
        <v>2122</v>
      </c>
      <c r="BD11" s="195">
        <f t="shared" ca="1" si="11"/>
        <v>0.90567648314127192</v>
      </c>
    </row>
    <row r="12" spans="1:59" ht="26.25" customHeight="1" thickBot="1" x14ac:dyDescent="0.3">
      <c r="B12" s="790" t="s">
        <v>3595</v>
      </c>
      <c r="C12" s="791"/>
      <c r="D12" s="773">
        <f>SUM(D5:D11)</f>
        <v>88</v>
      </c>
      <c r="E12" s="158">
        <f t="shared" ref="E12" ca="1" si="12">SUM(E6:E11)</f>
        <v>42</v>
      </c>
      <c r="F12" s="132">
        <f ca="1">SUM(F5:F11)</f>
        <v>88</v>
      </c>
      <c r="G12" s="133">
        <f t="shared" ref="G12:Q12" ca="1" si="13">SUM(G5:G11)</f>
        <v>66</v>
      </c>
      <c r="H12" s="133">
        <f t="shared" ca="1" si="13"/>
        <v>22</v>
      </c>
      <c r="I12" s="133">
        <f t="shared" ca="1" si="13"/>
        <v>0</v>
      </c>
      <c r="J12" s="133">
        <f t="shared" ca="1" si="13"/>
        <v>0</v>
      </c>
      <c r="K12" s="134">
        <f t="shared" ca="1" si="13"/>
        <v>0</v>
      </c>
      <c r="L12" s="247">
        <f t="shared" ca="1" si="13"/>
        <v>88</v>
      </c>
      <c r="M12" s="133">
        <f t="shared" ca="1" si="13"/>
        <v>63</v>
      </c>
      <c r="N12" s="133">
        <f t="shared" ca="1" si="13"/>
        <v>25</v>
      </c>
      <c r="O12" s="133">
        <f t="shared" ca="1" si="13"/>
        <v>0</v>
      </c>
      <c r="P12" s="133">
        <f t="shared" ca="1" si="13"/>
        <v>0</v>
      </c>
      <c r="Q12" s="168">
        <f t="shared" ca="1" si="13"/>
        <v>0</v>
      </c>
      <c r="R12" s="138">
        <f ca="1">SUM(R5:R11)</f>
        <v>88</v>
      </c>
      <c r="S12" s="139">
        <f t="shared" ref="S12:AC12" ca="1" si="14">SUM(S5:S11)</f>
        <v>75</v>
      </c>
      <c r="T12" s="139">
        <f t="shared" ca="1" si="14"/>
        <v>13</v>
      </c>
      <c r="U12" s="139">
        <f t="shared" ca="1" si="14"/>
        <v>0</v>
      </c>
      <c r="V12" s="139">
        <f t="shared" ca="1" si="14"/>
        <v>0</v>
      </c>
      <c r="W12" s="140">
        <f t="shared" ca="1" si="14"/>
        <v>0</v>
      </c>
      <c r="X12" s="242">
        <f t="shared" ca="1" si="14"/>
        <v>88</v>
      </c>
      <c r="Y12" s="139">
        <f t="shared" ca="1" si="14"/>
        <v>55</v>
      </c>
      <c r="Z12" s="139">
        <f t="shared" ca="1" si="14"/>
        <v>33</v>
      </c>
      <c r="AA12" s="139">
        <f t="shared" ca="1" si="14"/>
        <v>0</v>
      </c>
      <c r="AB12" s="139">
        <f t="shared" ca="1" si="14"/>
        <v>0</v>
      </c>
      <c r="AC12" s="140">
        <f t="shared" ca="1" si="14"/>
        <v>0</v>
      </c>
      <c r="AD12" s="143">
        <f ca="1">SUM(AD5:AD11)</f>
        <v>88</v>
      </c>
      <c r="AE12" s="248">
        <f t="shared" ref="AE12:AM12" ca="1" si="15">SUM(AE5:AE11)</f>
        <v>52</v>
      </c>
      <c r="AF12" s="248">
        <f t="shared" ca="1" si="15"/>
        <v>36</v>
      </c>
      <c r="AG12" s="248">
        <f t="shared" ca="1" si="15"/>
        <v>0</v>
      </c>
      <c r="AH12" s="248">
        <f t="shared" ca="1" si="15"/>
        <v>0</v>
      </c>
      <c r="AI12" s="250">
        <f t="shared" ca="1" si="15"/>
        <v>0</v>
      </c>
      <c r="AJ12" s="143">
        <f t="shared" si="15"/>
        <v>43</v>
      </c>
      <c r="AK12" s="248">
        <f t="shared" si="15"/>
        <v>45</v>
      </c>
      <c r="AL12" s="248">
        <f t="shared" si="15"/>
        <v>0</v>
      </c>
      <c r="AM12" s="248">
        <f t="shared" si="15"/>
        <v>0</v>
      </c>
      <c r="AN12" s="149"/>
      <c r="AO12" s="184"/>
      <c r="AP12" s="153">
        <f>SUM(AP5:AP11)</f>
        <v>6</v>
      </c>
      <c r="AQ12" s="154">
        <f>SUM(AQ5:AQ11)</f>
        <v>81</v>
      </c>
      <c r="AR12" s="154">
        <f>SUM(AR5:AR11)</f>
        <v>1</v>
      </c>
      <c r="AS12" s="154">
        <f>SUM(AS5:AS11)</f>
        <v>0</v>
      </c>
      <c r="AT12" s="155"/>
      <c r="AU12" s="156"/>
      <c r="AW12" s="822" t="s">
        <v>3595</v>
      </c>
      <c r="AX12" s="822"/>
      <c r="AY12" s="775">
        <f ca="1">SUM(AY5:AY11)</f>
        <v>5571</v>
      </c>
      <c r="AZ12" s="114">
        <f ca="1">SUM(AZ5:AZ11)</f>
        <v>5571</v>
      </c>
      <c r="BA12" s="114">
        <f ca="1">SUM(BA5:BA11)</f>
        <v>5055</v>
      </c>
      <c r="BB12" s="114"/>
      <c r="BC12" s="40">
        <f ca="1">SUM(BC5:BC11)</f>
        <v>4958</v>
      </c>
      <c r="BD12" s="40"/>
    </row>
    <row r="13" spans="1:59" x14ac:dyDescent="0.25">
      <c r="AE13" s="72"/>
      <c r="AF13" s="72"/>
      <c r="AG13" s="72"/>
      <c r="AH13" s="72"/>
      <c r="AI13" s="72"/>
      <c r="AJ13" s="72"/>
      <c r="AK13" s="72"/>
      <c r="AL13" s="72"/>
      <c r="AM13" s="72"/>
      <c r="AN13" s="72"/>
      <c r="AO13" s="72"/>
      <c r="BA13" s="223">
        <f ca="1">AZ12-BA12</f>
        <v>516</v>
      </c>
      <c r="BB13" s="72"/>
      <c r="BC13" s="72"/>
      <c r="BD13" s="72"/>
      <c r="BF13" s="4">
        <v>300</v>
      </c>
      <c r="BG13" s="4">
        <f>SUM(BF13:BF16)</f>
        <v>516</v>
      </c>
    </row>
    <row r="14" spans="1:59" ht="15.75" thickBot="1" x14ac:dyDescent="0.3">
      <c r="AE14" s="72"/>
      <c r="AF14" s="72"/>
      <c r="AG14" s="72"/>
      <c r="AH14" s="72"/>
      <c r="AI14" s="72"/>
      <c r="AJ14" s="72"/>
      <c r="AK14" s="72"/>
      <c r="AL14" s="72"/>
      <c r="AM14" s="72"/>
      <c r="AN14" s="72"/>
      <c r="AO14" s="72"/>
      <c r="BA14" s="72"/>
      <c r="BB14" s="72"/>
      <c r="BC14" s="72"/>
      <c r="BD14" s="72"/>
      <c r="BF14" s="4">
        <v>133</v>
      </c>
    </row>
    <row r="15" spans="1:59" ht="24" customHeight="1" x14ac:dyDescent="0.25">
      <c r="B15" s="797" t="s">
        <v>3596</v>
      </c>
      <c r="C15" s="798"/>
      <c r="D15" s="798"/>
      <c r="E15" s="799"/>
      <c r="F15" s="800" t="s">
        <v>3527</v>
      </c>
      <c r="G15" s="801"/>
      <c r="H15" s="801"/>
      <c r="I15" s="801"/>
      <c r="J15" s="801"/>
      <c r="K15" s="802"/>
      <c r="L15" s="800" t="s">
        <v>3528</v>
      </c>
      <c r="M15" s="801"/>
      <c r="N15" s="801"/>
      <c r="O15" s="801"/>
      <c r="P15" s="801"/>
      <c r="Q15" s="807"/>
      <c r="R15" s="803" t="s">
        <v>3561</v>
      </c>
      <c r="S15" s="804"/>
      <c r="T15" s="804"/>
      <c r="U15" s="804"/>
      <c r="V15" s="804"/>
      <c r="W15" s="805"/>
      <c r="X15" s="803" t="s">
        <v>3562</v>
      </c>
      <c r="Y15" s="804"/>
      <c r="Z15" s="804"/>
      <c r="AA15" s="804"/>
      <c r="AB15" s="804"/>
      <c r="AC15" s="805"/>
      <c r="AD15" s="792" t="s">
        <v>3563</v>
      </c>
      <c r="AE15" s="793"/>
      <c r="AF15" s="793"/>
      <c r="AG15" s="793"/>
      <c r="AH15" s="793"/>
      <c r="AI15" s="794"/>
      <c r="AJ15" s="792" t="s">
        <v>3564</v>
      </c>
      <c r="AK15" s="793"/>
      <c r="AL15" s="793"/>
      <c r="AM15" s="793"/>
      <c r="AN15" s="793"/>
      <c r="AO15" s="794"/>
      <c r="AP15" s="813" t="s">
        <v>3533</v>
      </c>
      <c r="AQ15" s="814"/>
      <c r="AR15" s="814"/>
      <c r="AS15" s="814"/>
      <c r="AT15" s="814"/>
      <c r="AU15" s="815"/>
      <c r="AW15" s="817" t="s">
        <v>3596</v>
      </c>
      <c r="AX15" s="818"/>
      <c r="AY15" s="818"/>
      <c r="AZ15" s="818"/>
      <c r="BA15" s="818"/>
      <c r="BB15" s="818"/>
      <c r="BC15" s="818"/>
      <c r="BD15" s="819"/>
      <c r="BF15" s="4">
        <v>71</v>
      </c>
    </row>
    <row r="16" spans="1:59" ht="105.75" customHeight="1" x14ac:dyDescent="0.25">
      <c r="B16" s="795" t="s">
        <v>3565</v>
      </c>
      <c r="C16" s="796" t="s">
        <v>18</v>
      </c>
      <c r="D16" s="811" t="s">
        <v>3566</v>
      </c>
      <c r="E16" s="812" t="s">
        <v>3567</v>
      </c>
      <c r="F16" s="164" t="s">
        <v>260</v>
      </c>
      <c r="G16" s="159" t="s">
        <v>3568</v>
      </c>
      <c r="H16" s="159" t="s">
        <v>3569</v>
      </c>
      <c r="I16" s="159" t="s">
        <v>3570</v>
      </c>
      <c r="J16" s="159" t="s">
        <v>3568</v>
      </c>
      <c r="K16" s="161" t="s">
        <v>3569</v>
      </c>
      <c r="L16" s="164" t="s">
        <v>260</v>
      </c>
      <c r="M16" s="159" t="s">
        <v>3568</v>
      </c>
      <c r="N16" s="159" t="s">
        <v>3569</v>
      </c>
      <c r="O16" s="159" t="s">
        <v>3570</v>
      </c>
      <c r="P16" s="159" t="s">
        <v>3568</v>
      </c>
      <c r="Q16" s="165" t="s">
        <v>3569</v>
      </c>
      <c r="R16" s="171" t="s">
        <v>260</v>
      </c>
      <c r="S16" s="169" t="s">
        <v>3568</v>
      </c>
      <c r="T16" s="169" t="s">
        <v>3569</v>
      </c>
      <c r="U16" s="169" t="s">
        <v>3570</v>
      </c>
      <c r="V16" s="169" t="s">
        <v>3568</v>
      </c>
      <c r="W16" s="172" t="s">
        <v>3569</v>
      </c>
      <c r="X16" s="171" t="s">
        <v>260</v>
      </c>
      <c r="Y16" s="169" t="s">
        <v>3568</v>
      </c>
      <c r="Z16" s="169" t="s">
        <v>3569</v>
      </c>
      <c r="AA16" s="169" t="s">
        <v>3570</v>
      </c>
      <c r="AB16" s="169" t="s">
        <v>3568</v>
      </c>
      <c r="AC16" s="172" t="s">
        <v>3569</v>
      </c>
      <c r="AD16" s="177" t="s">
        <v>260</v>
      </c>
      <c r="AE16" s="175" t="s">
        <v>3568</v>
      </c>
      <c r="AF16" s="175" t="s">
        <v>3569</v>
      </c>
      <c r="AG16" s="175" t="s">
        <v>3570</v>
      </c>
      <c r="AH16" s="175" t="s">
        <v>3568</v>
      </c>
      <c r="AI16" s="178" t="s">
        <v>3569</v>
      </c>
      <c r="AJ16" s="177" t="s">
        <v>3571</v>
      </c>
      <c r="AK16" s="175" t="s">
        <v>3572</v>
      </c>
      <c r="AL16" s="175" t="s">
        <v>3573</v>
      </c>
      <c r="AM16" s="175" t="s">
        <v>3574</v>
      </c>
      <c r="AN16" s="175" t="s">
        <v>3575</v>
      </c>
      <c r="AO16" s="181" t="s">
        <v>3576</v>
      </c>
      <c r="AP16" s="187" t="s">
        <v>3577</v>
      </c>
      <c r="AQ16" s="185" t="s">
        <v>3578</v>
      </c>
      <c r="AR16" s="185" t="s">
        <v>3579</v>
      </c>
      <c r="AS16" s="185" t="s">
        <v>3580</v>
      </c>
      <c r="AT16" s="185" t="s">
        <v>3575</v>
      </c>
      <c r="AU16" s="188" t="s">
        <v>3576</v>
      </c>
      <c r="AW16" s="796" t="s">
        <v>3565</v>
      </c>
      <c r="AX16" s="796" t="s">
        <v>18</v>
      </c>
      <c r="AY16" s="811" t="s">
        <v>3581</v>
      </c>
      <c r="AZ16" s="823" t="s">
        <v>3582</v>
      </c>
      <c r="BA16" s="820" t="s">
        <v>3583</v>
      </c>
      <c r="BB16" s="820" t="s">
        <v>3584</v>
      </c>
      <c r="BC16" s="809" t="s">
        <v>152</v>
      </c>
      <c r="BD16" s="809" t="s">
        <v>3585</v>
      </c>
      <c r="BF16" s="4">
        <v>12</v>
      </c>
    </row>
    <row r="17" spans="1:56" s="90" customFormat="1" ht="24.75" customHeight="1" x14ac:dyDescent="0.25">
      <c r="B17" s="795"/>
      <c r="C17" s="796"/>
      <c r="D17" s="811"/>
      <c r="E17" s="812"/>
      <c r="F17" s="162" t="s">
        <v>3586</v>
      </c>
      <c r="G17" s="160" t="s">
        <v>3586</v>
      </c>
      <c r="H17" s="160" t="s">
        <v>3586</v>
      </c>
      <c r="I17" s="160" t="s">
        <v>3586</v>
      </c>
      <c r="J17" s="160" t="s">
        <v>3586</v>
      </c>
      <c r="K17" s="163" t="s">
        <v>3586</v>
      </c>
      <c r="L17" s="162" t="s">
        <v>3586</v>
      </c>
      <c r="M17" s="160" t="s">
        <v>3586</v>
      </c>
      <c r="N17" s="160" t="s">
        <v>3586</v>
      </c>
      <c r="O17" s="160" t="s">
        <v>3586</v>
      </c>
      <c r="P17" s="160" t="s">
        <v>3586</v>
      </c>
      <c r="Q17" s="166" t="s">
        <v>3586</v>
      </c>
      <c r="R17" s="173" t="s">
        <v>3586</v>
      </c>
      <c r="S17" s="170" t="s">
        <v>3586</v>
      </c>
      <c r="T17" s="170" t="s">
        <v>3586</v>
      </c>
      <c r="U17" s="170" t="s">
        <v>3586</v>
      </c>
      <c r="V17" s="170" t="s">
        <v>3586</v>
      </c>
      <c r="W17" s="174" t="s">
        <v>3586</v>
      </c>
      <c r="X17" s="173" t="s">
        <v>3586</v>
      </c>
      <c r="Y17" s="170" t="s">
        <v>3586</v>
      </c>
      <c r="Z17" s="170" t="s">
        <v>3586</v>
      </c>
      <c r="AA17" s="170" t="s">
        <v>3586</v>
      </c>
      <c r="AB17" s="170" t="s">
        <v>3586</v>
      </c>
      <c r="AC17" s="174" t="s">
        <v>3586</v>
      </c>
      <c r="AD17" s="179" t="s">
        <v>3586</v>
      </c>
      <c r="AE17" s="176" t="s">
        <v>3586</v>
      </c>
      <c r="AF17" s="176" t="s">
        <v>3586</v>
      </c>
      <c r="AG17" s="176" t="s">
        <v>3586</v>
      </c>
      <c r="AH17" s="176" t="s">
        <v>3586</v>
      </c>
      <c r="AI17" s="180" t="s">
        <v>3586</v>
      </c>
      <c r="AJ17" s="179" t="s">
        <v>3586</v>
      </c>
      <c r="AK17" s="176" t="s">
        <v>3586</v>
      </c>
      <c r="AL17" s="176" t="s">
        <v>3586</v>
      </c>
      <c r="AM17" s="176" t="s">
        <v>3586</v>
      </c>
      <c r="AN17" s="176" t="s">
        <v>3587</v>
      </c>
      <c r="AO17" s="180" t="s">
        <v>3587</v>
      </c>
      <c r="AP17" s="191" t="s">
        <v>3586</v>
      </c>
      <c r="AQ17" s="186" t="s">
        <v>3586</v>
      </c>
      <c r="AR17" s="186" t="s">
        <v>3586</v>
      </c>
      <c r="AS17" s="186" t="s">
        <v>3586</v>
      </c>
      <c r="AT17" s="186" t="s">
        <v>3587</v>
      </c>
      <c r="AU17" s="189" t="s">
        <v>3587</v>
      </c>
      <c r="AW17" s="796"/>
      <c r="AX17" s="796"/>
      <c r="AY17" s="811"/>
      <c r="AZ17" s="824"/>
      <c r="BA17" s="821"/>
      <c r="BB17" s="821"/>
      <c r="BC17" s="810"/>
      <c r="BD17" s="810"/>
    </row>
    <row r="18" spans="1:56" x14ac:dyDescent="0.25">
      <c r="A18" s="72" t="s">
        <v>3589</v>
      </c>
      <c r="B18" s="147" t="s">
        <v>244</v>
      </c>
      <c r="C18" s="118" t="s">
        <v>247</v>
      </c>
      <c r="D18" s="119">
        <f>COUNTIFS('Database MK'!$G:$G,'Database MK'!$G$353,'Database MK'!$D:$D,'Summary PR PO GR'!$B18,'Database MK'!$H:$H,'Summary PR PO GR'!$C18)</f>
        <v>24</v>
      </c>
      <c r="E18" s="190">
        <f ca="1">COUNTIFS('Database MK'!$G:$G,'Database MK'!$G$353,'Database MK'!$D:$D,'Summary PR PO GR'!$B18,'Database MK'!$H:$H,'Summary PR PO GR'!$C18,'Database MK'!$Q:$Q,"BATAL / CANCEL")</f>
        <v>0</v>
      </c>
      <c r="F18" s="130">
        <f ca="1">G18+H18</f>
        <v>24</v>
      </c>
      <c r="G18" s="39">
        <f ca="1">COUNTIFS('Database MK'!$G:$G,'Database MK'!$G$353,'Database MK'!$D:$D,'Summary PR PO GR'!$B18,'Database MK'!$H:$H,'Summary PR PO GR'!$C18,'Database MK'!$DE:$DE,"Sudah, OnSchedule")</f>
        <v>12</v>
      </c>
      <c r="H18" s="39">
        <f ca="1">COUNTIFS('Database MK'!$G:$G,'Database MK'!$G$353,'Database MK'!$D:$D,'Summary PR PO GR'!$B18,'Database MK'!$H:$H,'Summary PR PO GR'!$C18,'Database MK'!$DE:$DE,"Sudah, Delay")</f>
        <v>12</v>
      </c>
      <c r="I18" s="39">
        <f ca="1">J18+K18</f>
        <v>0</v>
      </c>
      <c r="J18" s="39">
        <f ca="1">COUNTIFS('Database MK'!$G:$G,'Database MK'!$G$353,'Database MK'!$D:$D,'Summary PR PO GR'!$B18,'Database MK'!$H:$H,'Summary PR PO GR'!$C18,'Database MK'!$DE:$DE,"Belum, OnSchedule")</f>
        <v>0</v>
      </c>
      <c r="K18" s="131">
        <f ca="1">COUNTIFS('Database MK'!$G:$G,'Database MK'!$G$353,'Database MK'!$D:$D,'Summary PR PO GR'!$B18,'Database MK'!$H:$H,'Summary PR PO GR'!$C18,'Database MK'!$DE:$DE,"Belum, Delay")</f>
        <v>0</v>
      </c>
      <c r="L18" s="130">
        <f ca="1">M18+N18</f>
        <v>24</v>
      </c>
      <c r="M18" s="39">
        <f ca="1">COUNTIFS('Database MK'!$G:$G,'Database MK'!$G$353,'Database MK'!$D:$D,'Summary PR PO GR'!$B18,'Database MK'!$H:$H,'Summary PR PO GR'!$C18,'Database MK'!$DI:$DI,"Sudah, OnSchedule")</f>
        <v>5</v>
      </c>
      <c r="N18" s="39">
        <f ca="1">COUNTIFS('Database MK'!$G:$G,'Database MK'!$G$353,'Database MK'!$D:$D,'Summary PR PO GR'!$B18,'Database MK'!$H:$H,'Summary PR PO GR'!$C18,'Database MK'!$DI:$DI,"Sudah, Delay")</f>
        <v>19</v>
      </c>
      <c r="O18" s="39">
        <f ca="1">P18+Q18</f>
        <v>0</v>
      </c>
      <c r="P18" s="39">
        <f ca="1">COUNTIFS('Database MK'!$G:$G,'Database MK'!$G$353,'Database MK'!$D:$D,'Summary PR PO GR'!$B18,'Database MK'!$H:$H,'Summary PR PO GR'!$C18,'Database MK'!$DI:$DI,"Belum, OnSchedule")</f>
        <v>0</v>
      </c>
      <c r="Q18" s="167">
        <f ca="1">COUNTIFS('Database MK'!$G:$G,'Database MK'!$G$353,'Database MK'!$D:$D,'Summary PR PO GR'!$B18,'Database MK'!$H:$H,'Summary PR PO GR'!$C18,'Database MK'!$DI:$DI,"Belum, Delay")</f>
        <v>0</v>
      </c>
      <c r="R18" s="136">
        <f ca="1">S18+T18</f>
        <v>24</v>
      </c>
      <c r="S18" s="77">
        <f ca="1">COUNTIFS('Database MK'!$G:$G,'Database MK'!$G$353,'Database MK'!$D:$D,'Summary PR PO GR'!$B18,'Database MK'!$H:$H,'Summary PR PO GR'!$C18,'Database MK'!$DN:$DN,"Sudah, OnSchedule")</f>
        <v>5</v>
      </c>
      <c r="T18" s="77">
        <f ca="1">COUNTIFS('Database MK'!$G:$G,'Database MK'!$G$353,'Database MK'!$D:$D,'Summary PR PO GR'!$B18,'Database MK'!$H:$H,'Summary PR PO GR'!$C18,'Database MK'!$DN:$DN,"Sudah, Delay")</f>
        <v>19</v>
      </c>
      <c r="U18" s="77">
        <f ca="1">V18+W18</f>
        <v>0</v>
      </c>
      <c r="V18" s="77">
        <f ca="1">COUNTIFS('Database MK'!$G:$G,'Database MK'!$G$353,'Database MK'!$D:$D,'Summary PR PO GR'!$B18,'Database MK'!$H:$H,'Summary PR PO GR'!$C18,'Database MK'!$DN:$DN,"Belum, OnSchedule")</f>
        <v>0</v>
      </c>
      <c r="W18" s="137">
        <f ca="1">COUNTIFS('Database MK'!$G:$G,'Database MK'!$G$353,'Database MK'!$D:$D,'Summary PR PO GR'!$B18,'Database MK'!$H:$H,'Summary PR PO GR'!$C18,'Database MK'!$DN:$DN,"Belum, Delay")</f>
        <v>0</v>
      </c>
      <c r="X18" s="136">
        <f ca="1">Y18+Z18</f>
        <v>24</v>
      </c>
      <c r="Y18" s="77">
        <f ca="1">COUNTIFS('Database MK'!$G:$G,'Database MK'!$G$353,'Database MK'!$D:$D,'Summary PR PO GR'!$B18,'Database MK'!$H:$H,'Summary PR PO GR'!$C18,'Database MK'!$DR:$DR,"Sudah, OnSchedule")</f>
        <v>2</v>
      </c>
      <c r="Z18" s="77">
        <f ca="1">COUNTIFS('Database MK'!$G:$G,'Database MK'!$G$353,'Database MK'!$D:$D,'Summary PR PO GR'!$B18,'Database MK'!$H:$H,'Summary PR PO GR'!$C18,'Database MK'!$DR:$DR,"Sudah, Delay")</f>
        <v>22</v>
      </c>
      <c r="AA18" s="77">
        <f ca="1">AB18+AC18</f>
        <v>0</v>
      </c>
      <c r="AB18" s="77">
        <f ca="1">COUNTIFS('Database MK'!$G:$G,'Database MK'!$G$353,'Database MK'!$D:$D,'Summary PR PO GR'!$B18,'Database MK'!$H:$H,'Summary PR PO GR'!$C18,'Database MK'!$DR:$DR,"Belum, OnSchedule")</f>
        <v>0</v>
      </c>
      <c r="AC18" s="137">
        <f ca="1">COUNTIFS('Database MK'!$G:$G,'Database MK'!$G$353,'Database MK'!$D:$D,'Summary PR PO GR'!$B18,'Database MK'!$H:$H,'Summary PR PO GR'!$C18,'Database MK'!$DR:$DR,"Belum, Delay")</f>
        <v>0</v>
      </c>
      <c r="AD18" s="141">
        <f ca="1">AE18+AF18</f>
        <v>24</v>
      </c>
      <c r="AE18" s="114">
        <f ca="1">COUNTIFS('Database MK'!$G:$G,'Database MK'!$G$353,'Database MK'!$D:$D,'Summary PR PO GR'!$B18,'Database MK'!$H:$H,'Summary PR PO GR'!$C18,'Database MK'!$EA:$EA,"Sudah, OnSchedule")</f>
        <v>4</v>
      </c>
      <c r="AF18" s="114">
        <f ca="1">COUNTIFS('Database MK'!$G:$G,'Database MK'!$G$353,'Database MK'!$D:$D,'Summary PR PO GR'!$B18,'Database MK'!$H:$H,'Summary PR PO GR'!$C18,'Database MK'!$EA:$EA,"Sudah, Delay")</f>
        <v>20</v>
      </c>
      <c r="AG18" s="114">
        <f ca="1">AH18+AI18</f>
        <v>0</v>
      </c>
      <c r="AH18" s="114">
        <f ca="1">COUNTIFS('Database MK'!$G:$G,'Database MK'!$G$353,'Database MK'!$D:$D,'Summary PR PO GR'!$B18,'Database MK'!$H:$H,'Summary PR PO GR'!$C18,'Database MK'!$EA:$EA,"Belum, OnSchedule")</f>
        <v>0</v>
      </c>
      <c r="AI18" s="142">
        <f ca="1">COUNTIFS('Database MK'!$G:$G,'Database MK'!$G$353,'Database MK'!$D:$D,'Summary PR PO GR'!$B18,'Database MK'!$H:$H,'Summary PR PO GR'!$C18,'Database MK'!$EA:$EA,"Belum, Delay")</f>
        <v>0</v>
      </c>
      <c r="AJ18" s="141">
        <f>COUNTIFS('Database MK'!$G:$G,'Database MK'!$G$353,'Database MK'!$D:$D,'Summary PR PO GR'!$B18,'Database MK'!$H:$H,'Summary PR PO GR'!$C18,'Database MK'!$EH:$EH,'Summary PR PO GR'!AJ$3)</f>
        <v>1</v>
      </c>
      <c r="AK18" s="114">
        <f>COUNTIFS('Database MK'!$G:$G,'Database MK'!$G$353,'Database MK'!$D:$D,'Summary PR PO GR'!$B18,'Database MK'!$H:$H,'Summary PR PO GR'!$C18,'Database MK'!$EH:$EH,'Summary PR PO GR'!AK$3)</f>
        <v>23</v>
      </c>
      <c r="AL18" s="114">
        <f>COUNTIFS('Database MK'!$G:$G,'Database MK'!$G$353,'Database MK'!$D:$D,'Summary PR PO GR'!$B18,'Database MK'!$H:$H,'Summary PR PO GR'!$C18,'Database MK'!$EH:$EH,'Summary PR PO GR'!AL$3)</f>
        <v>0</v>
      </c>
      <c r="AM18" s="114">
        <f>COUNTIFS('Database MK'!$G:$G,'Database MK'!$G$353,'Database MK'!$D:$D,'Summary PR PO GR'!$B18,'Database MK'!$H:$H,'Summary PR PO GR'!$C18,'Database MK'!$EH:$EH,'Summary PR PO GR'!AM$3)</f>
        <v>0</v>
      </c>
      <c r="AN18" s="115">
        <f>IFERROR(_xlfn.MINIFS('Database MK'!$EF:$EF,'Database MK'!$G:$G,'Database MK'!$G$353,'Database MK'!$D:$D,'Summary PR PO GR'!$B18,'Database MK'!$H:$H,'Summary PR PO GR'!$C18),0)</f>
        <v>0.8783783783783784</v>
      </c>
      <c r="AO18" s="148">
        <f>IFERROR(_xlfn.MAXIFS('Database MK'!$EF:$EF,'Database MK'!$G:$G,'Database MK'!$G$353,'Database MK'!$D:$D,'Summary PR PO GR'!$B18,'Database MK'!$H:$H,'Summary PR PO GR'!$C18),0)</f>
        <v>1</v>
      </c>
      <c r="AP18" s="151">
        <f>COUNTIFS('Database MK'!$G:$G,'Database MK'!$G$353,'Database MK'!$D:$D,'Summary PR PO GR'!$B18,'Database MK'!$H:$H,'Summary PR PO GR'!$C18,'Database MK'!$ES:$ES,'Summary PR PO GR'!AP$3)</f>
        <v>0</v>
      </c>
      <c r="AQ18" s="151">
        <f>COUNTIFS('Database MK'!$G:$G,'Database MK'!$G$353,'Database MK'!$D:$D,'Summary PR PO GR'!$B18,'Database MK'!$H:$H,'Summary PR PO GR'!$C18,'Database MK'!$ES:$ES,'Summary PR PO GR'!AQ$3)</f>
        <v>3</v>
      </c>
      <c r="AR18" s="151">
        <f>COUNTIFS('Database MK'!$G:$G,'Database MK'!$G$353,'Database MK'!$D:$D,'Summary PR PO GR'!$B18,'Database MK'!$H:$H,'Summary PR PO GR'!$C18,'Database MK'!$ES:$ES,'Summary PR PO GR'!AR$3)</f>
        <v>21</v>
      </c>
      <c r="AS18" s="151">
        <f>COUNTIFS('Database MK'!$G:$G,'Database MK'!$G$353,'Database MK'!$D:$D,'Summary PR PO GR'!$B18,'Database MK'!$H:$H,'Summary PR PO GR'!$C18,'Database MK'!$ES:$ES,'Summary PR PO GR'!AS$3)</f>
        <v>0</v>
      </c>
      <c r="AT18" s="78">
        <f>IFERROR(_xlfn.MINIFS('Database MK'!$EQ:$EQ,'Database MK'!$G:$G,'Database MK'!$G$353,'Database MK'!$D:$D,'Summary PR PO GR'!$B18,'Database MK'!$H:$H,'Summary PR PO GR'!$C18),0)</f>
        <v>4.0540540540540543E-2</v>
      </c>
      <c r="AU18" s="152">
        <f>IFERROR(_xlfn.MAXIFS('Database MK'!$EQ:$EQ,'Database MK'!$G:$G,'Database MK'!$G$353,'Database MK'!$D:$D,'Summary PR PO GR'!$B18,'Database MK'!$H:$H,'Summary PR PO GR'!$C18),0)</f>
        <v>0.76923076923076927</v>
      </c>
      <c r="AW18" s="38" t="s">
        <v>244</v>
      </c>
      <c r="AX18" s="38" t="s">
        <v>247</v>
      </c>
      <c r="AY18" s="775">
        <f>COUNTIFS('Database MK'!$G:$G,'Database MK'!$G$353,'Database MK'!$D:$D,'Summary PR PO GR'!$B18,'Database MK'!$H:$H,'Summary PR PO GR'!$C18)</f>
        <v>24</v>
      </c>
      <c r="AZ18" s="114">
        <f>SUMIFS('Database MK'!$DY:$DY,'Database MK'!$G:$G,'Database MK'!$G$353,'Database MK'!$D:$D,$AW18,'Database MK'!$H:$H,$AX18)</f>
        <v>2496</v>
      </c>
      <c r="BA18" s="114">
        <f>SUMIFS('Database MK'!$EC:$EC,'Database MK'!$G:$G,'Database MK'!$G$353,'Database MK'!$D:$D,$AW18,'Database MK'!$H:$H,$AX18)</f>
        <v>2392</v>
      </c>
      <c r="BB18" s="194">
        <f>IFERROR(BA18/AZ18,0)</f>
        <v>0.95833333333333337</v>
      </c>
      <c r="BC18" s="40">
        <f>SUMIFS('Database MK'!$EO:$EO,'Database MK'!$G:$G,'Database MK'!$G$353,'Database MK'!$D:$D,$AW18,'Database MK'!$H:$H,$AX18)</f>
        <v>813</v>
      </c>
      <c r="BD18" s="195">
        <f>IFERROR(BC18/AZ18,0)</f>
        <v>0.32572115384615385</v>
      </c>
    </row>
    <row r="19" spans="1:56" x14ac:dyDescent="0.25">
      <c r="A19" s="72" t="s">
        <v>3590</v>
      </c>
      <c r="B19" s="135" t="s">
        <v>244</v>
      </c>
      <c r="C19" s="38" t="s">
        <v>681</v>
      </c>
      <c r="D19" s="775">
        <f>COUNTIFS('Database MK'!$G:$G,'Database MK'!$G$353,'Database MK'!$D:$D,'Summary PR PO GR'!$B19,'Database MK'!$H:$H,'Summary PR PO GR'!$C19)</f>
        <v>26</v>
      </c>
      <c r="E19" s="157">
        <f ca="1">COUNTIFS('Database MK'!$G:$G,'Database MK'!$G$353,'Database MK'!$D:$D,'Summary PR PO GR'!$B19,'Database MK'!$H:$H,'Summary PR PO GR'!$C19,'Database MK'!$Q:$Q,"BATAL / CANCEL")</f>
        <v>5</v>
      </c>
      <c r="F19" s="130">
        <f t="shared" ref="F19:F23" ca="1" si="16">G19+H19</f>
        <v>26</v>
      </c>
      <c r="G19" s="39">
        <f ca="1">COUNTIFS('Database MK'!$G:$G,'Database MK'!$G$353,'Database MK'!$D:$D,'Summary PR PO GR'!$B19,'Database MK'!$H:$H,'Summary PR PO GR'!$C19,'Database MK'!$DE:$DE,"Sudah, OnSchedule")</f>
        <v>26</v>
      </c>
      <c r="H19" s="39">
        <f ca="1">COUNTIFS('Database MK'!$G:$G,'Database MK'!$G$353,'Database MK'!$D:$D,'Summary PR PO GR'!$B19,'Database MK'!$H:$H,'Summary PR PO GR'!$C19,'Database MK'!$DE:$DE,"Sudah, Delay")</f>
        <v>0</v>
      </c>
      <c r="I19" s="39">
        <f t="shared" ref="I19:I23" ca="1" si="17">J19+K19</f>
        <v>0</v>
      </c>
      <c r="J19" s="39">
        <f ca="1">COUNTIFS('Database MK'!$G:$G,'Database MK'!$G$353,'Database MK'!$D:$D,'Summary PR PO GR'!$B19,'Database MK'!$H:$H,'Summary PR PO GR'!$C19,'Database MK'!$DE:$DE,"Belum, OnSchedule")</f>
        <v>0</v>
      </c>
      <c r="K19" s="131">
        <f ca="1">COUNTIFS('Database MK'!$G:$G,'Database MK'!$G$353,'Database MK'!$D:$D,'Summary PR PO GR'!$B19,'Database MK'!$H:$H,'Summary PR PO GR'!$C19,'Database MK'!$DE:$DE,"Belum, Delay")</f>
        <v>0</v>
      </c>
      <c r="L19" s="130">
        <f t="shared" ref="L19:L23" ca="1" si="18">M19+N19</f>
        <v>26</v>
      </c>
      <c r="M19" s="39">
        <f ca="1">COUNTIFS('Database MK'!$G:$G,'Database MK'!$G$353,'Database MK'!$D:$D,'Summary PR PO GR'!$B19,'Database MK'!$H:$H,'Summary PR PO GR'!$C19,'Database MK'!$DI:$DI,"Sudah, OnSchedule")</f>
        <v>11</v>
      </c>
      <c r="N19" s="39">
        <f ca="1">COUNTIFS('Database MK'!$G:$G,'Database MK'!$G$353,'Database MK'!$D:$D,'Summary PR PO GR'!$B19,'Database MK'!$H:$H,'Summary PR PO GR'!$C19,'Database MK'!$DI:$DI,"Sudah, Delay")</f>
        <v>15</v>
      </c>
      <c r="O19" s="39">
        <f t="shared" ref="O19:O23" ca="1" si="19">P19+Q19</f>
        <v>0</v>
      </c>
      <c r="P19" s="39">
        <f ca="1">COUNTIFS('Database MK'!$G:$G,'Database MK'!$G$353,'Database MK'!$D:$D,'Summary PR PO GR'!$B19,'Database MK'!$H:$H,'Summary PR PO GR'!$C19,'Database MK'!$DI:$DI,"Belum, OnSchedule")</f>
        <v>0</v>
      </c>
      <c r="Q19" s="167">
        <f ca="1">COUNTIFS('Database MK'!$G:$G,'Database MK'!$G$353,'Database MK'!$D:$D,'Summary PR PO GR'!$B19,'Database MK'!$H:$H,'Summary PR PO GR'!$C19,'Database MK'!$DI:$DI,"Belum, Delay")</f>
        <v>0</v>
      </c>
      <c r="R19" s="136">
        <f t="shared" ref="R19:R23" ca="1" si="20">S19+T19</f>
        <v>26</v>
      </c>
      <c r="S19" s="77">
        <f ca="1">COUNTIFS('Database MK'!$G:$G,'Database MK'!$G$353,'Database MK'!$D:$D,'Summary PR PO GR'!$B19,'Database MK'!$H:$H,'Summary PR PO GR'!$C19,'Database MK'!$DN:$DN,"Sudah, OnSchedule")</f>
        <v>18</v>
      </c>
      <c r="T19" s="77">
        <f ca="1">COUNTIFS('Database MK'!$G:$G,'Database MK'!$G$353,'Database MK'!$D:$D,'Summary PR PO GR'!$B19,'Database MK'!$H:$H,'Summary PR PO GR'!$C19,'Database MK'!$DN:$DN,"Sudah, Delay")</f>
        <v>8</v>
      </c>
      <c r="U19" s="77">
        <f t="shared" ref="U19:U23" ca="1" si="21">V19+W19</f>
        <v>0</v>
      </c>
      <c r="V19" s="77">
        <f ca="1">COUNTIFS('Database MK'!$G:$G,'Database MK'!$G$353,'Database MK'!$D:$D,'Summary PR PO GR'!$B19,'Database MK'!$H:$H,'Summary PR PO GR'!$C19,'Database MK'!$DN:$DN,"Belum, OnSchedule")</f>
        <v>0</v>
      </c>
      <c r="W19" s="137">
        <f ca="1">COUNTIFS('Database MK'!$G:$G,'Database MK'!$G$353,'Database MK'!$D:$D,'Summary PR PO GR'!$B19,'Database MK'!$H:$H,'Summary PR PO GR'!$C19,'Database MK'!$DN:$DN,"Belum, Delay")</f>
        <v>0</v>
      </c>
      <c r="X19" s="136">
        <f t="shared" ref="X19:X23" ca="1" si="22">Y19+Z19</f>
        <v>26</v>
      </c>
      <c r="Y19" s="77">
        <f ca="1">COUNTIFS('Database MK'!$G:$G,'Database MK'!$G$353,'Database MK'!$D:$D,'Summary PR PO GR'!$B19,'Database MK'!$H:$H,'Summary PR PO GR'!$C19,'Database MK'!$DR:$DR,"Sudah, OnSchedule")</f>
        <v>8</v>
      </c>
      <c r="Z19" s="77">
        <f ca="1">COUNTIFS('Database MK'!$G:$G,'Database MK'!$G$353,'Database MK'!$D:$D,'Summary PR PO GR'!$B19,'Database MK'!$H:$H,'Summary PR PO GR'!$C19,'Database MK'!$DR:$DR,"Sudah, Delay")</f>
        <v>18</v>
      </c>
      <c r="AA19" s="77">
        <f t="shared" ref="AA19:AA23" ca="1" si="23">AB19+AC19</f>
        <v>0</v>
      </c>
      <c r="AB19" s="77">
        <f ca="1">COUNTIFS('Database MK'!$G:$G,'Database MK'!$G$353,'Database MK'!$D:$D,'Summary PR PO GR'!$B19,'Database MK'!$H:$H,'Summary PR PO GR'!$C19,'Database MK'!$DR:$DR,"Belum, OnSchedule")</f>
        <v>0</v>
      </c>
      <c r="AC19" s="137">
        <f ca="1">COUNTIFS('Database MK'!$G:$G,'Database MK'!$G$353,'Database MK'!$D:$D,'Summary PR PO GR'!$B19,'Database MK'!$H:$H,'Summary PR PO GR'!$C19,'Database MK'!$DR:$DR,"Belum, Delay")</f>
        <v>0</v>
      </c>
      <c r="AD19" s="141">
        <f t="shared" ref="AD19:AD23" ca="1" si="24">AE19+AF19</f>
        <v>26</v>
      </c>
      <c r="AE19" s="114">
        <f ca="1">COUNTIFS('Database MK'!$G:$G,'Database MK'!$G$353,'Database MK'!$D:$D,'Summary PR PO GR'!$B19,'Database MK'!$H:$H,'Summary PR PO GR'!$C19,'Database MK'!$EA:$EA,"Sudah, OnSchedule")</f>
        <v>12</v>
      </c>
      <c r="AF19" s="114">
        <f ca="1">COUNTIFS('Database MK'!$G:$G,'Database MK'!$G$353,'Database MK'!$D:$D,'Summary PR PO GR'!$B19,'Database MK'!$H:$H,'Summary PR PO GR'!$C19,'Database MK'!$EA:$EA,"Sudah, Delay")</f>
        <v>14</v>
      </c>
      <c r="AG19" s="114">
        <f t="shared" ref="AG19:AG23" ca="1" si="25">AH19+AI19</f>
        <v>0</v>
      </c>
      <c r="AH19" s="114">
        <f ca="1">COUNTIFS('Database MK'!$G:$G,'Database MK'!$G$353,'Database MK'!$D:$D,'Summary PR PO GR'!$B19,'Database MK'!$H:$H,'Summary PR PO GR'!$C19,'Database MK'!$EA:$EA,"Belum, OnSchedule")</f>
        <v>0</v>
      </c>
      <c r="AI19" s="142">
        <f ca="1">COUNTIFS('Database MK'!$G:$G,'Database MK'!$G$353,'Database MK'!$D:$D,'Summary PR PO GR'!$B19,'Database MK'!$H:$H,'Summary PR PO GR'!$C19,'Database MK'!$EA:$EA,"Belum, Delay")</f>
        <v>0</v>
      </c>
      <c r="AJ19" s="141">
        <f>COUNTIFS('Database MK'!$G:$G,'Database MK'!$G$353,'Database MK'!$D:$D,'Summary PR PO GR'!$B19,'Database MK'!$H:$H,'Summary PR PO GR'!$C19,'Database MK'!$EH:$EH,'Summary PR PO GR'!AJ$3)</f>
        <v>2</v>
      </c>
      <c r="AK19" s="114">
        <f>COUNTIFS('Database MK'!$G:$G,'Database MK'!$G$353,'Database MK'!$D:$D,'Summary PR PO GR'!$B19,'Database MK'!$H:$H,'Summary PR PO GR'!$C19,'Database MK'!$EH:$EH,'Summary PR PO GR'!AK$3)</f>
        <v>24</v>
      </c>
      <c r="AL19" s="114">
        <f>COUNTIFS('Database MK'!$G:$G,'Database MK'!$G$353,'Database MK'!$D:$D,'Summary PR PO GR'!$B19,'Database MK'!$H:$H,'Summary PR PO GR'!$C19,'Database MK'!$EH:$EH,'Summary PR PO GR'!AL$3)</f>
        <v>0</v>
      </c>
      <c r="AM19" s="114">
        <f>COUNTIFS('Database MK'!$G:$G,'Database MK'!$G$353,'Database MK'!$D:$D,'Summary PR PO GR'!$B19,'Database MK'!$H:$H,'Summary PR PO GR'!$C19,'Database MK'!$EH:$EH,'Summary PR PO GR'!AM$3)</f>
        <v>0</v>
      </c>
      <c r="AN19" s="115">
        <f>IFERROR(_xlfn.MINIFS('Database MK'!$EF:$EF,'Database MK'!$G:$G,'Database MK'!$G$353,'Database MK'!$D:$D,'Summary PR PO GR'!$B19,'Database MK'!$H:$H,'Summary PR PO GR'!$C19),0)</f>
        <v>0.8125</v>
      </c>
      <c r="AO19" s="148">
        <f>IFERROR(_xlfn.MAXIFS('Database MK'!$EF:$EF,'Database MK'!$G:$G,'Database MK'!$G$353,'Database MK'!$D:$D,'Summary PR PO GR'!$B19,'Database MK'!$H:$H,'Summary PR PO GR'!$C19),0)</f>
        <v>1</v>
      </c>
      <c r="AP19" s="151">
        <f>COUNTIFS('Database MK'!$G:$G,'Database MK'!$G$353,'Database MK'!$D:$D,'Summary PR PO GR'!$B19,'Database MK'!$H:$H,'Summary PR PO GR'!$C19,'Database MK'!$ES:$ES,'Summary PR PO GR'!AP$3)</f>
        <v>0</v>
      </c>
      <c r="AQ19" s="151">
        <f>COUNTIFS('Database MK'!$G:$G,'Database MK'!$G$353,'Database MK'!$D:$D,'Summary PR PO GR'!$B19,'Database MK'!$H:$H,'Summary PR PO GR'!$C19,'Database MK'!$ES:$ES,'Summary PR PO GR'!AQ$3)</f>
        <v>24</v>
      </c>
      <c r="AR19" s="151">
        <f>COUNTIFS('Database MK'!$G:$G,'Database MK'!$G$353,'Database MK'!$D:$D,'Summary PR PO GR'!$B19,'Database MK'!$H:$H,'Summary PR PO GR'!$C19,'Database MK'!$ES:$ES,'Summary PR PO GR'!AR$3)</f>
        <v>2</v>
      </c>
      <c r="AS19" s="151">
        <f>COUNTIFS('Database MK'!$G:$G,'Database MK'!$G$353,'Database MK'!$D:$D,'Summary PR PO GR'!$B19,'Database MK'!$H:$H,'Summary PR PO GR'!$C19,'Database MK'!$ES:$ES,'Summary PR PO GR'!AS$3)</f>
        <v>0</v>
      </c>
      <c r="AT19" s="78">
        <f>IFERROR(_xlfn.MINIFS('Database MK'!$EQ:$EQ,'Database MK'!$G:$G,'Database MK'!$G$353,'Database MK'!$D:$D,'Summary PR PO GR'!$B19,'Database MK'!$H:$H,'Summary PR PO GR'!$C19),0)</f>
        <v>0.33333333333333331</v>
      </c>
      <c r="AU19" s="152">
        <f>IFERROR(_xlfn.MAXIFS('Database MK'!$EQ:$EQ,'Database MK'!$G:$G,'Database MK'!$G$353,'Database MK'!$D:$D,'Summary PR PO GR'!$B19,'Database MK'!$H:$H,'Summary PR PO GR'!$C19),0)</f>
        <v>0.91428571428571426</v>
      </c>
      <c r="AW19" s="38" t="s">
        <v>244</v>
      </c>
      <c r="AX19" s="38" t="s">
        <v>681</v>
      </c>
      <c r="AY19" s="775">
        <f>COUNTIFS('Database MK'!$G:$G,'Database MK'!$G$353,'Database MK'!$D:$D,'Summary PR PO GR'!$B19,'Database MK'!$H:$H,'Summary PR PO GR'!$C19)</f>
        <v>26</v>
      </c>
      <c r="AZ19" s="114">
        <f>SUMIFS('Database MK'!$DY:$DY,'Database MK'!$G:$G,'Database MK'!$G$353,'Database MK'!$D:$D,$AW19,'Database MK'!$H:$H,$AX19)</f>
        <v>720</v>
      </c>
      <c r="BA19" s="114">
        <f>SUMIFS('Database MK'!$EC:$EC,'Database MK'!$G:$G,'Database MK'!$G$353,'Database MK'!$D:$D,$AW19,'Database MK'!$H:$H,$AX19)</f>
        <v>661</v>
      </c>
      <c r="BB19" s="194">
        <f t="shared" ref="BB19:BB24" si="26">IFERROR(BA19/AZ19,0)</f>
        <v>0.91805555555555551</v>
      </c>
      <c r="BC19" s="40">
        <f>SUMIFS('Database MK'!$EO:$EO,'Database MK'!$G:$G,'Database MK'!$G$353,'Database MK'!$D:$D,$AW19,'Database MK'!$H:$H,$AX19)</f>
        <v>425</v>
      </c>
      <c r="BD19" s="195">
        <f t="shared" ref="BD19:BD24" si="27">IFERROR(BC19/AZ19,0)</f>
        <v>0.59027777777777779</v>
      </c>
    </row>
    <row r="20" spans="1:56" x14ac:dyDescent="0.25">
      <c r="A20" s="72" t="s">
        <v>3591</v>
      </c>
      <c r="B20" s="135" t="s">
        <v>673</v>
      </c>
      <c r="C20" s="38" t="s">
        <v>247</v>
      </c>
      <c r="D20" s="775">
        <f>COUNTIFS('Database MK'!$G:$G,'Database MK'!$G$353,'Database MK'!$D:$D,'Summary PR PO GR'!$B20,'Database MK'!$H:$H,'Summary PR PO GR'!$C20)</f>
        <v>13</v>
      </c>
      <c r="E20" s="157">
        <f ca="1">COUNTIFS('Database MK'!$G:$G,'Database MK'!$G$353,'Database MK'!$D:$D,'Summary PR PO GR'!$B20,'Database MK'!$H:$H,'Summary PR PO GR'!$C20,'Database MK'!$Q:$Q,"BATAL / CANCEL")</f>
        <v>0</v>
      </c>
      <c r="F20" s="130">
        <f t="shared" ca="1" si="16"/>
        <v>13</v>
      </c>
      <c r="G20" s="39">
        <f ca="1">COUNTIFS('Database MK'!$G:$G,'Database MK'!$G$353,'Database MK'!$D:$D,'Summary PR PO GR'!$B20,'Database MK'!$H:$H,'Summary PR PO GR'!$C20,'Database MK'!$DE:$DE,"Sudah, OnSchedule")</f>
        <v>12</v>
      </c>
      <c r="H20" s="39">
        <f ca="1">COUNTIFS('Database MK'!$G:$G,'Database MK'!$G$353,'Database MK'!$D:$D,'Summary PR PO GR'!$B20,'Database MK'!$H:$H,'Summary PR PO GR'!$C20,'Database MK'!$DE:$DE,"Sudah, Delay")</f>
        <v>1</v>
      </c>
      <c r="I20" s="39">
        <f t="shared" ca="1" si="17"/>
        <v>0</v>
      </c>
      <c r="J20" s="39">
        <f ca="1">COUNTIFS('Database MK'!$G:$G,'Database MK'!$G$353,'Database MK'!$D:$D,'Summary PR PO GR'!$B20,'Database MK'!$H:$H,'Summary PR PO GR'!$C20,'Database MK'!$DE:$DE,"Belum, OnSchedule")</f>
        <v>0</v>
      </c>
      <c r="K20" s="131">
        <f ca="1">COUNTIFS('Database MK'!$G:$G,'Database MK'!$G$353,'Database MK'!$D:$D,'Summary PR PO GR'!$B20,'Database MK'!$H:$H,'Summary PR PO GR'!$C20,'Database MK'!$DE:$DE,"Belum, Delay")</f>
        <v>0</v>
      </c>
      <c r="L20" s="130">
        <f t="shared" ca="1" si="18"/>
        <v>13</v>
      </c>
      <c r="M20" s="39">
        <f ca="1">COUNTIFS('Database MK'!$G:$G,'Database MK'!$G$353,'Database MK'!$D:$D,'Summary PR PO GR'!$B20,'Database MK'!$H:$H,'Summary PR PO GR'!$C20,'Database MK'!$DI:$DI,"Sudah, OnSchedule")</f>
        <v>4</v>
      </c>
      <c r="N20" s="39">
        <f ca="1">COUNTIFS('Database MK'!$G:$G,'Database MK'!$G$353,'Database MK'!$D:$D,'Summary PR PO GR'!$B20,'Database MK'!$H:$H,'Summary PR PO GR'!$C20,'Database MK'!$DI:$DI,"Sudah, Delay")</f>
        <v>9</v>
      </c>
      <c r="O20" s="39">
        <f t="shared" ca="1" si="19"/>
        <v>0</v>
      </c>
      <c r="P20" s="39">
        <f ca="1">COUNTIFS('Database MK'!$G:$G,'Database MK'!$G$353,'Database MK'!$D:$D,'Summary PR PO GR'!$B20,'Database MK'!$H:$H,'Summary PR PO GR'!$C20,'Database MK'!$DI:$DI,"Belum, OnSchedule")</f>
        <v>0</v>
      </c>
      <c r="Q20" s="167">
        <f ca="1">COUNTIFS('Database MK'!$G:$G,'Database MK'!$G$353,'Database MK'!$D:$D,'Summary PR PO GR'!$B20,'Database MK'!$H:$H,'Summary PR PO GR'!$C20,'Database MK'!$DI:$DI,"Belum, Delay")</f>
        <v>0</v>
      </c>
      <c r="R20" s="136">
        <f t="shared" ca="1" si="20"/>
        <v>13</v>
      </c>
      <c r="S20" s="77">
        <f ca="1">COUNTIFS('Database MK'!$G:$G,'Database MK'!$G$353,'Database MK'!$D:$D,'Summary PR PO GR'!$B20,'Database MK'!$H:$H,'Summary PR PO GR'!$C20,'Database MK'!$DN:$DN,"Sudah, OnSchedule")</f>
        <v>13</v>
      </c>
      <c r="T20" s="77">
        <f ca="1">COUNTIFS('Database MK'!$G:$G,'Database MK'!$G$353,'Database MK'!$D:$D,'Summary PR PO GR'!$B20,'Database MK'!$H:$H,'Summary PR PO GR'!$C20,'Database MK'!$DN:$DN,"Sudah, Delay")</f>
        <v>0</v>
      </c>
      <c r="U20" s="77">
        <f t="shared" ca="1" si="21"/>
        <v>0</v>
      </c>
      <c r="V20" s="77">
        <f ca="1">COUNTIFS('Database MK'!$G:$G,'Database MK'!$G$353,'Database MK'!$D:$D,'Summary PR PO GR'!$B20,'Database MK'!$H:$H,'Summary PR PO GR'!$C20,'Database MK'!$DN:$DN,"Belum, OnSchedule")</f>
        <v>0</v>
      </c>
      <c r="W20" s="137">
        <f ca="1">COUNTIFS('Database MK'!$G:$G,'Database MK'!$G$353,'Database MK'!$D:$D,'Summary PR PO GR'!$B20,'Database MK'!$H:$H,'Summary PR PO GR'!$C20,'Database MK'!$DN:$DN,"Belum, Delay")</f>
        <v>0</v>
      </c>
      <c r="X20" s="136">
        <f t="shared" ca="1" si="22"/>
        <v>13</v>
      </c>
      <c r="Y20" s="77">
        <f ca="1">COUNTIFS('Database MK'!$G:$G,'Database MK'!$G$353,'Database MK'!$D:$D,'Summary PR PO GR'!$B20,'Database MK'!$H:$H,'Summary PR PO GR'!$C20,'Database MK'!$DR:$DR,"Sudah, OnSchedule")</f>
        <v>4</v>
      </c>
      <c r="Z20" s="77">
        <f ca="1">COUNTIFS('Database MK'!$G:$G,'Database MK'!$G$353,'Database MK'!$D:$D,'Summary PR PO GR'!$B20,'Database MK'!$H:$H,'Summary PR PO GR'!$C20,'Database MK'!$DR:$DR,"Sudah, Delay")</f>
        <v>9</v>
      </c>
      <c r="AA20" s="77">
        <f t="shared" ca="1" si="23"/>
        <v>0</v>
      </c>
      <c r="AB20" s="77">
        <f ca="1">COUNTIFS('Database MK'!$G:$G,'Database MK'!$G$353,'Database MK'!$D:$D,'Summary PR PO GR'!$B20,'Database MK'!$H:$H,'Summary PR PO GR'!$C20,'Database MK'!$DR:$DR,"Belum, OnSchedule")</f>
        <v>0</v>
      </c>
      <c r="AC20" s="137">
        <f ca="1">COUNTIFS('Database MK'!$G:$G,'Database MK'!$G$353,'Database MK'!$D:$D,'Summary PR PO GR'!$B20,'Database MK'!$H:$H,'Summary PR PO GR'!$C20,'Database MK'!$DR:$DR,"Belum, Delay")</f>
        <v>0</v>
      </c>
      <c r="AD20" s="141">
        <f t="shared" ca="1" si="24"/>
        <v>13</v>
      </c>
      <c r="AE20" s="114">
        <f ca="1">COUNTIFS('Database MK'!$G:$G,'Database MK'!$G$353,'Database MK'!$D:$D,'Summary PR PO GR'!$B20,'Database MK'!$H:$H,'Summary PR PO GR'!$C20,'Database MK'!$EA:$EA,"Sudah, OnSchedule")</f>
        <v>1</v>
      </c>
      <c r="AF20" s="114">
        <f ca="1">COUNTIFS('Database MK'!$G:$G,'Database MK'!$G$353,'Database MK'!$D:$D,'Summary PR PO GR'!$B20,'Database MK'!$H:$H,'Summary PR PO GR'!$C20,'Database MK'!$EA:$EA,"Sudah, Delay")</f>
        <v>12</v>
      </c>
      <c r="AG20" s="114">
        <f t="shared" ca="1" si="25"/>
        <v>0</v>
      </c>
      <c r="AH20" s="114">
        <f ca="1">COUNTIFS('Database MK'!$G:$G,'Database MK'!$G$353,'Database MK'!$D:$D,'Summary PR PO GR'!$B20,'Database MK'!$H:$H,'Summary PR PO GR'!$C20,'Database MK'!$EA:$EA,"Belum, OnSchedule")</f>
        <v>0</v>
      </c>
      <c r="AI20" s="142">
        <f ca="1">COUNTIFS('Database MK'!$G:$G,'Database MK'!$G$353,'Database MK'!$D:$D,'Summary PR PO GR'!$B20,'Database MK'!$H:$H,'Summary PR PO GR'!$C20,'Database MK'!$EA:$EA,"Belum, Delay")</f>
        <v>0</v>
      </c>
      <c r="AJ20" s="141">
        <f>COUNTIFS('Database MK'!$G:$G,'Database MK'!$G$353,'Database MK'!$D:$D,'Summary PR PO GR'!$B20,'Database MK'!$H:$H,'Summary PR PO GR'!$C20,'Database MK'!$EH:$EH,'Summary PR PO GR'!AJ$3)</f>
        <v>9</v>
      </c>
      <c r="AK20" s="114">
        <f>COUNTIFS('Database MK'!$G:$G,'Database MK'!$G$353,'Database MK'!$D:$D,'Summary PR PO GR'!$B20,'Database MK'!$H:$H,'Summary PR PO GR'!$C20,'Database MK'!$EH:$EH,'Summary PR PO GR'!AK$3)</f>
        <v>4</v>
      </c>
      <c r="AL20" s="114">
        <f>COUNTIFS('Database MK'!$G:$G,'Database MK'!$G$353,'Database MK'!$D:$D,'Summary PR PO GR'!$B20,'Database MK'!$H:$H,'Summary PR PO GR'!$C20,'Database MK'!$EH:$EH,'Summary PR PO GR'!AL$3)</f>
        <v>0</v>
      </c>
      <c r="AM20" s="114">
        <f>COUNTIFS('Database MK'!$G:$G,'Database MK'!$G$353,'Database MK'!$D:$D,'Summary PR PO GR'!$B20,'Database MK'!$H:$H,'Summary PR PO GR'!$C20,'Database MK'!$EH:$EH,'Summary PR PO GR'!AM$3)</f>
        <v>0</v>
      </c>
      <c r="AN20" s="115">
        <f>IFERROR(_xlfn.MINIFS('Database MK'!$EF:$EF,'Database MK'!$G:$G,'Database MK'!$G$353,'Database MK'!$D:$D,'Summary PR PO GR'!$B20,'Database MK'!$H:$H,'Summary PR PO GR'!$C20),0)</f>
        <v>0.98958333333333337</v>
      </c>
      <c r="AO20" s="148">
        <f>IFERROR(_xlfn.MAXIFS('Database MK'!$EF:$EF,'Database MK'!$G:$G,'Database MK'!$G$353,'Database MK'!$D:$D,'Summary PR PO GR'!$B20,'Database MK'!$H:$H,'Summary PR PO GR'!$C20),0)</f>
        <v>1</v>
      </c>
      <c r="AP20" s="151">
        <f>COUNTIFS('Database MK'!$G:$G,'Database MK'!$G$353,'Database MK'!$D:$D,'Summary PR PO GR'!$B20,'Database MK'!$H:$H,'Summary PR PO GR'!$C20,'Database MK'!$ES:$ES,'Summary PR PO GR'!AP$3)</f>
        <v>0</v>
      </c>
      <c r="AQ20" s="151">
        <f>COUNTIFS('Database MK'!$G:$G,'Database MK'!$G$353,'Database MK'!$D:$D,'Summary PR PO GR'!$B20,'Database MK'!$H:$H,'Summary PR PO GR'!$C20,'Database MK'!$ES:$ES,'Summary PR PO GR'!AQ$3)</f>
        <v>2</v>
      </c>
      <c r="AR20" s="151">
        <f>COUNTIFS('Database MK'!$G:$G,'Database MK'!$G$353,'Database MK'!$D:$D,'Summary PR PO GR'!$B20,'Database MK'!$H:$H,'Summary PR PO GR'!$C20,'Database MK'!$ES:$ES,'Summary PR PO GR'!AR$3)</f>
        <v>11</v>
      </c>
      <c r="AS20" s="151">
        <f>COUNTIFS('Database MK'!$G:$G,'Database MK'!$G$353,'Database MK'!$D:$D,'Summary PR PO GR'!$B20,'Database MK'!$H:$H,'Summary PR PO GR'!$C20,'Database MK'!$ES:$ES,'Summary PR PO GR'!AS$3)</f>
        <v>0</v>
      </c>
      <c r="AT20" s="78">
        <f>IFERROR(_xlfn.MINIFS('Database MK'!$EQ:$EQ,'Database MK'!$G:$G,'Database MK'!$G$353,'Database MK'!$D:$D,'Summary PR PO GR'!$B20,'Database MK'!$H:$H,'Summary PR PO GR'!$C20),0)</f>
        <v>0.27702702702702703</v>
      </c>
      <c r="AU20" s="152">
        <f>IFERROR(_xlfn.MAXIFS('Database MK'!$EQ:$EQ,'Database MK'!$G:$G,'Database MK'!$G$353,'Database MK'!$D:$D,'Summary PR PO GR'!$B20,'Database MK'!$H:$H,'Summary PR PO GR'!$C20),0)</f>
        <v>0.6428571428571429</v>
      </c>
      <c r="AW20" s="38" t="s">
        <v>673</v>
      </c>
      <c r="AX20" s="38" t="s">
        <v>247</v>
      </c>
      <c r="AY20" s="775">
        <f>COUNTIFS('Database MK'!$G:$G,'Database MK'!$G$353,'Database MK'!$D:$D,'Summary PR PO GR'!$B20,'Database MK'!$H:$H,'Summary PR PO GR'!$C20)</f>
        <v>13</v>
      </c>
      <c r="AZ20" s="114">
        <f>SUMIFS('Database MK'!$DY:$DY,'Database MK'!$G:$G,'Database MK'!$G$353,'Database MK'!$D:$D,$AW20,'Database MK'!$H:$H,$AX20)</f>
        <v>1445</v>
      </c>
      <c r="BA20" s="114">
        <f>SUMIFS('Database MK'!$EC:$EC,'Database MK'!$G:$G,'Database MK'!$G$353,'Database MK'!$D:$D,$AW20,'Database MK'!$H:$H,$AX20)</f>
        <v>1441</v>
      </c>
      <c r="BB20" s="194">
        <f t="shared" si="26"/>
        <v>0.99723183391003456</v>
      </c>
      <c r="BC20" s="40">
        <f>SUMIFS('Database MK'!$EO:$EO,'Database MK'!$G:$G,'Database MK'!$G$353,'Database MK'!$D:$D,$AW20,'Database MK'!$H:$H,$AX20)</f>
        <v>581</v>
      </c>
      <c r="BD20" s="195">
        <f t="shared" si="27"/>
        <v>0.40207612456747405</v>
      </c>
    </row>
    <row r="21" spans="1:56" x14ac:dyDescent="0.25">
      <c r="A21" s="72" t="s">
        <v>3592</v>
      </c>
      <c r="B21" s="135" t="s">
        <v>673</v>
      </c>
      <c r="C21" s="38" t="s">
        <v>681</v>
      </c>
      <c r="D21" s="775">
        <f>COUNTIFS('Database MK'!$G:$G,'Database MK'!$G$353,'Database MK'!$D:$D,'Summary PR PO GR'!$B21,'Database MK'!$H:$H,'Summary PR PO GR'!$C21)</f>
        <v>27</v>
      </c>
      <c r="E21" s="157">
        <f ca="1">COUNTIFS('Database MK'!$G:$G,'Database MK'!$G$353,'Database MK'!$D:$D,'Summary PR PO GR'!$B21,'Database MK'!$H:$H,'Summary PR PO GR'!$C21,'Database MK'!$Q:$Q,"BATAL / CANCEL")</f>
        <v>1</v>
      </c>
      <c r="F21" s="130">
        <f t="shared" ca="1" si="16"/>
        <v>27</v>
      </c>
      <c r="G21" s="39">
        <f ca="1">COUNTIFS('Database MK'!$G:$G,'Database MK'!$G$353,'Database MK'!$D:$D,'Summary PR PO GR'!$B21,'Database MK'!$H:$H,'Summary PR PO GR'!$C21,'Database MK'!$DE:$DE,"Sudah, OnSchedule")</f>
        <v>24</v>
      </c>
      <c r="H21" s="39">
        <f ca="1">COUNTIFS('Database MK'!$G:$G,'Database MK'!$G$353,'Database MK'!$D:$D,'Summary PR PO GR'!$B21,'Database MK'!$H:$H,'Summary PR PO GR'!$C21,'Database MK'!$DE:$DE,"Sudah, Delay")</f>
        <v>3</v>
      </c>
      <c r="I21" s="39">
        <f t="shared" ca="1" si="17"/>
        <v>0</v>
      </c>
      <c r="J21" s="39">
        <f ca="1">COUNTIFS('Database MK'!$G:$G,'Database MK'!$G$353,'Database MK'!$D:$D,'Summary PR PO GR'!$B21,'Database MK'!$H:$H,'Summary PR PO GR'!$C21,'Database MK'!$DE:$DE,"Belum, OnSchedule")</f>
        <v>0</v>
      </c>
      <c r="K21" s="131">
        <f ca="1">COUNTIFS('Database MK'!$G:$G,'Database MK'!$G$353,'Database MK'!$D:$D,'Summary PR PO GR'!$B21,'Database MK'!$H:$H,'Summary PR PO GR'!$C21,'Database MK'!$DE:$DE,"Belum, Delay")</f>
        <v>0</v>
      </c>
      <c r="L21" s="130">
        <f t="shared" ca="1" si="18"/>
        <v>24</v>
      </c>
      <c r="M21" s="39">
        <f ca="1">COUNTIFS('Database MK'!$G:$G,'Database MK'!$G$353,'Database MK'!$D:$D,'Summary PR PO GR'!$B21,'Database MK'!$H:$H,'Summary PR PO GR'!$C21,'Database MK'!$DI:$DI,"Sudah, OnSchedule")</f>
        <v>18</v>
      </c>
      <c r="N21" s="39">
        <f ca="1">COUNTIFS('Database MK'!$G:$G,'Database MK'!$G$353,'Database MK'!$D:$D,'Summary PR PO GR'!$B21,'Database MK'!$H:$H,'Summary PR PO GR'!$C21,'Database MK'!$DI:$DI,"Sudah, Delay")</f>
        <v>6</v>
      </c>
      <c r="O21" s="39">
        <f t="shared" ca="1" si="19"/>
        <v>3</v>
      </c>
      <c r="P21" s="39">
        <f ca="1">COUNTIFS('Database MK'!$G:$G,'Database MK'!$G$353,'Database MK'!$D:$D,'Summary PR PO GR'!$B21,'Database MK'!$H:$H,'Summary PR PO GR'!$C21,'Database MK'!$DI:$DI,"Belum, OnSchedule")</f>
        <v>0</v>
      </c>
      <c r="Q21" s="167">
        <f ca="1">COUNTIFS('Database MK'!$G:$G,'Database MK'!$G$353,'Database MK'!$D:$D,'Summary PR PO GR'!$B21,'Database MK'!$H:$H,'Summary PR PO GR'!$C21,'Database MK'!$DI:$DI,"Belum, Delay")</f>
        <v>3</v>
      </c>
      <c r="R21" s="136">
        <f t="shared" ca="1" si="20"/>
        <v>24</v>
      </c>
      <c r="S21" s="77">
        <f ca="1">COUNTIFS('Database MK'!$G:$G,'Database MK'!$G$353,'Database MK'!$D:$D,'Summary PR PO GR'!$B21,'Database MK'!$H:$H,'Summary PR PO GR'!$C21,'Database MK'!$DN:$DN,"Sudah, OnSchedule")</f>
        <v>21</v>
      </c>
      <c r="T21" s="77">
        <f ca="1">COUNTIFS('Database MK'!$G:$G,'Database MK'!$G$353,'Database MK'!$D:$D,'Summary PR PO GR'!$B21,'Database MK'!$H:$H,'Summary PR PO GR'!$C21,'Database MK'!$DN:$DN,"Sudah, Delay")</f>
        <v>3</v>
      </c>
      <c r="U21" s="77">
        <f t="shared" ca="1" si="21"/>
        <v>3</v>
      </c>
      <c r="V21" s="77">
        <f ca="1">COUNTIFS('Database MK'!$G:$G,'Database MK'!$G$353,'Database MK'!$D:$D,'Summary PR PO GR'!$B21,'Database MK'!$H:$H,'Summary PR PO GR'!$C21,'Database MK'!$DN:$DN,"Belum, OnSchedule")</f>
        <v>0</v>
      </c>
      <c r="W21" s="137">
        <f ca="1">COUNTIFS('Database MK'!$G:$G,'Database MK'!$G$353,'Database MK'!$D:$D,'Summary PR PO GR'!$B21,'Database MK'!$H:$H,'Summary PR PO GR'!$C21,'Database MK'!$DN:$DN,"Belum, Delay")</f>
        <v>3</v>
      </c>
      <c r="X21" s="136">
        <f t="shared" ca="1" si="22"/>
        <v>24</v>
      </c>
      <c r="Y21" s="77">
        <f ca="1">COUNTIFS('Database MK'!$G:$G,'Database MK'!$G$353,'Database MK'!$D:$D,'Summary PR PO GR'!$B21,'Database MK'!$H:$H,'Summary PR PO GR'!$C21,'Database MK'!$DR:$DR,"Sudah, OnSchedule")</f>
        <v>14</v>
      </c>
      <c r="Z21" s="77">
        <f ca="1">COUNTIFS('Database MK'!$G:$G,'Database MK'!$G$353,'Database MK'!$D:$D,'Summary PR PO GR'!$B21,'Database MK'!$H:$H,'Summary PR PO GR'!$C21,'Database MK'!$DR:$DR,"Sudah, Delay")</f>
        <v>10</v>
      </c>
      <c r="AA21" s="77">
        <f t="shared" ca="1" si="23"/>
        <v>3</v>
      </c>
      <c r="AB21" s="77">
        <f ca="1">COUNTIFS('Database MK'!$G:$G,'Database MK'!$G$353,'Database MK'!$D:$D,'Summary PR PO GR'!$B21,'Database MK'!$H:$H,'Summary PR PO GR'!$C21,'Database MK'!$DR:$DR,"Belum, OnSchedule")</f>
        <v>0</v>
      </c>
      <c r="AC21" s="137">
        <f ca="1">COUNTIFS('Database MK'!$G:$G,'Database MK'!$G$353,'Database MK'!$D:$D,'Summary PR PO GR'!$B21,'Database MK'!$H:$H,'Summary PR PO GR'!$C21,'Database MK'!$DR:$DR,"Belum, Delay")</f>
        <v>3</v>
      </c>
      <c r="AD21" s="141">
        <f t="shared" ca="1" si="24"/>
        <v>24</v>
      </c>
      <c r="AE21" s="114">
        <f ca="1">COUNTIFS('Database MK'!$G:$G,'Database MK'!$G$353,'Database MK'!$D:$D,'Summary PR PO GR'!$B21,'Database MK'!$H:$H,'Summary PR PO GR'!$C21,'Database MK'!$EA:$EA,"Sudah, OnSchedule")</f>
        <v>21</v>
      </c>
      <c r="AF21" s="114">
        <f ca="1">COUNTIFS('Database MK'!$G:$G,'Database MK'!$G$353,'Database MK'!$D:$D,'Summary PR PO GR'!$B21,'Database MK'!$H:$H,'Summary PR PO GR'!$C21,'Database MK'!$EA:$EA,"Sudah, Delay")</f>
        <v>3</v>
      </c>
      <c r="AG21" s="114">
        <f t="shared" ca="1" si="25"/>
        <v>3</v>
      </c>
      <c r="AH21" s="114">
        <f ca="1">COUNTIFS('Database MK'!$G:$G,'Database MK'!$G$353,'Database MK'!$D:$D,'Summary PR PO GR'!$B21,'Database MK'!$H:$H,'Summary PR PO GR'!$C21,'Database MK'!$EA:$EA,"Belum, OnSchedule")</f>
        <v>0</v>
      </c>
      <c r="AI21" s="142">
        <f ca="1">COUNTIFS('Database MK'!$G:$G,'Database MK'!$G$353,'Database MK'!$D:$D,'Summary PR PO GR'!$B21,'Database MK'!$H:$H,'Summary PR PO GR'!$C21,'Database MK'!$EA:$EA,"Belum, Delay")</f>
        <v>3</v>
      </c>
      <c r="AJ21" s="141">
        <f>COUNTIFS('Database MK'!$G:$G,'Database MK'!$G$353,'Database MK'!$D:$D,'Summary PR PO GR'!$B21,'Database MK'!$H:$H,'Summary PR PO GR'!$C21,'Database MK'!$EH:$EH,'Summary PR PO GR'!AJ$3)</f>
        <v>9</v>
      </c>
      <c r="AK21" s="114">
        <f>COUNTIFS('Database MK'!$G:$G,'Database MK'!$G$353,'Database MK'!$D:$D,'Summary PR PO GR'!$B21,'Database MK'!$H:$H,'Summary PR PO GR'!$C21,'Database MK'!$EH:$EH,'Summary PR PO GR'!AK$3)</f>
        <v>15</v>
      </c>
      <c r="AL21" s="114">
        <f>COUNTIFS('Database MK'!$G:$G,'Database MK'!$G$353,'Database MK'!$D:$D,'Summary PR PO GR'!$B21,'Database MK'!$H:$H,'Summary PR PO GR'!$C21,'Database MK'!$EH:$EH,'Summary PR PO GR'!AL$3)</f>
        <v>0</v>
      </c>
      <c r="AM21" s="114">
        <f>COUNTIFS('Database MK'!$G:$G,'Database MK'!$G$353,'Database MK'!$D:$D,'Summary PR PO GR'!$B21,'Database MK'!$H:$H,'Summary PR PO GR'!$C21,'Database MK'!$EH:$EH,'Summary PR PO GR'!AM$3)</f>
        <v>3</v>
      </c>
      <c r="AN21" s="115">
        <f>IFERROR(_xlfn.MINIFS('Database MK'!$EF:$EF,'Database MK'!$G:$G,'Database MK'!$G$353,'Database MK'!$D:$D,'Summary PR PO GR'!$B21,'Database MK'!$H:$H,'Summary PR PO GR'!$C21),0)</f>
        <v>0.88888888888888884</v>
      </c>
      <c r="AO21" s="148">
        <f>IFERROR(_xlfn.MAXIFS('Database MK'!$EF:$EF,'Database MK'!$G:$G,'Database MK'!$G$353,'Database MK'!$D:$D,'Summary PR PO GR'!$B21,'Database MK'!$H:$H,'Summary PR PO GR'!$C21),0)</f>
        <v>1</v>
      </c>
      <c r="AP21" s="151">
        <f>COUNTIFS('Database MK'!$G:$G,'Database MK'!$G$353,'Database MK'!$D:$D,'Summary PR PO GR'!$B21,'Database MK'!$H:$H,'Summary PR PO GR'!$C21,'Database MK'!$ES:$ES,'Summary PR PO GR'!AP$3)</f>
        <v>0</v>
      </c>
      <c r="AQ21" s="151">
        <f>COUNTIFS('Database MK'!$G:$G,'Database MK'!$G$353,'Database MK'!$D:$D,'Summary PR PO GR'!$B21,'Database MK'!$H:$H,'Summary PR PO GR'!$C21,'Database MK'!$ES:$ES,'Summary PR PO GR'!AQ$3)</f>
        <v>20</v>
      </c>
      <c r="AR21" s="151">
        <f>COUNTIFS('Database MK'!$G:$G,'Database MK'!$G$353,'Database MK'!$D:$D,'Summary PR PO GR'!$B21,'Database MK'!$H:$H,'Summary PR PO GR'!$C21,'Database MK'!$ES:$ES,'Summary PR PO GR'!AR$3)</f>
        <v>4</v>
      </c>
      <c r="AS21" s="151">
        <f>COUNTIFS('Database MK'!$G:$G,'Database MK'!$G$353,'Database MK'!$D:$D,'Summary PR PO GR'!$B21,'Database MK'!$H:$H,'Summary PR PO GR'!$C21,'Database MK'!$ES:$ES,'Summary PR PO GR'!AS$3)</f>
        <v>3</v>
      </c>
      <c r="AT21" s="78">
        <f>IFERROR(_xlfn.MINIFS('Database MK'!$EQ:$EQ,'Database MK'!$G:$G,'Database MK'!$G$353,'Database MK'!$D:$D,'Summary PR PO GR'!$B21,'Database MK'!$H:$H,'Summary PR PO GR'!$C21),0)</f>
        <v>0.2978723404255319</v>
      </c>
      <c r="AU21" s="152">
        <f>IFERROR(_xlfn.MAXIFS('Database MK'!$EQ:$EQ,'Database MK'!$G:$G,'Database MK'!$G$353,'Database MK'!$D:$D,'Summary PR PO GR'!$B21,'Database MK'!$H:$H,'Summary PR PO GR'!$C21),0)</f>
        <v>0.96551724137931039</v>
      </c>
      <c r="AW21" s="38" t="s">
        <v>673</v>
      </c>
      <c r="AX21" s="38" t="s">
        <v>681</v>
      </c>
      <c r="AY21" s="775">
        <f>COUNTIFS('Database MK'!$G:$G,'Database MK'!$G$353,'Database MK'!$D:$D,'Summary PR PO GR'!$B21,'Database MK'!$H:$H,'Summary PR PO GR'!$C21)</f>
        <v>27</v>
      </c>
      <c r="AZ21" s="114">
        <f>SUMIFS('Database MK'!$DY:$DY,'Database MK'!$G:$G,'Database MK'!$G$353,'Database MK'!$D:$D,$AW21,'Database MK'!$H:$H,$AX21)</f>
        <v>746</v>
      </c>
      <c r="BA21" s="114">
        <f>SUMIFS('Database MK'!$EC:$EC,'Database MK'!$G:$G,'Database MK'!$G$353,'Database MK'!$D:$D,$AW21,'Database MK'!$H:$H,$AX21)</f>
        <v>724</v>
      </c>
      <c r="BB21" s="194">
        <f t="shared" si="26"/>
        <v>0.97050938337801607</v>
      </c>
      <c r="BC21" s="40">
        <f>SUMIFS('Database MK'!$EO:$EO,'Database MK'!$G:$G,'Database MK'!$G$353,'Database MK'!$D:$D,$AW21,'Database MK'!$H:$H,$AX21)</f>
        <v>434</v>
      </c>
      <c r="BD21" s="195">
        <f t="shared" si="27"/>
        <v>0.58176943699731909</v>
      </c>
    </row>
    <row r="22" spans="1:56" x14ac:dyDescent="0.25">
      <c r="A22" s="72" t="s">
        <v>3593</v>
      </c>
      <c r="B22" s="135" t="s">
        <v>629</v>
      </c>
      <c r="C22" s="38" t="s">
        <v>247</v>
      </c>
      <c r="D22" s="775">
        <f>COUNTIFS('Database MK'!$G:$G,'Database MK'!$G$353,'Database MK'!$D:$D,'Summary PR PO GR'!$B22,'Database MK'!$H:$H,'Summary PR PO GR'!$C22)</f>
        <v>0</v>
      </c>
      <c r="E22" s="157">
        <f>COUNTIFS('Database MK'!$G:$G,'Database MK'!$G$353,'Database MK'!$D:$D,'Summary PR PO GR'!$B22,'Database MK'!$H:$H,'Summary PR PO GR'!$C22,'Database MK'!$Q:$Q,"BATAL / CANCEL")</f>
        <v>0</v>
      </c>
      <c r="F22" s="130">
        <f t="shared" si="16"/>
        <v>0</v>
      </c>
      <c r="G22" s="39">
        <f>COUNTIFS('Database MK'!$G:$G,'Database MK'!$G$353,'Database MK'!$D:$D,'Summary PR PO GR'!$B22,'Database MK'!$H:$H,'Summary PR PO GR'!$C22,'Database MK'!$DE:$DE,"Sudah, OnSchedule")</f>
        <v>0</v>
      </c>
      <c r="H22" s="39">
        <f>COUNTIFS('Database MK'!$G:$G,'Database MK'!$G$353,'Database MK'!$D:$D,'Summary PR PO GR'!$B22,'Database MK'!$H:$H,'Summary PR PO GR'!$C22,'Database MK'!$DE:$DE,"Sudah, Delay")</f>
        <v>0</v>
      </c>
      <c r="I22" s="39">
        <f t="shared" si="17"/>
        <v>0</v>
      </c>
      <c r="J22" s="39">
        <f>COUNTIFS('Database MK'!$G:$G,'Database MK'!$G$353,'Database MK'!$D:$D,'Summary PR PO GR'!$B22,'Database MK'!$H:$H,'Summary PR PO GR'!$C22,'Database MK'!$DE:$DE,"Belum, OnSchedule")</f>
        <v>0</v>
      </c>
      <c r="K22" s="131">
        <f>COUNTIFS('Database MK'!$G:$G,'Database MK'!$G$353,'Database MK'!$D:$D,'Summary PR PO GR'!$B22,'Database MK'!$H:$H,'Summary PR PO GR'!$C22,'Database MK'!$DE:$DE,"Belum, Delay")</f>
        <v>0</v>
      </c>
      <c r="L22" s="130">
        <f t="shared" si="18"/>
        <v>0</v>
      </c>
      <c r="M22" s="39">
        <f>COUNTIFS('Database MK'!$G:$G,'Database MK'!$G$353,'Database MK'!$D:$D,'Summary PR PO GR'!$B22,'Database MK'!$H:$H,'Summary PR PO GR'!$C22,'Database MK'!$DI:$DI,"Sudah, OnSchedule")</f>
        <v>0</v>
      </c>
      <c r="N22" s="39">
        <f>COUNTIFS('Database MK'!$G:$G,'Database MK'!$G$353,'Database MK'!$D:$D,'Summary PR PO GR'!$B22,'Database MK'!$H:$H,'Summary PR PO GR'!$C22,'Database MK'!$DI:$DI,"Sudah, Delay")</f>
        <v>0</v>
      </c>
      <c r="O22" s="39">
        <f t="shared" si="19"/>
        <v>0</v>
      </c>
      <c r="P22" s="39">
        <f>COUNTIFS('Database MK'!$G:$G,'Database MK'!$G$353,'Database MK'!$D:$D,'Summary PR PO GR'!$B22,'Database MK'!$H:$H,'Summary PR PO GR'!$C22,'Database MK'!$DI:$DI,"Belum, OnSchedule")</f>
        <v>0</v>
      </c>
      <c r="Q22" s="167">
        <f>COUNTIFS('Database MK'!$G:$G,'Database MK'!$G$353,'Database MK'!$D:$D,'Summary PR PO GR'!$B22,'Database MK'!$H:$H,'Summary PR PO GR'!$C22,'Database MK'!$DI:$DI,"Belum, Delay")</f>
        <v>0</v>
      </c>
      <c r="R22" s="136">
        <f t="shared" si="20"/>
        <v>0</v>
      </c>
      <c r="S22" s="77">
        <f>COUNTIFS('Database MK'!$G:$G,'Database MK'!$G$353,'Database MK'!$D:$D,'Summary PR PO GR'!$B22,'Database MK'!$H:$H,'Summary PR PO GR'!$C22,'Database MK'!$DN:$DN,"Sudah, OnSchedule")</f>
        <v>0</v>
      </c>
      <c r="T22" s="77">
        <f>COUNTIFS('Database MK'!$G:$G,'Database MK'!$G$353,'Database MK'!$D:$D,'Summary PR PO GR'!$B22,'Database MK'!$H:$H,'Summary PR PO GR'!$C22,'Database MK'!$DN:$DN,"Sudah, Delay")</f>
        <v>0</v>
      </c>
      <c r="U22" s="77">
        <f t="shared" si="21"/>
        <v>0</v>
      </c>
      <c r="V22" s="77">
        <f>COUNTIFS('Database MK'!$G:$G,'Database MK'!$G$353,'Database MK'!$D:$D,'Summary PR PO GR'!$B22,'Database MK'!$H:$H,'Summary PR PO GR'!$C22,'Database MK'!$DN:$DN,"Belum, OnSchedule")</f>
        <v>0</v>
      </c>
      <c r="W22" s="137">
        <f>COUNTIFS('Database MK'!$G:$G,'Database MK'!$G$353,'Database MK'!$D:$D,'Summary PR PO GR'!$B22,'Database MK'!$H:$H,'Summary PR PO GR'!$C22,'Database MK'!$DN:$DN,"Belum, Delay")</f>
        <v>0</v>
      </c>
      <c r="X22" s="136">
        <f t="shared" si="22"/>
        <v>0</v>
      </c>
      <c r="Y22" s="77">
        <f>COUNTIFS('Database MK'!$G:$G,'Database MK'!$G$353,'Database MK'!$D:$D,'Summary PR PO GR'!$B22,'Database MK'!$H:$H,'Summary PR PO GR'!$C22,'Database MK'!$DR:$DR,"Sudah, OnSchedule")</f>
        <v>0</v>
      </c>
      <c r="Z22" s="77">
        <f>COUNTIFS('Database MK'!$G:$G,'Database MK'!$G$353,'Database MK'!$D:$D,'Summary PR PO GR'!$B22,'Database MK'!$H:$H,'Summary PR PO GR'!$C22,'Database MK'!$DR:$DR,"Sudah, Delay")</f>
        <v>0</v>
      </c>
      <c r="AA22" s="77">
        <f t="shared" si="23"/>
        <v>0</v>
      </c>
      <c r="AB22" s="77">
        <f>COUNTIFS('Database MK'!$G:$G,'Database MK'!$G$353,'Database MK'!$D:$D,'Summary PR PO GR'!$B22,'Database MK'!$H:$H,'Summary PR PO GR'!$C22,'Database MK'!$DR:$DR,"Belum, OnSchedule")</f>
        <v>0</v>
      </c>
      <c r="AC22" s="137">
        <f>COUNTIFS('Database MK'!$G:$G,'Database MK'!$G$353,'Database MK'!$D:$D,'Summary PR PO GR'!$B22,'Database MK'!$H:$H,'Summary PR PO GR'!$C22,'Database MK'!$DR:$DR,"Belum, Delay")</f>
        <v>0</v>
      </c>
      <c r="AD22" s="141">
        <f t="shared" si="24"/>
        <v>0</v>
      </c>
      <c r="AE22" s="114">
        <f>COUNTIFS('Database MK'!$G:$G,'Database MK'!$G$353,'Database MK'!$D:$D,'Summary PR PO GR'!$B22,'Database MK'!$H:$H,'Summary PR PO GR'!$C22,'Database MK'!$EA:$EA,"Sudah, OnSchedule")</f>
        <v>0</v>
      </c>
      <c r="AF22" s="114">
        <f>COUNTIFS('Database MK'!$G:$G,'Database MK'!$G$353,'Database MK'!$D:$D,'Summary PR PO GR'!$B22,'Database MK'!$H:$H,'Summary PR PO GR'!$C22,'Database MK'!$EA:$EA,"Sudah, Delay")</f>
        <v>0</v>
      </c>
      <c r="AG22" s="114">
        <f t="shared" si="25"/>
        <v>0</v>
      </c>
      <c r="AH22" s="114">
        <f>COUNTIFS('Database MK'!$G:$G,'Database MK'!$G$353,'Database MK'!$D:$D,'Summary PR PO GR'!$B22,'Database MK'!$H:$H,'Summary PR PO GR'!$C22,'Database MK'!$EA:$EA,"Belum, OnSchedule")</f>
        <v>0</v>
      </c>
      <c r="AI22" s="142">
        <f>COUNTIFS('Database MK'!$G:$G,'Database MK'!$G$353,'Database MK'!$D:$D,'Summary PR PO GR'!$B22,'Database MK'!$H:$H,'Summary PR PO GR'!$C22,'Database MK'!$EA:$EA,"Belum, Delay")</f>
        <v>0</v>
      </c>
      <c r="AJ22" s="141">
        <f>COUNTIFS('Database MK'!$G:$G,'Database MK'!$G$353,'Database MK'!$D:$D,'Summary PR PO GR'!$B22,'Database MK'!$H:$H,'Summary PR PO GR'!$C22,'Database MK'!$EH:$EH,'Summary PR PO GR'!AJ$3)</f>
        <v>0</v>
      </c>
      <c r="AK22" s="114">
        <f>COUNTIFS('Database MK'!$G:$G,'Database MK'!$G$353,'Database MK'!$D:$D,'Summary PR PO GR'!$B22,'Database MK'!$H:$H,'Summary PR PO GR'!$C22,'Database MK'!$EH:$EH,'Summary PR PO GR'!AK$3)</f>
        <v>0</v>
      </c>
      <c r="AL22" s="114">
        <f>COUNTIFS('Database MK'!$G:$G,'Database MK'!$G$353,'Database MK'!$D:$D,'Summary PR PO GR'!$B22,'Database MK'!$H:$H,'Summary PR PO GR'!$C22,'Database MK'!$EH:$EH,'Summary PR PO GR'!AL$3)</f>
        <v>0</v>
      </c>
      <c r="AM22" s="114">
        <f>COUNTIFS('Database MK'!$G:$G,'Database MK'!$G$353,'Database MK'!$D:$D,'Summary PR PO GR'!$B22,'Database MK'!$H:$H,'Summary PR PO GR'!$C22,'Database MK'!$EH:$EH,'Summary PR PO GR'!AM$3)</f>
        <v>0</v>
      </c>
      <c r="AN22" s="115">
        <f>IFERROR(_xlfn.MINIFS('Database MK'!$EF:$EF,'Database MK'!$G:$G,'Database MK'!$G$353,'Database MK'!$D:$D,'Summary PR PO GR'!$B22,'Database MK'!$H:$H,'Summary PR PO GR'!$C22),0)</f>
        <v>0</v>
      </c>
      <c r="AO22" s="148">
        <f>IFERROR(_xlfn.MAXIFS('Database MK'!$EF:$EF,'Database MK'!$G:$G,'Database MK'!$G$353,'Database MK'!$D:$D,'Summary PR PO GR'!$B22,'Database MK'!$H:$H,'Summary PR PO GR'!$C22),0)</f>
        <v>0</v>
      </c>
      <c r="AP22" s="151">
        <f>COUNTIFS('Database MK'!$G:$G,'Database MK'!$G$353,'Database MK'!$D:$D,'Summary PR PO GR'!$B22,'Database MK'!$H:$H,'Summary PR PO GR'!$C22,'Database MK'!$ES:$ES,'Summary PR PO GR'!AP$3)</f>
        <v>0</v>
      </c>
      <c r="AQ22" s="151">
        <f>COUNTIFS('Database MK'!$G:$G,'Database MK'!$G$353,'Database MK'!$D:$D,'Summary PR PO GR'!$B22,'Database MK'!$H:$H,'Summary PR PO GR'!$C22,'Database MK'!$ES:$ES,'Summary PR PO GR'!AQ$3)</f>
        <v>0</v>
      </c>
      <c r="AR22" s="151">
        <f>COUNTIFS('Database MK'!$G:$G,'Database MK'!$G$353,'Database MK'!$D:$D,'Summary PR PO GR'!$B22,'Database MK'!$H:$H,'Summary PR PO GR'!$C22,'Database MK'!$ES:$ES,'Summary PR PO GR'!AR$3)</f>
        <v>0</v>
      </c>
      <c r="AS22" s="151">
        <f>COUNTIFS('Database MK'!$G:$G,'Database MK'!$G$353,'Database MK'!$D:$D,'Summary PR PO GR'!$B22,'Database MK'!$H:$H,'Summary PR PO GR'!$C22,'Database MK'!$ES:$ES,'Summary PR PO GR'!AS$3)</f>
        <v>0</v>
      </c>
      <c r="AT22" s="78">
        <f>IFERROR(_xlfn.MINIFS('Database MK'!$EQ:$EQ,'Database MK'!$G:$G,'Database MK'!$G$353,'Database MK'!$D:$D,'Summary PR PO GR'!$B22,'Database MK'!$H:$H,'Summary PR PO GR'!$C22),0)</f>
        <v>0</v>
      </c>
      <c r="AU22" s="152">
        <f>IFERROR(_xlfn.MAXIFS('Database MK'!$EQ:$EQ,'Database MK'!$G:$G,'Database MK'!$G$353,'Database MK'!$D:$D,'Summary PR PO GR'!$B22,'Database MK'!$H:$H,'Summary PR PO GR'!$C22),0)</f>
        <v>0</v>
      </c>
      <c r="AW22" s="38" t="s">
        <v>629</v>
      </c>
      <c r="AX22" s="38" t="s">
        <v>247</v>
      </c>
      <c r="AY22" s="775">
        <f>COUNTIFS('Database MK'!$G:$G,'Database MK'!$G$353,'Database MK'!$D:$D,'Summary PR PO GR'!$B22,'Database MK'!$H:$H,'Summary PR PO GR'!$C22)</f>
        <v>0</v>
      </c>
      <c r="AZ22" s="114">
        <f>SUMIFS('Database MK'!$DY:$DY,'Database MK'!$G:$G,'Database MK'!$G$353,'Database MK'!$D:$D,$AW22,'Database MK'!$H:$H,$AX22)</f>
        <v>0</v>
      </c>
      <c r="BA22" s="114">
        <f>SUMIFS('Database MK'!$EC:$EC,'Database MK'!$G:$G,'Database MK'!$G$353,'Database MK'!$D:$D,$AW22,'Database MK'!$H:$H,$AX22)</f>
        <v>0</v>
      </c>
      <c r="BB22" s="194">
        <f t="shared" si="26"/>
        <v>0</v>
      </c>
      <c r="BC22" s="40">
        <f>SUMIFS('Database MK'!$EO:$EO,'Database MK'!$G:$G,'Database MK'!$G$353,'Database MK'!$D:$D,$AW22,'Database MK'!$H:$H,$AX22)</f>
        <v>0</v>
      </c>
      <c r="BD22" s="195">
        <f t="shared" si="27"/>
        <v>0</v>
      </c>
    </row>
    <row r="23" spans="1:56" x14ac:dyDescent="0.25">
      <c r="A23" s="72" t="s">
        <v>3594</v>
      </c>
      <c r="B23" s="135" t="s">
        <v>629</v>
      </c>
      <c r="C23" s="38" t="s">
        <v>681</v>
      </c>
      <c r="D23" s="775">
        <f>COUNTIFS('Database MK'!$G:$G,'Database MK'!$G$353,'Database MK'!$D:$D,'Summary PR PO GR'!$B23,'Database MK'!$H:$H,'Summary PR PO GR'!$C23)</f>
        <v>6</v>
      </c>
      <c r="E23" s="157">
        <f ca="1">COUNTIFS('Database MK'!$G:$G,'Database MK'!$G$353,'Database MK'!$D:$D,'Summary PR PO GR'!$B23,'Database MK'!$H:$H,'Summary PR PO GR'!$C23,'Database MK'!$Q:$Q,"BATAL / CANCEL")</f>
        <v>0</v>
      </c>
      <c r="F23" s="130">
        <f t="shared" ca="1" si="16"/>
        <v>6</v>
      </c>
      <c r="G23" s="39">
        <f ca="1">COUNTIFS('Database MK'!$G:$G,'Database MK'!$G$353,'Database MK'!$D:$D,'Summary PR PO GR'!$B23,'Database MK'!$H:$H,'Summary PR PO GR'!$C23,'Database MK'!$DE:$DE,"Sudah, OnSchedule")</f>
        <v>4</v>
      </c>
      <c r="H23" s="39">
        <f ca="1">COUNTIFS('Database MK'!$G:$G,'Database MK'!$G$353,'Database MK'!$D:$D,'Summary PR PO GR'!$B23,'Database MK'!$H:$H,'Summary PR PO GR'!$C23,'Database MK'!$DE:$DE,"Sudah, Delay")</f>
        <v>2</v>
      </c>
      <c r="I23" s="39">
        <f t="shared" ca="1" si="17"/>
        <v>0</v>
      </c>
      <c r="J23" s="39">
        <f ca="1">COUNTIFS('Database MK'!$G:$G,'Database MK'!$G$353,'Database MK'!$D:$D,'Summary PR PO GR'!$B23,'Database MK'!$H:$H,'Summary PR PO GR'!$C23,'Database MK'!$DE:$DE,"Belum, OnSchedule")</f>
        <v>0</v>
      </c>
      <c r="K23" s="131">
        <f ca="1">COUNTIFS('Database MK'!$G:$G,'Database MK'!$G$353,'Database MK'!$D:$D,'Summary PR PO GR'!$B23,'Database MK'!$H:$H,'Summary PR PO GR'!$C23,'Database MK'!$DE:$DE,"Belum, Delay")</f>
        <v>0</v>
      </c>
      <c r="L23" s="130">
        <f t="shared" ca="1" si="18"/>
        <v>6</v>
      </c>
      <c r="M23" s="39">
        <f ca="1">COUNTIFS('Database MK'!$G:$G,'Database MK'!$G$353,'Database MK'!$D:$D,'Summary PR PO GR'!$B23,'Database MK'!$H:$H,'Summary PR PO GR'!$C23,'Database MK'!$DI:$DI,"Sudah, OnSchedule")</f>
        <v>4</v>
      </c>
      <c r="N23" s="39">
        <f ca="1">COUNTIFS('Database MK'!$G:$G,'Database MK'!$G$353,'Database MK'!$D:$D,'Summary PR PO GR'!$B23,'Database MK'!$H:$H,'Summary PR PO GR'!$C23,'Database MK'!$DI:$DI,"Sudah, Delay")</f>
        <v>2</v>
      </c>
      <c r="O23" s="39">
        <f t="shared" ca="1" si="19"/>
        <v>0</v>
      </c>
      <c r="P23" s="39">
        <f ca="1">COUNTIFS('Database MK'!$G:$G,'Database MK'!$G$353,'Database MK'!$D:$D,'Summary PR PO GR'!$B23,'Database MK'!$H:$H,'Summary PR PO GR'!$C23,'Database MK'!$DI:$DI,"Belum, OnSchedule")</f>
        <v>0</v>
      </c>
      <c r="Q23" s="167">
        <f ca="1">COUNTIFS('Database MK'!$G:$G,'Database MK'!$G$353,'Database MK'!$D:$D,'Summary PR PO GR'!$B23,'Database MK'!$H:$H,'Summary PR PO GR'!$C23,'Database MK'!$DI:$DI,"Belum, Delay")</f>
        <v>0</v>
      </c>
      <c r="R23" s="136">
        <f t="shared" ca="1" si="20"/>
        <v>6</v>
      </c>
      <c r="S23" s="77">
        <f ca="1">COUNTIFS('Database MK'!$G:$G,'Database MK'!$G$353,'Database MK'!$D:$D,'Summary PR PO GR'!$B23,'Database MK'!$H:$H,'Summary PR PO GR'!$C23,'Database MK'!$DN:$DN,"Sudah, OnSchedule")</f>
        <v>6</v>
      </c>
      <c r="T23" s="77">
        <f ca="1">COUNTIFS('Database MK'!$G:$G,'Database MK'!$G$353,'Database MK'!$D:$D,'Summary PR PO GR'!$B23,'Database MK'!$H:$H,'Summary PR PO GR'!$C23,'Database MK'!$DN:$DN,"Sudah, Delay")</f>
        <v>0</v>
      </c>
      <c r="U23" s="77">
        <f t="shared" ca="1" si="21"/>
        <v>0</v>
      </c>
      <c r="V23" s="77">
        <f ca="1">COUNTIFS('Database MK'!$G:$G,'Database MK'!$G$353,'Database MK'!$D:$D,'Summary PR PO GR'!$B23,'Database MK'!$H:$H,'Summary PR PO GR'!$C23,'Database MK'!$DN:$DN,"Belum, OnSchedule")</f>
        <v>0</v>
      </c>
      <c r="W23" s="137">
        <f ca="1">COUNTIFS('Database MK'!$G:$G,'Database MK'!$G$353,'Database MK'!$D:$D,'Summary PR PO GR'!$B23,'Database MK'!$H:$H,'Summary PR PO GR'!$C23,'Database MK'!$DN:$DN,"Belum, Delay")</f>
        <v>0</v>
      </c>
      <c r="X23" s="136">
        <f t="shared" ca="1" si="22"/>
        <v>6</v>
      </c>
      <c r="Y23" s="77">
        <f ca="1">COUNTIFS('Database MK'!$G:$G,'Database MK'!$G$353,'Database MK'!$D:$D,'Summary PR PO GR'!$B23,'Database MK'!$H:$H,'Summary PR PO GR'!$C23,'Database MK'!$DR:$DR,"Sudah, OnSchedule")</f>
        <v>5</v>
      </c>
      <c r="Z23" s="77">
        <f ca="1">COUNTIFS('Database MK'!$G:$G,'Database MK'!$G$353,'Database MK'!$D:$D,'Summary PR PO GR'!$B23,'Database MK'!$H:$H,'Summary PR PO GR'!$C23,'Database MK'!$DR:$DR,"Sudah, Delay")</f>
        <v>1</v>
      </c>
      <c r="AA23" s="77">
        <f t="shared" ca="1" si="23"/>
        <v>0</v>
      </c>
      <c r="AB23" s="77">
        <f ca="1">COUNTIFS('Database MK'!$G:$G,'Database MK'!$G$353,'Database MK'!$D:$D,'Summary PR PO GR'!$B23,'Database MK'!$H:$H,'Summary PR PO GR'!$C23,'Database MK'!$DR:$DR,"Belum, OnSchedule")</f>
        <v>0</v>
      </c>
      <c r="AC23" s="137">
        <f ca="1">COUNTIFS('Database MK'!$G:$G,'Database MK'!$G$353,'Database MK'!$D:$D,'Summary PR PO GR'!$B23,'Database MK'!$H:$H,'Summary PR PO GR'!$C23,'Database MK'!$DR:$DR,"Belum, Delay")</f>
        <v>0</v>
      </c>
      <c r="AD23" s="141">
        <f t="shared" ca="1" si="24"/>
        <v>6</v>
      </c>
      <c r="AE23" s="114">
        <f ca="1">COUNTIFS('Database MK'!$G:$G,'Database MK'!$G$353,'Database MK'!$D:$D,'Summary PR PO GR'!$B23,'Database MK'!$H:$H,'Summary PR PO GR'!$C23,'Database MK'!$EA:$EA,"Sudah, OnSchedule")</f>
        <v>4</v>
      </c>
      <c r="AF23" s="114">
        <f ca="1">COUNTIFS('Database MK'!$G:$G,'Database MK'!$G$353,'Database MK'!$D:$D,'Summary PR PO GR'!$B23,'Database MK'!$H:$H,'Summary PR PO GR'!$C23,'Database MK'!$EA:$EA,"Sudah, Delay")</f>
        <v>2</v>
      </c>
      <c r="AG23" s="114">
        <f t="shared" ca="1" si="25"/>
        <v>0</v>
      </c>
      <c r="AH23" s="114">
        <f ca="1">COUNTIFS('Database MK'!$G:$G,'Database MK'!$G$353,'Database MK'!$D:$D,'Summary PR PO GR'!$B23,'Database MK'!$H:$H,'Summary PR PO GR'!$C23,'Database MK'!$EA:$EA,"Belum, OnSchedule")</f>
        <v>0</v>
      </c>
      <c r="AI23" s="142">
        <f ca="1">COUNTIFS('Database MK'!$G:$G,'Database MK'!$G$353,'Database MK'!$D:$D,'Summary PR PO GR'!$B23,'Database MK'!$H:$H,'Summary PR PO GR'!$C23,'Database MK'!$EA:$EA,"Belum, Delay")</f>
        <v>0</v>
      </c>
      <c r="AJ23" s="141">
        <f>COUNTIFS('Database MK'!$G:$G,'Database MK'!$G$353,'Database MK'!$D:$D,'Summary PR PO GR'!$B23,'Database MK'!$H:$H,'Summary PR PO GR'!$C23,'Database MK'!$EH:$EH,'Summary PR PO GR'!AJ$3)</f>
        <v>3</v>
      </c>
      <c r="AK23" s="114">
        <f>COUNTIFS('Database MK'!$G:$G,'Database MK'!$G$353,'Database MK'!$D:$D,'Summary PR PO GR'!$B23,'Database MK'!$H:$H,'Summary PR PO GR'!$C23,'Database MK'!$EH:$EH,'Summary PR PO GR'!AK$3)</f>
        <v>3</v>
      </c>
      <c r="AL23" s="114">
        <f>COUNTIFS('Database MK'!$G:$G,'Database MK'!$G$353,'Database MK'!$D:$D,'Summary PR PO GR'!$B23,'Database MK'!$H:$H,'Summary PR PO GR'!$C23,'Database MK'!$EH:$EH,'Summary PR PO GR'!AL$3)</f>
        <v>0</v>
      </c>
      <c r="AM23" s="114">
        <f>COUNTIFS('Database MK'!$G:$G,'Database MK'!$G$353,'Database MK'!$D:$D,'Summary PR PO GR'!$B23,'Database MK'!$H:$H,'Summary PR PO GR'!$C23,'Database MK'!$EH:$EH,'Summary PR PO GR'!AM$3)</f>
        <v>0</v>
      </c>
      <c r="AN23" s="115">
        <f>IFERROR(_xlfn.MINIFS('Database MK'!$EF:$EF,'Database MK'!$G:$G,'Database MK'!$G$353,'Database MK'!$D:$D,'Summary PR PO GR'!$B23,'Database MK'!$H:$H,'Summary PR PO GR'!$C23),0)</f>
        <v>0.94444444444444442</v>
      </c>
      <c r="AO23" s="148">
        <f>IFERROR(_xlfn.MAXIFS('Database MK'!$EF:$EF,'Database MK'!$G:$G,'Database MK'!$G$353,'Database MK'!$D:$D,'Summary PR PO GR'!$B23,'Database MK'!$H:$H,'Summary PR PO GR'!$C23),0)</f>
        <v>1</v>
      </c>
      <c r="AP23" s="151">
        <f>COUNTIFS('Database MK'!$G:$G,'Database MK'!$G$353,'Database MK'!$D:$D,'Summary PR PO GR'!$B23,'Database MK'!$H:$H,'Summary PR PO GR'!$C23,'Database MK'!$ES:$ES,'Summary PR PO GR'!AP$3)</f>
        <v>0</v>
      </c>
      <c r="AQ23" s="151">
        <f>COUNTIFS('Database MK'!$G:$G,'Database MK'!$G$353,'Database MK'!$D:$D,'Summary PR PO GR'!$B23,'Database MK'!$H:$H,'Summary PR PO GR'!$C23,'Database MK'!$ES:$ES,'Summary PR PO GR'!AQ$3)</f>
        <v>5</v>
      </c>
      <c r="AR23" s="151">
        <f>COUNTIFS('Database MK'!$G:$G,'Database MK'!$G$353,'Database MK'!$D:$D,'Summary PR PO GR'!$B23,'Database MK'!$H:$H,'Summary PR PO GR'!$C23,'Database MK'!$ES:$ES,'Summary PR PO GR'!AR$3)</f>
        <v>0</v>
      </c>
      <c r="AS23" s="151">
        <f>COUNTIFS('Database MK'!$G:$G,'Database MK'!$G$353,'Database MK'!$D:$D,'Summary PR PO GR'!$B23,'Database MK'!$H:$H,'Summary PR PO GR'!$C23,'Database MK'!$ES:$ES,'Summary PR PO GR'!AS$3)</f>
        <v>1</v>
      </c>
      <c r="AT23" s="78">
        <f>IFERROR(_xlfn.MINIFS('Database MK'!$EQ:$EQ,'Database MK'!$G:$G,'Database MK'!$G$353,'Database MK'!$D:$D,'Summary PR PO GR'!$B23,'Database MK'!$H:$H,'Summary PR PO GR'!$C23),0)</f>
        <v>0</v>
      </c>
      <c r="AU23" s="152">
        <f>IFERROR(_xlfn.MAXIFS('Database MK'!$EQ:$EQ,'Database MK'!$G:$G,'Database MK'!$G$353,'Database MK'!$D:$D,'Summary PR PO GR'!$B23,'Database MK'!$H:$H,'Summary PR PO GR'!$C23),0)</f>
        <v>0.88461538461538458</v>
      </c>
      <c r="AW23" s="38" t="s">
        <v>629</v>
      </c>
      <c r="AX23" s="38" t="s">
        <v>681</v>
      </c>
      <c r="AY23" s="775">
        <f>COUNTIFS('Database MK'!$G:$G,'Database MK'!$G$353,'Database MK'!$D:$D,'Summary PR PO GR'!$B23,'Database MK'!$H:$H,'Summary PR PO GR'!$C23)</f>
        <v>6</v>
      </c>
      <c r="AZ23" s="114">
        <f>SUMIFS('Database MK'!$DY:$DY,'Database MK'!$G:$G,'Database MK'!$G$353,'Database MK'!$D:$D,$AW23,'Database MK'!$H:$H,$AX23)</f>
        <v>167</v>
      </c>
      <c r="BA23" s="114">
        <f>SUMIFS('Database MK'!$EC:$EC,'Database MK'!$G:$G,'Database MK'!$G$353,'Database MK'!$D:$D,$AW23,'Database MK'!$H:$H,$AX23)</f>
        <v>164</v>
      </c>
      <c r="BB23" s="194">
        <f t="shared" si="26"/>
        <v>0.98203592814371254</v>
      </c>
      <c r="BC23" s="40">
        <f>SUMIFS('Database MK'!$EO:$EO,'Database MK'!$G:$G,'Database MK'!$G$353,'Database MK'!$D:$D,$AW23,'Database MK'!$H:$H,$AX23)</f>
        <v>107</v>
      </c>
      <c r="BD23" s="195">
        <f t="shared" si="27"/>
        <v>0.64071856287425155</v>
      </c>
    </row>
    <row r="24" spans="1:56" ht="26.25" customHeight="1" thickBot="1" x14ac:dyDescent="0.3">
      <c r="B24" s="790" t="s">
        <v>3595</v>
      </c>
      <c r="C24" s="791"/>
      <c r="D24" s="773">
        <f t="shared" ref="D24:AM24" si="28">SUM(D18:D23)</f>
        <v>96</v>
      </c>
      <c r="E24" s="158">
        <f t="shared" ca="1" si="28"/>
        <v>6</v>
      </c>
      <c r="F24" s="132">
        <f t="shared" ca="1" si="28"/>
        <v>96</v>
      </c>
      <c r="G24" s="133">
        <f t="shared" ca="1" si="28"/>
        <v>78</v>
      </c>
      <c r="H24" s="133">
        <f t="shared" ca="1" si="28"/>
        <v>18</v>
      </c>
      <c r="I24" s="133">
        <f t="shared" ca="1" si="28"/>
        <v>0</v>
      </c>
      <c r="J24" s="133">
        <f t="shared" ca="1" si="28"/>
        <v>0</v>
      </c>
      <c r="K24" s="134">
        <f t="shared" ca="1" si="28"/>
        <v>0</v>
      </c>
      <c r="L24" s="132">
        <f t="shared" ca="1" si="28"/>
        <v>93</v>
      </c>
      <c r="M24" s="133">
        <f t="shared" ca="1" si="28"/>
        <v>42</v>
      </c>
      <c r="N24" s="133">
        <f t="shared" ca="1" si="28"/>
        <v>51</v>
      </c>
      <c r="O24" s="133">
        <f t="shared" ca="1" si="28"/>
        <v>3</v>
      </c>
      <c r="P24" s="133">
        <f t="shared" ca="1" si="28"/>
        <v>0</v>
      </c>
      <c r="Q24" s="168">
        <f t="shared" ca="1" si="28"/>
        <v>3</v>
      </c>
      <c r="R24" s="138">
        <f t="shared" ca="1" si="28"/>
        <v>93</v>
      </c>
      <c r="S24" s="139">
        <f t="shared" ca="1" si="28"/>
        <v>63</v>
      </c>
      <c r="T24" s="139">
        <f t="shared" ca="1" si="28"/>
        <v>30</v>
      </c>
      <c r="U24" s="139">
        <f t="shared" ca="1" si="28"/>
        <v>3</v>
      </c>
      <c r="V24" s="139">
        <f t="shared" ca="1" si="28"/>
        <v>0</v>
      </c>
      <c r="W24" s="140">
        <f t="shared" ca="1" si="28"/>
        <v>3</v>
      </c>
      <c r="X24" s="138">
        <f t="shared" ca="1" si="28"/>
        <v>93</v>
      </c>
      <c r="Y24" s="139">
        <f t="shared" ca="1" si="28"/>
        <v>33</v>
      </c>
      <c r="Z24" s="139">
        <f t="shared" ca="1" si="28"/>
        <v>60</v>
      </c>
      <c r="AA24" s="139">
        <f t="shared" ca="1" si="28"/>
        <v>3</v>
      </c>
      <c r="AB24" s="139">
        <f t="shared" ca="1" si="28"/>
        <v>0</v>
      </c>
      <c r="AC24" s="140">
        <f t="shared" ca="1" si="28"/>
        <v>3</v>
      </c>
      <c r="AD24" s="143">
        <f t="shared" ca="1" si="28"/>
        <v>93</v>
      </c>
      <c r="AE24" s="144">
        <f t="shared" ca="1" si="28"/>
        <v>42</v>
      </c>
      <c r="AF24" s="144">
        <f t="shared" ca="1" si="28"/>
        <v>51</v>
      </c>
      <c r="AG24" s="144">
        <f t="shared" ca="1" si="28"/>
        <v>3</v>
      </c>
      <c r="AH24" s="144">
        <f t="shared" ca="1" si="28"/>
        <v>0</v>
      </c>
      <c r="AI24" s="145">
        <f t="shared" ca="1" si="28"/>
        <v>3</v>
      </c>
      <c r="AJ24" s="143">
        <f t="shared" si="28"/>
        <v>24</v>
      </c>
      <c r="AK24" s="144">
        <f t="shared" si="28"/>
        <v>69</v>
      </c>
      <c r="AL24" s="144">
        <f t="shared" ref="AL24" si="29">SUM(AL18:AL23)</f>
        <v>0</v>
      </c>
      <c r="AM24" s="144">
        <f t="shared" si="28"/>
        <v>3</v>
      </c>
      <c r="AN24" s="149"/>
      <c r="AO24" s="150"/>
      <c r="AP24" s="153">
        <f t="shared" ref="AP24:AS24" si="30">SUM(AP18:AP23)</f>
        <v>0</v>
      </c>
      <c r="AQ24" s="154">
        <f t="shared" si="30"/>
        <v>54</v>
      </c>
      <c r="AR24" s="154">
        <f t="shared" ref="AR24" si="31">SUM(AR18:AR23)</f>
        <v>38</v>
      </c>
      <c r="AS24" s="154">
        <f t="shared" si="30"/>
        <v>4</v>
      </c>
      <c r="AT24" s="155"/>
      <c r="AU24" s="156"/>
      <c r="AW24" s="822" t="s">
        <v>3595</v>
      </c>
      <c r="AX24" s="822"/>
      <c r="AY24" s="775">
        <f t="shared" ref="AY24:BA24" si="32">SUM(AY18:AY23)</f>
        <v>96</v>
      </c>
      <c r="AZ24" s="114">
        <f t="shared" si="32"/>
        <v>5574</v>
      </c>
      <c r="BA24" s="114">
        <f t="shared" si="32"/>
        <v>5382</v>
      </c>
      <c r="BB24" s="194">
        <f t="shared" si="26"/>
        <v>0.96555435952637247</v>
      </c>
      <c r="BC24" s="40">
        <f t="shared" ref="BC24" si="33">SUM(BC18:BC23)</f>
        <v>2360</v>
      </c>
      <c r="BD24" s="195">
        <f t="shared" si="27"/>
        <v>0.42339433082167205</v>
      </c>
    </row>
  </sheetData>
  <mergeCells count="46">
    <mergeCell ref="BC16:BC17"/>
    <mergeCell ref="BB16:BB17"/>
    <mergeCell ref="BA16:BA17"/>
    <mergeCell ref="AZ16:AZ17"/>
    <mergeCell ref="AW24:AX24"/>
    <mergeCell ref="AW16:AW17"/>
    <mergeCell ref="AX16:AX17"/>
    <mergeCell ref="AY16:AY17"/>
    <mergeCell ref="AW3:AW4"/>
    <mergeCell ref="AX3:AX4"/>
    <mergeCell ref="AY3:AY4"/>
    <mergeCell ref="AW2:BD2"/>
    <mergeCell ref="AW15:BD15"/>
    <mergeCell ref="AZ3:AZ4"/>
    <mergeCell ref="BD3:BD4"/>
    <mergeCell ref="BC3:BC4"/>
    <mergeCell ref="BB3:BB4"/>
    <mergeCell ref="BA3:BA4"/>
    <mergeCell ref="AW12:AX12"/>
    <mergeCell ref="BD16:BD17"/>
    <mergeCell ref="B12:C12"/>
    <mergeCell ref="B2:E2"/>
    <mergeCell ref="B3:B4"/>
    <mergeCell ref="C3:C4"/>
    <mergeCell ref="D3:D4"/>
    <mergeCell ref="E3:E4"/>
    <mergeCell ref="AP2:AU2"/>
    <mergeCell ref="AJ2:AO2"/>
    <mergeCell ref="E16:E17"/>
    <mergeCell ref="D16:D17"/>
    <mergeCell ref="AP15:AU15"/>
    <mergeCell ref="F15:K15"/>
    <mergeCell ref="L15:Q15"/>
    <mergeCell ref="R15:W15"/>
    <mergeCell ref="X15:AC15"/>
    <mergeCell ref="F2:K2"/>
    <mergeCell ref="R2:W2"/>
    <mergeCell ref="L2:Q2"/>
    <mergeCell ref="X2:AC2"/>
    <mergeCell ref="AD2:AI2"/>
    <mergeCell ref="B24:C24"/>
    <mergeCell ref="AJ15:AO15"/>
    <mergeCell ref="B16:B17"/>
    <mergeCell ref="C16:C17"/>
    <mergeCell ref="B15:E15"/>
    <mergeCell ref="AD15:AI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F3ADE-5ADF-42C3-8E64-BE2E31CBDEDB}">
  <sheetPr codeName="Sheet4"/>
  <dimension ref="A1:J30"/>
  <sheetViews>
    <sheetView topLeftCell="A3" zoomScale="70" zoomScaleNormal="70" workbookViewId="0">
      <selection activeCell="J10" sqref="J10:J30"/>
    </sheetView>
  </sheetViews>
  <sheetFormatPr defaultColWidth="9" defaultRowHeight="15" x14ac:dyDescent="0.25"/>
  <cols>
    <col min="1" max="2" width="3.42578125" style="72" customWidth="1"/>
    <col min="3" max="3" width="22" style="4" bestFit="1" customWidth="1"/>
    <col min="4" max="8" width="14.42578125" style="4" customWidth="1"/>
    <col min="9" max="16384" width="9" style="4"/>
  </cols>
  <sheetData>
    <row r="1" spans="1:10" ht="15.75" thickBot="1" x14ac:dyDescent="0.3"/>
    <row r="2" spans="1:10" ht="34.5" customHeight="1" thickBot="1" x14ac:dyDescent="0.3">
      <c r="A2" s="272">
        <v>46113</v>
      </c>
      <c r="B2" s="72" t="s">
        <v>3597</v>
      </c>
      <c r="C2" s="622" t="s">
        <v>3565</v>
      </c>
      <c r="D2" s="622" t="s">
        <v>3598</v>
      </c>
      <c r="E2" s="622" t="s">
        <v>3599</v>
      </c>
      <c r="F2" s="622" t="s">
        <v>3600</v>
      </c>
      <c r="G2" s="622" t="s">
        <v>3499</v>
      </c>
      <c r="H2" s="622" t="s">
        <v>3601</v>
      </c>
    </row>
    <row r="3" spans="1:10" ht="34.5" customHeight="1" thickBot="1" x14ac:dyDescent="0.3">
      <c r="A3" s="271" t="s">
        <v>1818</v>
      </c>
      <c r="B3" s="72">
        <f>COUNTIFS('Database MK'!$G$4:$G$469,'Exsum Apr 26'!$A$2,'Database MK'!$D$4:$D$469,'Exsum Apr 26'!$C3)</f>
        <v>0</v>
      </c>
      <c r="C3" s="623" t="s">
        <v>244</v>
      </c>
      <c r="D3" s="624">
        <f>COUNTIFS('Database MK'!$G$4:$G$469,'Exsum Apr 26'!$A$2,'Database MK'!$D$4:$D$469,'Exsum Apr 26'!$C3,'Database MK'!$J$4:$J$469,'Exsum Apr 26'!$A$3)</f>
        <v>0</v>
      </c>
      <c r="E3" s="624">
        <f>COUNTIFS('Database MK'!$G$4:$G$469,'Exsum Apr 26'!$A$2,'Database MK'!$D$4:$D$469,'Exsum Apr 26'!$C3,'Database MK'!$J$4:$J$469,'Exsum Apr 26'!$A$3,'Database MK'!$Q$4:$Q$469,'Exsum Apr 26'!$A$4)</f>
        <v>0</v>
      </c>
      <c r="F3" s="624">
        <v>0</v>
      </c>
      <c r="G3" s="624">
        <f>COUNTIFS('Database MK'!$G$4:$G$469,DATE(2026,4,1),'Database MK'!$J$4:$J$469,"TOK +90 Hari",'Database MK'!$Q$4:$Q$469,"Proses Konstruksi",'Database MK'!$D$4:$D$469,'Exsum Apr 26'!$C3)</f>
        <v>0</v>
      </c>
      <c r="H3" s="624">
        <f>COUNTIFS('Database MK'!$G$4:$G$469,DATE(2026,4,1),'Database MK'!$J$4:$J$469,"TOK +90 Hari",'Database MK'!$Q$4:$Q$469,"&lt;&gt;BATAL / CANCEL",'Database MK'!$Q$4:$Q$469,"&lt;&gt;Proses Konstruksi",'Database MK'!$D$4:$D$469,'Exsum Apr 26'!$C3)</f>
        <v>0</v>
      </c>
    </row>
    <row r="4" spans="1:10" ht="34.5" customHeight="1" thickBot="1" x14ac:dyDescent="0.3">
      <c r="A4" s="621" t="s">
        <v>389</v>
      </c>
      <c r="B4" s="72">
        <f>COUNTIFS('Database MK'!$G$4:$G$469,'Exsum Apr 26'!$A$2,'Database MK'!$D$4:$D$469,'Exsum Apr 26'!$C4)</f>
        <v>0</v>
      </c>
      <c r="C4" s="623" t="s">
        <v>673</v>
      </c>
      <c r="D4" s="624">
        <f>COUNTIFS('Database MK'!$G$4:$G$469,'Exsum Apr 26'!$A$2,'Database MK'!$D$4:$D$469,'Exsum Apr 26'!$C4,'Database MK'!$J$4:$J$469,'Exsum Apr 26'!$A$3)</f>
        <v>0</v>
      </c>
      <c r="E4" s="624">
        <f>COUNTIFS('Database MK'!$G$4:$G$469,'Exsum Apr 26'!$A$2,'Database MK'!$D$4:$D$469,'Exsum Apr 26'!$C4,'Database MK'!$J$4:$J$469,'Exsum Apr 26'!$A$3,'Database MK'!$Q$4:$Q$469,'Exsum Apr 26'!$A$4)</f>
        <v>0</v>
      </c>
      <c r="F4" s="624">
        <v>0</v>
      </c>
      <c r="G4" s="624">
        <f>COUNTIFS('Database MK'!$G$4:$G$469,DATE(2026,4,1),'Database MK'!$J$4:$J$469,"TOK +90 Hari",'Database MK'!$Q$4:$Q$469,"Proses Konstruksi",'Database MK'!$D$4:$D$469,'Exsum Apr 26'!$C4)</f>
        <v>0</v>
      </c>
      <c r="H4" s="624">
        <f>COUNTIFS('Database MK'!$G$4:$G$469,DATE(2026,4,1),'Database MK'!$J$4:$J$469,"TOK +90 Hari",'Database MK'!$Q$4:$Q$469,"&lt;&gt;BATAL / CANCEL",'Database MK'!$Q$4:$Q$469,"&lt;&gt;Proses Konstruksi",'Database MK'!$D$4:$D$469,'Exsum Apr 26'!$C4)</f>
        <v>0</v>
      </c>
    </row>
    <row r="5" spans="1:10" ht="34.5" customHeight="1" thickBot="1" x14ac:dyDescent="0.3">
      <c r="B5" s="72">
        <f>COUNTIFS('Database MK'!$G$4:$G$469,'Exsum Apr 26'!$A$2,'Database MK'!$D$4:$D$469,'Exsum Apr 26'!$C5)</f>
        <v>0</v>
      </c>
      <c r="C5" s="623" t="s">
        <v>629</v>
      </c>
      <c r="D5" s="624">
        <f>COUNTIFS('Database MK'!$G$4:$G$469,'Exsum Apr 26'!$A$2,'Database MK'!$D$4:$D$469,'Exsum Apr 26'!$C5,'Database MK'!$J$4:$J$469,'Exsum Apr 26'!$A$3)</f>
        <v>0</v>
      </c>
      <c r="E5" s="624">
        <f>COUNTIFS('Database MK'!$G$4:$G$469,'Exsum Apr 26'!$A$2,'Database MK'!$D$4:$D$469,'Exsum Apr 26'!$C5,'Database MK'!$J$4:$J$469,'Exsum Apr 26'!$A$3,'Database MK'!$Q$4:$Q$469,'Exsum Apr 26'!$A$4)</f>
        <v>0</v>
      </c>
      <c r="F5" s="624">
        <v>0</v>
      </c>
      <c r="G5" s="624">
        <f>COUNTIFS('Database MK'!$G$4:$G$469,DATE(2026,4,1),'Database MK'!$J$4:$J$469,"TOK +90 Hari",'Database MK'!$Q$4:$Q$469,"Proses Konstruksi",'Database MK'!$D$4:$D$469,'Exsum Apr 26'!$C5)</f>
        <v>0</v>
      </c>
      <c r="H5" s="624">
        <f>COUNTIFS('Database MK'!$G$4:$G$469,DATE(2026,4,1),'Database MK'!$J$4:$J$469,"TOK +90 Hari",'Database MK'!$Q$4:$Q$469,"&lt;&gt;BATAL / CANCEL",'Database MK'!$Q$4:$Q$469,"&lt;&gt;Proses Konstruksi",'Database MK'!$D$4:$D$469,'Exsum Apr 26'!$C5)</f>
        <v>0</v>
      </c>
    </row>
    <row r="6" spans="1:10" ht="34.5" customHeight="1" thickBot="1" x14ac:dyDescent="0.3">
      <c r="B6" s="72">
        <f>SUM(B3:B5)</f>
        <v>0</v>
      </c>
      <c r="C6" s="622" t="s">
        <v>3595</v>
      </c>
      <c r="D6" s="624">
        <f t="shared" ref="D6:H6" si="0">SUM(D3:D5)</f>
        <v>0</v>
      </c>
      <c r="E6" s="624">
        <f t="shared" si="0"/>
        <v>0</v>
      </c>
      <c r="F6" s="624">
        <f t="shared" si="0"/>
        <v>0</v>
      </c>
      <c r="G6" s="624">
        <f t="shared" si="0"/>
        <v>0</v>
      </c>
      <c r="H6" s="624">
        <f t="shared" si="0"/>
        <v>0</v>
      </c>
    </row>
    <row r="8" spans="1:10" ht="15.75" thickBot="1" x14ac:dyDescent="0.3"/>
    <row r="9" spans="1:10" ht="15.75" thickBot="1" x14ac:dyDescent="0.3">
      <c r="C9" s="767" t="s">
        <v>3602</v>
      </c>
      <c r="D9" s="768" t="s">
        <v>3603</v>
      </c>
      <c r="E9" s="768" t="s">
        <v>3604</v>
      </c>
      <c r="F9" s="768" t="s">
        <v>3605</v>
      </c>
      <c r="G9" s="768" t="s">
        <v>3606</v>
      </c>
      <c r="H9" s="768" t="s">
        <v>1266</v>
      </c>
      <c r="I9" s="769" t="s">
        <v>3598</v>
      </c>
      <c r="J9" s="769" t="s">
        <v>3607</v>
      </c>
    </row>
    <row r="10" spans="1:10" ht="15.75" thickBot="1" x14ac:dyDescent="0.25">
      <c r="A10" s="765" t="s">
        <v>3608</v>
      </c>
      <c r="C10" s="766" t="s">
        <v>3609</v>
      </c>
      <c r="D10" s="770">
        <f>COUNTIFS('Monitoring BIM April 2026'!$G$7:$G$116,'Exsum Apr 26'!$A$10,'Monitoring BIM April 2026'!$BC$7:$BC$116,D$9)</f>
        <v>32</v>
      </c>
      <c r="E10" s="770">
        <f>COUNTIFS('Monitoring BIM April 2026'!$G$7:$G$116,'Exsum Apr 26'!$A$10,'Monitoring BIM April 2026'!$BC$7:$BC$116,E$9)</f>
        <v>0</v>
      </c>
      <c r="F10" s="770">
        <f>COUNTIFS('Monitoring BIM April 2026'!$G$7:$G$116,'Exsum Apr 26'!$A$10,'Monitoring BIM April 2026'!$BC$7:$BC$116,F$9)</f>
        <v>0</v>
      </c>
      <c r="G10" s="770">
        <f>COUNTIFS('Monitoring BIM April 2026'!$G$7:$G$116,'Exsum Apr 26'!$A$10,'Monitoring BIM April 2026'!$BC$7:$BC$116,G$9)</f>
        <v>16</v>
      </c>
      <c r="H10" s="770">
        <f>COUNTIFS('Monitoring BIM April 2026'!$G$7:$G$116,'Exsum Apr 26'!$A$10,'Monitoring BIM April 2026'!$BC$7:$BC$116,H$9)</f>
        <v>0</v>
      </c>
      <c r="I10" s="769">
        <f>SUM(D10:H10)</f>
        <v>48</v>
      </c>
      <c r="J10" s="771">
        <f>G10/I10</f>
        <v>0.33333333333333331</v>
      </c>
    </row>
    <row r="11" spans="1:10" ht="15.75" thickBot="1" x14ac:dyDescent="0.25">
      <c r="A11" s="765"/>
      <c r="C11" s="766" t="s">
        <v>3610</v>
      </c>
      <c r="D11" s="770">
        <f>COUNTIFS('Monitoring BIM April 2026'!$G$7:$G$116,'Exsum Apr 26'!$A$10,'Monitoring BIM April 2026'!$U$7:$U$116,D$9)</f>
        <v>18</v>
      </c>
      <c r="E11" s="770">
        <f>COUNTIFS('Monitoring BIM April 2026'!$G$7:$G$116,'Exsum Apr 26'!$A$10,'Monitoring BIM April 2026'!$U$7:$U$116,E$9)</f>
        <v>1</v>
      </c>
      <c r="F11" s="770">
        <f>COUNTIFS('Monitoring BIM April 2026'!$G$7:$G$116,'Exsum Apr 26'!$A$10,'Monitoring BIM April 2026'!$U$7:$U$116,F$9)</f>
        <v>0</v>
      </c>
      <c r="G11" s="770">
        <f>COUNTIFS('Monitoring BIM April 2026'!$G$7:$G$116,'Exsum Apr 26'!$A$10,'Monitoring BIM April 2026'!$U$7:$U$116,G$9)</f>
        <v>29</v>
      </c>
      <c r="H11" s="770">
        <f>COUNTIFS('Monitoring BIM April 2026'!$G$7:$G$116,'Exsum Apr 26'!$A$10,'Monitoring BIM April 2026'!$U$7:$U$116,H$9)</f>
        <v>0</v>
      </c>
      <c r="I11" s="769">
        <f t="shared" ref="I11:I30" si="1">SUM(D11:G11)</f>
        <v>48</v>
      </c>
      <c r="J11" s="771">
        <f t="shared" ref="J11:J30" si="2">G11/I11</f>
        <v>0.60416666666666663</v>
      </c>
    </row>
    <row r="12" spans="1:10" ht="15.75" thickBot="1" x14ac:dyDescent="0.25">
      <c r="C12" s="766" t="s">
        <v>3611</v>
      </c>
      <c r="D12" s="770">
        <f>COUNTIFS('Monitoring BIM April 2026'!$G$7:$G$116,'Exsum Apr 26'!$A$10,'Monitoring BIM April 2026'!$AE$7:$AE$116,D$9)</f>
        <v>3</v>
      </c>
      <c r="E12" s="770">
        <f>COUNTIFS('Monitoring BIM April 2026'!$G$7:$G$116,'Exsum Apr 26'!$A$10,'Monitoring BIM April 2026'!$AE$7:$AE$116,E$9)</f>
        <v>0</v>
      </c>
      <c r="F12" s="770">
        <f>COUNTIFS('Monitoring BIM April 2026'!$G$7:$G$116,'Exsum Apr 26'!$A$10,'Monitoring BIM April 2026'!$AE$7:$AE$116,F$9)</f>
        <v>0</v>
      </c>
      <c r="G12" s="770">
        <f>COUNTIFS('Monitoring BIM April 2026'!$G$7:$G$116,'Exsum Apr 26'!$A$10,'Monitoring BIM April 2026'!$AE$7:$AE$116,G$9)</f>
        <v>45</v>
      </c>
      <c r="H12" s="770">
        <f>COUNTIFS('Monitoring BIM April 2026'!$G$7:$G$116,'Exsum Apr 26'!$A$10,'Monitoring BIM April 2026'!$AE$7:$AE$116,H$9)</f>
        <v>0</v>
      </c>
      <c r="I12" s="769">
        <f t="shared" si="1"/>
        <v>48</v>
      </c>
      <c r="J12" s="771">
        <f t="shared" si="2"/>
        <v>0.9375</v>
      </c>
    </row>
    <row r="13" spans="1:10" ht="15.75" thickBot="1" x14ac:dyDescent="0.25">
      <c r="C13" s="766" t="s">
        <v>3612</v>
      </c>
      <c r="D13" s="770">
        <f>COUNTIFS('Monitoring BIM April 2026'!$G$7:$G$116,'Exsum Apr 26'!$A$10,'Monitoring BIM April 2026'!$AW$7:$AW$116,D$9)</f>
        <v>21</v>
      </c>
      <c r="E13" s="770">
        <f>COUNTIFS('Monitoring BIM April 2026'!$G$7:$G$116,'Exsum Apr 26'!$A$10,'Monitoring BIM April 2026'!$AW$7:$AW$116,E$9)</f>
        <v>1</v>
      </c>
      <c r="F13" s="770">
        <f>COUNTIFS('Monitoring BIM April 2026'!$G$7:$G$116,'Exsum Apr 26'!$A$10,'Monitoring BIM April 2026'!$AW$7:$AW$116,F$9)</f>
        <v>0</v>
      </c>
      <c r="G13" s="770">
        <f>COUNTIFS('Monitoring BIM April 2026'!$G$7:$G$116,'Exsum Apr 26'!$A$10,'Monitoring BIM April 2026'!$AW$7:$AW$116,G$9)</f>
        <v>26</v>
      </c>
      <c r="H13" s="770">
        <f>COUNTIFS('Monitoring BIM April 2026'!$G$7:$G$116,'Exsum Apr 26'!$A$10,'Monitoring BIM April 2026'!$AW$7:$AW$116,H$9)</f>
        <v>0</v>
      </c>
      <c r="I13" s="769">
        <f t="shared" si="1"/>
        <v>48</v>
      </c>
      <c r="J13" s="771">
        <f t="shared" si="2"/>
        <v>0.54166666666666663</v>
      </c>
    </row>
    <row r="14" spans="1:10" ht="15.75" thickBot="1" x14ac:dyDescent="0.25">
      <c r="C14" s="766" t="s">
        <v>3613</v>
      </c>
      <c r="D14" s="770">
        <f>COUNTIFS('Monitoring BIM April 2026'!$G$7:$G$116,'Exsum Apr 26'!$A$10,'Monitoring BIM April 2026'!$AY$7:$AY$116,D$9)</f>
        <v>44</v>
      </c>
      <c r="E14" s="770">
        <f>COUNTIFS('Monitoring BIM April 2026'!$G$7:$G$116,'Exsum Apr 26'!$A$10,'Monitoring BIM April 2026'!$AY$7:$AY$116,E$9)</f>
        <v>0</v>
      </c>
      <c r="F14" s="770">
        <f>COUNTIFS('Monitoring BIM April 2026'!$G$7:$G$116,'Exsum Apr 26'!$A$10,'Monitoring BIM April 2026'!$AY$7:$AY$116,F$9)</f>
        <v>0</v>
      </c>
      <c r="G14" s="770">
        <f>COUNTIFS('Monitoring BIM April 2026'!$G$7:$G$116,'Exsum Apr 26'!$A$10,'Monitoring BIM April 2026'!$AY$7:$AY$116,G$9)</f>
        <v>4</v>
      </c>
      <c r="H14" s="770">
        <f>COUNTIFS('Monitoring BIM April 2026'!$G$7:$G$116,'Exsum Apr 26'!$A$10,'Monitoring BIM April 2026'!$AY$7:$AY$116,H$9)</f>
        <v>0</v>
      </c>
      <c r="I14" s="769">
        <f t="shared" si="1"/>
        <v>48</v>
      </c>
      <c r="J14" s="771">
        <f t="shared" si="2"/>
        <v>8.3333333333333329E-2</v>
      </c>
    </row>
    <row r="15" spans="1:10" ht="15.75" thickBot="1" x14ac:dyDescent="0.25">
      <c r="C15" s="766" t="s">
        <v>3614</v>
      </c>
      <c r="D15" s="770">
        <f>COUNTIFS('Monitoring BIM April 2026'!$G$7:$G$116,'Exsum Apr 26'!$A$10,'Monitoring BIM April 2026'!$BA$7:$BA$116,D$9)</f>
        <v>35</v>
      </c>
      <c r="E15" s="770">
        <f>COUNTIFS('Monitoring BIM April 2026'!$G$7:$G$116,'Exsum Apr 26'!$A$10,'Monitoring BIM April 2026'!$BA$7:$BA$116,E$9)</f>
        <v>0</v>
      </c>
      <c r="F15" s="770">
        <f>COUNTIFS('Monitoring BIM April 2026'!$G$7:$G$116,'Exsum Apr 26'!$A$10,'Monitoring BIM April 2026'!$BA$7:$BA$116,F$9)</f>
        <v>0</v>
      </c>
      <c r="G15" s="770">
        <f>COUNTIFS('Monitoring BIM April 2026'!$G$7:$G$116,'Exsum Apr 26'!$A$10,'Monitoring BIM April 2026'!$BA$7:$BA$116,G$9)</f>
        <v>13</v>
      </c>
      <c r="H15" s="770">
        <f>COUNTIFS('Monitoring BIM April 2026'!$G$7:$G$116,'Exsum Apr 26'!$A$10,'Monitoring BIM April 2026'!$BA$7:$BA$116,H$9)</f>
        <v>0</v>
      </c>
      <c r="I15" s="769">
        <f t="shared" si="1"/>
        <v>48</v>
      </c>
      <c r="J15" s="771">
        <f t="shared" si="2"/>
        <v>0.27083333333333331</v>
      </c>
    </row>
    <row r="16" spans="1:10" ht="15.75" thickBot="1" x14ac:dyDescent="0.25">
      <c r="C16" s="766" t="s">
        <v>3615</v>
      </c>
      <c r="D16" s="770">
        <f>COUNTIFS('Monitoring BIM April 2026'!$G$7:$G$116,'Exsum Apr 26'!$A$10,'Monitoring BIM April 2026'!$AM$7:$AM$116,D$9)</f>
        <v>22</v>
      </c>
      <c r="E16" s="770">
        <f>COUNTIFS('Monitoring BIM April 2026'!$G$7:$G$116,'Exsum Apr 26'!$A$10,'Monitoring BIM April 2026'!$AM$7:$AM$116,E$9)</f>
        <v>0</v>
      </c>
      <c r="F16" s="770">
        <f>COUNTIFS('Monitoring BIM April 2026'!$G$7:$G$116,'Exsum Apr 26'!$A$10,'Monitoring BIM April 2026'!$AM$7:$AM$116,F$9)</f>
        <v>0</v>
      </c>
      <c r="G16" s="770">
        <f>COUNTIFS('Monitoring BIM April 2026'!$G$7:$G$116,'Exsum Apr 26'!$A$10,'Monitoring BIM April 2026'!$AM$7:$AM$116,G$9)</f>
        <v>26</v>
      </c>
      <c r="H16" s="770">
        <f>COUNTIFS('Monitoring BIM April 2026'!$G$7:$G$116,'Exsum Apr 26'!$A$10,'Monitoring BIM April 2026'!$AM$7:$AM$116,H$9)</f>
        <v>0</v>
      </c>
      <c r="I16" s="769">
        <f t="shared" si="1"/>
        <v>48</v>
      </c>
      <c r="J16" s="771">
        <f t="shared" si="2"/>
        <v>0.54166666666666663</v>
      </c>
    </row>
    <row r="17" spans="3:10" ht="15.75" thickBot="1" x14ac:dyDescent="0.25">
      <c r="C17" s="766" t="s">
        <v>3616</v>
      </c>
      <c r="D17" s="770">
        <f>COUNTIFS('Monitoring BIM April 2026'!$G$7:$G$116,'Exsum Apr 26'!$A$10,'Monitoring BIM April 2026'!$AO$7:$AO$116,D$9)</f>
        <v>38</v>
      </c>
      <c r="E17" s="770">
        <f>COUNTIFS('Monitoring BIM April 2026'!$G$7:$G$116,'Exsum Apr 26'!$A$10,'Monitoring BIM April 2026'!$AO$7:$AO$116,E$9)</f>
        <v>0</v>
      </c>
      <c r="F17" s="770">
        <f>COUNTIFS('Monitoring BIM April 2026'!$G$7:$G$116,'Exsum Apr 26'!$A$10,'Monitoring BIM April 2026'!$AO$7:$AO$116,F$9)</f>
        <v>0</v>
      </c>
      <c r="G17" s="770">
        <f>COUNTIFS('Monitoring BIM April 2026'!$G$7:$G$116,'Exsum Apr 26'!$A$10,'Monitoring BIM April 2026'!$AO$7:$AO$116,G$9)</f>
        <v>10</v>
      </c>
      <c r="H17" s="770">
        <f>COUNTIFS('Monitoring BIM April 2026'!$G$7:$G$116,'Exsum Apr 26'!$A$10,'Monitoring BIM April 2026'!$AO$7:$AO$116,H$9)</f>
        <v>0</v>
      </c>
      <c r="I17" s="769">
        <f t="shared" si="1"/>
        <v>48</v>
      </c>
      <c r="J17" s="771">
        <f t="shared" si="2"/>
        <v>0.20833333333333334</v>
      </c>
    </row>
    <row r="18" spans="3:10" ht="15.75" thickBot="1" x14ac:dyDescent="0.25">
      <c r="C18" s="766" t="s">
        <v>3617</v>
      </c>
      <c r="D18" s="770">
        <f>COUNTIFS('Monitoring BIM April 2026'!$G$7:$G$116,'Exsum Apr 26'!$A$10,'Monitoring BIM April 2026'!$AQ$7:$AQ$116,D$9)</f>
        <v>35</v>
      </c>
      <c r="E18" s="770">
        <f>COUNTIFS('Monitoring BIM April 2026'!$G$7:$G$116,'Exsum Apr 26'!$A$10,'Monitoring BIM April 2026'!$AQ$7:$AQ$116,E$9)</f>
        <v>0</v>
      </c>
      <c r="F18" s="770">
        <f>COUNTIFS('Monitoring BIM April 2026'!$G$7:$G$116,'Exsum Apr 26'!$A$10,'Monitoring BIM April 2026'!$AQ$7:$AQ$116,F$9)</f>
        <v>0</v>
      </c>
      <c r="G18" s="770">
        <f>COUNTIFS('Monitoring BIM April 2026'!$G$7:$G$116,'Exsum Apr 26'!$A$10,'Monitoring BIM April 2026'!$AQ$7:$AQ$116,G$9)</f>
        <v>13</v>
      </c>
      <c r="H18" s="770">
        <f>COUNTIFS('Monitoring BIM April 2026'!$G$7:$G$116,'Exsum Apr 26'!$A$10,'Monitoring BIM April 2026'!$AQ$7:$AQ$116,H$9)</f>
        <v>0</v>
      </c>
      <c r="I18" s="769">
        <f t="shared" si="1"/>
        <v>48</v>
      </c>
      <c r="J18" s="771">
        <f t="shared" si="2"/>
        <v>0.27083333333333331</v>
      </c>
    </row>
    <row r="19" spans="3:10" ht="15.75" thickBot="1" x14ac:dyDescent="0.25">
      <c r="C19" s="766" t="s">
        <v>3618</v>
      </c>
      <c r="D19" s="770">
        <f>COUNTIFS('Monitoring BIM April 2026'!$G$7:$G$116,'Exsum Apr 26'!$A$10,'Monitoring BIM April 2026'!$AC$7:$AC$116,D$9)</f>
        <v>38</v>
      </c>
      <c r="E19" s="770">
        <f>COUNTIFS('Monitoring BIM April 2026'!$G$7:$G$116,'Exsum Apr 26'!$A$10,'Monitoring BIM April 2026'!$AC$7:$AC$116,E$9)</f>
        <v>0</v>
      </c>
      <c r="F19" s="770">
        <f>COUNTIFS('Monitoring BIM April 2026'!$G$7:$G$116,'Exsum Apr 26'!$A$10,'Monitoring BIM April 2026'!$AC$7:$AC$116,F$9)</f>
        <v>0</v>
      </c>
      <c r="G19" s="770">
        <f>COUNTIFS('Monitoring BIM April 2026'!$G$7:$G$116,'Exsum Apr 26'!$A$10,'Monitoring BIM April 2026'!$AC$7:$AC$116,G$9)</f>
        <v>10</v>
      </c>
      <c r="H19" s="770">
        <f>COUNTIFS('Monitoring BIM April 2026'!$G$7:$G$116,'Exsum Apr 26'!$A$10,'Monitoring BIM April 2026'!$AC$7:$AC$116,H$9)</f>
        <v>0</v>
      </c>
      <c r="I19" s="769">
        <f t="shared" si="1"/>
        <v>48</v>
      </c>
      <c r="J19" s="771">
        <f t="shared" si="2"/>
        <v>0.20833333333333334</v>
      </c>
    </row>
    <row r="20" spans="3:10" ht="15.75" thickBot="1" x14ac:dyDescent="0.25">
      <c r="C20" s="766" t="s">
        <v>3619</v>
      </c>
      <c r="D20" s="770">
        <f>COUNTIFS('Monitoring BIM April 2026'!$G$7:$G$116,'Exsum Apr 26'!$A$10,'Monitoring BIM April 2026'!$AK$7:$AK$116,D$9)</f>
        <v>38</v>
      </c>
      <c r="E20" s="770">
        <f>COUNTIFS('Monitoring BIM April 2026'!$G$7:$G$116,'Exsum Apr 26'!$A$10,'Monitoring BIM April 2026'!$AK$7:$AK$116,E$9)</f>
        <v>0</v>
      </c>
      <c r="F20" s="770">
        <f>COUNTIFS('Monitoring BIM April 2026'!$G$7:$G$116,'Exsum Apr 26'!$A$10,'Monitoring BIM April 2026'!$AK$7:$AK$116,F$9)</f>
        <v>0</v>
      </c>
      <c r="G20" s="770">
        <f>COUNTIFS('Monitoring BIM April 2026'!$G$7:$G$116,'Exsum Apr 26'!$A$10,'Monitoring BIM April 2026'!$AK$7:$AK$116,G$9)</f>
        <v>10</v>
      </c>
      <c r="H20" s="770">
        <f>COUNTIFS('Monitoring BIM April 2026'!$G$7:$G$116,'Exsum Apr 26'!$A$10,'Monitoring BIM April 2026'!$AK$7:$AK$116,H$9)</f>
        <v>0</v>
      </c>
      <c r="I20" s="769">
        <f t="shared" si="1"/>
        <v>48</v>
      </c>
      <c r="J20" s="771">
        <f t="shared" si="2"/>
        <v>0.20833333333333334</v>
      </c>
    </row>
    <row r="21" spans="3:10" ht="15.75" thickBot="1" x14ac:dyDescent="0.25">
      <c r="C21" s="766" t="s">
        <v>3620</v>
      </c>
      <c r="D21" s="770">
        <f>COUNTIFS('Monitoring BIM April 2026'!$G$7:$G$116,'Exsum Apr 26'!$A$10,'Monitoring BIM April 2026'!$O$7:$O$116,D$9)</f>
        <v>45</v>
      </c>
      <c r="E21" s="770">
        <f>COUNTIFS('Monitoring BIM April 2026'!$G$7:$G$116,'Exsum Apr 26'!$A$10,'Monitoring BIM April 2026'!$O$7:$O$116,E$9)</f>
        <v>0</v>
      </c>
      <c r="F21" s="770">
        <f>COUNTIFS('Monitoring BIM April 2026'!$G$7:$G$116,'Exsum Apr 26'!$A$10,'Monitoring BIM April 2026'!$O$7:$O$116,F$9)</f>
        <v>0</v>
      </c>
      <c r="G21" s="770">
        <f>COUNTIFS('Monitoring BIM April 2026'!$G$7:$G$116,'Exsum Apr 26'!$A$10,'Monitoring BIM April 2026'!$O$7:$O$116,G$9)</f>
        <v>3</v>
      </c>
      <c r="H21" s="770">
        <f>COUNTIFS('Monitoring BIM April 2026'!$G$7:$G$116,'Exsum Apr 26'!$A$10,'Monitoring BIM April 2026'!$O$7:$O$116,H$9)</f>
        <v>0</v>
      </c>
      <c r="I21" s="769">
        <f t="shared" si="1"/>
        <v>48</v>
      </c>
      <c r="J21" s="771">
        <f t="shared" si="2"/>
        <v>6.25E-2</v>
      </c>
    </row>
    <row r="22" spans="3:10" ht="15.75" thickBot="1" x14ac:dyDescent="0.25">
      <c r="C22" s="766" t="s">
        <v>3621</v>
      </c>
      <c r="D22" s="770">
        <f>COUNTIFS('Monitoring BIM April 2026'!$G$7:$G$116,'Exsum Apr 26'!$A$10,'Monitoring BIM April 2026'!$BE$7:$BE$116,D$9)</f>
        <v>6</v>
      </c>
      <c r="E22" s="770">
        <f>COUNTIFS('Monitoring BIM April 2026'!$G$7:$G$116,'Exsum Apr 26'!$A$10,'Monitoring BIM April 2026'!$BE$7:$BE$116,E$9)</f>
        <v>26</v>
      </c>
      <c r="F22" s="770">
        <f>COUNTIFS('Monitoring BIM April 2026'!$G$7:$G$116,'Exsum Apr 26'!$A$10,'Monitoring BIM April 2026'!$BE$7:$BE$116,F$9)</f>
        <v>0</v>
      </c>
      <c r="G22" s="770">
        <f>COUNTIFS('Monitoring BIM April 2026'!$G$7:$G$116,'Exsum Apr 26'!$A$10,'Monitoring BIM April 2026'!$BE$7:$BE$116,G$9)</f>
        <v>16</v>
      </c>
      <c r="H22" s="770">
        <f>COUNTIFS('Monitoring BIM April 2026'!$G$7:$G$116,'Exsum Apr 26'!$A$10,'Monitoring BIM April 2026'!$BE$7:$BE$116,H$9)</f>
        <v>0</v>
      </c>
      <c r="I22" s="769">
        <f t="shared" si="1"/>
        <v>48</v>
      </c>
      <c r="J22" s="771">
        <f t="shared" si="2"/>
        <v>0.33333333333333331</v>
      </c>
    </row>
    <row r="23" spans="3:10" ht="15.75" thickBot="1" x14ac:dyDescent="0.25">
      <c r="C23" s="766" t="s">
        <v>3622</v>
      </c>
      <c r="D23" s="770">
        <f>COUNTIFS('Monitoring BIM April 2026'!$G$7:$G$116,'Exsum Apr 26'!$A$10,'Monitoring BIM April 2026'!$Q$7:$Q$116,D$9)</f>
        <v>42</v>
      </c>
      <c r="E23" s="770">
        <f>COUNTIFS('Monitoring BIM April 2026'!$G$7:$G$116,'Exsum Apr 26'!$A$10,'Monitoring BIM April 2026'!$Q$7:$Q$116,E$9)</f>
        <v>2</v>
      </c>
      <c r="F23" s="770">
        <f>COUNTIFS('Monitoring BIM April 2026'!$G$7:$G$116,'Exsum Apr 26'!$A$10,'Monitoring BIM April 2026'!$Q$7:$Q$116,F$9)</f>
        <v>3</v>
      </c>
      <c r="G23" s="770">
        <f>COUNTIFS('Monitoring BIM April 2026'!$G$7:$G$116,'Exsum Apr 26'!$A$10,'Monitoring BIM April 2026'!$Q$7:$Q$116,G$9)</f>
        <v>1</v>
      </c>
      <c r="H23" s="770">
        <f>COUNTIFS('Monitoring BIM April 2026'!$G$7:$G$116,'Exsum Apr 26'!$A$10,'Monitoring BIM April 2026'!$Q$7:$Q$116,H$9)</f>
        <v>0</v>
      </c>
      <c r="I23" s="769">
        <f t="shared" si="1"/>
        <v>48</v>
      </c>
      <c r="J23" s="771">
        <f t="shared" si="2"/>
        <v>2.0833333333333332E-2</v>
      </c>
    </row>
    <row r="24" spans="3:10" ht="15.75" thickBot="1" x14ac:dyDescent="0.25">
      <c r="C24" s="766" t="s">
        <v>3623</v>
      </c>
      <c r="D24" s="770">
        <f>COUNTIFS('Monitoring BIM April 2026'!$G$7:$G$116,'Exsum Apr 26'!$A$10,'Monitoring BIM April 2026'!$AI$7:$AI$116,D$9)</f>
        <v>43</v>
      </c>
      <c r="E24" s="770">
        <f>COUNTIFS('Monitoring BIM April 2026'!$G$7:$G$116,'Exsum Apr 26'!$A$10,'Monitoring BIM April 2026'!$AI$7:$AI$116,E$9)</f>
        <v>0</v>
      </c>
      <c r="F24" s="770">
        <f>COUNTIFS('Monitoring BIM April 2026'!$G$7:$G$116,'Exsum Apr 26'!$A$10,'Monitoring BIM April 2026'!$AI$7:$AI$116,F$9)</f>
        <v>0</v>
      </c>
      <c r="G24" s="770">
        <f>COUNTIFS('Monitoring BIM April 2026'!$G$7:$G$116,'Exsum Apr 26'!$A$10,'Monitoring BIM April 2026'!$AI$7:$AI$116,G$9)</f>
        <v>5</v>
      </c>
      <c r="H24" s="770">
        <f>COUNTIFS('Monitoring BIM April 2026'!$G$7:$G$116,'Exsum Apr 26'!$A$10,'Monitoring BIM April 2026'!$AI$7:$AI$116,H$9)</f>
        <v>0</v>
      </c>
      <c r="I24" s="769">
        <f t="shared" si="1"/>
        <v>48</v>
      </c>
      <c r="J24" s="771">
        <f t="shared" si="2"/>
        <v>0.10416666666666667</v>
      </c>
    </row>
    <row r="25" spans="3:10" ht="15.75" thickBot="1" x14ac:dyDescent="0.25">
      <c r="C25" s="766" t="s">
        <v>3624</v>
      </c>
      <c r="D25" s="770">
        <f>COUNTIFS('Monitoring BIM April 2026'!$G$7:$G$116,'Exsum Apr 26'!$A$10,'Monitoring BIM April 2026'!$AG$7:$AG$116,D$9)</f>
        <v>47</v>
      </c>
      <c r="E25" s="770">
        <f>COUNTIFS('Monitoring BIM April 2026'!$G$7:$G$116,'Exsum Apr 26'!$A$10,'Monitoring BIM April 2026'!$AG$7:$AG$116,E$9)</f>
        <v>0</v>
      </c>
      <c r="F25" s="770">
        <f>COUNTIFS('Monitoring BIM April 2026'!$G$7:$G$116,'Exsum Apr 26'!$A$10,'Monitoring BIM April 2026'!$AG$7:$AG$116,F$9)</f>
        <v>0</v>
      </c>
      <c r="G25" s="770">
        <f>COUNTIFS('Monitoring BIM April 2026'!$G$7:$G$116,'Exsum Apr 26'!$A$10,'Monitoring BIM April 2026'!$AG$7:$AG$116,G$9)</f>
        <v>1</v>
      </c>
      <c r="H25" s="770">
        <f>COUNTIFS('Monitoring BIM April 2026'!$G$7:$G$116,'Exsum Apr 26'!$A$10,'Monitoring BIM April 2026'!$AG$7:$AG$116,H$9)</f>
        <v>0</v>
      </c>
      <c r="I25" s="769">
        <f t="shared" si="1"/>
        <v>48</v>
      </c>
      <c r="J25" s="771">
        <f t="shared" si="2"/>
        <v>2.0833333333333332E-2</v>
      </c>
    </row>
    <row r="26" spans="3:10" ht="15.75" thickBot="1" x14ac:dyDescent="0.25">
      <c r="C26" s="766" t="s">
        <v>3625</v>
      </c>
      <c r="D26" s="770">
        <f>COUNTIFS('Monitoring BIM April 2026'!$G$7:$G$116,'Exsum Apr 26'!$A$10,'Monitoring BIM April 2026'!$AS$7:$AS$116,D$9)</f>
        <v>42</v>
      </c>
      <c r="E26" s="770">
        <f>COUNTIFS('Monitoring BIM April 2026'!$G$7:$G$116,'Exsum Apr 26'!$A$10,'Monitoring BIM April 2026'!$AS$7:$AS$116,E$9)</f>
        <v>1</v>
      </c>
      <c r="F26" s="770">
        <f>COUNTIFS('Monitoring BIM April 2026'!$G$7:$G$116,'Exsum Apr 26'!$A$10,'Monitoring BIM April 2026'!$AS$7:$AS$116,F$9)</f>
        <v>0</v>
      </c>
      <c r="G26" s="770">
        <f>COUNTIFS('Monitoring BIM April 2026'!$G$7:$G$116,'Exsum Apr 26'!$A$10,'Monitoring BIM April 2026'!$AS$7:$AS$116,G$9)</f>
        <v>5</v>
      </c>
      <c r="H26" s="770">
        <f>COUNTIFS('Monitoring BIM April 2026'!$G$7:$G$116,'Exsum Apr 26'!$A$10,'Monitoring BIM April 2026'!$AS$7:$AS$116,H$9)</f>
        <v>0</v>
      </c>
      <c r="I26" s="769">
        <f t="shared" si="1"/>
        <v>48</v>
      </c>
      <c r="J26" s="771">
        <f t="shared" si="2"/>
        <v>0.10416666666666667</v>
      </c>
    </row>
    <row r="27" spans="3:10" ht="15.75" thickBot="1" x14ac:dyDescent="0.25">
      <c r="C27" s="766" t="s">
        <v>3626</v>
      </c>
      <c r="D27" s="770">
        <f>COUNTIFS('Monitoring BIM April 2026'!$G$7:$G$116,'Exsum Apr 26'!$A$10,'Monitoring BIM April 2026'!$AU$7:$AU$116,D$9)</f>
        <v>44</v>
      </c>
      <c r="E27" s="770">
        <f>COUNTIFS('Monitoring BIM April 2026'!$G$7:$G$116,'Exsum Apr 26'!$A$10,'Monitoring BIM April 2026'!$AU$7:$AU$116,E$9)</f>
        <v>1</v>
      </c>
      <c r="F27" s="770">
        <f>COUNTIFS('Monitoring BIM April 2026'!$G$7:$G$116,'Exsum Apr 26'!$A$10,'Monitoring BIM April 2026'!$AU$7:$AU$116,F$9)</f>
        <v>1</v>
      </c>
      <c r="G27" s="770">
        <f>COUNTIFS('Monitoring BIM April 2026'!$G$7:$G$116,'Exsum Apr 26'!$A$10,'Monitoring BIM April 2026'!$AU$7:$AU$116,G$9)</f>
        <v>2</v>
      </c>
      <c r="H27" s="770">
        <f>COUNTIFS('Monitoring BIM April 2026'!$G$7:$G$116,'Exsum Apr 26'!$A$10,'Monitoring BIM April 2026'!$AU$7:$AU$116,H$9)</f>
        <v>0</v>
      </c>
      <c r="I27" s="769">
        <f t="shared" si="1"/>
        <v>48</v>
      </c>
      <c r="J27" s="771">
        <f t="shared" si="2"/>
        <v>4.1666666666666664E-2</v>
      </c>
    </row>
    <row r="28" spans="3:10" ht="15.75" thickBot="1" x14ac:dyDescent="0.25">
      <c r="C28" s="766" t="s">
        <v>3627</v>
      </c>
      <c r="D28" s="770">
        <f>COUNTIFS('Monitoring BIM April 2026'!$G$7:$G$116,'Exsum Apr 26'!$A$10,'Monitoring BIM April 2026'!$AA$7:$AA$116,D$9)</f>
        <v>48</v>
      </c>
      <c r="E28" s="770">
        <f>COUNTIFS('Monitoring BIM April 2026'!$G$7:$G$116,'Exsum Apr 26'!$A$10,'Monitoring BIM April 2026'!$AA$7:$AA$116,E$9)</f>
        <v>0</v>
      </c>
      <c r="F28" s="770">
        <f>COUNTIFS('Monitoring BIM April 2026'!$G$7:$G$116,'Exsum Apr 26'!$A$10,'Monitoring BIM April 2026'!$AA$7:$AA$116,F$9)</f>
        <v>0</v>
      </c>
      <c r="G28" s="770">
        <f>COUNTIFS('Monitoring BIM April 2026'!$G$7:$G$116,'Exsum Apr 26'!$A$10,'Monitoring BIM April 2026'!$AA$7:$AA$116,G$9)</f>
        <v>0</v>
      </c>
      <c r="H28" s="770">
        <f>COUNTIFS('Monitoring BIM April 2026'!$G$7:$G$116,'Exsum Apr 26'!$A$10,'Monitoring BIM April 2026'!$AA$7:$AA$116,H$9)</f>
        <v>0</v>
      </c>
      <c r="I28" s="769">
        <f t="shared" si="1"/>
        <v>48</v>
      </c>
      <c r="J28" s="771">
        <f t="shared" si="2"/>
        <v>0</v>
      </c>
    </row>
    <row r="29" spans="3:10" ht="15.75" thickBot="1" x14ac:dyDescent="0.25">
      <c r="C29" s="766" t="s">
        <v>3628</v>
      </c>
      <c r="D29" s="770">
        <f>COUNTIFS('Monitoring BIM April 2026'!$G$7:$G$116,'Exsum Apr 26'!$A$10,'Monitoring BIM April 2026'!$W$7:$W$116,D$9)</f>
        <v>47</v>
      </c>
      <c r="E29" s="770">
        <f>COUNTIFS('Monitoring BIM April 2026'!$G$7:$G$116,'Exsum Apr 26'!$A$10,'Monitoring BIM April 2026'!$W$7:$W$116,E$9)</f>
        <v>0</v>
      </c>
      <c r="F29" s="770">
        <f>COUNTIFS('Monitoring BIM April 2026'!$G$7:$G$116,'Exsum Apr 26'!$A$10,'Monitoring BIM April 2026'!$W$7:$W$116,F$9)</f>
        <v>1</v>
      </c>
      <c r="G29" s="770">
        <f>COUNTIFS('Monitoring BIM April 2026'!$G$7:$G$116,'Exsum Apr 26'!$A$10,'Monitoring BIM April 2026'!$W$7:$W$116,G$9)</f>
        <v>0</v>
      </c>
      <c r="H29" s="770">
        <f>COUNTIFS('Monitoring BIM April 2026'!$G$7:$G$116,'Exsum Apr 26'!$A$10,'Monitoring BIM April 2026'!$W$7:$W$116,H$9)</f>
        <v>0</v>
      </c>
      <c r="I29" s="769">
        <f t="shared" si="1"/>
        <v>48</v>
      </c>
      <c r="J29" s="771">
        <f t="shared" si="2"/>
        <v>0</v>
      </c>
    </row>
    <row r="30" spans="3:10" ht="15.75" thickBot="1" x14ac:dyDescent="0.25">
      <c r="C30" s="766" t="s">
        <v>3629</v>
      </c>
      <c r="D30" s="770">
        <f>COUNTIFS('Monitoring BIM April 2026'!$G$7:$G$116,'Exsum Apr 26'!$A$10,'Monitoring BIM April 2026'!$BG$7:$BG$116,D$9)</f>
        <v>24</v>
      </c>
      <c r="E30" s="770">
        <f>COUNTIFS('Monitoring BIM April 2026'!$G$7:$G$116,'Exsum Apr 26'!$A$10,'Monitoring BIM April 2026'!$BG$7:$BG$116,E$9)</f>
        <v>5</v>
      </c>
      <c r="F30" s="770">
        <f>COUNTIFS('Monitoring BIM April 2026'!$G$7:$G$116,'Exsum Apr 26'!$A$10,'Monitoring BIM April 2026'!$BG$7:$BG$116,F$9)</f>
        <v>5</v>
      </c>
      <c r="G30" s="770">
        <f>COUNTIFS('Monitoring BIM April 2026'!$G$7:$G$116,'Exsum Apr 26'!$A$10,'Monitoring BIM April 2026'!$BG$7:$BG$116,G$9)</f>
        <v>2</v>
      </c>
      <c r="H30" s="770">
        <f>COUNTIFS('Monitoring BIM April 2026'!$G$7:$G$116,'Exsum Apr 26'!$A$10,'Monitoring BIM April 2026'!$BG$7:$BG$116,H$9)</f>
        <v>12</v>
      </c>
      <c r="I30" s="769">
        <f t="shared" si="1"/>
        <v>36</v>
      </c>
      <c r="J30" s="771">
        <f t="shared" si="2"/>
        <v>5.5555555555555552E-2</v>
      </c>
    </row>
  </sheetData>
  <protectedRanges>
    <protectedRange sqref="D9" name="Range1"/>
    <protectedRange sqref="E9" name="Range1_2"/>
    <protectedRange sqref="G9:H9" name="Range1_3"/>
    <protectedRange sqref="F9" name="Range1_11"/>
  </protectedRanges>
  <conditionalFormatting sqref="A2:B4">
    <cfRule type="expression" dxfId="46" priority="14">
      <formula>$R2="BATAL / CANCEL"</formula>
    </cfRule>
  </conditionalFormatting>
  <conditionalFormatting sqref="D9:H9 C10:C30">
    <cfRule type="beginsWith" dxfId="45" priority="13" operator="beginsWith" text="Ada">
      <formula>LEFT(C9,LEN("Ada"))="Ada"</formula>
    </cfRule>
  </conditionalFormatting>
  <conditionalFormatting sqref="D9:H9">
    <cfRule type="cellIs" dxfId="44" priority="12" operator="equal">
      <formula>"revisi"</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3680-4988-41EF-9652-A6392FAFC984}">
  <sheetPr filterMode="1">
    <tabColor rgb="FF92D050"/>
    <pageSetUpPr fitToPage="1"/>
  </sheetPr>
  <dimension ref="B1:CW132"/>
  <sheetViews>
    <sheetView showGridLines="0" view="pageBreakPreview" zoomScale="53" zoomScaleNormal="55" zoomScaleSheetLayoutView="40" workbookViewId="0">
      <pane xSplit="6" ySplit="7" topLeftCell="AC8" activePane="bottomRight" state="frozen"/>
      <selection pane="topRight"/>
      <selection pane="bottomLeft"/>
      <selection pane="bottomRight" activeCell="AE54" sqref="AE54"/>
    </sheetView>
  </sheetViews>
  <sheetFormatPr defaultColWidth="24.42578125" defaultRowHeight="15.75" customHeight="1" x14ac:dyDescent="0.2"/>
  <cols>
    <col min="1" max="1" width="5.5703125" style="651" customWidth="1"/>
    <col min="2" max="2" width="13.28515625" style="659" customWidth="1"/>
    <col min="3" max="4" width="30.140625" style="651" customWidth="1"/>
    <col min="5" max="5" width="24.42578125" style="651"/>
    <col min="6" max="6" width="56.5703125" style="664" customWidth="1"/>
    <col min="7" max="7" width="38" style="651" bestFit="1" customWidth="1"/>
    <col min="8" max="8" width="24.42578125" style="651" customWidth="1"/>
    <col min="9" max="10" width="24.42578125" style="651"/>
    <col min="11" max="11" width="18.7109375" style="655" customWidth="1"/>
    <col min="12" max="21" width="24.42578125" style="654"/>
    <col min="22" max="22" width="24.42578125" style="656"/>
    <col min="23" max="23" width="24.42578125" style="654"/>
    <col min="24" max="24" width="24.42578125" style="656"/>
    <col min="25" max="25" width="24.42578125" style="654"/>
    <col min="26" max="26" width="24.42578125" style="656"/>
    <col min="27" max="27" width="24.42578125" style="654"/>
    <col min="28" max="28" width="24.42578125" style="656"/>
    <col min="29" max="29" width="24.42578125" style="654"/>
    <col min="30" max="30" width="24.42578125" style="656"/>
    <col min="31" max="35" width="24.42578125" style="654"/>
    <col min="36" max="36" width="24.42578125" style="656"/>
    <col min="37" max="37" width="24.42578125" style="654"/>
    <col min="38" max="38" width="24.42578125" style="657"/>
    <col min="39" max="45" width="24.42578125" style="654"/>
    <col min="46" max="46" width="24.42578125" style="656"/>
    <col min="47" max="47" width="24.42578125" style="654"/>
    <col min="48" max="48" width="24.42578125" style="656"/>
    <col min="49" max="49" width="24.42578125" style="654"/>
    <col min="50" max="50" width="24.42578125" style="656"/>
    <col min="51" max="53" width="24.42578125" style="654"/>
    <col min="54" max="54" width="24.42578125" style="654" bestFit="1" customWidth="1"/>
    <col min="55" max="55" width="24.42578125" style="654"/>
    <col min="56" max="56" width="24.42578125" style="657"/>
    <col min="57" max="57" width="24.42578125" style="654"/>
    <col min="58" max="58" width="24.42578125" style="657"/>
    <col min="59" max="59" width="24.42578125" style="654"/>
    <col min="60" max="64" width="24.42578125" style="657"/>
    <col min="65" max="65" width="24.42578125" style="654" bestFit="1" customWidth="1"/>
    <col min="66" max="66" width="24.42578125" style="655" customWidth="1"/>
    <col min="67" max="72" width="24.42578125" style="651" customWidth="1"/>
    <col min="73" max="74" width="24.42578125" style="658"/>
    <col min="75" max="77" width="24.42578125" style="651"/>
    <col min="78" max="100" width="24.42578125" style="659"/>
    <col min="101" max="16384" width="24.42578125" style="651"/>
  </cols>
  <sheetData>
    <row r="1" spans="2:101" ht="20.25" x14ac:dyDescent="0.2">
      <c r="B1" s="650" t="s">
        <v>3630</v>
      </c>
      <c r="C1" s="650"/>
      <c r="D1" s="650"/>
      <c r="F1" s="652" t="s">
        <v>3631</v>
      </c>
      <c r="G1" s="653">
        <f ca="1">TODAY()</f>
        <v>46203</v>
      </c>
      <c r="H1" s="653"/>
      <c r="I1" s="654"/>
      <c r="J1" s="654"/>
      <c r="BO1" s="655"/>
      <c r="BP1" s="655"/>
      <c r="BQ1" s="655"/>
      <c r="BR1" s="655"/>
      <c r="BS1" s="655"/>
      <c r="BT1" s="655"/>
    </row>
    <row r="2" spans="2:101" ht="18" x14ac:dyDescent="0.25">
      <c r="B2" s="660" t="s">
        <v>3632</v>
      </c>
      <c r="F2" s="651"/>
      <c r="G2" s="661"/>
      <c r="H2" s="662"/>
      <c r="I2" s="654"/>
      <c r="J2" s="654"/>
      <c r="BO2" s="655"/>
      <c r="BP2" s="655"/>
      <c r="BQ2" s="655"/>
      <c r="BR2" s="655"/>
      <c r="BS2" s="655"/>
      <c r="BT2" s="655"/>
    </row>
    <row r="3" spans="2:101" ht="15" x14ac:dyDescent="0.2">
      <c r="B3" s="663" t="str">
        <f>SUBTOTAL(3,C8:C116) &amp; " Program"</f>
        <v>3 Program</v>
      </c>
      <c r="D3" s="664"/>
      <c r="F3" s="651"/>
      <c r="G3" s="661"/>
      <c r="H3" s="662"/>
      <c r="I3" s="654"/>
      <c r="J3" s="654"/>
      <c r="BO3" s="655"/>
      <c r="BP3" s="655"/>
      <c r="BQ3" s="655"/>
      <c r="BR3" s="655"/>
      <c r="BS3" s="655"/>
      <c r="BT3" s="655"/>
    </row>
    <row r="4" spans="2:101" x14ac:dyDescent="0.25">
      <c r="B4" s="665" t="str" cm="1">
        <f t="array" aca="1" ref="B4" ca="1">SUMPRODUCT(
  (M$7:BM$7="MON") *
  SUBTOTAL(103, OFFSET(M8, ROW(M8:BM107)-ROW(M8), COLUMN(M8:BM107)-COLUMN(M8), 1, 1))
) &amp; " Dokumen Selesai"</f>
        <v>72 Dokumen Selesai</v>
      </c>
      <c r="D4" s="666" t="str">
        <f>TEXT(COUNTIF(L8:L107,"Upload CDE")/COUNTA(L8:L107),"0%") &amp; " Upload CDE"</f>
        <v>44% Upload CDE</v>
      </c>
      <c r="F4" s="667"/>
      <c r="I4" s="654"/>
      <c r="J4" s="654"/>
      <c r="BO4" s="655"/>
      <c r="BP4" s="655"/>
      <c r="BQ4" s="655"/>
      <c r="BR4" s="655"/>
      <c r="BS4" s="655"/>
      <c r="BT4" s="655"/>
    </row>
    <row r="5" spans="2:101" ht="18.75" customHeight="1" x14ac:dyDescent="0.25">
      <c r="B5" s="663" t="str" cm="1">
        <f t="array" aca="1" ref="B5" ca="1">SUMPRODUCT(
  (M$7:BM$7="BIM") *
  SUBTOTAL(103, OFFSET(M8, ROW(M8:BM107)-ROW(M8), COLUMN(M8:BM107)-COLUMN(M8), 1, 1))
) &amp; " Dokumen Upload BIM"</f>
        <v>45 Dokumen Upload BIM</v>
      </c>
      <c r="D5" s="666" t="str">
        <f>TEXT(COUNTIF(L8:L107,"Submit for Review")/COUNTA(L8:L107),"0%") &amp; " Submit for Review"</f>
        <v>36% Submit for Review</v>
      </c>
      <c r="F5" s="667"/>
      <c r="G5" s="668">
        <f ca="1">TODAY()</f>
        <v>46203</v>
      </c>
      <c r="H5" s="668"/>
      <c r="I5" s="669"/>
      <c r="J5" s="669"/>
      <c r="L5" s="669"/>
      <c r="M5" s="873">
        <v>1</v>
      </c>
      <c r="N5" s="873"/>
      <c r="O5" s="873">
        <v>2</v>
      </c>
      <c r="P5" s="873"/>
      <c r="Q5" s="873">
        <v>3</v>
      </c>
      <c r="R5" s="873"/>
      <c r="S5" s="871">
        <v>4</v>
      </c>
      <c r="T5" s="871"/>
      <c r="U5" s="871">
        <v>5</v>
      </c>
      <c r="V5" s="872"/>
      <c r="W5" s="871">
        <v>6</v>
      </c>
      <c r="X5" s="872"/>
      <c r="Y5" s="871">
        <v>7</v>
      </c>
      <c r="Z5" s="872"/>
      <c r="AA5" s="871">
        <v>8</v>
      </c>
      <c r="AB5" s="872"/>
      <c r="AC5" s="871">
        <v>9</v>
      </c>
      <c r="AD5" s="872"/>
      <c r="AE5" s="871">
        <v>10</v>
      </c>
      <c r="AF5" s="871"/>
      <c r="AG5" s="871">
        <v>11</v>
      </c>
      <c r="AH5" s="871"/>
      <c r="AI5" s="871">
        <v>12</v>
      </c>
      <c r="AJ5" s="872"/>
      <c r="AK5" s="871">
        <v>13</v>
      </c>
      <c r="AL5" s="874"/>
      <c r="AM5" s="873">
        <v>14</v>
      </c>
      <c r="AN5" s="873"/>
      <c r="AO5" s="873">
        <v>15</v>
      </c>
      <c r="AP5" s="873"/>
      <c r="AQ5" s="873">
        <v>16</v>
      </c>
      <c r="AR5" s="873"/>
      <c r="AS5" s="873">
        <v>17</v>
      </c>
      <c r="AT5" s="878"/>
      <c r="AU5" s="871">
        <v>18</v>
      </c>
      <c r="AV5" s="872"/>
      <c r="AW5" s="871">
        <v>19</v>
      </c>
      <c r="AX5" s="872"/>
      <c r="AY5" s="871">
        <v>20</v>
      </c>
      <c r="AZ5" s="871"/>
      <c r="BA5" s="871">
        <v>21</v>
      </c>
      <c r="BB5" s="871"/>
      <c r="BC5" s="871">
        <v>22</v>
      </c>
      <c r="BD5" s="874"/>
      <c r="BE5" s="875">
        <v>23</v>
      </c>
      <c r="BF5" s="876"/>
      <c r="BG5" s="873">
        <v>24</v>
      </c>
      <c r="BH5" s="877"/>
      <c r="BO5" s="655"/>
      <c r="BP5" s="655"/>
      <c r="BQ5" s="655"/>
      <c r="BR5" s="655"/>
      <c r="BS5" s="655"/>
      <c r="BT5" s="655"/>
      <c r="BZ5" s="659">
        <v>1</v>
      </c>
      <c r="CA5" s="659">
        <f t="shared" ref="CA5:CV5" si="0">BZ5+1</f>
        <v>2</v>
      </c>
      <c r="CB5" s="659">
        <f t="shared" si="0"/>
        <v>3</v>
      </c>
      <c r="CC5" s="659">
        <f t="shared" si="0"/>
        <v>4</v>
      </c>
      <c r="CD5" s="659">
        <f t="shared" si="0"/>
        <v>5</v>
      </c>
      <c r="CE5" s="659">
        <f t="shared" si="0"/>
        <v>6</v>
      </c>
      <c r="CF5" s="659">
        <f t="shared" si="0"/>
        <v>7</v>
      </c>
      <c r="CG5" s="659">
        <f t="shared" si="0"/>
        <v>8</v>
      </c>
      <c r="CH5" s="659">
        <f t="shared" si="0"/>
        <v>9</v>
      </c>
      <c r="CI5" s="659">
        <f t="shared" si="0"/>
        <v>10</v>
      </c>
      <c r="CJ5" s="659">
        <f t="shared" si="0"/>
        <v>11</v>
      </c>
      <c r="CK5" s="659">
        <f t="shared" si="0"/>
        <v>12</v>
      </c>
      <c r="CL5" s="659">
        <f t="shared" si="0"/>
        <v>13</v>
      </c>
      <c r="CM5" s="659">
        <f t="shared" si="0"/>
        <v>14</v>
      </c>
      <c r="CN5" s="659">
        <f t="shared" si="0"/>
        <v>15</v>
      </c>
      <c r="CO5" s="659">
        <f t="shared" si="0"/>
        <v>16</v>
      </c>
      <c r="CP5" s="659">
        <f t="shared" si="0"/>
        <v>17</v>
      </c>
      <c r="CQ5" s="659">
        <f t="shared" si="0"/>
        <v>18</v>
      </c>
      <c r="CR5" s="659">
        <f t="shared" si="0"/>
        <v>19</v>
      </c>
      <c r="CS5" s="659">
        <f t="shared" si="0"/>
        <v>20</v>
      </c>
      <c r="CT5" s="659">
        <f t="shared" si="0"/>
        <v>21</v>
      </c>
      <c r="CU5" s="659">
        <f t="shared" si="0"/>
        <v>22</v>
      </c>
      <c r="CV5" s="659">
        <f t="shared" si="0"/>
        <v>23</v>
      </c>
    </row>
    <row r="6" spans="2:101" ht="39" customHeight="1" x14ac:dyDescent="0.2">
      <c r="B6" s="783" t="s">
        <v>12</v>
      </c>
      <c r="C6" s="783" t="s">
        <v>3633</v>
      </c>
      <c r="D6" s="783" t="s">
        <v>3634</v>
      </c>
      <c r="E6" s="783" t="s">
        <v>3635</v>
      </c>
      <c r="F6" s="783" t="s">
        <v>3636</v>
      </c>
      <c r="G6" s="783" t="s">
        <v>3637</v>
      </c>
      <c r="H6" s="784" t="s">
        <v>3638</v>
      </c>
      <c r="I6" s="784" t="s">
        <v>3639</v>
      </c>
      <c r="J6" s="784" t="s">
        <v>3640</v>
      </c>
      <c r="K6" s="625" t="s">
        <v>3641</v>
      </c>
      <c r="L6" s="784" t="s">
        <v>3642</v>
      </c>
      <c r="M6" s="866" t="s">
        <v>3643</v>
      </c>
      <c r="N6" s="870"/>
      <c r="O6" s="865" t="s">
        <v>3644</v>
      </c>
      <c r="P6" s="866"/>
      <c r="Q6" s="865" t="s">
        <v>3622</v>
      </c>
      <c r="R6" s="865"/>
      <c r="S6" s="869" t="s">
        <v>3645</v>
      </c>
      <c r="T6" s="863"/>
      <c r="U6" s="861" t="s">
        <v>3610</v>
      </c>
      <c r="V6" s="862"/>
      <c r="W6" s="861" t="s">
        <v>3628</v>
      </c>
      <c r="X6" s="862"/>
      <c r="Y6" s="861" t="s">
        <v>3646</v>
      </c>
      <c r="Z6" s="862"/>
      <c r="AA6" s="861" t="s">
        <v>3627</v>
      </c>
      <c r="AB6" s="862"/>
      <c r="AC6" s="861" t="s">
        <v>3618</v>
      </c>
      <c r="AD6" s="862"/>
      <c r="AE6" s="861" t="s">
        <v>3611</v>
      </c>
      <c r="AF6" s="863"/>
      <c r="AG6" s="855" t="s">
        <v>3624</v>
      </c>
      <c r="AH6" s="856"/>
      <c r="AI6" s="855" t="s">
        <v>3623</v>
      </c>
      <c r="AJ6" s="857"/>
      <c r="AK6" s="855" t="s">
        <v>3619</v>
      </c>
      <c r="AL6" s="867"/>
      <c r="AM6" s="865" t="s">
        <v>3615</v>
      </c>
      <c r="AN6" s="865"/>
      <c r="AO6" s="865" t="s">
        <v>3616</v>
      </c>
      <c r="AP6" s="865"/>
      <c r="AQ6" s="865" t="s">
        <v>3617</v>
      </c>
      <c r="AR6" s="865"/>
      <c r="AS6" s="865" t="s">
        <v>3625</v>
      </c>
      <c r="AT6" s="868"/>
      <c r="AU6" s="869" t="s">
        <v>3626</v>
      </c>
      <c r="AV6" s="862"/>
      <c r="AW6" s="861" t="s">
        <v>3612</v>
      </c>
      <c r="AX6" s="862"/>
      <c r="AY6" s="861" t="s">
        <v>3613</v>
      </c>
      <c r="AZ6" s="863"/>
      <c r="BA6" s="861" t="s">
        <v>3614</v>
      </c>
      <c r="BB6" s="863"/>
      <c r="BC6" s="861" t="s">
        <v>3647</v>
      </c>
      <c r="BD6" s="864"/>
      <c r="BE6" s="865" t="s">
        <v>3621</v>
      </c>
      <c r="BF6" s="853"/>
      <c r="BG6" s="866" t="s">
        <v>3629</v>
      </c>
      <c r="BH6" s="854"/>
      <c r="BI6" s="853" t="s">
        <v>3648</v>
      </c>
      <c r="BJ6" s="854"/>
      <c r="BK6" s="853" t="s">
        <v>3649</v>
      </c>
      <c r="BL6" s="854"/>
      <c r="BM6" s="783" t="s">
        <v>3650</v>
      </c>
      <c r="BN6" s="858" t="s">
        <v>3651</v>
      </c>
      <c r="BO6" s="670" t="s">
        <v>3652</v>
      </c>
      <c r="BP6" s="670" t="s">
        <v>3653</v>
      </c>
      <c r="BQ6" s="781" t="s">
        <v>3654</v>
      </c>
      <c r="BR6" s="781" t="s">
        <v>3655</v>
      </c>
      <c r="BS6" s="858" t="s">
        <v>3656</v>
      </c>
      <c r="BT6" s="858" t="s">
        <v>3657</v>
      </c>
      <c r="BU6" s="671" t="s">
        <v>3658</v>
      </c>
      <c r="BV6" s="654" t="s">
        <v>1819</v>
      </c>
      <c r="BX6" s="672" t="s">
        <v>3633</v>
      </c>
      <c r="BY6" s="673" t="s">
        <v>3634</v>
      </c>
      <c r="BZ6" s="674" t="s">
        <v>3643</v>
      </c>
      <c r="CA6" s="674" t="s">
        <v>3659</v>
      </c>
      <c r="CB6" s="674" t="s">
        <v>3622</v>
      </c>
      <c r="CC6" s="674" t="s">
        <v>3645</v>
      </c>
      <c r="CD6" s="674" t="s">
        <v>3660</v>
      </c>
      <c r="CE6" s="674" t="s">
        <v>3628</v>
      </c>
      <c r="CF6" s="674" t="s">
        <v>3646</v>
      </c>
      <c r="CG6" s="674" t="s">
        <v>3661</v>
      </c>
      <c r="CH6" s="674" t="s">
        <v>3618</v>
      </c>
      <c r="CI6" s="674" t="s">
        <v>3611</v>
      </c>
      <c r="CJ6" s="674"/>
      <c r="CK6" s="674" t="s">
        <v>3623</v>
      </c>
      <c r="CL6" s="674" t="s">
        <v>3619</v>
      </c>
      <c r="CM6" s="674" t="s">
        <v>3615</v>
      </c>
      <c r="CN6" s="674" t="s">
        <v>3616</v>
      </c>
      <c r="CO6" s="674" t="s">
        <v>3617</v>
      </c>
      <c r="CP6" s="674" t="s">
        <v>3625</v>
      </c>
      <c r="CQ6" s="674" t="s">
        <v>3626</v>
      </c>
      <c r="CR6" s="674" t="s">
        <v>3612</v>
      </c>
      <c r="CS6" s="674" t="s">
        <v>3613</v>
      </c>
      <c r="CT6" s="674" t="s">
        <v>3614</v>
      </c>
      <c r="CU6" s="674" t="s">
        <v>3662</v>
      </c>
      <c r="CV6" s="674" t="s">
        <v>3621</v>
      </c>
      <c r="CW6" s="674" t="s">
        <v>3663</v>
      </c>
    </row>
    <row r="7" spans="2:101" ht="15.6" customHeight="1" x14ac:dyDescent="0.2">
      <c r="B7" s="626"/>
      <c r="C7" s="626"/>
      <c r="D7" s="626"/>
      <c r="E7" s="626"/>
      <c r="F7" s="626"/>
      <c r="G7" s="626"/>
      <c r="H7" s="627"/>
      <c r="I7" s="784"/>
      <c r="J7" s="784"/>
      <c r="K7" s="625"/>
      <c r="L7" s="784"/>
      <c r="M7" s="783" t="s">
        <v>3664</v>
      </c>
      <c r="N7" s="783" t="s">
        <v>3665</v>
      </c>
      <c r="O7" s="783" t="s">
        <v>3664</v>
      </c>
      <c r="P7" s="783" t="s">
        <v>3665</v>
      </c>
      <c r="Q7" s="783" t="s">
        <v>3664</v>
      </c>
      <c r="R7" s="783" t="s">
        <v>3665</v>
      </c>
      <c r="S7" s="783" t="s">
        <v>3664</v>
      </c>
      <c r="T7" s="628" t="s">
        <v>3665</v>
      </c>
      <c r="U7" s="783" t="s">
        <v>3664</v>
      </c>
      <c r="V7" s="629" t="s">
        <v>3665</v>
      </c>
      <c r="W7" s="783" t="s">
        <v>3664</v>
      </c>
      <c r="X7" s="629" t="s">
        <v>3665</v>
      </c>
      <c r="Y7" s="783" t="s">
        <v>3664</v>
      </c>
      <c r="Z7" s="630" t="s">
        <v>3665</v>
      </c>
      <c r="AA7" s="783" t="s">
        <v>3664</v>
      </c>
      <c r="AB7" s="629" t="s">
        <v>3665</v>
      </c>
      <c r="AC7" s="783" t="s">
        <v>3664</v>
      </c>
      <c r="AD7" s="629" t="s">
        <v>3665</v>
      </c>
      <c r="AE7" s="783" t="s">
        <v>3664</v>
      </c>
      <c r="AF7" s="783" t="s">
        <v>3665</v>
      </c>
      <c r="AG7" s="783" t="s">
        <v>3664</v>
      </c>
      <c r="AH7" s="783" t="s">
        <v>3665</v>
      </c>
      <c r="AI7" s="783" t="s">
        <v>3664</v>
      </c>
      <c r="AJ7" s="629" t="s">
        <v>3665</v>
      </c>
      <c r="AK7" s="783" t="s">
        <v>3664</v>
      </c>
      <c r="AL7" s="631" t="s">
        <v>3665</v>
      </c>
      <c r="AM7" s="783" t="s">
        <v>3664</v>
      </c>
      <c r="AN7" s="783" t="s">
        <v>3665</v>
      </c>
      <c r="AO7" s="783" t="s">
        <v>3664</v>
      </c>
      <c r="AP7" s="783" t="s">
        <v>3665</v>
      </c>
      <c r="AQ7" s="783" t="s">
        <v>3664</v>
      </c>
      <c r="AR7" s="783" t="s">
        <v>3665</v>
      </c>
      <c r="AS7" s="783" t="s">
        <v>3664</v>
      </c>
      <c r="AT7" s="629" t="s">
        <v>3665</v>
      </c>
      <c r="AU7" s="783" t="s">
        <v>3664</v>
      </c>
      <c r="AV7" s="629" t="s">
        <v>3665</v>
      </c>
      <c r="AW7" s="783" t="s">
        <v>3664</v>
      </c>
      <c r="AX7" s="629" t="s">
        <v>3665</v>
      </c>
      <c r="AY7" s="783" t="s">
        <v>3664</v>
      </c>
      <c r="AZ7" s="783" t="s">
        <v>3665</v>
      </c>
      <c r="BA7" s="783" t="s">
        <v>3664</v>
      </c>
      <c r="BB7" s="783" t="s">
        <v>3665</v>
      </c>
      <c r="BC7" s="783" t="s">
        <v>3664</v>
      </c>
      <c r="BD7" s="631" t="s">
        <v>3665</v>
      </c>
      <c r="BE7" s="783" t="s">
        <v>3664</v>
      </c>
      <c r="BF7" s="631" t="s">
        <v>3665</v>
      </c>
      <c r="BG7" s="783" t="s">
        <v>3664</v>
      </c>
      <c r="BH7" s="631" t="s">
        <v>3665</v>
      </c>
      <c r="BI7" s="632"/>
      <c r="BJ7" s="632"/>
      <c r="BK7" s="632"/>
      <c r="BL7" s="632"/>
      <c r="BM7" s="675"/>
      <c r="BN7" s="859"/>
      <c r="BO7" s="676"/>
      <c r="BP7" s="676"/>
      <c r="BQ7" s="782"/>
      <c r="BR7" s="782"/>
      <c r="BS7" s="860"/>
      <c r="BT7" s="860"/>
      <c r="BU7" s="671"/>
      <c r="BV7" s="654"/>
      <c r="BX7" s="677"/>
      <c r="BY7" s="677"/>
      <c r="BZ7" s="677"/>
      <c r="CA7" s="677"/>
      <c r="CB7" s="677"/>
      <c r="CC7" s="677"/>
      <c r="CD7" s="677"/>
      <c r="CE7" s="677"/>
      <c r="CF7" s="677"/>
      <c r="CG7" s="677"/>
      <c r="CH7" s="677"/>
      <c r="CI7" s="677"/>
      <c r="CJ7" s="677"/>
      <c r="CK7" s="677"/>
      <c r="CL7" s="677"/>
      <c r="CM7" s="677"/>
      <c r="CN7" s="677"/>
      <c r="CO7" s="677"/>
      <c r="CP7" s="677"/>
      <c r="CQ7" s="677"/>
      <c r="CR7" s="677"/>
      <c r="CS7" s="677"/>
      <c r="CT7" s="677"/>
      <c r="CU7" s="677"/>
      <c r="CV7" s="677"/>
      <c r="CW7" s="677"/>
    </row>
    <row r="8" spans="2:101" ht="17.25" hidden="1" customHeight="1" x14ac:dyDescent="0.2">
      <c r="B8" s="633">
        <v>1</v>
      </c>
      <c r="C8" s="633" t="s">
        <v>244</v>
      </c>
      <c r="D8" s="634" t="s">
        <v>2045</v>
      </c>
      <c r="E8" s="633" t="s">
        <v>248</v>
      </c>
      <c r="F8" s="634" t="s">
        <v>3666</v>
      </c>
      <c r="G8" s="633" t="s">
        <v>3608</v>
      </c>
      <c r="H8" s="635" t="s">
        <v>3667</v>
      </c>
      <c r="I8" s="633" t="s">
        <v>3668</v>
      </c>
      <c r="J8" s="636">
        <v>0.64770000000000005</v>
      </c>
      <c r="K8" s="637" t="str">
        <f t="shared" ref="K8:K71" si="1">(
COUNTIF(O8,"Final/Approved")+COUNTIF(O8,"Draft Lengkap")+COUNTIF(O8,"Sebagian/Partial")+
COUNTIF(Q8,"Final/Approved")+COUNTIF(Q8,"Draft Lengkap")+COUNTIF(Q8,"Sebagian/Partial")+
COUNTIF(U8,"Final/Approved")+COUNTIF(U8,"Draft Lengkap")+COUNTIF(U8,"Sebagian/Partial")+
COUNTIF(W8,"Final/Approved")+COUNTIF(W8,"Draft Lengkap")+COUNTIF(W8,"Sebagian/Partial")+
COUNTIF(AA8,"Final/Approved")+COUNTIF(AA8,"Draft Lengkap")+COUNTIF(AA8,"Sebagian/Partial")+
COUNTIF(AC8,"Final/Approved")+COUNTIF(AC8,"Draft Lengkap")+COUNTIF(AC8,"Sebagian/Partial")+
COUNTIF(AE8,"Final/Approved")+COUNTIF(AE8,"Draft Lengkap")+COUNTIF(AE8,"Sebagian/Partial")+
COUNTIF(AG8,"Final/Approved")+COUNTIF(AG8,"Draft Lengkap")+COUNTIF(AG8,"Sebagian/Partial")+
COUNTIF(AI8,"Final/Approved")+COUNTIF(AI8,"Draft Lengkap")+COUNTIF(AI8,"Sebagian/Partial")+
COUNTIF(AK8,"Final/Approved")+COUNTIF(AK8,"Draft Lengkap")+COUNTIF(AK8,"Sebagian/Partial")+
COUNTIF(AM8,"Final/Approved")+COUNTIF(AM8,"Draft Lengkap")+COUNTIF(AM8,"Sebagian/Partial")+
COUNTIF(AO8,"Final/Approved")+COUNTIF(AO8,"Draft Lengkap")+COUNTIF(AO8,"Sebagian/Partial")+
COUNTIF(AQ8,"Final/Approved")+COUNTIF(AQ8,"Draft Lengkap")+COUNTIF(AQ8,"Sebagian/Partial")+
COUNTIF(AT8,"Final/Approved")+COUNTIF(AT8,"Draft Lengkap")+COUNTIF(AT8,"Sebagian/Partial")+
COUNTIF(AU8,"Final/Approved")+COUNTIF(AU8,"Draft Lengkap")+COUNTIF(AU8,"Sebagian/Partial")+
COUNTIF(AW8,"Final/Approved")+COUNTIF(AW8,"Draft Lengkap")+COUNTIF(AW8,"Sebagian/Partial")+
COUNTIF(AY8,"Final/Approved")+COUNTIF(AY8,"Draft Lengkap")+COUNTIF(AY8,"Sebagian/Partial")+
COUNTIF(BA8,"Final/Approved")+COUNTIF(BA8,"Draft Lengkap")+COUNTIF(BA8,"Sebagian/Partial")+
COUNTIF(BC8,"Final/Approved")+COUNTIF(BC8,"Draft Lengkap")+COUNTIF(BC8,"Sebagian/Partial")+
COUNTIF(BE8,"Final/Approved")+COUNTIF(BE8,"Draft Lengkap")+COUNTIF(BE8,"Sebagian/Partial")
)&amp;"/20"</f>
        <v>4/20</v>
      </c>
      <c r="L8" s="638" t="s">
        <v>3669</v>
      </c>
      <c r="M8" s="639" t="s">
        <v>3606</v>
      </c>
      <c r="N8" s="639" t="s">
        <v>1266</v>
      </c>
      <c r="O8" s="639" t="s">
        <v>3603</v>
      </c>
      <c r="P8" s="640" t="s">
        <v>3670</v>
      </c>
      <c r="Q8" s="639" t="s">
        <v>3603</v>
      </c>
      <c r="R8" s="641" t="s">
        <v>3670</v>
      </c>
      <c r="S8" s="639" t="s">
        <v>3606</v>
      </c>
      <c r="T8" s="639" t="s">
        <v>292</v>
      </c>
      <c r="U8" s="639" t="s">
        <v>3606</v>
      </c>
      <c r="V8" s="640" t="s">
        <v>3670</v>
      </c>
      <c r="W8" s="639" t="s">
        <v>3603</v>
      </c>
      <c r="X8" s="640" t="s">
        <v>3670</v>
      </c>
      <c r="Y8" s="642" t="s">
        <v>3603</v>
      </c>
      <c r="Z8" s="640" t="s">
        <v>1266</v>
      </c>
      <c r="AA8" s="639" t="s">
        <v>3603</v>
      </c>
      <c r="AB8" s="640" t="s">
        <v>3670</v>
      </c>
      <c r="AC8" s="639" t="s">
        <v>3603</v>
      </c>
      <c r="AD8" s="640" t="s">
        <v>3670</v>
      </c>
      <c r="AE8" s="639" t="s">
        <v>3606</v>
      </c>
      <c r="AF8" s="640" t="s">
        <v>3670</v>
      </c>
      <c r="AG8" s="641" t="s">
        <v>3603</v>
      </c>
      <c r="AH8" s="640" t="s">
        <v>3670</v>
      </c>
      <c r="AI8" s="641" t="s">
        <v>3603</v>
      </c>
      <c r="AJ8" s="640" t="s">
        <v>3670</v>
      </c>
      <c r="AK8" s="641" t="s">
        <v>3603</v>
      </c>
      <c r="AL8" s="640" t="s">
        <v>3670</v>
      </c>
      <c r="AM8" s="639" t="s">
        <v>3606</v>
      </c>
      <c r="AN8" s="640" t="s">
        <v>3670</v>
      </c>
      <c r="AO8" s="639" t="s">
        <v>3603</v>
      </c>
      <c r="AP8" s="640" t="s">
        <v>3670</v>
      </c>
      <c r="AQ8" s="639" t="s">
        <v>3603</v>
      </c>
      <c r="AR8" s="640" t="s">
        <v>3670</v>
      </c>
      <c r="AS8" s="639" t="s">
        <v>3603</v>
      </c>
      <c r="AT8" s="640" t="s">
        <v>3670</v>
      </c>
      <c r="AU8" s="639" t="s">
        <v>3603</v>
      </c>
      <c r="AV8" s="640" t="s">
        <v>3670</v>
      </c>
      <c r="AW8" s="639" t="s">
        <v>3603</v>
      </c>
      <c r="AX8" s="640" t="s">
        <v>3670</v>
      </c>
      <c r="AY8" s="639" t="s">
        <v>3603</v>
      </c>
      <c r="AZ8" s="640" t="s">
        <v>3670</v>
      </c>
      <c r="BA8" s="639" t="s">
        <v>3603</v>
      </c>
      <c r="BB8" s="640" t="s">
        <v>3670</v>
      </c>
      <c r="BC8" s="639" t="s">
        <v>3603</v>
      </c>
      <c r="BD8" s="640" t="s">
        <v>3670</v>
      </c>
      <c r="BE8" s="640" t="s">
        <v>3606</v>
      </c>
      <c r="BF8" s="640" t="s">
        <v>3670</v>
      </c>
      <c r="BG8" s="640" t="s">
        <v>3603</v>
      </c>
      <c r="BH8" s="640"/>
      <c r="BI8" s="640" t="s">
        <v>3603</v>
      </c>
      <c r="BJ8" s="640"/>
      <c r="BK8" s="640" t="s">
        <v>3603</v>
      </c>
      <c r="BL8" s="640"/>
      <c r="BM8" s="678"/>
      <c r="BN8" s="637"/>
      <c r="BO8" s="637"/>
      <c r="BP8" s="637"/>
      <c r="BQ8" s="637"/>
      <c r="BR8" s="637"/>
      <c r="BS8" s="637"/>
      <c r="BT8" s="637"/>
      <c r="BU8" s="679"/>
      <c r="BV8" s="679"/>
      <c r="BW8" s="633" t="s">
        <v>3671</v>
      </c>
      <c r="BX8" s="651" t="str">
        <f>C8</f>
        <v>SPAM Jatiluhur Hilir</v>
      </c>
      <c r="BY8" s="651" t="str">
        <f t="shared" ref="BY8" si="2">D8</f>
        <v>24ABJ.NPPJTCLW010JR</v>
      </c>
      <c r="BZ8" s="658" t="str" cm="1">
        <f t="array" ref="BZ8">_xlfn.IFNA(_xlfn.IFS(N8="Ada","Selesai",N8="Tidak Perlu","Selesai",N8="","Terlambat"),"")</f>
        <v>Selesai</v>
      </c>
      <c r="CA8" s="658" t="str" cm="1">
        <f t="array" ref="CA8">_xlfn.IFNA(_xlfn.IFS(P8="Ada","Selesai",P8="Tidak Perlu","Selesai",P8="","Terlambat"),"")</f>
        <v/>
      </c>
      <c r="CB8" s="658" t="str" cm="1">
        <f t="array" ref="CB8">_xlfn.IFNA(_xlfn.IFS(R8="Ada","Selesai",R8="Tidak Perlu","Selesai",R8="","Terlambat"),"")</f>
        <v/>
      </c>
      <c r="CC8" s="658" t="str" cm="1">
        <f t="array" ref="CC8">_xlfn.IFNA(_xlfn.IFS(T8="Ada","Selesai",T8="Tidak Perlu","Selesai",T8="","Terlambat"),"")</f>
        <v/>
      </c>
      <c r="CD8" s="658" t="str" cm="1">
        <f t="array" ref="CD8">_xlfn.IFNA(_xlfn.IFS(V8="Ada","Selesai",V8="Tidak Perlu","Selesai",V8="","Terlambat"),"")</f>
        <v/>
      </c>
      <c r="CE8" s="658" t="str" cm="1">
        <f t="array" ref="CE8">_xlfn.IFNA(_xlfn.IFS(X8="Ada","Selesai",X8="Tidak Perlu","Selesai",X8="","Terlambat"),"")</f>
        <v/>
      </c>
      <c r="CF8" s="658" t="str" cm="1">
        <f t="array" ref="CF8">_xlfn.IFNA(_xlfn.IFS(Z8="Ada","Selesai",Z8="Tidak Perlu","Selesai",Z8="","Terlambat"),"")</f>
        <v>Selesai</v>
      </c>
      <c r="CG8" s="658" t="str" cm="1">
        <f t="array" ref="CG8">_xlfn.IFNA(_xlfn.IFS(AB8="Ada","Selesai",AB8="Tidak Perlu","Selesai",AB8="","Terlambat"),"")</f>
        <v/>
      </c>
      <c r="CH8" s="658" t="str" cm="1">
        <f t="array" ref="CH8">_xlfn.IFNA(_xlfn.IFS(AD8="Ada","Selesai",AD8="Tidak Perlu","Selesai",AD8="","Terlambat"),"")</f>
        <v/>
      </c>
      <c r="CI8" s="658" t="str" cm="1">
        <f t="array" ref="CI8">_xlfn.IFNA(_xlfn.IFS(AF8="Ada","Selesai",AF8="Tidak Perlu","Selesai",AF8="","Terlambat"),"")</f>
        <v/>
      </c>
      <c r="CJ8" s="658" t="str" cm="1">
        <f t="array" ref="CJ8">_xlfn.IFNA(_xlfn.IFS(AH8="Ada","Selesai",AH8="Tidak Perlu","Selesai",AH8="","Terlambat"),"")</f>
        <v/>
      </c>
      <c r="CK8" s="658" t="str" cm="1">
        <f t="array" ref="CK8">_xlfn.IFNA(_xlfn.IFS(AJ8="Ada","Selesai",AJ8="Tidak Perlu","Selesai",AJ8="","Terlambat"),"")</f>
        <v/>
      </c>
      <c r="CL8" s="658" t="str" cm="1">
        <f t="array" ref="CL8">_xlfn.IFNA(_xlfn.IFS(AL8="Ada","Selesai",AL8="Tidak Perlu","Selesai",AL8="","Terlambat"),"")</f>
        <v/>
      </c>
      <c r="CM8" s="658" t="str" cm="1">
        <f t="array" ref="CM8">_xlfn.IFNA(_xlfn.IFS(AN8="Ada","Selesai",AN8="Tidak Perlu","Selesai",AN8="","Terlambat"),"")</f>
        <v/>
      </c>
      <c r="CN8" s="658" t="str" cm="1">
        <f t="array" ref="CN8">_xlfn.IFNA(_xlfn.IFS(AP8="Ada","Selesai",AP8="Tidak Perlu","Selesai",AP8="","Terlambat"),"")</f>
        <v/>
      </c>
      <c r="CO8" s="658" t="str" cm="1">
        <f t="array" ref="CO8">_xlfn.IFNA(_xlfn.IFS(AR8="Ada","Selesai",AR8="Tidak Perlu","Selesai",AR8="","Terlambat"),"")</f>
        <v/>
      </c>
      <c r="CP8" s="658" t="str" cm="1">
        <f t="array" ref="CP8">_xlfn.IFNA(_xlfn.IFS(AT8="Ada","Selesai",AT8="Tidak Perlu","Selesai",AT8="","Terlambat"),"")</f>
        <v/>
      </c>
      <c r="CQ8" s="658" t="str" cm="1">
        <f t="array" ref="CQ8">_xlfn.IFNA(_xlfn.IFS(AV8="Ada","Selesai",AV8="Tidak Perlu","Selesai",AV8="","Terlambat"),"")</f>
        <v/>
      </c>
      <c r="CR8" s="658" t="str" cm="1">
        <f t="array" ref="CR8">_xlfn.IFNA(_xlfn.IFS(AX8="Ada","Selesai",AX8="Tidak Perlu","Selesai",AX8="","Terlambat"),"")</f>
        <v/>
      </c>
      <c r="CS8" s="658" t="str" cm="1">
        <f t="array" ref="CS8">_xlfn.IFNA(_xlfn.IFS(AZ8="Ada","Selesai",AZ8="Tidak Perlu","Selesai",AZ8="","Terlambat"),"")</f>
        <v/>
      </c>
      <c r="CT8" s="658" t="str" cm="1">
        <f t="array" ref="CT8">_xlfn.IFNA(_xlfn.IFS(BB8="Ada","Selesai",BB8="Tidak Perlu","Selesai",BB8="","Terlambat"),"")</f>
        <v/>
      </c>
      <c r="CU8" s="658" t="str" cm="1">
        <f t="array" ref="CU8">_xlfn.IFNA(_xlfn.IFS(BD8="Ada","Selesai",BD8="Tidak Perlu","Selesai",BD8="","Terlambat"),"")</f>
        <v/>
      </c>
      <c r="CV8" s="658" t="str" cm="1">
        <f t="array" ref="CV8">_xlfn.IFNA(_xlfn.IFS(BF8="Ada","Selesai",BF8="Tidak Perlu","Selesai",BF8="","Terlambat"),"")</f>
        <v/>
      </c>
      <c r="CW8" s="658" t="str" cm="1">
        <f t="array" ref="CW8">_xlfn.IFNA(_xlfn.IFS(BM8="Ada","Selesai",BM8="Tidak Perlu","Selesai",BM8="","Terlambat"),"")</f>
        <v>Terlambat</v>
      </c>
    </row>
    <row r="9" spans="2:101" ht="17.25" hidden="1" customHeight="1" x14ac:dyDescent="0.2">
      <c r="B9" s="633">
        <v>2</v>
      </c>
      <c r="C9" s="633" t="s">
        <v>244</v>
      </c>
      <c r="D9" s="634" t="s">
        <v>2055</v>
      </c>
      <c r="E9" s="633" t="s">
        <v>248</v>
      </c>
      <c r="F9" s="634" t="s">
        <v>3672</v>
      </c>
      <c r="G9" s="633" t="s">
        <v>3608</v>
      </c>
      <c r="H9" s="635" t="s">
        <v>3667</v>
      </c>
      <c r="I9" s="633" t="s">
        <v>3668</v>
      </c>
      <c r="J9" s="636">
        <v>0.27679999999999999</v>
      </c>
      <c r="K9" s="637" t="str">
        <f t="shared" si="1"/>
        <v>3/20</v>
      </c>
      <c r="L9" s="638" t="s">
        <v>3669</v>
      </c>
      <c r="M9" s="639" t="s">
        <v>3606</v>
      </c>
      <c r="N9" s="639" t="s">
        <v>1266</v>
      </c>
      <c r="O9" s="639" t="s">
        <v>3603</v>
      </c>
      <c r="P9" s="640" t="s">
        <v>3670</v>
      </c>
      <c r="Q9" s="639" t="s">
        <v>3603</v>
      </c>
      <c r="R9" s="641" t="s">
        <v>3670</v>
      </c>
      <c r="S9" s="639" t="s">
        <v>3606</v>
      </c>
      <c r="T9" s="639"/>
      <c r="U9" s="639" t="s">
        <v>3606</v>
      </c>
      <c r="V9" s="640" t="s">
        <v>3670</v>
      </c>
      <c r="W9" s="639" t="s">
        <v>3603</v>
      </c>
      <c r="X9" s="640" t="s">
        <v>3670</v>
      </c>
      <c r="Y9" s="642" t="s">
        <v>3603</v>
      </c>
      <c r="Z9" s="640" t="s">
        <v>1266</v>
      </c>
      <c r="AA9" s="639" t="s">
        <v>3603</v>
      </c>
      <c r="AB9" s="640" t="s">
        <v>3670</v>
      </c>
      <c r="AC9" s="639" t="s">
        <v>3603</v>
      </c>
      <c r="AD9" s="640" t="s">
        <v>3670</v>
      </c>
      <c r="AE9" s="639" t="s">
        <v>3606</v>
      </c>
      <c r="AF9" s="640" t="s">
        <v>3670</v>
      </c>
      <c r="AG9" s="641" t="s">
        <v>3603</v>
      </c>
      <c r="AH9" s="640" t="s">
        <v>3670</v>
      </c>
      <c r="AI9" s="641" t="s">
        <v>3603</v>
      </c>
      <c r="AJ9" s="640" t="s">
        <v>3670</v>
      </c>
      <c r="AK9" s="641" t="s">
        <v>3603</v>
      </c>
      <c r="AL9" s="640" t="s">
        <v>3670</v>
      </c>
      <c r="AM9" s="639" t="s">
        <v>3603</v>
      </c>
      <c r="AN9" s="640" t="s">
        <v>3670</v>
      </c>
      <c r="AO9" s="639" t="s">
        <v>3603</v>
      </c>
      <c r="AP9" s="640" t="s">
        <v>3670</v>
      </c>
      <c r="AQ9" s="639" t="s">
        <v>3603</v>
      </c>
      <c r="AR9" s="640" t="s">
        <v>3670</v>
      </c>
      <c r="AS9" s="639" t="s">
        <v>3603</v>
      </c>
      <c r="AT9" s="640" t="s">
        <v>3670</v>
      </c>
      <c r="AU9" s="639" t="s">
        <v>3603</v>
      </c>
      <c r="AV9" s="640" t="s">
        <v>3670</v>
      </c>
      <c r="AW9" s="639" t="s">
        <v>3603</v>
      </c>
      <c r="AX9" s="640" t="s">
        <v>3670</v>
      </c>
      <c r="AY9" s="639" t="s">
        <v>3603</v>
      </c>
      <c r="AZ9" s="640" t="s">
        <v>3670</v>
      </c>
      <c r="BA9" s="639" t="s">
        <v>3603</v>
      </c>
      <c r="BB9" s="640" t="s">
        <v>3670</v>
      </c>
      <c r="BC9" s="639" t="s">
        <v>3603</v>
      </c>
      <c r="BD9" s="640" t="s">
        <v>3670</v>
      </c>
      <c r="BE9" s="640" t="s">
        <v>3604</v>
      </c>
      <c r="BF9" s="640" t="s">
        <v>3670</v>
      </c>
      <c r="BG9" s="640" t="s">
        <v>3603</v>
      </c>
      <c r="BH9" s="640"/>
      <c r="BI9" s="640" t="s">
        <v>3603</v>
      </c>
      <c r="BJ9" s="640"/>
      <c r="BK9" s="640" t="s">
        <v>3603</v>
      </c>
      <c r="BL9" s="640"/>
      <c r="BM9" s="678"/>
      <c r="BN9" s="637"/>
      <c r="BO9" s="637"/>
      <c r="BP9" s="637"/>
      <c r="BQ9" s="637"/>
      <c r="BR9" s="637"/>
      <c r="BS9" s="637"/>
      <c r="BT9" s="637"/>
      <c r="BU9" s="679"/>
      <c r="BV9" s="679"/>
      <c r="BW9" s="633" t="s">
        <v>3671</v>
      </c>
      <c r="BZ9" s="658"/>
      <c r="CA9" s="658"/>
      <c r="CB9" s="658"/>
      <c r="CC9" s="658"/>
      <c r="CD9" s="658"/>
      <c r="CE9" s="658"/>
      <c r="CF9" s="658"/>
      <c r="CG9" s="658"/>
      <c r="CH9" s="658"/>
      <c r="CI9" s="658"/>
      <c r="CJ9" s="658"/>
      <c r="CK9" s="658"/>
      <c r="CL9" s="658"/>
      <c r="CM9" s="658"/>
      <c r="CN9" s="658"/>
      <c r="CO9" s="658"/>
      <c r="CP9" s="658"/>
      <c r="CQ9" s="658"/>
      <c r="CR9" s="658"/>
      <c r="CS9" s="658"/>
      <c r="CT9" s="658"/>
      <c r="CU9" s="658"/>
      <c r="CV9" s="658"/>
      <c r="CW9" s="658"/>
    </row>
    <row r="10" spans="2:101" ht="17.25" customHeight="1" x14ac:dyDescent="0.2">
      <c r="B10" s="633">
        <v>3</v>
      </c>
      <c r="C10" s="633" t="s">
        <v>244</v>
      </c>
      <c r="D10" s="634" t="s">
        <v>2063</v>
      </c>
      <c r="E10" s="633" t="s">
        <v>248</v>
      </c>
      <c r="F10" s="634" t="s">
        <v>3673</v>
      </c>
      <c r="G10" s="633" t="s">
        <v>3608</v>
      </c>
      <c r="H10" s="635" t="s">
        <v>3667</v>
      </c>
      <c r="I10" s="633" t="s">
        <v>3671</v>
      </c>
      <c r="J10" s="636">
        <v>0.255</v>
      </c>
      <c r="K10" s="637" t="str">
        <f t="shared" si="1"/>
        <v>2/20</v>
      </c>
      <c r="L10" s="638" t="s">
        <v>3674</v>
      </c>
      <c r="M10" s="639" t="s">
        <v>3606</v>
      </c>
      <c r="N10" s="639" t="s">
        <v>1266</v>
      </c>
      <c r="O10" s="639" t="s">
        <v>3603</v>
      </c>
      <c r="P10" s="640" t="s">
        <v>3670</v>
      </c>
      <c r="Q10" s="639" t="s">
        <v>3603</v>
      </c>
      <c r="R10" s="641" t="s">
        <v>3670</v>
      </c>
      <c r="S10" s="639" t="s">
        <v>3606</v>
      </c>
      <c r="T10" s="639"/>
      <c r="U10" s="639" t="s">
        <v>3606</v>
      </c>
      <c r="V10" s="640" t="s">
        <v>3670</v>
      </c>
      <c r="W10" s="639" t="s">
        <v>3603</v>
      </c>
      <c r="X10" s="640" t="s">
        <v>3670</v>
      </c>
      <c r="Y10" s="642" t="s">
        <v>3603</v>
      </c>
      <c r="Z10" s="640" t="s">
        <v>1266</v>
      </c>
      <c r="AA10" s="639" t="s">
        <v>3603</v>
      </c>
      <c r="AB10" s="640" t="s">
        <v>3670</v>
      </c>
      <c r="AC10" s="639" t="s">
        <v>3603</v>
      </c>
      <c r="AD10" s="640" t="s">
        <v>3670</v>
      </c>
      <c r="AE10" s="639" t="s">
        <v>3603</v>
      </c>
      <c r="AF10" s="640" t="s">
        <v>3670</v>
      </c>
      <c r="AG10" s="641" t="s">
        <v>3603</v>
      </c>
      <c r="AH10" s="640" t="s">
        <v>3670</v>
      </c>
      <c r="AI10" s="641" t="s">
        <v>3603</v>
      </c>
      <c r="AJ10" s="640" t="s">
        <v>3670</v>
      </c>
      <c r="AK10" s="641" t="s">
        <v>3603</v>
      </c>
      <c r="AL10" s="640" t="s">
        <v>3670</v>
      </c>
      <c r="AM10" s="639" t="s">
        <v>3603</v>
      </c>
      <c r="AN10" s="640" t="s">
        <v>3670</v>
      </c>
      <c r="AO10" s="639" t="s">
        <v>3603</v>
      </c>
      <c r="AP10" s="640" t="s">
        <v>3670</v>
      </c>
      <c r="AQ10" s="639" t="s">
        <v>3603</v>
      </c>
      <c r="AR10" s="640" t="s">
        <v>3670</v>
      </c>
      <c r="AS10" s="639" t="s">
        <v>3603</v>
      </c>
      <c r="AT10" s="640" t="s">
        <v>3670</v>
      </c>
      <c r="AU10" s="639" t="s">
        <v>3603</v>
      </c>
      <c r="AV10" s="640" t="s">
        <v>3670</v>
      </c>
      <c r="AW10" s="639" t="s">
        <v>3603</v>
      </c>
      <c r="AX10" s="640" t="s">
        <v>3670</v>
      </c>
      <c r="AY10" s="639" t="s">
        <v>3603</v>
      </c>
      <c r="AZ10" s="640" t="s">
        <v>3670</v>
      </c>
      <c r="BA10" s="639" t="s">
        <v>3603</v>
      </c>
      <c r="BB10" s="640" t="s">
        <v>3670</v>
      </c>
      <c r="BC10" s="639" t="s">
        <v>3603</v>
      </c>
      <c r="BD10" s="640" t="s">
        <v>3670</v>
      </c>
      <c r="BE10" s="640" t="s">
        <v>3604</v>
      </c>
      <c r="BF10" s="640" t="s">
        <v>3670</v>
      </c>
      <c r="BG10" s="640" t="s">
        <v>3603</v>
      </c>
      <c r="BH10" s="640"/>
      <c r="BI10" s="640" t="s">
        <v>3603</v>
      </c>
      <c r="BJ10" s="640"/>
      <c r="BK10" s="640" t="s">
        <v>3603</v>
      </c>
      <c r="BL10" s="640"/>
      <c r="BM10" s="678"/>
      <c r="BN10" s="637"/>
      <c r="BO10" s="637"/>
      <c r="BP10" s="637"/>
      <c r="BQ10" s="637"/>
      <c r="BR10" s="637"/>
      <c r="BS10" s="637"/>
      <c r="BT10" s="637"/>
      <c r="BU10" s="679"/>
      <c r="BV10" s="679"/>
      <c r="BW10" s="633" t="s">
        <v>3675</v>
      </c>
      <c r="BZ10" s="658"/>
      <c r="CA10" s="658"/>
      <c r="CB10" s="658"/>
      <c r="CC10" s="658"/>
      <c r="CD10" s="658"/>
      <c r="CE10" s="658"/>
      <c r="CF10" s="658"/>
      <c r="CG10" s="658"/>
      <c r="CH10" s="658"/>
      <c r="CI10" s="658"/>
      <c r="CJ10" s="658"/>
      <c r="CK10" s="658"/>
      <c r="CL10" s="658"/>
      <c r="CM10" s="658"/>
      <c r="CN10" s="658"/>
      <c r="CO10" s="658"/>
      <c r="CP10" s="658"/>
      <c r="CQ10" s="658"/>
      <c r="CR10" s="658"/>
      <c r="CS10" s="658"/>
      <c r="CT10" s="658"/>
      <c r="CU10" s="658"/>
      <c r="CV10" s="658"/>
      <c r="CW10" s="658"/>
    </row>
    <row r="11" spans="2:101" ht="17.25" customHeight="1" x14ac:dyDescent="0.2">
      <c r="B11" s="633">
        <v>4</v>
      </c>
      <c r="C11" s="633" t="s">
        <v>244</v>
      </c>
      <c r="D11" s="634" t="s">
        <v>2071</v>
      </c>
      <c r="E11" s="633" t="s">
        <v>248</v>
      </c>
      <c r="F11" s="634" t="s">
        <v>3676</v>
      </c>
      <c r="G11" s="633" t="s">
        <v>3608</v>
      </c>
      <c r="H11" s="635" t="s">
        <v>3667</v>
      </c>
      <c r="I11" s="633" t="s">
        <v>3671</v>
      </c>
      <c r="J11" s="636">
        <v>0.29020000000000001</v>
      </c>
      <c r="K11" s="637" t="str">
        <f t="shared" si="1"/>
        <v>2/20</v>
      </c>
      <c r="L11" s="638" t="s">
        <v>3674</v>
      </c>
      <c r="M11" s="639" t="s">
        <v>3606</v>
      </c>
      <c r="N11" s="639" t="s">
        <v>1266</v>
      </c>
      <c r="O11" s="639" t="s">
        <v>3603</v>
      </c>
      <c r="P11" s="640" t="s">
        <v>3670</v>
      </c>
      <c r="Q11" s="639" t="s">
        <v>3603</v>
      </c>
      <c r="R11" s="641" t="s">
        <v>3670</v>
      </c>
      <c r="S11" s="639" t="s">
        <v>3606</v>
      </c>
      <c r="T11" s="639"/>
      <c r="U11" s="639" t="s">
        <v>3606</v>
      </c>
      <c r="V11" s="640" t="s">
        <v>3670</v>
      </c>
      <c r="W11" s="639" t="s">
        <v>3603</v>
      </c>
      <c r="X11" s="640" t="s">
        <v>3670</v>
      </c>
      <c r="Y11" s="642" t="s">
        <v>3603</v>
      </c>
      <c r="Z11" s="640" t="s">
        <v>1266</v>
      </c>
      <c r="AA11" s="639" t="s">
        <v>3603</v>
      </c>
      <c r="AB11" s="640" t="s">
        <v>3670</v>
      </c>
      <c r="AC11" s="639" t="s">
        <v>3603</v>
      </c>
      <c r="AD11" s="640" t="s">
        <v>3670</v>
      </c>
      <c r="AE11" s="639" t="s">
        <v>3603</v>
      </c>
      <c r="AF11" s="640" t="s">
        <v>3670</v>
      </c>
      <c r="AG11" s="641" t="s">
        <v>3603</v>
      </c>
      <c r="AH11" s="640" t="s">
        <v>3670</v>
      </c>
      <c r="AI11" s="641" t="s">
        <v>3603</v>
      </c>
      <c r="AJ11" s="640" t="s">
        <v>3670</v>
      </c>
      <c r="AK11" s="641" t="s">
        <v>3603</v>
      </c>
      <c r="AL11" s="640" t="s">
        <v>3670</v>
      </c>
      <c r="AM11" s="639" t="s">
        <v>3603</v>
      </c>
      <c r="AN11" s="640" t="s">
        <v>3670</v>
      </c>
      <c r="AO11" s="639" t="s">
        <v>3603</v>
      </c>
      <c r="AP11" s="640" t="s">
        <v>3670</v>
      </c>
      <c r="AQ11" s="639" t="s">
        <v>3603</v>
      </c>
      <c r="AR11" s="640" t="s">
        <v>3670</v>
      </c>
      <c r="AS11" s="639" t="s">
        <v>3603</v>
      </c>
      <c r="AT11" s="640" t="s">
        <v>3670</v>
      </c>
      <c r="AU11" s="639" t="s">
        <v>3603</v>
      </c>
      <c r="AV11" s="640" t="s">
        <v>3670</v>
      </c>
      <c r="AW11" s="639" t="s">
        <v>3603</v>
      </c>
      <c r="AX11" s="640" t="s">
        <v>3670</v>
      </c>
      <c r="AY11" s="639" t="s">
        <v>3603</v>
      </c>
      <c r="AZ11" s="640" t="s">
        <v>3670</v>
      </c>
      <c r="BA11" s="639" t="s">
        <v>3603</v>
      </c>
      <c r="BB11" s="640" t="s">
        <v>3670</v>
      </c>
      <c r="BC11" s="639" t="s">
        <v>3603</v>
      </c>
      <c r="BD11" s="640" t="s">
        <v>3670</v>
      </c>
      <c r="BE11" s="640" t="s">
        <v>3604</v>
      </c>
      <c r="BF11" s="640" t="s">
        <v>3670</v>
      </c>
      <c r="BG11" s="640" t="s">
        <v>3603</v>
      </c>
      <c r="BH11" s="640"/>
      <c r="BI11" s="640" t="s">
        <v>3603</v>
      </c>
      <c r="BJ11" s="640"/>
      <c r="BK11" s="640" t="s">
        <v>3603</v>
      </c>
      <c r="BL11" s="640"/>
      <c r="BM11" s="678"/>
      <c r="BN11" s="637"/>
      <c r="BO11" s="637"/>
      <c r="BP11" s="637"/>
      <c r="BQ11" s="637"/>
      <c r="BR11" s="637"/>
      <c r="BS11" s="637"/>
      <c r="BT11" s="637"/>
      <c r="BU11" s="679"/>
      <c r="BV11" s="679"/>
      <c r="BW11" s="633" t="s">
        <v>3675</v>
      </c>
      <c r="BZ11" s="658"/>
      <c r="CA11" s="658"/>
      <c r="CB11" s="658"/>
      <c r="CC11" s="658"/>
      <c r="CD11" s="658"/>
      <c r="CE11" s="658"/>
      <c r="CF11" s="658"/>
      <c r="CG11" s="658"/>
      <c r="CH11" s="658"/>
      <c r="CI11" s="658"/>
      <c r="CJ11" s="658"/>
      <c r="CK11" s="658"/>
      <c r="CL11" s="658"/>
      <c r="CM11" s="658"/>
      <c r="CN11" s="658"/>
      <c r="CO11" s="658"/>
      <c r="CP11" s="658"/>
      <c r="CQ11" s="658"/>
      <c r="CR11" s="658"/>
      <c r="CS11" s="658"/>
      <c r="CT11" s="658"/>
      <c r="CU11" s="658"/>
      <c r="CV11" s="658"/>
      <c r="CW11" s="658"/>
    </row>
    <row r="12" spans="2:101" ht="17.25" hidden="1" customHeight="1" x14ac:dyDescent="0.2">
      <c r="B12" s="633">
        <v>5</v>
      </c>
      <c r="C12" s="633" t="s">
        <v>244</v>
      </c>
      <c r="D12" s="634" t="s">
        <v>2078</v>
      </c>
      <c r="E12" s="633" t="s">
        <v>278</v>
      </c>
      <c r="F12" s="634" t="s">
        <v>3677</v>
      </c>
      <c r="G12" s="633" t="s">
        <v>3608</v>
      </c>
      <c r="H12" s="635" t="s">
        <v>3667</v>
      </c>
      <c r="I12" s="633" t="s">
        <v>3668</v>
      </c>
      <c r="J12" s="636">
        <v>0.63959999999999995</v>
      </c>
      <c r="K12" s="637" t="str">
        <f t="shared" si="1"/>
        <v>5/20</v>
      </c>
      <c r="L12" s="638" t="s">
        <v>3669</v>
      </c>
      <c r="M12" s="639" t="s">
        <v>3606</v>
      </c>
      <c r="N12" s="639" t="s">
        <v>1266</v>
      </c>
      <c r="O12" s="639" t="s">
        <v>3603</v>
      </c>
      <c r="P12" s="640" t="s">
        <v>3670</v>
      </c>
      <c r="Q12" s="639" t="s">
        <v>3603</v>
      </c>
      <c r="R12" s="641" t="s">
        <v>3670</v>
      </c>
      <c r="S12" s="639" t="s">
        <v>3606</v>
      </c>
      <c r="T12" s="639"/>
      <c r="U12" s="639" t="s">
        <v>3606</v>
      </c>
      <c r="V12" s="640" t="s">
        <v>3670</v>
      </c>
      <c r="W12" s="639" t="s">
        <v>3603</v>
      </c>
      <c r="X12" s="640" t="s">
        <v>3670</v>
      </c>
      <c r="Y12" s="642" t="s">
        <v>3603</v>
      </c>
      <c r="Z12" s="640" t="s">
        <v>1266</v>
      </c>
      <c r="AA12" s="639" t="s">
        <v>3603</v>
      </c>
      <c r="AB12" s="640" t="s">
        <v>3670</v>
      </c>
      <c r="AC12" s="639" t="s">
        <v>3603</v>
      </c>
      <c r="AD12" s="640" t="s">
        <v>3670</v>
      </c>
      <c r="AE12" s="639" t="s">
        <v>3606</v>
      </c>
      <c r="AF12" s="643" t="s">
        <v>3678</v>
      </c>
      <c r="AG12" s="641" t="s">
        <v>3603</v>
      </c>
      <c r="AH12" s="640" t="s">
        <v>3670</v>
      </c>
      <c r="AI12" s="641" t="s">
        <v>3603</v>
      </c>
      <c r="AJ12" s="640" t="s">
        <v>3670</v>
      </c>
      <c r="AK12" s="641" t="s">
        <v>3603</v>
      </c>
      <c r="AL12" s="640" t="s">
        <v>3670</v>
      </c>
      <c r="AM12" s="639" t="s">
        <v>3606</v>
      </c>
      <c r="AN12" s="640" t="s">
        <v>3670</v>
      </c>
      <c r="AO12" s="639" t="s">
        <v>3603</v>
      </c>
      <c r="AP12" s="640" t="s">
        <v>3670</v>
      </c>
      <c r="AQ12" s="639" t="s">
        <v>3603</v>
      </c>
      <c r="AR12" s="640" t="s">
        <v>3670</v>
      </c>
      <c r="AS12" s="639" t="s">
        <v>3603</v>
      </c>
      <c r="AT12" s="644" t="s">
        <v>3678</v>
      </c>
      <c r="AU12" s="639" t="s">
        <v>3603</v>
      </c>
      <c r="AV12" s="644" t="s">
        <v>3678</v>
      </c>
      <c r="AW12" s="639" t="s">
        <v>3606</v>
      </c>
      <c r="AX12" s="640" t="s">
        <v>3670</v>
      </c>
      <c r="AY12" s="639" t="s">
        <v>3603</v>
      </c>
      <c r="AZ12" s="640" t="s">
        <v>3670</v>
      </c>
      <c r="BA12" s="639" t="s">
        <v>3603</v>
      </c>
      <c r="BB12" s="640" t="s">
        <v>3670</v>
      </c>
      <c r="BC12" s="639" t="s">
        <v>3603</v>
      </c>
      <c r="BD12" s="640" t="s">
        <v>3670</v>
      </c>
      <c r="BE12" s="640" t="s">
        <v>3604</v>
      </c>
      <c r="BF12" s="640" t="s">
        <v>3670</v>
      </c>
      <c r="BG12" s="640" t="s">
        <v>1266</v>
      </c>
      <c r="BH12" s="644" t="s">
        <v>3678</v>
      </c>
      <c r="BI12" s="640" t="s">
        <v>3603</v>
      </c>
      <c r="BJ12" s="643"/>
      <c r="BK12" s="640" t="s">
        <v>3603</v>
      </c>
      <c r="BL12" s="643"/>
      <c r="BM12" s="678" t="s">
        <v>3679</v>
      </c>
      <c r="BN12" s="637"/>
      <c r="BO12" s="637"/>
      <c r="BP12" s="637"/>
      <c r="BQ12" s="637"/>
      <c r="BR12" s="637"/>
      <c r="BS12" s="637"/>
      <c r="BT12" s="637"/>
      <c r="BU12" s="679"/>
      <c r="BV12" s="679"/>
      <c r="BW12" s="633" t="s">
        <v>3671</v>
      </c>
      <c r="BZ12" s="658"/>
      <c r="CA12" s="658"/>
      <c r="CB12" s="658"/>
      <c r="CC12" s="658"/>
      <c r="CD12" s="658"/>
      <c r="CE12" s="658"/>
      <c r="CF12" s="658"/>
      <c r="CG12" s="658"/>
      <c r="CH12" s="658"/>
      <c r="CI12" s="658"/>
      <c r="CJ12" s="658"/>
      <c r="CK12" s="658"/>
      <c r="CL12" s="658"/>
      <c r="CM12" s="658"/>
      <c r="CN12" s="658"/>
      <c r="CO12" s="658"/>
      <c r="CP12" s="658"/>
      <c r="CQ12" s="658"/>
      <c r="CR12" s="658"/>
      <c r="CS12" s="658"/>
      <c r="CT12" s="658"/>
      <c r="CU12" s="658"/>
      <c r="CV12" s="658"/>
      <c r="CW12" s="658"/>
    </row>
    <row r="13" spans="2:101" ht="17.25" hidden="1" customHeight="1" x14ac:dyDescent="0.2">
      <c r="B13" s="633">
        <v>6</v>
      </c>
      <c r="C13" s="633" t="s">
        <v>244</v>
      </c>
      <c r="D13" s="634" t="s">
        <v>2089</v>
      </c>
      <c r="E13" s="633" t="s">
        <v>278</v>
      </c>
      <c r="F13" s="634" t="s">
        <v>3680</v>
      </c>
      <c r="G13" s="633" t="s">
        <v>3608</v>
      </c>
      <c r="H13" s="635" t="s">
        <v>3667</v>
      </c>
      <c r="I13" s="633" t="s">
        <v>3668</v>
      </c>
      <c r="J13" s="636">
        <v>0.78710000000000002</v>
      </c>
      <c r="K13" s="637" t="str">
        <f t="shared" si="1"/>
        <v>5/20</v>
      </c>
      <c r="L13" s="638" t="s">
        <v>3669</v>
      </c>
      <c r="M13" s="639" t="s">
        <v>3606</v>
      </c>
      <c r="N13" s="639" t="s">
        <v>1266</v>
      </c>
      <c r="O13" s="639" t="s">
        <v>3603</v>
      </c>
      <c r="P13" s="640" t="s">
        <v>3670</v>
      </c>
      <c r="Q13" s="639" t="s">
        <v>3603</v>
      </c>
      <c r="R13" s="641" t="s">
        <v>3670</v>
      </c>
      <c r="S13" s="639" t="s">
        <v>3606</v>
      </c>
      <c r="T13" s="639"/>
      <c r="U13" s="639" t="s">
        <v>3606</v>
      </c>
      <c r="V13" s="640" t="s">
        <v>3670</v>
      </c>
      <c r="W13" s="639" t="s">
        <v>3603</v>
      </c>
      <c r="X13" s="640" t="s">
        <v>3670</v>
      </c>
      <c r="Y13" s="642" t="s">
        <v>3603</v>
      </c>
      <c r="Z13" s="640" t="s">
        <v>1266</v>
      </c>
      <c r="AA13" s="639" t="s">
        <v>3603</v>
      </c>
      <c r="AB13" s="640" t="s">
        <v>3670</v>
      </c>
      <c r="AC13" s="639" t="s">
        <v>3603</v>
      </c>
      <c r="AD13" s="640" t="s">
        <v>3670</v>
      </c>
      <c r="AE13" s="639" t="s">
        <v>3606</v>
      </c>
      <c r="AF13" s="640" t="s">
        <v>3670</v>
      </c>
      <c r="AG13" s="641" t="s">
        <v>3603</v>
      </c>
      <c r="AH13" s="640" t="s">
        <v>3670</v>
      </c>
      <c r="AI13" s="641" t="s">
        <v>3603</v>
      </c>
      <c r="AJ13" s="640" t="s">
        <v>3670</v>
      </c>
      <c r="AK13" s="641" t="s">
        <v>3603</v>
      </c>
      <c r="AL13" s="640" t="s">
        <v>3670</v>
      </c>
      <c r="AM13" s="639" t="s">
        <v>3606</v>
      </c>
      <c r="AN13" s="640" t="s">
        <v>3670</v>
      </c>
      <c r="AO13" s="639" t="s">
        <v>3603</v>
      </c>
      <c r="AP13" s="640" t="s">
        <v>3670</v>
      </c>
      <c r="AQ13" s="639" t="s">
        <v>3603</v>
      </c>
      <c r="AR13" s="640" t="s">
        <v>3670</v>
      </c>
      <c r="AS13" s="639" t="s">
        <v>3603</v>
      </c>
      <c r="AT13" s="640" t="s">
        <v>3670</v>
      </c>
      <c r="AU13" s="639" t="s">
        <v>3603</v>
      </c>
      <c r="AV13" s="640" t="s">
        <v>3670</v>
      </c>
      <c r="AW13" s="639" t="s">
        <v>3603</v>
      </c>
      <c r="AX13" s="640" t="s">
        <v>3670</v>
      </c>
      <c r="AY13" s="639" t="s">
        <v>3603</v>
      </c>
      <c r="AZ13" s="640" t="s">
        <v>3670</v>
      </c>
      <c r="BA13" s="639" t="s">
        <v>3603</v>
      </c>
      <c r="BB13" s="640" t="s">
        <v>3670</v>
      </c>
      <c r="BC13" s="639" t="s">
        <v>3606</v>
      </c>
      <c r="BD13" s="640" t="s">
        <v>3670</v>
      </c>
      <c r="BE13" s="640" t="s">
        <v>3604</v>
      </c>
      <c r="BF13" s="640" t="s">
        <v>3670</v>
      </c>
      <c r="BG13" s="640" t="s">
        <v>1266</v>
      </c>
      <c r="BH13" s="640"/>
      <c r="BI13" s="640" t="s">
        <v>3603</v>
      </c>
      <c r="BJ13" s="640"/>
      <c r="BK13" s="640" t="s">
        <v>3603</v>
      </c>
      <c r="BL13" s="640"/>
      <c r="BM13" s="678"/>
      <c r="BN13" s="637"/>
      <c r="BO13" s="637"/>
      <c r="BP13" s="637"/>
      <c r="BQ13" s="637"/>
      <c r="BR13" s="637"/>
      <c r="BS13" s="637"/>
      <c r="BT13" s="637"/>
      <c r="BU13" s="679"/>
      <c r="BV13" s="679"/>
      <c r="BW13" s="633" t="s">
        <v>3671</v>
      </c>
      <c r="BZ13" s="658"/>
      <c r="CA13" s="658"/>
      <c r="CB13" s="658"/>
      <c r="CC13" s="658"/>
      <c r="CD13" s="658"/>
      <c r="CE13" s="658"/>
      <c r="CF13" s="658"/>
      <c r="CG13" s="658"/>
      <c r="CH13" s="658"/>
      <c r="CI13" s="658"/>
      <c r="CJ13" s="658"/>
      <c r="CK13" s="658"/>
      <c r="CL13" s="658"/>
      <c r="CM13" s="658"/>
      <c r="CN13" s="658"/>
      <c r="CO13" s="658"/>
      <c r="CP13" s="658"/>
      <c r="CQ13" s="658"/>
      <c r="CR13" s="658"/>
      <c r="CS13" s="658"/>
      <c r="CT13" s="658"/>
      <c r="CU13" s="658"/>
      <c r="CV13" s="658"/>
      <c r="CW13" s="658"/>
    </row>
    <row r="14" spans="2:101" ht="17.25" hidden="1" customHeight="1" x14ac:dyDescent="0.2">
      <c r="B14" s="633">
        <v>7</v>
      </c>
      <c r="C14" s="633" t="s">
        <v>244</v>
      </c>
      <c r="D14" s="634" t="s">
        <v>2098</v>
      </c>
      <c r="E14" s="633" t="s">
        <v>278</v>
      </c>
      <c r="F14" s="634" t="s">
        <v>3681</v>
      </c>
      <c r="G14" s="633" t="s">
        <v>3608</v>
      </c>
      <c r="H14" s="635" t="s">
        <v>3667</v>
      </c>
      <c r="I14" s="633" t="s">
        <v>3668</v>
      </c>
      <c r="J14" s="636">
        <v>0.56279999999999997</v>
      </c>
      <c r="K14" s="637" t="str">
        <f t="shared" si="1"/>
        <v>6/20</v>
      </c>
      <c r="L14" s="638" t="s">
        <v>3669</v>
      </c>
      <c r="M14" s="639" t="s">
        <v>3606</v>
      </c>
      <c r="N14" s="639" t="s">
        <v>1266</v>
      </c>
      <c r="O14" s="639" t="s">
        <v>3603</v>
      </c>
      <c r="P14" s="640" t="s">
        <v>3670</v>
      </c>
      <c r="Q14" s="639" t="s">
        <v>3603</v>
      </c>
      <c r="R14" s="641" t="s">
        <v>3670</v>
      </c>
      <c r="S14" s="639" t="s">
        <v>3606</v>
      </c>
      <c r="T14" s="639"/>
      <c r="U14" s="639" t="s">
        <v>3606</v>
      </c>
      <c r="V14" s="640" t="s">
        <v>3670</v>
      </c>
      <c r="W14" s="639" t="s">
        <v>3603</v>
      </c>
      <c r="X14" s="640" t="s">
        <v>3670</v>
      </c>
      <c r="Y14" s="642" t="s">
        <v>3603</v>
      </c>
      <c r="Z14" s="640" t="s">
        <v>1266</v>
      </c>
      <c r="AA14" s="639" t="s">
        <v>3603</v>
      </c>
      <c r="AB14" s="640" t="s">
        <v>3670</v>
      </c>
      <c r="AC14" s="639" t="s">
        <v>3603</v>
      </c>
      <c r="AD14" s="640" t="s">
        <v>3670</v>
      </c>
      <c r="AE14" s="639" t="s">
        <v>3606</v>
      </c>
      <c r="AF14" s="640" t="s">
        <v>3670</v>
      </c>
      <c r="AG14" s="641" t="s">
        <v>3603</v>
      </c>
      <c r="AH14" s="640" t="s">
        <v>3670</v>
      </c>
      <c r="AI14" s="641" t="s">
        <v>3603</v>
      </c>
      <c r="AJ14" s="640" t="s">
        <v>3670</v>
      </c>
      <c r="AK14" s="641" t="s">
        <v>3603</v>
      </c>
      <c r="AL14" s="640" t="s">
        <v>3670</v>
      </c>
      <c r="AM14" s="639" t="s">
        <v>3606</v>
      </c>
      <c r="AN14" s="640" t="s">
        <v>3670</v>
      </c>
      <c r="AO14" s="639" t="s">
        <v>3603</v>
      </c>
      <c r="AP14" s="640" t="s">
        <v>3670</v>
      </c>
      <c r="AQ14" s="639" t="s">
        <v>3603</v>
      </c>
      <c r="AR14" s="640" t="s">
        <v>3670</v>
      </c>
      <c r="AS14" s="639" t="s">
        <v>3603</v>
      </c>
      <c r="AT14" s="640" t="s">
        <v>3670</v>
      </c>
      <c r="AU14" s="639" t="s">
        <v>3603</v>
      </c>
      <c r="AV14" s="640" t="s">
        <v>3670</v>
      </c>
      <c r="AW14" s="639" t="s">
        <v>3606</v>
      </c>
      <c r="AX14" s="640" t="s">
        <v>3670</v>
      </c>
      <c r="AY14" s="639" t="s">
        <v>3603</v>
      </c>
      <c r="AZ14" s="640" t="s">
        <v>3670</v>
      </c>
      <c r="BA14" s="639" t="s">
        <v>3603</v>
      </c>
      <c r="BB14" s="640" t="s">
        <v>3670</v>
      </c>
      <c r="BC14" s="639" t="s">
        <v>3606</v>
      </c>
      <c r="BD14" s="640" t="s">
        <v>3670</v>
      </c>
      <c r="BE14" s="640" t="s">
        <v>3604</v>
      </c>
      <c r="BF14" s="640" t="s">
        <v>3670</v>
      </c>
      <c r="BG14" s="640" t="s">
        <v>1266</v>
      </c>
      <c r="BH14" s="640"/>
      <c r="BI14" s="640" t="s">
        <v>3603</v>
      </c>
      <c r="BJ14" s="640"/>
      <c r="BK14" s="640" t="s">
        <v>3603</v>
      </c>
      <c r="BL14" s="640"/>
      <c r="BM14" s="678"/>
      <c r="BN14" s="637"/>
      <c r="BO14" s="637"/>
      <c r="BP14" s="637"/>
      <c r="BQ14" s="637"/>
      <c r="BR14" s="637"/>
      <c r="BS14" s="637"/>
      <c r="BT14" s="637"/>
      <c r="BU14" s="679"/>
      <c r="BV14" s="679"/>
      <c r="BW14" s="633" t="s">
        <v>3671</v>
      </c>
      <c r="BZ14" s="658"/>
      <c r="CA14" s="658"/>
      <c r="CB14" s="658"/>
      <c r="CC14" s="658"/>
      <c r="CD14" s="658"/>
      <c r="CE14" s="658"/>
      <c r="CF14" s="658"/>
      <c r="CG14" s="658"/>
      <c r="CH14" s="658"/>
      <c r="CI14" s="658"/>
      <c r="CJ14" s="658"/>
      <c r="CK14" s="658"/>
      <c r="CL14" s="658"/>
      <c r="CM14" s="658"/>
      <c r="CN14" s="658"/>
      <c r="CO14" s="658"/>
      <c r="CP14" s="658"/>
      <c r="CQ14" s="658"/>
      <c r="CR14" s="658"/>
      <c r="CS14" s="658"/>
      <c r="CT14" s="658"/>
      <c r="CU14" s="658"/>
      <c r="CV14" s="658"/>
      <c r="CW14" s="658"/>
    </row>
    <row r="15" spans="2:101" ht="17.25" hidden="1" customHeight="1" x14ac:dyDescent="0.2">
      <c r="B15" s="633">
        <v>8</v>
      </c>
      <c r="C15" s="633" t="s">
        <v>244</v>
      </c>
      <c r="D15" s="634" t="s">
        <v>2107</v>
      </c>
      <c r="E15" s="633" t="s">
        <v>278</v>
      </c>
      <c r="F15" s="634" t="s">
        <v>3682</v>
      </c>
      <c r="G15" s="633" t="s">
        <v>3608</v>
      </c>
      <c r="H15" s="635" t="s">
        <v>3667</v>
      </c>
      <c r="I15" s="633" t="s">
        <v>3668</v>
      </c>
      <c r="J15" s="636">
        <v>0.71940000000000004</v>
      </c>
      <c r="K15" s="637" t="str">
        <f t="shared" si="1"/>
        <v>4/20</v>
      </c>
      <c r="L15" s="638" t="s">
        <v>3669</v>
      </c>
      <c r="M15" s="639" t="s">
        <v>3606</v>
      </c>
      <c r="N15" s="639" t="s">
        <v>1266</v>
      </c>
      <c r="O15" s="639" t="s">
        <v>3603</v>
      </c>
      <c r="P15" s="640" t="s">
        <v>3670</v>
      </c>
      <c r="Q15" s="639" t="s">
        <v>3603</v>
      </c>
      <c r="R15" s="641" t="s">
        <v>3670</v>
      </c>
      <c r="S15" s="639" t="s">
        <v>3606</v>
      </c>
      <c r="T15" s="639"/>
      <c r="U15" s="639" t="s">
        <v>3606</v>
      </c>
      <c r="V15" s="640" t="s">
        <v>3670</v>
      </c>
      <c r="W15" s="639" t="s">
        <v>3603</v>
      </c>
      <c r="X15" s="640" t="s">
        <v>3670</v>
      </c>
      <c r="Y15" s="642" t="s">
        <v>3603</v>
      </c>
      <c r="Z15" s="640" t="s">
        <v>1266</v>
      </c>
      <c r="AA15" s="639" t="s">
        <v>3603</v>
      </c>
      <c r="AB15" s="640" t="s">
        <v>3670</v>
      </c>
      <c r="AC15" s="639" t="s">
        <v>3603</v>
      </c>
      <c r="AD15" s="640" t="s">
        <v>3670</v>
      </c>
      <c r="AE15" s="639" t="s">
        <v>3606</v>
      </c>
      <c r="AF15" s="640" t="s">
        <v>3670</v>
      </c>
      <c r="AG15" s="641" t="s">
        <v>3603</v>
      </c>
      <c r="AH15" s="640" t="s">
        <v>3670</v>
      </c>
      <c r="AI15" s="641" t="s">
        <v>3603</v>
      </c>
      <c r="AJ15" s="640" t="s">
        <v>3670</v>
      </c>
      <c r="AK15" s="641" t="s">
        <v>3603</v>
      </c>
      <c r="AL15" s="640" t="s">
        <v>3670</v>
      </c>
      <c r="AM15" s="639" t="s">
        <v>3603</v>
      </c>
      <c r="AN15" s="640" t="s">
        <v>3670</v>
      </c>
      <c r="AO15" s="639" t="s">
        <v>3603</v>
      </c>
      <c r="AP15" s="640" t="s">
        <v>3670</v>
      </c>
      <c r="AQ15" s="639" t="s">
        <v>3603</v>
      </c>
      <c r="AR15" s="640" t="s">
        <v>3670</v>
      </c>
      <c r="AS15" s="639" t="s">
        <v>3603</v>
      </c>
      <c r="AT15" s="640" t="s">
        <v>3670</v>
      </c>
      <c r="AU15" s="639" t="s">
        <v>3603</v>
      </c>
      <c r="AV15" s="640" t="s">
        <v>3670</v>
      </c>
      <c r="AW15" s="639" t="s">
        <v>3604</v>
      </c>
      <c r="AX15" s="640" t="s">
        <v>3670</v>
      </c>
      <c r="AY15" s="639" t="s">
        <v>3603</v>
      </c>
      <c r="AZ15" s="640" t="s">
        <v>3670</v>
      </c>
      <c r="BA15" s="639" t="s">
        <v>3603</v>
      </c>
      <c r="BB15" s="640" t="s">
        <v>3670</v>
      </c>
      <c r="BC15" s="639" t="s">
        <v>3603</v>
      </c>
      <c r="BD15" s="640" t="s">
        <v>3670</v>
      </c>
      <c r="BE15" s="640" t="s">
        <v>3604</v>
      </c>
      <c r="BF15" s="640" t="s">
        <v>3670</v>
      </c>
      <c r="BG15" s="640" t="s">
        <v>1266</v>
      </c>
      <c r="BH15" s="640"/>
      <c r="BI15" s="640" t="s">
        <v>3603</v>
      </c>
      <c r="BJ15" s="640"/>
      <c r="BK15" s="640" t="s">
        <v>3603</v>
      </c>
      <c r="BL15" s="640"/>
      <c r="BM15" s="678"/>
      <c r="BN15" s="637"/>
      <c r="BO15" s="637"/>
      <c r="BP15" s="637"/>
      <c r="BQ15" s="637"/>
      <c r="BR15" s="637"/>
      <c r="BS15" s="637"/>
      <c r="BT15" s="637"/>
      <c r="BU15" s="679"/>
      <c r="BV15" s="679"/>
      <c r="BW15" s="633" t="s">
        <v>3671</v>
      </c>
      <c r="BZ15" s="658"/>
      <c r="CA15" s="658"/>
      <c r="CB15" s="658"/>
      <c r="CC15" s="658"/>
      <c r="CD15" s="658"/>
      <c r="CE15" s="658"/>
      <c r="CF15" s="658"/>
      <c r="CG15" s="658"/>
      <c r="CH15" s="658"/>
      <c r="CI15" s="658"/>
      <c r="CJ15" s="658"/>
      <c r="CK15" s="658"/>
      <c r="CL15" s="658"/>
      <c r="CM15" s="658"/>
      <c r="CN15" s="658"/>
      <c r="CO15" s="658"/>
      <c r="CP15" s="658"/>
      <c r="CQ15" s="658"/>
      <c r="CR15" s="658"/>
      <c r="CS15" s="658"/>
      <c r="CT15" s="658"/>
      <c r="CU15" s="658"/>
      <c r="CV15" s="658"/>
      <c r="CW15" s="658"/>
    </row>
    <row r="16" spans="2:101" ht="17.25" hidden="1" customHeight="1" x14ac:dyDescent="0.2">
      <c r="B16" s="633">
        <v>9</v>
      </c>
      <c r="C16" s="633" t="s">
        <v>244</v>
      </c>
      <c r="D16" s="634" t="s">
        <v>2116</v>
      </c>
      <c r="E16" s="633" t="s">
        <v>278</v>
      </c>
      <c r="F16" s="634" t="s">
        <v>3683</v>
      </c>
      <c r="G16" s="633" t="s">
        <v>3608</v>
      </c>
      <c r="H16" s="635" t="s">
        <v>3667</v>
      </c>
      <c r="I16" s="633" t="s">
        <v>3668</v>
      </c>
      <c r="J16" s="636">
        <v>0.62439999999999996</v>
      </c>
      <c r="K16" s="637" t="str">
        <f t="shared" si="1"/>
        <v>3/20</v>
      </c>
      <c r="L16" s="638" t="s">
        <v>3669</v>
      </c>
      <c r="M16" s="639" t="s">
        <v>3606</v>
      </c>
      <c r="N16" s="639" t="s">
        <v>1266</v>
      </c>
      <c r="O16" s="639" t="s">
        <v>3603</v>
      </c>
      <c r="P16" s="640" t="s">
        <v>3670</v>
      </c>
      <c r="Q16" s="639" t="s">
        <v>3603</v>
      </c>
      <c r="R16" s="641" t="s">
        <v>3670</v>
      </c>
      <c r="S16" s="639" t="s">
        <v>3606</v>
      </c>
      <c r="T16" s="639"/>
      <c r="U16" s="639" t="s">
        <v>3606</v>
      </c>
      <c r="V16" s="640" t="s">
        <v>3670</v>
      </c>
      <c r="W16" s="639" t="s">
        <v>3603</v>
      </c>
      <c r="X16" s="640" t="s">
        <v>3670</v>
      </c>
      <c r="Y16" s="642" t="s">
        <v>3603</v>
      </c>
      <c r="Z16" s="640" t="s">
        <v>1266</v>
      </c>
      <c r="AA16" s="639" t="s">
        <v>3603</v>
      </c>
      <c r="AB16" s="640" t="s">
        <v>3670</v>
      </c>
      <c r="AC16" s="639" t="s">
        <v>3603</v>
      </c>
      <c r="AD16" s="640" t="s">
        <v>3670</v>
      </c>
      <c r="AE16" s="639" t="s">
        <v>3606</v>
      </c>
      <c r="AF16" s="640" t="s">
        <v>3670</v>
      </c>
      <c r="AG16" s="641" t="s">
        <v>3603</v>
      </c>
      <c r="AH16" s="640" t="s">
        <v>3670</v>
      </c>
      <c r="AI16" s="641" t="s">
        <v>3603</v>
      </c>
      <c r="AJ16" s="640" t="s">
        <v>3670</v>
      </c>
      <c r="AK16" s="641" t="s">
        <v>3603</v>
      </c>
      <c r="AL16" s="640" t="s">
        <v>3670</v>
      </c>
      <c r="AM16" s="639" t="s">
        <v>3603</v>
      </c>
      <c r="AN16" s="640" t="s">
        <v>3670</v>
      </c>
      <c r="AO16" s="639" t="s">
        <v>3603</v>
      </c>
      <c r="AP16" s="640" t="s">
        <v>3670</v>
      </c>
      <c r="AQ16" s="639" t="s">
        <v>3603</v>
      </c>
      <c r="AR16" s="640" t="s">
        <v>3670</v>
      </c>
      <c r="AS16" s="639" t="s">
        <v>3603</v>
      </c>
      <c r="AT16" s="640" t="s">
        <v>3670</v>
      </c>
      <c r="AU16" s="639" t="s">
        <v>3603</v>
      </c>
      <c r="AV16" s="640" t="s">
        <v>3670</v>
      </c>
      <c r="AW16" s="639" t="s">
        <v>3603</v>
      </c>
      <c r="AX16" s="640" t="s">
        <v>3670</v>
      </c>
      <c r="AY16" s="639" t="s">
        <v>3603</v>
      </c>
      <c r="AZ16" s="640" t="s">
        <v>3670</v>
      </c>
      <c r="BA16" s="639" t="s">
        <v>3603</v>
      </c>
      <c r="BB16" s="640" t="s">
        <v>3670</v>
      </c>
      <c r="BC16" s="639" t="s">
        <v>3603</v>
      </c>
      <c r="BD16" s="640" t="s">
        <v>3670</v>
      </c>
      <c r="BE16" s="640" t="s">
        <v>3604</v>
      </c>
      <c r="BF16" s="640" t="s">
        <v>3670</v>
      </c>
      <c r="BG16" s="640" t="s">
        <v>1266</v>
      </c>
      <c r="BH16" s="640"/>
      <c r="BI16" s="640" t="s">
        <v>3603</v>
      </c>
      <c r="BJ16" s="640"/>
      <c r="BK16" s="640" t="s">
        <v>3603</v>
      </c>
      <c r="BL16" s="640"/>
      <c r="BM16" s="678"/>
      <c r="BN16" s="637"/>
      <c r="BO16" s="637"/>
      <c r="BP16" s="637"/>
      <c r="BQ16" s="637"/>
      <c r="BR16" s="637"/>
      <c r="BS16" s="637"/>
      <c r="BT16" s="637"/>
      <c r="BU16" s="679"/>
      <c r="BV16" s="679"/>
      <c r="BW16" s="633" t="s">
        <v>3671</v>
      </c>
      <c r="BZ16" s="658"/>
      <c r="CA16" s="658"/>
      <c r="CB16" s="658"/>
      <c r="CC16" s="658"/>
      <c r="CD16" s="658"/>
      <c r="CE16" s="658"/>
      <c r="CF16" s="658"/>
      <c r="CG16" s="658"/>
      <c r="CH16" s="658"/>
      <c r="CI16" s="658"/>
      <c r="CJ16" s="658"/>
      <c r="CK16" s="658"/>
      <c r="CL16" s="658"/>
      <c r="CM16" s="658"/>
      <c r="CN16" s="658"/>
      <c r="CO16" s="658"/>
      <c r="CP16" s="658"/>
      <c r="CQ16" s="658"/>
      <c r="CR16" s="658"/>
      <c r="CS16" s="658"/>
      <c r="CT16" s="658"/>
      <c r="CU16" s="658"/>
      <c r="CV16" s="658"/>
      <c r="CW16" s="658"/>
    </row>
    <row r="17" spans="2:101" ht="17.25" hidden="1" customHeight="1" x14ac:dyDescent="0.2">
      <c r="B17" s="633">
        <v>10</v>
      </c>
      <c r="C17" s="633" t="s">
        <v>244</v>
      </c>
      <c r="D17" s="634" t="s">
        <v>2126</v>
      </c>
      <c r="E17" s="633" t="s">
        <v>278</v>
      </c>
      <c r="F17" s="680" t="s">
        <v>2127</v>
      </c>
      <c r="G17" s="633" t="s">
        <v>3684</v>
      </c>
      <c r="H17" s="646" t="s">
        <v>3599</v>
      </c>
      <c r="I17" s="633" t="s">
        <v>3599</v>
      </c>
      <c r="J17" s="636">
        <v>0.48659999999999998</v>
      </c>
      <c r="K17" s="637" t="str">
        <f t="shared" si="1"/>
        <v>1/20</v>
      </c>
      <c r="L17" s="638">
        <v>0</v>
      </c>
      <c r="M17" s="639" t="s">
        <v>3606</v>
      </c>
      <c r="N17" s="639" t="s">
        <v>1266</v>
      </c>
      <c r="O17" s="639" t="s">
        <v>3603</v>
      </c>
      <c r="P17" s="640" t="s">
        <v>3670</v>
      </c>
      <c r="Q17" s="639" t="s">
        <v>3603</v>
      </c>
      <c r="R17" s="641" t="s">
        <v>3670</v>
      </c>
      <c r="S17" s="639" t="s">
        <v>3603</v>
      </c>
      <c r="T17" s="639"/>
      <c r="U17" s="639" t="s">
        <v>3606</v>
      </c>
      <c r="V17" s="640" t="s">
        <v>3670</v>
      </c>
      <c r="W17" s="639" t="s">
        <v>3603</v>
      </c>
      <c r="X17" s="640" t="s">
        <v>3670</v>
      </c>
      <c r="Y17" s="642" t="s">
        <v>3603</v>
      </c>
      <c r="Z17" s="640" t="s">
        <v>1266</v>
      </c>
      <c r="AA17" s="639" t="s">
        <v>3603</v>
      </c>
      <c r="AB17" s="640" t="s">
        <v>3670</v>
      </c>
      <c r="AC17" s="639" t="s">
        <v>3603</v>
      </c>
      <c r="AD17" s="640" t="s">
        <v>3670</v>
      </c>
      <c r="AE17" s="639" t="s">
        <v>3603</v>
      </c>
      <c r="AF17" s="640" t="s">
        <v>3670</v>
      </c>
      <c r="AG17" s="641" t="s">
        <v>3603</v>
      </c>
      <c r="AH17" s="640" t="s">
        <v>3670</v>
      </c>
      <c r="AI17" s="641" t="s">
        <v>3603</v>
      </c>
      <c r="AJ17" s="640" t="s">
        <v>3670</v>
      </c>
      <c r="AK17" s="641" t="s">
        <v>3603</v>
      </c>
      <c r="AL17" s="640" t="s">
        <v>3670</v>
      </c>
      <c r="AM17" s="639" t="s">
        <v>3603</v>
      </c>
      <c r="AN17" s="640" t="s">
        <v>3670</v>
      </c>
      <c r="AO17" s="639" t="s">
        <v>3603</v>
      </c>
      <c r="AP17" s="640" t="s">
        <v>3670</v>
      </c>
      <c r="AQ17" s="639" t="s">
        <v>3603</v>
      </c>
      <c r="AR17" s="640" t="s">
        <v>3670</v>
      </c>
      <c r="AS17" s="639" t="s">
        <v>3603</v>
      </c>
      <c r="AT17" s="640" t="s">
        <v>3670</v>
      </c>
      <c r="AU17" s="639" t="s">
        <v>3603</v>
      </c>
      <c r="AV17" s="640" t="s">
        <v>3670</v>
      </c>
      <c r="AW17" s="639" t="s">
        <v>3603</v>
      </c>
      <c r="AX17" s="640" t="s">
        <v>3670</v>
      </c>
      <c r="AY17" s="639" t="s">
        <v>3603</v>
      </c>
      <c r="AZ17" s="640" t="s">
        <v>3670</v>
      </c>
      <c r="BA17" s="639" t="s">
        <v>3603</v>
      </c>
      <c r="BB17" s="640" t="s">
        <v>3670</v>
      </c>
      <c r="BC17" s="639" t="s">
        <v>3603</v>
      </c>
      <c r="BD17" s="640" t="s">
        <v>3670</v>
      </c>
      <c r="BE17" s="640" t="s">
        <v>3603</v>
      </c>
      <c r="BF17" s="640" t="s">
        <v>3670</v>
      </c>
      <c r="BG17" s="640" t="s">
        <v>1266</v>
      </c>
      <c r="BH17" s="640"/>
      <c r="BI17" s="640" t="s">
        <v>3603</v>
      </c>
      <c r="BJ17" s="640"/>
      <c r="BK17" s="640" t="s">
        <v>3603</v>
      </c>
      <c r="BL17" s="640"/>
      <c r="BM17" s="678" t="str">
        <f>IF(
  (
   (P17="Ada")+(P17="tidak perlu")+(P17="draft") +
   (R17="Ada")+(R17="tidak perlu")+(R17="draft") +
   (V17="Ada")+(V17="tidak perlu")+(V17="draft") +
   (X17="Ada")+(X17="tidak perlu")+(X17="draft") +
   (AB17="Ada")+(AB17="tidak perlu")+(AB17="draft") +
   (AD17="Ada")+(AD17="tidak perlu")+(AD17="draft") +
   (AF17="Ada")+(AF17="tidak perlu")+(AF17="draft") +
   (AH17="Ada")+(AH17="tidak perlu")+(AH17="draft") +
   (AJ17="Ada")+(AJ17="tidak perlu")+(AJ17="draft") +
   (AL17="Ada")+(AL17="tidak perlu")+(AL17="draft") +
   (AN17="Ada")+(AN17="tidak perlu")+(AN17="draft") +
   (AP17="Ada")+(AP17="tidak perlu")+(AP17="draft") +
   (AR17="Ada")+(AR17="tidak perlu")+(AR17="draft") +
   (AT17="Ada")+(AT17="tidak perlu")+(AT17="draft") +
   (AV17="Ada")+(AV17="tidak perlu")+(AV17="draft") +
   (AX17="Ada")+(AX17="tidak perlu")+(AX17="draft") +
   (AZ17="Ada")+(AZ17="tidak perlu")+(AZ17="draft") +
   (BB17="Ada")+(BB17="tidak perlu")+(BB17="draft") +
   (BD17="Ada")+(BD17="tidak perlu")+(BD17="draft") +
   (BF17="Ada")+(BF17="tidak perlu")+(BF17="draft")
  ) = 20,
 "Lengkap","Belum Lengkap")</f>
        <v>Belum Lengkap</v>
      </c>
      <c r="BN17" s="637"/>
      <c r="BO17" s="637"/>
      <c r="BP17" s="637"/>
      <c r="BQ17" s="637"/>
      <c r="BR17" s="637"/>
      <c r="BS17" s="637"/>
      <c r="BT17" s="637"/>
      <c r="BU17" s="679"/>
      <c r="BV17" s="679"/>
      <c r="BW17" s="633" t="s">
        <v>3675</v>
      </c>
      <c r="BZ17" s="658"/>
      <c r="CA17" s="658"/>
      <c r="CB17" s="658"/>
      <c r="CC17" s="658"/>
      <c r="CD17" s="658"/>
      <c r="CE17" s="658"/>
      <c r="CF17" s="658"/>
      <c r="CG17" s="658"/>
      <c r="CH17" s="658"/>
      <c r="CI17" s="658"/>
      <c r="CJ17" s="658"/>
      <c r="CK17" s="658"/>
      <c r="CL17" s="658"/>
      <c r="CM17" s="658"/>
      <c r="CN17" s="658"/>
      <c r="CO17" s="658"/>
      <c r="CP17" s="658"/>
      <c r="CQ17" s="658"/>
      <c r="CR17" s="658"/>
      <c r="CS17" s="658"/>
      <c r="CT17" s="658"/>
      <c r="CU17" s="658"/>
      <c r="CV17" s="658"/>
      <c r="CW17" s="658"/>
    </row>
    <row r="18" spans="2:101" ht="17.25" hidden="1" customHeight="1" x14ac:dyDescent="0.2">
      <c r="B18" s="633">
        <v>11</v>
      </c>
      <c r="C18" s="633" t="s">
        <v>244</v>
      </c>
      <c r="D18" s="634" t="s">
        <v>2136</v>
      </c>
      <c r="E18" s="633" t="s">
        <v>278</v>
      </c>
      <c r="F18" s="634" t="s">
        <v>2137</v>
      </c>
      <c r="G18" s="633" t="s">
        <v>3560</v>
      </c>
      <c r="H18" s="635" t="s">
        <v>3667</v>
      </c>
      <c r="I18" s="633" t="s">
        <v>3685</v>
      </c>
      <c r="J18" s="636">
        <v>0.443</v>
      </c>
      <c r="K18" s="637" t="str">
        <f t="shared" si="1"/>
        <v>19/20</v>
      </c>
      <c r="L18" s="638" t="s">
        <v>3686</v>
      </c>
      <c r="M18" s="639" t="s">
        <v>3606</v>
      </c>
      <c r="N18" s="639" t="s">
        <v>1266</v>
      </c>
      <c r="O18" s="639" t="s">
        <v>3606</v>
      </c>
      <c r="P18" s="640" t="s">
        <v>3678</v>
      </c>
      <c r="Q18" s="639" t="s">
        <v>3606</v>
      </c>
      <c r="R18" s="641" t="s">
        <v>3678</v>
      </c>
      <c r="S18" s="639" t="s">
        <v>3606</v>
      </c>
      <c r="T18" s="640" t="s">
        <v>3678</v>
      </c>
      <c r="U18" s="639" t="s">
        <v>3606</v>
      </c>
      <c r="V18" s="640" t="s">
        <v>3678</v>
      </c>
      <c r="W18" s="639" t="s">
        <v>3606</v>
      </c>
      <c r="X18" s="640" t="s">
        <v>3678</v>
      </c>
      <c r="Y18" s="642" t="s">
        <v>3606</v>
      </c>
      <c r="Z18" s="640" t="s">
        <v>1266</v>
      </c>
      <c r="AA18" s="639" t="s">
        <v>3606</v>
      </c>
      <c r="AB18" s="640" t="s">
        <v>3678</v>
      </c>
      <c r="AC18" s="639" t="s">
        <v>3606</v>
      </c>
      <c r="AD18" s="643" t="s">
        <v>3678</v>
      </c>
      <c r="AE18" s="639" t="s">
        <v>3606</v>
      </c>
      <c r="AF18" s="643" t="s">
        <v>3678</v>
      </c>
      <c r="AG18" s="641" t="s">
        <v>3606</v>
      </c>
      <c r="AH18" s="644" t="s">
        <v>3678</v>
      </c>
      <c r="AI18" s="641" t="s">
        <v>3606</v>
      </c>
      <c r="AJ18" s="643" t="s">
        <v>3678</v>
      </c>
      <c r="AK18" s="641" t="s">
        <v>3606</v>
      </c>
      <c r="AL18" s="645" t="s">
        <v>3678</v>
      </c>
      <c r="AM18" s="639" t="s">
        <v>3606</v>
      </c>
      <c r="AN18" s="645" t="s">
        <v>3678</v>
      </c>
      <c r="AO18" s="639" t="s">
        <v>3606</v>
      </c>
      <c r="AP18" s="640" t="s">
        <v>3678</v>
      </c>
      <c r="AQ18" s="639" t="s">
        <v>3606</v>
      </c>
      <c r="AR18" s="645" t="s">
        <v>3678</v>
      </c>
      <c r="AS18" s="639" t="s">
        <v>3606</v>
      </c>
      <c r="AT18" s="644" t="s">
        <v>3678</v>
      </c>
      <c r="AU18" s="639" t="s">
        <v>3606</v>
      </c>
      <c r="AV18" s="644" t="s">
        <v>3678</v>
      </c>
      <c r="AW18" s="639" t="s">
        <v>3606</v>
      </c>
      <c r="AX18" s="644" t="s">
        <v>3678</v>
      </c>
      <c r="AY18" s="639" t="s">
        <v>3606</v>
      </c>
      <c r="AZ18" s="640" t="s">
        <v>3678</v>
      </c>
      <c r="BA18" s="639" t="s">
        <v>3606</v>
      </c>
      <c r="BB18" s="640" t="s">
        <v>3678</v>
      </c>
      <c r="BC18" s="639" t="s">
        <v>3606</v>
      </c>
      <c r="BD18" s="645" t="s">
        <v>3678</v>
      </c>
      <c r="BE18" s="640" t="s">
        <v>3606</v>
      </c>
      <c r="BF18" s="640" t="s">
        <v>3678</v>
      </c>
      <c r="BG18" s="640" t="s">
        <v>3606</v>
      </c>
      <c r="BH18" s="640" t="s">
        <v>3678</v>
      </c>
      <c r="BI18" s="640" t="s">
        <v>3606</v>
      </c>
      <c r="BJ18" s="640" t="s">
        <v>3678</v>
      </c>
      <c r="BK18" s="640" t="s">
        <v>3606</v>
      </c>
      <c r="BL18" s="640" t="s">
        <v>3678</v>
      </c>
      <c r="BM18" s="678" t="s">
        <v>3679</v>
      </c>
      <c r="BN18" s="637"/>
      <c r="BO18" s="637"/>
      <c r="BP18" s="637"/>
      <c r="BQ18" s="637"/>
      <c r="BR18" s="637"/>
      <c r="BS18" s="637"/>
      <c r="BT18" s="637"/>
      <c r="BU18" s="679"/>
      <c r="BV18" s="679"/>
      <c r="BW18" s="633" t="s">
        <v>3671</v>
      </c>
      <c r="BZ18" s="658"/>
      <c r="CA18" s="658"/>
      <c r="CB18" s="658"/>
      <c r="CC18" s="658"/>
      <c r="CD18" s="658"/>
      <c r="CE18" s="658"/>
      <c r="CF18" s="658"/>
      <c r="CG18" s="658"/>
      <c r="CH18" s="658"/>
      <c r="CI18" s="658"/>
      <c r="CJ18" s="658"/>
      <c r="CK18" s="658"/>
      <c r="CL18" s="658"/>
      <c r="CM18" s="658"/>
      <c r="CN18" s="658"/>
      <c r="CO18" s="658"/>
      <c r="CP18" s="658"/>
      <c r="CQ18" s="658"/>
      <c r="CR18" s="658"/>
      <c r="CS18" s="658"/>
      <c r="CT18" s="658"/>
      <c r="CU18" s="658"/>
      <c r="CV18" s="658"/>
      <c r="CW18" s="658"/>
    </row>
    <row r="19" spans="2:101" ht="17.25" hidden="1" customHeight="1" x14ac:dyDescent="0.2">
      <c r="B19" s="633">
        <v>12</v>
      </c>
      <c r="C19" s="633" t="s">
        <v>244</v>
      </c>
      <c r="D19" s="634" t="s">
        <v>2145</v>
      </c>
      <c r="E19" s="633" t="s">
        <v>278</v>
      </c>
      <c r="F19" s="681" t="s">
        <v>2146</v>
      </c>
      <c r="G19" s="633" t="s">
        <v>3560</v>
      </c>
      <c r="H19" s="635" t="s">
        <v>3667</v>
      </c>
      <c r="I19" s="633" t="s">
        <v>3685</v>
      </c>
      <c r="J19" s="636">
        <v>0.72489999999999999</v>
      </c>
      <c r="K19" s="637" t="str">
        <f t="shared" si="1"/>
        <v>19/20</v>
      </c>
      <c r="L19" s="638" t="s">
        <v>3686</v>
      </c>
      <c r="M19" s="639" t="s">
        <v>3606</v>
      </c>
      <c r="N19" s="639" t="s">
        <v>1266</v>
      </c>
      <c r="O19" s="639" t="s">
        <v>3606</v>
      </c>
      <c r="P19" s="640" t="s">
        <v>3678</v>
      </c>
      <c r="Q19" s="639" t="s">
        <v>3606</v>
      </c>
      <c r="R19" s="644" t="s">
        <v>3678</v>
      </c>
      <c r="S19" s="639" t="s">
        <v>3606</v>
      </c>
      <c r="T19" s="640" t="s">
        <v>3678</v>
      </c>
      <c r="U19" s="639" t="s">
        <v>3606</v>
      </c>
      <c r="V19" s="643" t="s">
        <v>3678</v>
      </c>
      <c r="W19" s="639" t="s">
        <v>3606</v>
      </c>
      <c r="X19" s="644" t="s">
        <v>3678</v>
      </c>
      <c r="Y19" s="642" t="s">
        <v>3606</v>
      </c>
      <c r="Z19" s="640" t="s">
        <v>1266</v>
      </c>
      <c r="AA19" s="639" t="s">
        <v>3606</v>
      </c>
      <c r="AB19" s="643" t="s">
        <v>3678</v>
      </c>
      <c r="AC19" s="639" t="s">
        <v>3606</v>
      </c>
      <c r="AD19" s="643" t="s">
        <v>3678</v>
      </c>
      <c r="AE19" s="639" t="s">
        <v>3606</v>
      </c>
      <c r="AF19" s="643" t="s">
        <v>3678</v>
      </c>
      <c r="AG19" s="641" t="s">
        <v>3606</v>
      </c>
      <c r="AH19" s="644" t="s">
        <v>3678</v>
      </c>
      <c r="AI19" s="641" t="s">
        <v>3606</v>
      </c>
      <c r="AJ19" s="643" t="s">
        <v>3678</v>
      </c>
      <c r="AK19" s="641" t="s">
        <v>3606</v>
      </c>
      <c r="AL19" s="645" t="s">
        <v>3678</v>
      </c>
      <c r="AM19" s="639" t="s">
        <v>3606</v>
      </c>
      <c r="AN19" s="640" t="s">
        <v>3678</v>
      </c>
      <c r="AO19" s="639" t="s">
        <v>3606</v>
      </c>
      <c r="AP19" s="640" t="s">
        <v>3678</v>
      </c>
      <c r="AQ19" s="639" t="s">
        <v>3606</v>
      </c>
      <c r="AR19" s="640" t="s">
        <v>3678</v>
      </c>
      <c r="AS19" s="639" t="s">
        <v>3606</v>
      </c>
      <c r="AT19" s="640" t="s">
        <v>3678</v>
      </c>
      <c r="AU19" s="639" t="s">
        <v>3606</v>
      </c>
      <c r="AV19" s="640" t="s">
        <v>3678</v>
      </c>
      <c r="AW19" s="639" t="s">
        <v>3606</v>
      </c>
      <c r="AX19" s="643" t="s">
        <v>3678</v>
      </c>
      <c r="AY19" s="639" t="s">
        <v>3606</v>
      </c>
      <c r="AZ19" s="640" t="s">
        <v>3678</v>
      </c>
      <c r="BA19" s="639" t="s">
        <v>3606</v>
      </c>
      <c r="BB19" s="640" t="s">
        <v>3678</v>
      </c>
      <c r="BC19" s="639" t="s">
        <v>3606</v>
      </c>
      <c r="BD19" s="645" t="s">
        <v>3678</v>
      </c>
      <c r="BE19" s="640" t="s">
        <v>3606</v>
      </c>
      <c r="BF19" s="640" t="s">
        <v>3678</v>
      </c>
      <c r="BG19" s="640" t="s">
        <v>3606</v>
      </c>
      <c r="BH19" s="643" t="s">
        <v>3678</v>
      </c>
      <c r="BI19" s="640" t="s">
        <v>3606</v>
      </c>
      <c r="BJ19" s="640" t="s">
        <v>3678</v>
      </c>
      <c r="BK19" s="640" t="s">
        <v>3606</v>
      </c>
      <c r="BL19" s="640" t="s">
        <v>3678</v>
      </c>
      <c r="BM19" s="678" t="s">
        <v>3679</v>
      </c>
      <c r="BN19" s="682"/>
      <c r="BO19" s="637"/>
      <c r="BP19" s="637"/>
      <c r="BQ19" s="637"/>
      <c r="BR19" s="637"/>
      <c r="BS19" s="637"/>
      <c r="BT19" s="637"/>
      <c r="BU19" s="679"/>
      <c r="BV19" s="679"/>
      <c r="BW19" s="633" t="s">
        <v>3687</v>
      </c>
      <c r="BZ19" s="658"/>
      <c r="CA19" s="658"/>
      <c r="CB19" s="658"/>
      <c r="CC19" s="658"/>
      <c r="CD19" s="658"/>
      <c r="CE19" s="658"/>
      <c r="CF19" s="658"/>
      <c r="CG19" s="658"/>
      <c r="CH19" s="658"/>
      <c r="CI19" s="658"/>
      <c r="CJ19" s="658"/>
      <c r="CK19" s="658"/>
      <c r="CL19" s="658"/>
      <c r="CM19" s="658"/>
      <c r="CN19" s="658"/>
      <c r="CO19" s="658"/>
      <c r="CP19" s="658"/>
      <c r="CQ19" s="658"/>
      <c r="CR19" s="658"/>
      <c r="CS19" s="658"/>
      <c r="CT19" s="658"/>
      <c r="CU19" s="658"/>
      <c r="CV19" s="658"/>
      <c r="CW19" s="658"/>
    </row>
    <row r="20" spans="2:101" ht="17.25" hidden="1" customHeight="1" x14ac:dyDescent="0.2">
      <c r="B20" s="633">
        <v>13</v>
      </c>
      <c r="C20" s="633" t="s">
        <v>244</v>
      </c>
      <c r="D20" s="634" t="s">
        <v>2155</v>
      </c>
      <c r="E20" s="633" t="s">
        <v>278</v>
      </c>
      <c r="F20" s="680" t="s">
        <v>2156</v>
      </c>
      <c r="G20" s="633" t="s">
        <v>3684</v>
      </c>
      <c r="H20" s="646" t="s">
        <v>3599</v>
      </c>
      <c r="I20" s="633" t="s">
        <v>3599</v>
      </c>
      <c r="J20" s="636">
        <v>0.78620000000000001</v>
      </c>
      <c r="K20" s="637" t="str">
        <f t="shared" si="1"/>
        <v>2/20</v>
      </c>
      <c r="L20" s="638" t="s">
        <v>3669</v>
      </c>
      <c r="M20" s="639" t="s">
        <v>3606</v>
      </c>
      <c r="N20" s="639" t="s">
        <v>1266</v>
      </c>
      <c r="O20" s="639" t="s">
        <v>3603</v>
      </c>
      <c r="P20" s="640" t="s">
        <v>3670</v>
      </c>
      <c r="Q20" s="639" t="s">
        <v>3603</v>
      </c>
      <c r="R20" s="641" t="s">
        <v>3670</v>
      </c>
      <c r="S20" s="639" t="s">
        <v>3603</v>
      </c>
      <c r="T20" s="639"/>
      <c r="U20" s="639" t="s">
        <v>3606</v>
      </c>
      <c r="V20" s="640" t="s">
        <v>3670</v>
      </c>
      <c r="W20" s="639" t="s">
        <v>3603</v>
      </c>
      <c r="X20" s="640" t="s">
        <v>3670</v>
      </c>
      <c r="Y20" s="642" t="s">
        <v>3603</v>
      </c>
      <c r="Z20" s="640" t="s">
        <v>1266</v>
      </c>
      <c r="AA20" s="639" t="s">
        <v>3603</v>
      </c>
      <c r="AB20" s="640" t="s">
        <v>3670</v>
      </c>
      <c r="AC20" s="639" t="s">
        <v>3603</v>
      </c>
      <c r="AD20" s="640" t="s">
        <v>3670</v>
      </c>
      <c r="AE20" s="639" t="s">
        <v>3606</v>
      </c>
      <c r="AF20" s="640" t="s">
        <v>3670</v>
      </c>
      <c r="AG20" s="641" t="s">
        <v>3603</v>
      </c>
      <c r="AH20" s="640" t="s">
        <v>3670</v>
      </c>
      <c r="AI20" s="641" t="s">
        <v>3603</v>
      </c>
      <c r="AJ20" s="640" t="s">
        <v>3670</v>
      </c>
      <c r="AK20" s="641" t="s">
        <v>3603</v>
      </c>
      <c r="AL20" s="640" t="s">
        <v>3670</v>
      </c>
      <c r="AM20" s="639" t="s">
        <v>3603</v>
      </c>
      <c r="AN20" s="640" t="s">
        <v>3670</v>
      </c>
      <c r="AO20" s="639" t="s">
        <v>3603</v>
      </c>
      <c r="AP20" s="640" t="s">
        <v>3670</v>
      </c>
      <c r="AQ20" s="639" t="s">
        <v>3603</v>
      </c>
      <c r="AR20" s="640" t="s">
        <v>3670</v>
      </c>
      <c r="AS20" s="639" t="s">
        <v>3603</v>
      </c>
      <c r="AT20" s="640" t="s">
        <v>3670</v>
      </c>
      <c r="AU20" s="639" t="s">
        <v>3603</v>
      </c>
      <c r="AV20" s="640" t="s">
        <v>3670</v>
      </c>
      <c r="AW20" s="639" t="s">
        <v>3603</v>
      </c>
      <c r="AX20" s="640" t="s">
        <v>3670</v>
      </c>
      <c r="AY20" s="639" t="s">
        <v>3603</v>
      </c>
      <c r="AZ20" s="640" t="s">
        <v>3670</v>
      </c>
      <c r="BA20" s="639" t="s">
        <v>3603</v>
      </c>
      <c r="BB20" s="640" t="s">
        <v>3670</v>
      </c>
      <c r="BC20" s="639" t="s">
        <v>3603</v>
      </c>
      <c r="BD20" s="640" t="s">
        <v>3670</v>
      </c>
      <c r="BE20" s="640" t="s">
        <v>3603</v>
      </c>
      <c r="BF20" s="640" t="s">
        <v>3670</v>
      </c>
      <c r="BG20" s="640" t="s">
        <v>1266</v>
      </c>
      <c r="BH20" s="640"/>
      <c r="BI20" s="640" t="s">
        <v>3603</v>
      </c>
      <c r="BJ20" s="640"/>
      <c r="BK20" s="640" t="s">
        <v>3603</v>
      </c>
      <c r="BL20" s="640"/>
      <c r="BM20" s="678" t="str">
        <f>IF(
  (
   (P20="Ada")+(P20="tidak perlu")+(P20="draft") +
   (R20="Ada")+(R20="tidak perlu")+(R20="draft") +
   (V20="Ada")+(V20="tidak perlu")+(V20="draft") +
   (X20="Ada")+(X20="tidak perlu")+(X20="draft") +
   (AB20="Ada")+(AB20="tidak perlu")+(AB20="draft") +
   (AD20="Ada")+(AD20="tidak perlu")+(AD20="draft") +
   (AF20="Ada")+(AF20="tidak perlu")+(AF20="draft") +
   (AH20="Ada")+(AH20="tidak perlu")+(AH20="draft") +
   (AJ20="Ada")+(AJ20="tidak perlu")+(AJ20="draft") +
   (AL20="Ada")+(AL20="tidak perlu")+(AL20="draft") +
   (AN20="Ada")+(AN20="tidak perlu")+(AN20="draft") +
   (AP20="Ada")+(AP20="tidak perlu")+(AP20="draft") +
   (AR20="Ada")+(AR20="tidak perlu")+(AR20="draft") +
   (AT20="Ada")+(AT20="tidak perlu")+(AT20="draft") +
   (AV20="Ada")+(AV20="tidak perlu")+(AV20="draft") +
   (AX20="Ada")+(AX20="tidak perlu")+(AX20="draft") +
   (AZ20="Ada")+(AZ20="tidak perlu")+(AZ20="draft") +
   (BB20="Ada")+(BB20="tidak perlu")+(BB20="draft") +
   (BD20="Ada")+(BD20="tidak perlu")+(BD20="draft") +
   (BF20="Ada")+(BF20="tidak perlu")+(BF20="draft")
  ) = 20,
 "Lengkap","Belum Lengkap")</f>
        <v>Belum Lengkap</v>
      </c>
      <c r="BN20" s="637"/>
      <c r="BO20" s="637"/>
      <c r="BP20" s="637"/>
      <c r="BQ20" s="637"/>
      <c r="BR20" s="637"/>
      <c r="BS20" s="637"/>
      <c r="BT20" s="637"/>
      <c r="BU20" s="679"/>
      <c r="BV20" s="679"/>
      <c r="BW20" s="633" t="s">
        <v>3671</v>
      </c>
      <c r="BZ20" s="658"/>
      <c r="CA20" s="658"/>
      <c r="CB20" s="658"/>
      <c r="CC20" s="658"/>
      <c r="CD20" s="658"/>
      <c r="CE20" s="658"/>
      <c r="CF20" s="658"/>
      <c r="CG20" s="658"/>
      <c r="CH20" s="658"/>
      <c r="CI20" s="658"/>
      <c r="CJ20" s="658"/>
      <c r="CK20" s="658"/>
      <c r="CL20" s="658"/>
      <c r="CM20" s="658"/>
      <c r="CN20" s="658"/>
      <c r="CO20" s="658"/>
      <c r="CP20" s="658"/>
      <c r="CQ20" s="658"/>
      <c r="CR20" s="658"/>
      <c r="CS20" s="658"/>
      <c r="CT20" s="658"/>
      <c r="CU20" s="658"/>
      <c r="CV20" s="658"/>
      <c r="CW20" s="658"/>
    </row>
    <row r="21" spans="2:101" ht="17.25" hidden="1" customHeight="1" x14ac:dyDescent="0.2">
      <c r="B21" s="633">
        <v>14</v>
      </c>
      <c r="C21" s="633" t="s">
        <v>244</v>
      </c>
      <c r="D21" s="634" t="s">
        <v>2164</v>
      </c>
      <c r="E21" s="633" t="s">
        <v>278</v>
      </c>
      <c r="F21" s="681" t="s">
        <v>2165</v>
      </c>
      <c r="G21" s="633" t="s">
        <v>3560</v>
      </c>
      <c r="H21" s="635" t="s">
        <v>3667</v>
      </c>
      <c r="I21" s="633" t="s">
        <v>3685</v>
      </c>
      <c r="J21" s="636">
        <v>1</v>
      </c>
      <c r="K21" s="637" t="str">
        <f t="shared" si="1"/>
        <v>19/20</v>
      </c>
      <c r="L21" s="638" t="s">
        <v>3686</v>
      </c>
      <c r="M21" s="639" t="s">
        <v>3606</v>
      </c>
      <c r="N21" s="639" t="s">
        <v>1266</v>
      </c>
      <c r="O21" s="639" t="s">
        <v>3606</v>
      </c>
      <c r="P21" s="640" t="s">
        <v>3678</v>
      </c>
      <c r="Q21" s="639" t="s">
        <v>3606</v>
      </c>
      <c r="R21" s="641" t="s">
        <v>3678</v>
      </c>
      <c r="S21" s="639" t="s">
        <v>3606</v>
      </c>
      <c r="T21" s="640" t="s">
        <v>3678</v>
      </c>
      <c r="U21" s="639" t="s">
        <v>3606</v>
      </c>
      <c r="V21" s="643" t="s">
        <v>3678</v>
      </c>
      <c r="W21" s="639" t="s">
        <v>3606</v>
      </c>
      <c r="X21" s="643" t="s">
        <v>3678</v>
      </c>
      <c r="Y21" s="642" t="s">
        <v>3606</v>
      </c>
      <c r="Z21" s="640" t="s">
        <v>1266</v>
      </c>
      <c r="AA21" s="639" t="s">
        <v>3606</v>
      </c>
      <c r="AB21" s="643" t="s">
        <v>3678</v>
      </c>
      <c r="AC21" s="639" t="s">
        <v>3606</v>
      </c>
      <c r="AD21" s="643" t="s">
        <v>3678</v>
      </c>
      <c r="AE21" s="639" t="s">
        <v>3606</v>
      </c>
      <c r="AF21" s="640" t="s">
        <v>3678</v>
      </c>
      <c r="AG21" s="641" t="s">
        <v>3606</v>
      </c>
      <c r="AH21" s="641" t="s">
        <v>3678</v>
      </c>
      <c r="AI21" s="641" t="s">
        <v>3606</v>
      </c>
      <c r="AJ21" s="643" t="s">
        <v>3678</v>
      </c>
      <c r="AK21" s="641" t="s">
        <v>3606</v>
      </c>
      <c r="AL21" s="645" t="s">
        <v>3678</v>
      </c>
      <c r="AM21" s="639" t="s">
        <v>3606</v>
      </c>
      <c r="AN21" s="640" t="s">
        <v>3678</v>
      </c>
      <c r="AO21" s="639" t="s">
        <v>3606</v>
      </c>
      <c r="AP21" s="640" t="s">
        <v>3678</v>
      </c>
      <c r="AQ21" s="639" t="s">
        <v>3606</v>
      </c>
      <c r="AR21" s="640" t="s">
        <v>3678</v>
      </c>
      <c r="AS21" s="639" t="s">
        <v>3606</v>
      </c>
      <c r="AT21" s="644" t="s">
        <v>3678</v>
      </c>
      <c r="AU21" s="639" t="s">
        <v>3606</v>
      </c>
      <c r="AV21" s="643" t="s">
        <v>3678</v>
      </c>
      <c r="AW21" s="639" t="s">
        <v>3606</v>
      </c>
      <c r="AX21" s="643" t="s">
        <v>3678</v>
      </c>
      <c r="AY21" s="639" t="s">
        <v>3606</v>
      </c>
      <c r="AZ21" s="640" t="s">
        <v>3678</v>
      </c>
      <c r="BA21" s="639" t="s">
        <v>3606</v>
      </c>
      <c r="BB21" s="640" t="s">
        <v>3678</v>
      </c>
      <c r="BC21" s="639" t="s">
        <v>3606</v>
      </c>
      <c r="BD21" s="645" t="s">
        <v>3678</v>
      </c>
      <c r="BE21" s="640" t="s">
        <v>3606</v>
      </c>
      <c r="BF21" s="645" t="s">
        <v>3678</v>
      </c>
      <c r="BG21" s="640" t="s">
        <v>3606</v>
      </c>
      <c r="BH21" s="645" t="s">
        <v>3678</v>
      </c>
      <c r="BI21" s="640" t="s">
        <v>3606</v>
      </c>
      <c r="BJ21" s="640" t="s">
        <v>3678</v>
      </c>
      <c r="BK21" s="640" t="s">
        <v>3606</v>
      </c>
      <c r="BL21" s="640" t="s">
        <v>3678</v>
      </c>
      <c r="BM21" s="678" t="s">
        <v>3679</v>
      </c>
      <c r="BN21" s="682"/>
      <c r="BO21" s="637"/>
      <c r="BP21" s="637"/>
      <c r="BQ21" s="637"/>
      <c r="BR21" s="637"/>
      <c r="BS21" s="637"/>
      <c r="BT21" s="637"/>
      <c r="BU21" s="679"/>
      <c r="BV21" s="679"/>
      <c r="BW21" s="633" t="s">
        <v>3668</v>
      </c>
      <c r="BZ21" s="658"/>
      <c r="CA21" s="658"/>
      <c r="CB21" s="658"/>
      <c r="CC21" s="658"/>
      <c r="CD21" s="658"/>
      <c r="CE21" s="658"/>
      <c r="CF21" s="658"/>
      <c r="CG21" s="658"/>
      <c r="CH21" s="658"/>
      <c r="CI21" s="658"/>
      <c r="CJ21" s="658"/>
      <c r="CK21" s="658"/>
      <c r="CL21" s="658"/>
      <c r="CM21" s="658"/>
      <c r="CN21" s="658"/>
      <c r="CO21" s="658"/>
      <c r="CP21" s="658"/>
      <c r="CQ21" s="658"/>
      <c r="CR21" s="658"/>
      <c r="CS21" s="658"/>
      <c r="CT21" s="658"/>
      <c r="CU21" s="658"/>
      <c r="CV21" s="658"/>
      <c r="CW21" s="658"/>
    </row>
    <row r="22" spans="2:101" ht="17.25" hidden="1" customHeight="1" x14ac:dyDescent="0.2">
      <c r="B22" s="633">
        <v>15</v>
      </c>
      <c r="C22" s="633" t="s">
        <v>244</v>
      </c>
      <c r="D22" s="634" t="s">
        <v>2173</v>
      </c>
      <c r="E22" s="633" t="s">
        <v>278</v>
      </c>
      <c r="F22" s="634" t="s">
        <v>2174</v>
      </c>
      <c r="G22" s="633" t="s">
        <v>3608</v>
      </c>
      <c r="H22" s="635" t="s">
        <v>3667</v>
      </c>
      <c r="I22" s="633" t="s">
        <v>3668</v>
      </c>
      <c r="J22" s="636">
        <v>0.47239999999999999</v>
      </c>
      <c r="K22" s="637" t="str">
        <f t="shared" si="1"/>
        <v>3/20</v>
      </c>
      <c r="L22" s="638" t="s">
        <v>3669</v>
      </c>
      <c r="M22" s="639" t="s">
        <v>3606</v>
      </c>
      <c r="N22" s="639" t="s">
        <v>1266</v>
      </c>
      <c r="O22" s="639" t="s">
        <v>3603</v>
      </c>
      <c r="P22" s="640" t="s">
        <v>3670</v>
      </c>
      <c r="Q22" s="639" t="s">
        <v>3603</v>
      </c>
      <c r="R22" s="641" t="s">
        <v>3670</v>
      </c>
      <c r="S22" s="639" t="s">
        <v>3606</v>
      </c>
      <c r="T22" s="639"/>
      <c r="U22" s="639" t="s">
        <v>3603</v>
      </c>
      <c r="V22" s="640" t="s">
        <v>3670</v>
      </c>
      <c r="W22" s="639" t="s">
        <v>3603</v>
      </c>
      <c r="X22" s="640" t="s">
        <v>3670</v>
      </c>
      <c r="Y22" s="642" t="s">
        <v>3603</v>
      </c>
      <c r="Z22" s="640" t="s">
        <v>1266</v>
      </c>
      <c r="AA22" s="639" t="s">
        <v>3603</v>
      </c>
      <c r="AB22" s="640" t="s">
        <v>3670</v>
      </c>
      <c r="AC22" s="639" t="s">
        <v>3603</v>
      </c>
      <c r="AD22" s="640" t="s">
        <v>3670</v>
      </c>
      <c r="AE22" s="639" t="s">
        <v>3606</v>
      </c>
      <c r="AF22" s="640" t="s">
        <v>3670</v>
      </c>
      <c r="AG22" s="641" t="s">
        <v>3603</v>
      </c>
      <c r="AH22" s="640" t="s">
        <v>3670</v>
      </c>
      <c r="AI22" s="641" t="s">
        <v>3603</v>
      </c>
      <c r="AJ22" s="640" t="s">
        <v>3670</v>
      </c>
      <c r="AK22" s="641" t="s">
        <v>3603</v>
      </c>
      <c r="AL22" s="640" t="s">
        <v>3670</v>
      </c>
      <c r="AM22" s="639" t="s">
        <v>3606</v>
      </c>
      <c r="AN22" s="640" t="s">
        <v>3670</v>
      </c>
      <c r="AO22" s="639" t="s">
        <v>3603</v>
      </c>
      <c r="AP22" s="640" t="s">
        <v>3670</v>
      </c>
      <c r="AQ22" s="639" t="s">
        <v>3603</v>
      </c>
      <c r="AR22" s="640" t="s">
        <v>3670</v>
      </c>
      <c r="AS22" s="639" t="s">
        <v>3603</v>
      </c>
      <c r="AT22" s="640" t="s">
        <v>3670</v>
      </c>
      <c r="AU22" s="639" t="s">
        <v>3603</v>
      </c>
      <c r="AV22" s="640" t="s">
        <v>3670</v>
      </c>
      <c r="AW22" s="639" t="s">
        <v>3603</v>
      </c>
      <c r="AX22" s="640" t="s">
        <v>3670</v>
      </c>
      <c r="AY22" s="639" t="s">
        <v>3603</v>
      </c>
      <c r="AZ22" s="640" t="s">
        <v>3670</v>
      </c>
      <c r="BA22" s="639" t="s">
        <v>3603</v>
      </c>
      <c r="BB22" s="640" t="s">
        <v>3670</v>
      </c>
      <c r="BC22" s="639" t="s">
        <v>3603</v>
      </c>
      <c r="BD22" s="640" t="s">
        <v>3670</v>
      </c>
      <c r="BE22" s="640" t="s">
        <v>3604</v>
      </c>
      <c r="BF22" s="640" t="s">
        <v>3670</v>
      </c>
      <c r="BG22" s="640" t="s">
        <v>3603</v>
      </c>
      <c r="BH22" s="640"/>
      <c r="BI22" s="640" t="s">
        <v>3603</v>
      </c>
      <c r="BJ22" s="640"/>
      <c r="BK22" s="640" t="s">
        <v>3603</v>
      </c>
      <c r="BL22" s="640"/>
      <c r="BM22" s="678"/>
      <c r="BN22" s="637"/>
      <c r="BO22" s="637"/>
      <c r="BP22" s="637"/>
      <c r="BQ22" s="637"/>
      <c r="BR22" s="637"/>
      <c r="BS22" s="637"/>
      <c r="BT22" s="637"/>
      <c r="BU22" s="679"/>
      <c r="BV22" s="679"/>
      <c r="BW22" s="633" t="s">
        <v>3671</v>
      </c>
      <c r="BZ22" s="658"/>
      <c r="CA22" s="658"/>
      <c r="CB22" s="658"/>
      <c r="CC22" s="658"/>
      <c r="CD22" s="658"/>
      <c r="CE22" s="658"/>
      <c r="CF22" s="658"/>
      <c r="CG22" s="658"/>
      <c r="CH22" s="658"/>
      <c r="CI22" s="658"/>
      <c r="CJ22" s="658"/>
      <c r="CK22" s="658"/>
      <c r="CL22" s="658"/>
      <c r="CM22" s="658"/>
      <c r="CN22" s="658"/>
      <c r="CO22" s="658"/>
      <c r="CP22" s="658"/>
      <c r="CQ22" s="658"/>
      <c r="CR22" s="658"/>
      <c r="CS22" s="658"/>
      <c r="CT22" s="658"/>
      <c r="CU22" s="658"/>
      <c r="CV22" s="658"/>
      <c r="CW22" s="658"/>
    </row>
    <row r="23" spans="2:101" ht="17.25" hidden="1" customHeight="1" x14ac:dyDescent="0.2">
      <c r="B23" s="633">
        <v>16</v>
      </c>
      <c r="C23" s="633" t="s">
        <v>244</v>
      </c>
      <c r="D23" s="634" t="s">
        <v>2181</v>
      </c>
      <c r="E23" s="633" t="s">
        <v>278</v>
      </c>
      <c r="F23" s="634" t="s">
        <v>3688</v>
      </c>
      <c r="G23" s="633" t="s">
        <v>3608</v>
      </c>
      <c r="H23" s="635" t="s">
        <v>3667</v>
      </c>
      <c r="I23" s="633" t="s">
        <v>3668</v>
      </c>
      <c r="J23" s="636">
        <v>0.443</v>
      </c>
      <c r="K23" s="637" t="str">
        <f t="shared" si="1"/>
        <v>5/20</v>
      </c>
      <c r="L23" s="638" t="s">
        <v>3669</v>
      </c>
      <c r="M23" s="639" t="s">
        <v>3606</v>
      </c>
      <c r="N23" s="639" t="s">
        <v>1266</v>
      </c>
      <c r="O23" s="639" t="s">
        <v>3603</v>
      </c>
      <c r="P23" s="640" t="s">
        <v>3670</v>
      </c>
      <c r="Q23" s="639" t="s">
        <v>3603</v>
      </c>
      <c r="R23" s="641" t="s">
        <v>3670</v>
      </c>
      <c r="S23" s="639" t="s">
        <v>3606</v>
      </c>
      <c r="T23" s="639"/>
      <c r="U23" s="639" t="s">
        <v>3603</v>
      </c>
      <c r="V23" s="640" t="s">
        <v>3670</v>
      </c>
      <c r="W23" s="639" t="s">
        <v>3603</v>
      </c>
      <c r="X23" s="640" t="s">
        <v>3670</v>
      </c>
      <c r="Y23" s="642" t="s">
        <v>3603</v>
      </c>
      <c r="Z23" s="640" t="s">
        <v>1266</v>
      </c>
      <c r="AA23" s="639" t="s">
        <v>3603</v>
      </c>
      <c r="AB23" s="640" t="s">
        <v>3670</v>
      </c>
      <c r="AC23" s="639" t="s">
        <v>3603</v>
      </c>
      <c r="AD23" s="640" t="s">
        <v>3670</v>
      </c>
      <c r="AE23" s="639" t="s">
        <v>3606</v>
      </c>
      <c r="AF23" s="640" t="s">
        <v>3670</v>
      </c>
      <c r="AG23" s="641" t="s">
        <v>3603</v>
      </c>
      <c r="AH23" s="640" t="s">
        <v>3670</v>
      </c>
      <c r="AI23" s="641" t="s">
        <v>3603</v>
      </c>
      <c r="AJ23" s="640" t="s">
        <v>3670</v>
      </c>
      <c r="AK23" s="641" t="s">
        <v>3603</v>
      </c>
      <c r="AL23" s="640" t="s">
        <v>3670</v>
      </c>
      <c r="AM23" s="639" t="s">
        <v>3606</v>
      </c>
      <c r="AN23" s="640" t="s">
        <v>3670</v>
      </c>
      <c r="AO23" s="639" t="s">
        <v>3603</v>
      </c>
      <c r="AP23" s="640" t="s">
        <v>3670</v>
      </c>
      <c r="AQ23" s="639" t="s">
        <v>3606</v>
      </c>
      <c r="AR23" s="640" t="s">
        <v>3670</v>
      </c>
      <c r="AS23" s="639" t="s">
        <v>3603</v>
      </c>
      <c r="AT23" s="640" t="s">
        <v>3670</v>
      </c>
      <c r="AU23" s="639" t="s">
        <v>3603</v>
      </c>
      <c r="AV23" s="640" t="s">
        <v>3670</v>
      </c>
      <c r="AW23" s="639" t="s">
        <v>3603</v>
      </c>
      <c r="AX23" s="640" t="s">
        <v>3670</v>
      </c>
      <c r="AY23" s="639" t="s">
        <v>3603</v>
      </c>
      <c r="AZ23" s="640" t="s">
        <v>3670</v>
      </c>
      <c r="BA23" s="639" t="s">
        <v>3603</v>
      </c>
      <c r="BB23" s="640" t="s">
        <v>3670</v>
      </c>
      <c r="BC23" s="639" t="s">
        <v>3606</v>
      </c>
      <c r="BD23" s="640" t="s">
        <v>3670</v>
      </c>
      <c r="BE23" s="640" t="s">
        <v>3604</v>
      </c>
      <c r="BF23" s="640" t="s">
        <v>3670</v>
      </c>
      <c r="BG23" s="640" t="s">
        <v>3603</v>
      </c>
      <c r="BH23" s="640"/>
      <c r="BI23" s="640" t="s">
        <v>3603</v>
      </c>
      <c r="BJ23" s="640"/>
      <c r="BK23" s="640" t="s">
        <v>3603</v>
      </c>
      <c r="BL23" s="640"/>
      <c r="BM23" s="678"/>
      <c r="BN23" s="637"/>
      <c r="BO23" s="637"/>
      <c r="BP23" s="637"/>
      <c r="BQ23" s="637"/>
      <c r="BR23" s="637"/>
      <c r="BS23" s="637"/>
      <c r="BT23" s="637"/>
      <c r="BU23" s="679"/>
      <c r="BV23" s="679"/>
      <c r="BW23" s="633" t="s">
        <v>3671</v>
      </c>
      <c r="BZ23" s="658"/>
      <c r="CA23" s="658"/>
      <c r="CB23" s="658"/>
      <c r="CC23" s="658"/>
      <c r="CD23" s="658"/>
      <c r="CE23" s="658"/>
      <c r="CF23" s="658"/>
      <c r="CG23" s="658"/>
      <c r="CH23" s="658"/>
      <c r="CI23" s="658"/>
      <c r="CJ23" s="658"/>
      <c r="CK23" s="658"/>
      <c r="CL23" s="658"/>
      <c r="CM23" s="658"/>
      <c r="CN23" s="658"/>
      <c r="CO23" s="658"/>
      <c r="CP23" s="658"/>
      <c r="CQ23" s="658"/>
      <c r="CR23" s="658"/>
      <c r="CS23" s="658"/>
      <c r="CT23" s="658"/>
      <c r="CU23" s="658"/>
      <c r="CV23" s="658"/>
      <c r="CW23" s="658"/>
    </row>
    <row r="24" spans="2:101" ht="17.25" hidden="1" customHeight="1" x14ac:dyDescent="0.2">
      <c r="B24" s="633">
        <v>17</v>
      </c>
      <c r="C24" s="633" t="s">
        <v>244</v>
      </c>
      <c r="D24" s="634" t="s">
        <v>2191</v>
      </c>
      <c r="E24" s="633" t="s">
        <v>278</v>
      </c>
      <c r="F24" s="680" t="s">
        <v>2192</v>
      </c>
      <c r="G24" s="633" t="s">
        <v>3684</v>
      </c>
      <c r="H24" s="646" t="s">
        <v>3599</v>
      </c>
      <c r="I24" s="633" t="s">
        <v>3599</v>
      </c>
      <c r="J24" s="636">
        <v>0.14000000000000001</v>
      </c>
      <c r="K24" s="637" t="str">
        <f t="shared" si="1"/>
        <v>1/20</v>
      </c>
      <c r="L24" s="638" t="s">
        <v>3669</v>
      </c>
      <c r="M24" s="639" t="s">
        <v>3606</v>
      </c>
      <c r="N24" s="639" t="s">
        <v>1266</v>
      </c>
      <c r="O24" s="639" t="s">
        <v>3603</v>
      </c>
      <c r="P24" s="640" t="s">
        <v>3670</v>
      </c>
      <c r="Q24" s="639" t="s">
        <v>3603</v>
      </c>
      <c r="R24" s="641" t="s">
        <v>3670</v>
      </c>
      <c r="S24" s="639" t="s">
        <v>3603</v>
      </c>
      <c r="T24" s="639"/>
      <c r="U24" s="639" t="s">
        <v>3603</v>
      </c>
      <c r="V24" s="640" t="s">
        <v>3670</v>
      </c>
      <c r="W24" s="639" t="s">
        <v>3603</v>
      </c>
      <c r="X24" s="640" t="s">
        <v>3670</v>
      </c>
      <c r="Y24" s="642" t="s">
        <v>3603</v>
      </c>
      <c r="Z24" s="640" t="s">
        <v>1266</v>
      </c>
      <c r="AA24" s="639" t="s">
        <v>3603</v>
      </c>
      <c r="AB24" s="640" t="s">
        <v>3670</v>
      </c>
      <c r="AC24" s="639" t="s">
        <v>3603</v>
      </c>
      <c r="AD24" s="640" t="s">
        <v>3670</v>
      </c>
      <c r="AE24" s="639" t="s">
        <v>3606</v>
      </c>
      <c r="AF24" s="640" t="s">
        <v>3670</v>
      </c>
      <c r="AG24" s="641" t="s">
        <v>3603</v>
      </c>
      <c r="AH24" s="640" t="s">
        <v>3670</v>
      </c>
      <c r="AI24" s="641" t="s">
        <v>3603</v>
      </c>
      <c r="AJ24" s="640" t="s">
        <v>3670</v>
      </c>
      <c r="AK24" s="641" t="s">
        <v>3603</v>
      </c>
      <c r="AL24" s="640" t="s">
        <v>3670</v>
      </c>
      <c r="AM24" s="639" t="s">
        <v>3603</v>
      </c>
      <c r="AN24" s="640" t="s">
        <v>3670</v>
      </c>
      <c r="AO24" s="639" t="s">
        <v>3603</v>
      </c>
      <c r="AP24" s="640" t="s">
        <v>3670</v>
      </c>
      <c r="AQ24" s="639" t="s">
        <v>3603</v>
      </c>
      <c r="AR24" s="640" t="s">
        <v>3670</v>
      </c>
      <c r="AS24" s="639" t="s">
        <v>3603</v>
      </c>
      <c r="AT24" s="640" t="s">
        <v>3670</v>
      </c>
      <c r="AU24" s="639" t="s">
        <v>3603</v>
      </c>
      <c r="AV24" s="640" t="s">
        <v>3670</v>
      </c>
      <c r="AW24" s="639" t="s">
        <v>3603</v>
      </c>
      <c r="AX24" s="640" t="s">
        <v>3670</v>
      </c>
      <c r="AY24" s="639" t="s">
        <v>3603</v>
      </c>
      <c r="AZ24" s="640" t="s">
        <v>3670</v>
      </c>
      <c r="BA24" s="639" t="s">
        <v>3603</v>
      </c>
      <c r="BB24" s="640" t="s">
        <v>3670</v>
      </c>
      <c r="BC24" s="639" t="s">
        <v>3603</v>
      </c>
      <c r="BD24" s="640" t="s">
        <v>3670</v>
      </c>
      <c r="BE24" s="640" t="s">
        <v>3603</v>
      </c>
      <c r="BF24" s="640" t="s">
        <v>3670</v>
      </c>
      <c r="BG24" s="640" t="s">
        <v>1266</v>
      </c>
      <c r="BH24" s="640"/>
      <c r="BI24" s="640" t="s">
        <v>3603</v>
      </c>
      <c r="BJ24" s="640"/>
      <c r="BK24" s="640" t="s">
        <v>3603</v>
      </c>
      <c r="BL24" s="640"/>
      <c r="BM24" s="678" t="str">
        <f>IF(
  (
   (P24="Ada")+(P24="tidak perlu")+(P24="draft") +
   (R24="Ada")+(R24="tidak perlu")+(R24="draft") +
   (V24="Ada")+(V24="tidak perlu")+(V24="draft") +
   (X24="Ada")+(X24="tidak perlu")+(X24="draft") +
   (AB24="Ada")+(AB24="tidak perlu")+(AB24="draft") +
   (AD24="Ada")+(AD24="tidak perlu")+(AD24="draft") +
   (AF24="Ada")+(AF24="tidak perlu")+(AF24="draft") +
   (AH24="Ada")+(AH24="tidak perlu")+(AH24="draft") +
   (AJ24="Ada")+(AJ24="tidak perlu")+(AJ24="draft") +
   (AL24="Ada")+(AL24="tidak perlu")+(AL24="draft") +
   (AN24="Ada")+(AN24="tidak perlu")+(AN24="draft") +
   (AP24="Ada")+(AP24="tidak perlu")+(AP24="draft") +
   (AR24="Ada")+(AR24="tidak perlu")+(AR24="draft") +
   (AT24="Ada")+(AT24="tidak perlu")+(AT24="draft") +
   (AV24="Ada")+(AV24="tidak perlu")+(AV24="draft") +
   (AX24="Ada")+(AX24="tidak perlu")+(AX24="draft") +
   (AZ24="Ada")+(AZ24="tidak perlu")+(AZ24="draft") +
   (BB24="Ada")+(BB24="tidak perlu")+(BB24="draft") +
   (BD24="Ada")+(BD24="tidak perlu")+(BD24="draft") +
   (BF24="Ada")+(BF24="tidak perlu")+(BF24="draft")
  ) = 20,
 "Lengkap","Belum Lengkap")</f>
        <v>Belum Lengkap</v>
      </c>
      <c r="BN24" s="637"/>
      <c r="BO24" s="637"/>
      <c r="BP24" s="637"/>
      <c r="BQ24" s="637"/>
      <c r="BR24" s="637"/>
      <c r="BS24" s="637"/>
      <c r="BT24" s="637"/>
      <c r="BU24" s="679"/>
      <c r="BV24" s="679"/>
      <c r="BW24" s="633" t="s">
        <v>3599</v>
      </c>
      <c r="BZ24" s="658"/>
      <c r="CA24" s="658"/>
      <c r="CB24" s="658"/>
      <c r="CC24" s="658"/>
      <c r="CD24" s="658"/>
      <c r="CE24" s="658"/>
      <c r="CF24" s="658"/>
      <c r="CG24" s="658"/>
      <c r="CH24" s="658"/>
      <c r="CI24" s="658"/>
      <c r="CJ24" s="658"/>
      <c r="CK24" s="658"/>
      <c r="CL24" s="658"/>
      <c r="CM24" s="658"/>
      <c r="CN24" s="658"/>
      <c r="CO24" s="658"/>
      <c r="CP24" s="658"/>
      <c r="CQ24" s="658"/>
      <c r="CR24" s="658"/>
      <c r="CS24" s="658"/>
      <c r="CT24" s="658"/>
      <c r="CU24" s="658"/>
      <c r="CV24" s="658"/>
      <c r="CW24" s="658"/>
    </row>
    <row r="25" spans="2:101" ht="17.25" hidden="1" customHeight="1" x14ac:dyDescent="0.2">
      <c r="B25" s="633">
        <v>18</v>
      </c>
      <c r="C25" s="633" t="s">
        <v>244</v>
      </c>
      <c r="D25" s="634" t="s">
        <v>2200</v>
      </c>
      <c r="E25" s="633" t="s">
        <v>278</v>
      </c>
      <c r="F25" s="634" t="s">
        <v>2201</v>
      </c>
      <c r="G25" s="633" t="s">
        <v>3608</v>
      </c>
      <c r="H25" s="635" t="s">
        <v>3667</v>
      </c>
      <c r="I25" s="633" t="s">
        <v>3687</v>
      </c>
      <c r="J25" s="636">
        <v>0.72489999999999999</v>
      </c>
      <c r="K25" s="637" t="str">
        <f t="shared" si="1"/>
        <v>15/20</v>
      </c>
      <c r="L25" s="638" t="s">
        <v>3669</v>
      </c>
      <c r="M25" s="639" t="s">
        <v>3606</v>
      </c>
      <c r="N25" s="639" t="s">
        <v>1266</v>
      </c>
      <c r="O25" s="639" t="s">
        <v>3603</v>
      </c>
      <c r="P25" s="645" t="s">
        <v>3678</v>
      </c>
      <c r="Q25" s="639" t="s">
        <v>3604</v>
      </c>
      <c r="R25" s="641" t="s">
        <v>3670</v>
      </c>
      <c r="S25" s="639" t="s">
        <v>3606</v>
      </c>
      <c r="T25" s="639" t="s">
        <v>3678</v>
      </c>
      <c r="U25" s="639" t="s">
        <v>3606</v>
      </c>
      <c r="V25" s="639" t="s">
        <v>3678</v>
      </c>
      <c r="W25" s="639" t="s">
        <v>3603</v>
      </c>
      <c r="X25" s="640" t="s">
        <v>3670</v>
      </c>
      <c r="Y25" s="642" t="s">
        <v>3603</v>
      </c>
      <c r="Z25" s="640" t="s">
        <v>1266</v>
      </c>
      <c r="AA25" s="639" t="s">
        <v>3603</v>
      </c>
      <c r="AB25" s="640" t="s">
        <v>3670</v>
      </c>
      <c r="AC25" s="639" t="s">
        <v>3606</v>
      </c>
      <c r="AD25" s="639" t="s">
        <v>3678</v>
      </c>
      <c r="AE25" s="639" t="s">
        <v>3606</v>
      </c>
      <c r="AF25" s="645" t="s">
        <v>3678</v>
      </c>
      <c r="AG25" s="641" t="s">
        <v>3603</v>
      </c>
      <c r="AH25" s="640" t="s">
        <v>3670</v>
      </c>
      <c r="AI25" s="641" t="s">
        <v>3606</v>
      </c>
      <c r="AJ25" s="645" t="s">
        <v>3678</v>
      </c>
      <c r="AK25" s="641" t="s">
        <v>3606</v>
      </c>
      <c r="AL25" s="639" t="s">
        <v>3678</v>
      </c>
      <c r="AM25" s="639" t="s">
        <v>3606</v>
      </c>
      <c r="AN25" s="645" t="s">
        <v>3678</v>
      </c>
      <c r="AO25" s="639" t="s">
        <v>3606</v>
      </c>
      <c r="AP25" s="639" t="s">
        <v>3678</v>
      </c>
      <c r="AQ25" s="639" t="s">
        <v>3606</v>
      </c>
      <c r="AR25" s="645" t="s">
        <v>3678</v>
      </c>
      <c r="AS25" s="639" t="s">
        <v>3604</v>
      </c>
      <c r="AT25" s="640" t="s">
        <v>3670</v>
      </c>
      <c r="AU25" s="639" t="s">
        <v>3604</v>
      </c>
      <c r="AV25" s="640" t="s">
        <v>3670</v>
      </c>
      <c r="AW25" s="639" t="s">
        <v>3606</v>
      </c>
      <c r="AX25" s="639" t="s">
        <v>3678</v>
      </c>
      <c r="AY25" s="639" t="s">
        <v>3606</v>
      </c>
      <c r="AZ25" s="645" t="s">
        <v>3678</v>
      </c>
      <c r="BA25" s="639" t="s">
        <v>3606</v>
      </c>
      <c r="BB25" s="645" t="s">
        <v>3678</v>
      </c>
      <c r="BC25" s="639" t="s">
        <v>3606</v>
      </c>
      <c r="BD25" s="645" t="s">
        <v>3678</v>
      </c>
      <c r="BE25" s="640" t="s">
        <v>3606</v>
      </c>
      <c r="BF25" s="640" t="s">
        <v>3670</v>
      </c>
      <c r="BG25" s="640" t="s">
        <v>1266</v>
      </c>
      <c r="BH25" s="640" t="s">
        <v>1266</v>
      </c>
      <c r="BI25" s="640" t="s">
        <v>3603</v>
      </c>
      <c r="BJ25" s="640" t="s">
        <v>3670</v>
      </c>
      <c r="BK25" s="640" t="s">
        <v>3603</v>
      </c>
      <c r="BL25" s="640" t="s">
        <v>3670</v>
      </c>
      <c r="BM25" s="678" t="s">
        <v>3679</v>
      </c>
      <c r="BN25" s="637"/>
      <c r="BO25" s="637"/>
      <c r="BP25" s="637"/>
      <c r="BQ25" s="637"/>
      <c r="BR25" s="637"/>
      <c r="BS25" s="637"/>
      <c r="BT25" s="637"/>
      <c r="BU25" s="679"/>
      <c r="BV25" s="679"/>
      <c r="BW25" s="633" t="s">
        <v>3671</v>
      </c>
      <c r="BZ25" s="658"/>
      <c r="CA25" s="658"/>
      <c r="CB25" s="658"/>
      <c r="CC25" s="658"/>
      <c r="CD25" s="658"/>
      <c r="CE25" s="658"/>
      <c r="CF25" s="658"/>
      <c r="CG25" s="658"/>
      <c r="CH25" s="658"/>
      <c r="CI25" s="658"/>
      <c r="CJ25" s="658"/>
      <c r="CK25" s="658"/>
      <c r="CL25" s="658"/>
      <c r="CM25" s="658"/>
      <c r="CN25" s="658"/>
      <c r="CO25" s="658"/>
      <c r="CP25" s="658"/>
      <c r="CQ25" s="658"/>
      <c r="CR25" s="658"/>
      <c r="CS25" s="658"/>
      <c r="CT25" s="658"/>
      <c r="CU25" s="658"/>
      <c r="CV25" s="658"/>
      <c r="CW25" s="658"/>
    </row>
    <row r="26" spans="2:101" ht="17.25" hidden="1" customHeight="1" x14ac:dyDescent="0.2">
      <c r="B26" s="633">
        <v>19</v>
      </c>
      <c r="C26" s="633" t="s">
        <v>244</v>
      </c>
      <c r="D26" s="634" t="s">
        <v>2209</v>
      </c>
      <c r="E26" s="633" t="s">
        <v>278</v>
      </c>
      <c r="F26" s="634" t="s">
        <v>2210</v>
      </c>
      <c r="G26" s="633" t="s">
        <v>3608</v>
      </c>
      <c r="H26" s="635" t="s">
        <v>3667</v>
      </c>
      <c r="I26" s="633" t="s">
        <v>3687</v>
      </c>
      <c r="J26" s="636">
        <v>0.78616415985481292</v>
      </c>
      <c r="K26" s="637" t="str">
        <f t="shared" si="1"/>
        <v>10/20</v>
      </c>
      <c r="L26" s="638" t="s">
        <v>3669</v>
      </c>
      <c r="M26" s="639" t="s">
        <v>3606</v>
      </c>
      <c r="N26" s="639" t="s">
        <v>1266</v>
      </c>
      <c r="O26" s="639" t="s">
        <v>3603</v>
      </c>
      <c r="P26" s="640" t="s">
        <v>3670</v>
      </c>
      <c r="Q26" s="639" t="s">
        <v>3603</v>
      </c>
      <c r="R26" s="641" t="s">
        <v>3670</v>
      </c>
      <c r="S26" s="639" t="s">
        <v>3606</v>
      </c>
      <c r="T26" s="639"/>
      <c r="U26" s="639" t="s">
        <v>3606</v>
      </c>
      <c r="V26" s="640" t="s">
        <v>3670</v>
      </c>
      <c r="W26" s="639" t="s">
        <v>3603</v>
      </c>
      <c r="X26" s="640" t="s">
        <v>3670</v>
      </c>
      <c r="Y26" s="642" t="s">
        <v>3603</v>
      </c>
      <c r="Z26" s="640" t="s">
        <v>1266</v>
      </c>
      <c r="AA26" s="639" t="s">
        <v>3603</v>
      </c>
      <c r="AB26" s="640" t="s">
        <v>3670</v>
      </c>
      <c r="AC26" s="639" t="s">
        <v>3606</v>
      </c>
      <c r="AD26" s="640" t="s">
        <v>3670</v>
      </c>
      <c r="AE26" s="639" t="s">
        <v>3606</v>
      </c>
      <c r="AF26" s="640" t="s">
        <v>3678</v>
      </c>
      <c r="AG26" s="641" t="s">
        <v>3603</v>
      </c>
      <c r="AH26" s="640" t="s">
        <v>3670</v>
      </c>
      <c r="AI26" s="641" t="s">
        <v>3603</v>
      </c>
      <c r="AJ26" s="640" t="s">
        <v>3670</v>
      </c>
      <c r="AK26" s="641" t="s">
        <v>3606</v>
      </c>
      <c r="AL26" s="640" t="s">
        <v>3670</v>
      </c>
      <c r="AM26" s="639" t="s">
        <v>3606</v>
      </c>
      <c r="AN26" s="640" t="s">
        <v>3670</v>
      </c>
      <c r="AO26" s="639" t="s">
        <v>3606</v>
      </c>
      <c r="AP26" s="640" t="s">
        <v>3670</v>
      </c>
      <c r="AQ26" s="639" t="s">
        <v>3606</v>
      </c>
      <c r="AR26" s="640" t="s">
        <v>3670</v>
      </c>
      <c r="AS26" s="639" t="s">
        <v>3603</v>
      </c>
      <c r="AT26" s="640" t="s">
        <v>3670</v>
      </c>
      <c r="AU26" s="639" t="s">
        <v>3603</v>
      </c>
      <c r="AV26" s="640" t="s">
        <v>3670</v>
      </c>
      <c r="AW26" s="639" t="s">
        <v>3606</v>
      </c>
      <c r="AX26" s="640" t="s">
        <v>3670</v>
      </c>
      <c r="AY26" s="639" t="s">
        <v>3603</v>
      </c>
      <c r="AZ26" s="640" t="s">
        <v>3670</v>
      </c>
      <c r="BA26" s="639" t="s">
        <v>3603</v>
      </c>
      <c r="BB26" s="640" t="s">
        <v>3670</v>
      </c>
      <c r="BC26" s="639" t="s">
        <v>3606</v>
      </c>
      <c r="BD26" s="640" t="s">
        <v>3670</v>
      </c>
      <c r="BE26" s="640" t="s">
        <v>3606</v>
      </c>
      <c r="BF26" s="640" t="s">
        <v>3670</v>
      </c>
      <c r="BG26" s="640" t="s">
        <v>3603</v>
      </c>
      <c r="BH26" s="640" t="s">
        <v>3670</v>
      </c>
      <c r="BI26" s="640" t="s">
        <v>3603</v>
      </c>
      <c r="BJ26" s="640"/>
      <c r="BK26" s="640" t="s">
        <v>3603</v>
      </c>
      <c r="BL26" s="640"/>
      <c r="BM26" s="678" t="s">
        <v>3679</v>
      </c>
      <c r="BN26" s="682"/>
      <c r="BO26" s="637"/>
      <c r="BP26" s="637"/>
      <c r="BQ26" s="637"/>
      <c r="BR26" s="637"/>
      <c r="BS26" s="637"/>
      <c r="BT26" s="637"/>
      <c r="BU26" s="679"/>
      <c r="BV26" s="679"/>
      <c r="BW26" s="633" t="s">
        <v>3671</v>
      </c>
      <c r="BZ26" s="658"/>
      <c r="CA26" s="658"/>
      <c r="CB26" s="658"/>
      <c r="CC26" s="658"/>
      <c r="CD26" s="658"/>
      <c r="CE26" s="658"/>
      <c r="CF26" s="658"/>
      <c r="CG26" s="658"/>
      <c r="CH26" s="658"/>
      <c r="CI26" s="658"/>
      <c r="CJ26" s="658"/>
      <c r="CK26" s="658"/>
      <c r="CL26" s="658"/>
      <c r="CM26" s="658"/>
      <c r="CN26" s="658"/>
      <c r="CO26" s="658"/>
      <c r="CP26" s="658"/>
      <c r="CQ26" s="658"/>
      <c r="CR26" s="658"/>
      <c r="CS26" s="658"/>
      <c r="CT26" s="658"/>
      <c r="CU26" s="658"/>
      <c r="CV26" s="658"/>
      <c r="CW26" s="658"/>
    </row>
    <row r="27" spans="2:101" ht="17.25" hidden="1" customHeight="1" x14ac:dyDescent="0.2">
      <c r="B27" s="633">
        <v>20</v>
      </c>
      <c r="C27" s="633" t="s">
        <v>244</v>
      </c>
      <c r="D27" s="634" t="s">
        <v>2218</v>
      </c>
      <c r="E27" s="633" t="s">
        <v>278</v>
      </c>
      <c r="F27" s="681" t="s">
        <v>2219</v>
      </c>
      <c r="G27" s="633" t="s">
        <v>3560</v>
      </c>
      <c r="H27" s="635" t="s">
        <v>3667</v>
      </c>
      <c r="I27" s="633" t="s">
        <v>3685</v>
      </c>
      <c r="J27" s="636">
        <v>1</v>
      </c>
      <c r="K27" s="637" t="str">
        <f t="shared" si="1"/>
        <v>19/20</v>
      </c>
      <c r="L27" s="638" t="s">
        <v>3686</v>
      </c>
      <c r="M27" s="639" t="s">
        <v>3606</v>
      </c>
      <c r="N27" s="639" t="s">
        <v>1266</v>
      </c>
      <c r="O27" s="639" t="s">
        <v>3606</v>
      </c>
      <c r="P27" s="640" t="s">
        <v>3678</v>
      </c>
      <c r="Q27" s="639" t="s">
        <v>3606</v>
      </c>
      <c r="R27" s="641" t="s">
        <v>3678</v>
      </c>
      <c r="S27" s="639" t="s">
        <v>3606</v>
      </c>
      <c r="T27" s="640" t="s">
        <v>3678</v>
      </c>
      <c r="U27" s="639" t="s">
        <v>3606</v>
      </c>
      <c r="V27" s="643" t="s">
        <v>3678</v>
      </c>
      <c r="W27" s="639" t="s">
        <v>3606</v>
      </c>
      <c r="X27" s="643" t="s">
        <v>3678</v>
      </c>
      <c r="Y27" s="642" t="s">
        <v>3606</v>
      </c>
      <c r="Z27" s="640" t="s">
        <v>1266</v>
      </c>
      <c r="AA27" s="639" t="s">
        <v>3606</v>
      </c>
      <c r="AB27" s="643" t="s">
        <v>3678</v>
      </c>
      <c r="AC27" s="639" t="s">
        <v>3606</v>
      </c>
      <c r="AD27" s="643" t="s">
        <v>3678</v>
      </c>
      <c r="AE27" s="639" t="s">
        <v>3606</v>
      </c>
      <c r="AF27" s="640" t="s">
        <v>3678</v>
      </c>
      <c r="AG27" s="641" t="s">
        <v>3606</v>
      </c>
      <c r="AH27" s="641" t="s">
        <v>3678</v>
      </c>
      <c r="AI27" s="641" t="s">
        <v>3606</v>
      </c>
      <c r="AJ27" s="643" t="s">
        <v>3678</v>
      </c>
      <c r="AK27" s="641" t="s">
        <v>3606</v>
      </c>
      <c r="AL27" s="645" t="s">
        <v>3678</v>
      </c>
      <c r="AM27" s="639" t="s">
        <v>3606</v>
      </c>
      <c r="AN27" s="640" t="s">
        <v>3678</v>
      </c>
      <c r="AO27" s="639" t="s">
        <v>3606</v>
      </c>
      <c r="AP27" s="640" t="s">
        <v>3678</v>
      </c>
      <c r="AQ27" s="639" t="s">
        <v>3606</v>
      </c>
      <c r="AR27" s="640" t="s">
        <v>3678</v>
      </c>
      <c r="AS27" s="639" t="s">
        <v>3606</v>
      </c>
      <c r="AT27" s="644" t="s">
        <v>3678</v>
      </c>
      <c r="AU27" s="639" t="s">
        <v>3606</v>
      </c>
      <c r="AV27" s="643" t="s">
        <v>3678</v>
      </c>
      <c r="AW27" s="639" t="s">
        <v>3606</v>
      </c>
      <c r="AX27" s="643" t="s">
        <v>3678</v>
      </c>
      <c r="AY27" s="639" t="s">
        <v>3606</v>
      </c>
      <c r="AZ27" s="640" t="s">
        <v>3678</v>
      </c>
      <c r="BA27" s="639" t="s">
        <v>3606</v>
      </c>
      <c r="BB27" s="640" t="s">
        <v>3678</v>
      </c>
      <c r="BC27" s="639" t="s">
        <v>3606</v>
      </c>
      <c r="BD27" s="645" t="s">
        <v>3678</v>
      </c>
      <c r="BE27" s="640" t="s">
        <v>3606</v>
      </c>
      <c r="BF27" s="645" t="s">
        <v>3678</v>
      </c>
      <c r="BG27" s="640" t="s">
        <v>3606</v>
      </c>
      <c r="BH27" s="645" t="s">
        <v>3678</v>
      </c>
      <c r="BI27" s="640" t="s">
        <v>3606</v>
      </c>
      <c r="BJ27" s="640" t="s">
        <v>3678</v>
      </c>
      <c r="BK27" s="640" t="s">
        <v>3606</v>
      </c>
      <c r="BL27" s="640" t="s">
        <v>3678</v>
      </c>
      <c r="BM27" s="678" t="s">
        <v>3679</v>
      </c>
      <c r="BN27" s="682"/>
      <c r="BO27" s="637"/>
      <c r="BP27" s="637"/>
      <c r="BQ27" s="637"/>
      <c r="BR27" s="637"/>
      <c r="BS27" s="637"/>
      <c r="BT27" s="637"/>
      <c r="BU27" s="679"/>
      <c r="BV27" s="679"/>
      <c r="BW27" s="633" t="s">
        <v>3687</v>
      </c>
      <c r="BZ27" s="658"/>
      <c r="CA27" s="658"/>
      <c r="CB27" s="658"/>
      <c r="CC27" s="658"/>
      <c r="CD27" s="658"/>
      <c r="CE27" s="658"/>
      <c r="CF27" s="658"/>
      <c r="CG27" s="658"/>
      <c r="CH27" s="658"/>
      <c r="CI27" s="658"/>
      <c r="CJ27" s="658"/>
      <c r="CK27" s="658"/>
      <c r="CL27" s="658"/>
      <c r="CM27" s="658"/>
      <c r="CN27" s="658"/>
      <c r="CO27" s="658"/>
      <c r="CP27" s="658"/>
      <c r="CQ27" s="658"/>
      <c r="CR27" s="658"/>
      <c r="CS27" s="658"/>
      <c r="CT27" s="658"/>
      <c r="CU27" s="658"/>
      <c r="CV27" s="658"/>
      <c r="CW27" s="658"/>
    </row>
    <row r="28" spans="2:101" ht="17.25" hidden="1" customHeight="1" x14ac:dyDescent="0.2">
      <c r="B28" s="633">
        <v>21</v>
      </c>
      <c r="C28" s="633" t="s">
        <v>244</v>
      </c>
      <c r="D28" s="634" t="s">
        <v>2227</v>
      </c>
      <c r="E28" s="633" t="s">
        <v>278</v>
      </c>
      <c r="F28" s="680" t="s">
        <v>2228</v>
      </c>
      <c r="G28" s="633" t="s">
        <v>3684</v>
      </c>
      <c r="H28" s="646" t="s">
        <v>3599</v>
      </c>
      <c r="I28" s="633" t="s">
        <v>3599</v>
      </c>
      <c r="J28" s="636">
        <v>0.16</v>
      </c>
      <c r="K28" s="637" t="str">
        <f t="shared" si="1"/>
        <v>2/20</v>
      </c>
      <c r="L28" s="638" t="s">
        <v>3669</v>
      </c>
      <c r="M28" s="639" t="s">
        <v>3606</v>
      </c>
      <c r="N28" s="639" t="s">
        <v>1266</v>
      </c>
      <c r="O28" s="639" t="s">
        <v>3603</v>
      </c>
      <c r="P28" s="640" t="s">
        <v>3670</v>
      </c>
      <c r="Q28" s="639" t="s">
        <v>3603</v>
      </c>
      <c r="R28" s="641" t="s">
        <v>3670</v>
      </c>
      <c r="S28" s="639" t="s">
        <v>3603</v>
      </c>
      <c r="T28" s="639"/>
      <c r="U28" s="639" t="s">
        <v>3606</v>
      </c>
      <c r="V28" s="640" t="s">
        <v>3670</v>
      </c>
      <c r="W28" s="639" t="s">
        <v>3603</v>
      </c>
      <c r="X28" s="640" t="s">
        <v>3670</v>
      </c>
      <c r="Y28" s="642" t="s">
        <v>3603</v>
      </c>
      <c r="Z28" s="640" t="s">
        <v>1266</v>
      </c>
      <c r="AA28" s="639" t="s">
        <v>3603</v>
      </c>
      <c r="AB28" s="640" t="s">
        <v>3670</v>
      </c>
      <c r="AC28" s="639" t="s">
        <v>3603</v>
      </c>
      <c r="AD28" s="640" t="s">
        <v>3670</v>
      </c>
      <c r="AE28" s="639" t="s">
        <v>3606</v>
      </c>
      <c r="AF28" s="640" t="s">
        <v>3670</v>
      </c>
      <c r="AG28" s="641" t="s">
        <v>3603</v>
      </c>
      <c r="AH28" s="640" t="s">
        <v>3670</v>
      </c>
      <c r="AI28" s="641" t="s">
        <v>3603</v>
      </c>
      <c r="AJ28" s="640" t="s">
        <v>3670</v>
      </c>
      <c r="AK28" s="641" t="s">
        <v>3603</v>
      </c>
      <c r="AL28" s="640" t="s">
        <v>3670</v>
      </c>
      <c r="AM28" s="639" t="s">
        <v>3603</v>
      </c>
      <c r="AN28" s="640" t="s">
        <v>3670</v>
      </c>
      <c r="AO28" s="639" t="s">
        <v>3603</v>
      </c>
      <c r="AP28" s="640" t="s">
        <v>3670</v>
      </c>
      <c r="AQ28" s="639" t="s">
        <v>3603</v>
      </c>
      <c r="AR28" s="640" t="s">
        <v>3670</v>
      </c>
      <c r="AS28" s="639" t="s">
        <v>3603</v>
      </c>
      <c r="AT28" s="640" t="s">
        <v>3670</v>
      </c>
      <c r="AU28" s="639" t="s">
        <v>3603</v>
      </c>
      <c r="AV28" s="640" t="s">
        <v>3670</v>
      </c>
      <c r="AW28" s="639" t="s">
        <v>3603</v>
      </c>
      <c r="AX28" s="640" t="s">
        <v>3670</v>
      </c>
      <c r="AY28" s="639" t="s">
        <v>3603</v>
      </c>
      <c r="AZ28" s="640" t="s">
        <v>3670</v>
      </c>
      <c r="BA28" s="639" t="s">
        <v>3603</v>
      </c>
      <c r="BB28" s="640" t="s">
        <v>3670</v>
      </c>
      <c r="BC28" s="639" t="s">
        <v>3603</v>
      </c>
      <c r="BD28" s="640" t="s">
        <v>3670</v>
      </c>
      <c r="BE28" s="640" t="s">
        <v>3603</v>
      </c>
      <c r="BF28" s="640" t="s">
        <v>3670</v>
      </c>
      <c r="BG28" s="640" t="s">
        <v>1266</v>
      </c>
      <c r="BH28" s="640"/>
      <c r="BI28" s="640" t="s">
        <v>3603</v>
      </c>
      <c r="BJ28" s="640"/>
      <c r="BK28" s="640" t="s">
        <v>3603</v>
      </c>
      <c r="BL28" s="640"/>
      <c r="BM28" s="678" t="str">
        <f>IF(
  (
   (P28="Ada")+(P28="tidak perlu")+(P28="draft") +
   (R28="Ada")+(R28="tidak perlu")+(R28="draft") +
   (V28="Ada")+(V28="tidak perlu")+(V28="draft") +
   (X28="Ada")+(X28="tidak perlu")+(X28="draft") +
   (AB28="Ada")+(AB28="tidak perlu")+(AB28="draft") +
   (AD28="Ada")+(AD28="tidak perlu")+(AD28="draft") +
   (AF28="Ada")+(AF28="tidak perlu")+(AF28="draft") +
   (AH28="Ada")+(AH28="tidak perlu")+(AH28="draft") +
   (AJ28="Ada")+(AJ28="tidak perlu")+(AJ28="draft") +
   (AL28="Ada")+(AL28="tidak perlu")+(AL28="draft") +
   (AN28="Ada")+(AN28="tidak perlu")+(AN28="draft") +
   (AP28="Ada")+(AP28="tidak perlu")+(AP28="draft") +
   (AR28="Ada")+(AR28="tidak perlu")+(AR28="draft") +
   (AT28="Ada")+(AT28="tidak perlu")+(AT28="draft") +
   (AV28="Ada")+(AV28="tidak perlu")+(AV28="draft") +
   (AX28="Ada")+(AX28="tidak perlu")+(AX28="draft") +
   (AZ28="Ada")+(AZ28="tidak perlu")+(AZ28="draft") +
   (BB28="Ada")+(BB28="tidak perlu")+(BB28="draft") +
   (BD28="Ada")+(BD28="tidak perlu")+(BD28="draft") +
   (BF28="Ada")+(BF28="tidak perlu")+(BF28="draft")
  ) = 20,
 "Lengkap","Belum Lengkap")</f>
        <v>Belum Lengkap</v>
      </c>
      <c r="BN28" s="637"/>
      <c r="BO28" s="637"/>
      <c r="BP28" s="637"/>
      <c r="BQ28" s="637"/>
      <c r="BR28" s="637"/>
      <c r="BS28" s="637"/>
      <c r="BT28" s="637"/>
      <c r="BU28" s="679"/>
      <c r="BV28" s="679"/>
      <c r="BW28" s="633" t="s">
        <v>3599</v>
      </c>
      <c r="BZ28" s="658"/>
      <c r="CA28" s="658"/>
      <c r="CB28" s="658"/>
      <c r="CC28" s="658"/>
      <c r="CD28" s="658"/>
      <c r="CE28" s="658"/>
      <c r="CF28" s="658"/>
      <c r="CG28" s="658"/>
      <c r="CH28" s="658"/>
      <c r="CI28" s="658"/>
      <c r="CJ28" s="658"/>
      <c r="CK28" s="658"/>
      <c r="CL28" s="658"/>
      <c r="CM28" s="658"/>
      <c r="CN28" s="658"/>
      <c r="CO28" s="658"/>
      <c r="CP28" s="658"/>
      <c r="CQ28" s="658"/>
      <c r="CR28" s="658"/>
      <c r="CS28" s="658"/>
      <c r="CT28" s="658"/>
      <c r="CU28" s="658"/>
      <c r="CV28" s="658"/>
      <c r="CW28" s="658"/>
    </row>
    <row r="29" spans="2:101" ht="17.25" hidden="1" customHeight="1" x14ac:dyDescent="0.2">
      <c r="B29" s="633">
        <v>22</v>
      </c>
      <c r="C29" s="633" t="s">
        <v>244</v>
      </c>
      <c r="D29" s="634" t="s">
        <v>2235</v>
      </c>
      <c r="E29" s="633" t="s">
        <v>278</v>
      </c>
      <c r="F29" s="634" t="s">
        <v>2236</v>
      </c>
      <c r="G29" s="633" t="s">
        <v>3684</v>
      </c>
      <c r="H29" s="635" t="s">
        <v>3667</v>
      </c>
      <c r="I29" s="633" t="s">
        <v>3599</v>
      </c>
      <c r="J29" s="636">
        <v>8.0399999999999999E-2</v>
      </c>
      <c r="K29" s="637" t="str">
        <f t="shared" si="1"/>
        <v>2/20</v>
      </c>
      <c r="L29" s="638" t="s">
        <v>3669</v>
      </c>
      <c r="M29" s="639" t="s">
        <v>3606</v>
      </c>
      <c r="N29" s="639" t="s">
        <v>1266</v>
      </c>
      <c r="O29" s="639" t="s">
        <v>3603</v>
      </c>
      <c r="P29" s="640" t="s">
        <v>3670</v>
      </c>
      <c r="Q29" s="639" t="s">
        <v>3603</v>
      </c>
      <c r="R29" s="641" t="s">
        <v>3670</v>
      </c>
      <c r="S29" s="639" t="s">
        <v>3603</v>
      </c>
      <c r="T29" s="639"/>
      <c r="U29" s="639" t="s">
        <v>3606</v>
      </c>
      <c r="V29" s="640" t="s">
        <v>3670</v>
      </c>
      <c r="W29" s="639" t="s">
        <v>3603</v>
      </c>
      <c r="X29" s="640" t="s">
        <v>3670</v>
      </c>
      <c r="Y29" s="642" t="s">
        <v>3603</v>
      </c>
      <c r="Z29" s="640" t="s">
        <v>1266</v>
      </c>
      <c r="AA29" s="639" t="s">
        <v>3603</v>
      </c>
      <c r="AB29" s="640" t="s">
        <v>3670</v>
      </c>
      <c r="AC29" s="639" t="s">
        <v>3603</v>
      </c>
      <c r="AD29" s="640" t="s">
        <v>3670</v>
      </c>
      <c r="AE29" s="639" t="s">
        <v>3606</v>
      </c>
      <c r="AF29" s="640" t="s">
        <v>3670</v>
      </c>
      <c r="AG29" s="641" t="s">
        <v>3603</v>
      </c>
      <c r="AH29" s="640" t="s">
        <v>3670</v>
      </c>
      <c r="AI29" s="641" t="s">
        <v>3603</v>
      </c>
      <c r="AJ29" s="640" t="s">
        <v>3670</v>
      </c>
      <c r="AK29" s="641" t="s">
        <v>3603</v>
      </c>
      <c r="AL29" s="640" t="s">
        <v>3670</v>
      </c>
      <c r="AM29" s="639" t="s">
        <v>3603</v>
      </c>
      <c r="AN29" s="640" t="s">
        <v>3670</v>
      </c>
      <c r="AO29" s="639" t="s">
        <v>3603</v>
      </c>
      <c r="AP29" s="640" t="s">
        <v>3670</v>
      </c>
      <c r="AQ29" s="639" t="s">
        <v>3603</v>
      </c>
      <c r="AR29" s="640" t="s">
        <v>3670</v>
      </c>
      <c r="AS29" s="639" t="s">
        <v>3603</v>
      </c>
      <c r="AT29" s="640" t="s">
        <v>3670</v>
      </c>
      <c r="AU29" s="639" t="s">
        <v>3603</v>
      </c>
      <c r="AV29" s="640" t="s">
        <v>3670</v>
      </c>
      <c r="AW29" s="639" t="s">
        <v>3603</v>
      </c>
      <c r="AX29" s="640" t="s">
        <v>3670</v>
      </c>
      <c r="AY29" s="639" t="s">
        <v>3603</v>
      </c>
      <c r="AZ29" s="640" t="s">
        <v>3670</v>
      </c>
      <c r="BA29" s="639" t="s">
        <v>3603</v>
      </c>
      <c r="BB29" s="640" t="s">
        <v>3670</v>
      </c>
      <c r="BC29" s="639" t="s">
        <v>3603</v>
      </c>
      <c r="BD29" s="640" t="s">
        <v>3670</v>
      </c>
      <c r="BE29" s="640" t="s">
        <v>3603</v>
      </c>
      <c r="BF29" s="640" t="s">
        <v>3670</v>
      </c>
      <c r="BG29" s="640" t="s">
        <v>1266</v>
      </c>
      <c r="BH29" s="640"/>
      <c r="BI29" s="640" t="s">
        <v>3603</v>
      </c>
      <c r="BJ29" s="640"/>
      <c r="BK29" s="640" t="s">
        <v>3603</v>
      </c>
      <c r="BL29" s="640"/>
      <c r="BM29" s="678"/>
      <c r="BN29" s="637"/>
      <c r="BO29" s="637"/>
      <c r="BP29" s="637"/>
      <c r="BQ29" s="637"/>
      <c r="BR29" s="637"/>
      <c r="BS29" s="637"/>
      <c r="BT29" s="637"/>
      <c r="BU29" s="679"/>
      <c r="BV29" s="679"/>
      <c r="BW29" s="633" t="s">
        <v>3671</v>
      </c>
      <c r="BZ29" s="658"/>
      <c r="CA29" s="658"/>
      <c r="CB29" s="658"/>
      <c r="CC29" s="658"/>
      <c r="CD29" s="658"/>
      <c r="CE29" s="658"/>
      <c r="CF29" s="658"/>
      <c r="CG29" s="658"/>
      <c r="CH29" s="658"/>
      <c r="CI29" s="658"/>
      <c r="CJ29" s="658"/>
      <c r="CK29" s="658"/>
      <c r="CL29" s="658"/>
      <c r="CM29" s="658"/>
      <c r="CN29" s="658"/>
      <c r="CO29" s="658"/>
      <c r="CP29" s="658"/>
      <c r="CQ29" s="658"/>
      <c r="CR29" s="658"/>
      <c r="CS29" s="658"/>
      <c r="CT29" s="658"/>
      <c r="CU29" s="658"/>
      <c r="CV29" s="658"/>
      <c r="CW29" s="658"/>
    </row>
    <row r="30" spans="2:101" ht="17.25" hidden="1" customHeight="1" x14ac:dyDescent="0.2">
      <c r="B30" s="633">
        <v>23</v>
      </c>
      <c r="C30" s="633" t="s">
        <v>244</v>
      </c>
      <c r="D30" s="634" t="s">
        <v>2243</v>
      </c>
      <c r="E30" s="633" t="s">
        <v>278</v>
      </c>
      <c r="F30" s="634" t="s">
        <v>2244</v>
      </c>
      <c r="G30" s="633" t="s">
        <v>3608</v>
      </c>
      <c r="H30" s="635" t="s">
        <v>3667</v>
      </c>
      <c r="I30" s="633" t="s">
        <v>3687</v>
      </c>
      <c r="J30" s="636">
        <v>0.80700000000000005</v>
      </c>
      <c r="K30" s="637" t="str">
        <f t="shared" si="1"/>
        <v>15/20</v>
      </c>
      <c r="L30" s="638" t="s">
        <v>3669</v>
      </c>
      <c r="M30" s="639" t="s">
        <v>3606</v>
      </c>
      <c r="N30" s="639"/>
      <c r="O30" s="639" t="s">
        <v>3603</v>
      </c>
      <c r="P30" s="640" t="s">
        <v>3678</v>
      </c>
      <c r="Q30" s="639" t="s">
        <v>3604</v>
      </c>
      <c r="R30" s="641"/>
      <c r="S30" s="639" t="s">
        <v>3606</v>
      </c>
      <c r="T30" s="639" t="s">
        <v>3678</v>
      </c>
      <c r="U30" s="639" t="s">
        <v>3606</v>
      </c>
      <c r="V30" s="640" t="s">
        <v>3678</v>
      </c>
      <c r="W30" s="639" t="s">
        <v>3603</v>
      </c>
      <c r="X30" s="640"/>
      <c r="Y30" s="642" t="s">
        <v>3603</v>
      </c>
      <c r="Z30" s="640"/>
      <c r="AA30" s="639" t="s">
        <v>3603</v>
      </c>
      <c r="AB30" s="640"/>
      <c r="AC30" s="639" t="s">
        <v>3606</v>
      </c>
      <c r="AD30" s="640" t="s">
        <v>3678</v>
      </c>
      <c r="AE30" s="639" t="s">
        <v>3606</v>
      </c>
      <c r="AF30" s="643" t="s">
        <v>3678</v>
      </c>
      <c r="AG30" s="641" t="s">
        <v>3603</v>
      </c>
      <c r="AH30" s="640"/>
      <c r="AI30" s="641" t="s">
        <v>3606</v>
      </c>
      <c r="AJ30" s="640" t="s">
        <v>3678</v>
      </c>
      <c r="AK30" s="641" t="s">
        <v>3606</v>
      </c>
      <c r="AL30" s="640" t="s">
        <v>3678</v>
      </c>
      <c r="AM30" s="639" t="s">
        <v>3606</v>
      </c>
      <c r="AN30" s="640" t="s">
        <v>3678</v>
      </c>
      <c r="AO30" s="639" t="s">
        <v>3606</v>
      </c>
      <c r="AP30" s="640" t="s">
        <v>3678</v>
      </c>
      <c r="AQ30" s="639" t="s">
        <v>3606</v>
      </c>
      <c r="AR30" s="640" t="s">
        <v>3678</v>
      </c>
      <c r="AS30" s="639" t="s">
        <v>3606</v>
      </c>
      <c r="AT30" s="640" t="s">
        <v>3678</v>
      </c>
      <c r="AU30" s="639" t="s">
        <v>3606</v>
      </c>
      <c r="AV30" s="640" t="s">
        <v>3678</v>
      </c>
      <c r="AW30" s="639" t="s">
        <v>3606</v>
      </c>
      <c r="AX30" s="644" t="s">
        <v>3678</v>
      </c>
      <c r="AY30" s="639" t="s">
        <v>3606</v>
      </c>
      <c r="AZ30" s="640"/>
      <c r="BA30" s="639" t="s">
        <v>3606</v>
      </c>
      <c r="BB30" s="640" t="s">
        <v>3678</v>
      </c>
      <c r="BC30" s="639" t="s">
        <v>3606</v>
      </c>
      <c r="BD30" s="640" t="s">
        <v>3678</v>
      </c>
      <c r="BE30" s="640" t="s">
        <v>3606</v>
      </c>
      <c r="BF30" s="640" t="s">
        <v>3678</v>
      </c>
      <c r="BG30" s="640" t="s">
        <v>3606</v>
      </c>
      <c r="BH30" s="640" t="s">
        <v>3678</v>
      </c>
      <c r="BI30" s="640" t="s">
        <v>3604</v>
      </c>
      <c r="BJ30" s="640"/>
      <c r="BK30" s="640" t="s">
        <v>3604</v>
      </c>
      <c r="BL30" s="640"/>
      <c r="BM30" s="678" t="s">
        <v>3689</v>
      </c>
      <c r="BN30" s="637"/>
      <c r="BO30" s="637"/>
      <c r="BP30" s="637"/>
      <c r="BQ30" s="637"/>
      <c r="BR30" s="637"/>
      <c r="BS30" s="637"/>
      <c r="BT30" s="637"/>
      <c r="BU30" s="679"/>
      <c r="BV30" s="679"/>
      <c r="BW30" s="633" t="s">
        <v>3671</v>
      </c>
      <c r="BZ30" s="658"/>
      <c r="CA30" s="658"/>
      <c r="CB30" s="658"/>
      <c r="CC30" s="658"/>
      <c r="CD30" s="658"/>
      <c r="CE30" s="658"/>
      <c r="CF30" s="658"/>
      <c r="CG30" s="658"/>
      <c r="CH30" s="658"/>
      <c r="CI30" s="658"/>
      <c r="CJ30" s="658"/>
      <c r="CK30" s="658"/>
      <c r="CL30" s="658"/>
      <c r="CM30" s="658"/>
      <c r="CN30" s="658"/>
      <c r="CO30" s="658"/>
      <c r="CP30" s="658"/>
      <c r="CQ30" s="658"/>
      <c r="CR30" s="658"/>
      <c r="CS30" s="658"/>
      <c r="CT30" s="658"/>
      <c r="CU30" s="658"/>
      <c r="CV30" s="658"/>
      <c r="CW30" s="658"/>
    </row>
    <row r="31" spans="2:101" ht="17.25" hidden="1" customHeight="1" x14ac:dyDescent="0.2">
      <c r="B31" s="633">
        <v>24</v>
      </c>
      <c r="C31" s="633" t="s">
        <v>244</v>
      </c>
      <c r="D31" s="634" t="s">
        <v>2251</v>
      </c>
      <c r="E31" s="633" t="s">
        <v>278</v>
      </c>
      <c r="F31" s="634" t="s">
        <v>2252</v>
      </c>
      <c r="G31" s="633" t="s">
        <v>3560</v>
      </c>
      <c r="H31" s="635" t="s">
        <v>3667</v>
      </c>
      <c r="I31" s="633" t="s">
        <v>3685</v>
      </c>
      <c r="J31" s="636">
        <v>0.37309999999999999</v>
      </c>
      <c r="K31" s="637" t="str">
        <f t="shared" si="1"/>
        <v>19/20</v>
      </c>
      <c r="L31" s="638" t="s">
        <v>3686</v>
      </c>
      <c r="M31" s="639" t="s">
        <v>3606</v>
      </c>
      <c r="N31" s="639" t="s">
        <v>1266</v>
      </c>
      <c r="O31" s="639" t="s">
        <v>3606</v>
      </c>
      <c r="P31" s="640" t="s">
        <v>3678</v>
      </c>
      <c r="Q31" s="639" t="s">
        <v>3606</v>
      </c>
      <c r="R31" s="641" t="s">
        <v>3678</v>
      </c>
      <c r="S31" s="639" t="s">
        <v>3606</v>
      </c>
      <c r="T31" s="640" t="s">
        <v>3678</v>
      </c>
      <c r="U31" s="639" t="s">
        <v>3606</v>
      </c>
      <c r="V31" s="640" t="s">
        <v>3678</v>
      </c>
      <c r="W31" s="639" t="s">
        <v>3606</v>
      </c>
      <c r="X31" s="640" t="s">
        <v>3678</v>
      </c>
      <c r="Y31" s="642" t="s">
        <v>3606</v>
      </c>
      <c r="Z31" s="640" t="s">
        <v>1266</v>
      </c>
      <c r="AA31" s="639" t="s">
        <v>3606</v>
      </c>
      <c r="AB31" s="640" t="s">
        <v>3678</v>
      </c>
      <c r="AC31" s="639" t="s">
        <v>3606</v>
      </c>
      <c r="AD31" s="640" t="s">
        <v>3678</v>
      </c>
      <c r="AE31" s="639" t="s">
        <v>3606</v>
      </c>
      <c r="AF31" s="640" t="s">
        <v>3678</v>
      </c>
      <c r="AG31" s="641" t="s">
        <v>3606</v>
      </c>
      <c r="AH31" s="641" t="s">
        <v>3678</v>
      </c>
      <c r="AI31" s="641" t="s">
        <v>3606</v>
      </c>
      <c r="AJ31" s="640" t="s">
        <v>3678</v>
      </c>
      <c r="AK31" s="641" t="s">
        <v>3606</v>
      </c>
      <c r="AL31" s="640" t="s">
        <v>3678</v>
      </c>
      <c r="AM31" s="639" t="s">
        <v>3606</v>
      </c>
      <c r="AN31" s="640" t="s">
        <v>3678</v>
      </c>
      <c r="AO31" s="639" t="s">
        <v>3606</v>
      </c>
      <c r="AP31" s="640" t="s">
        <v>3678</v>
      </c>
      <c r="AQ31" s="639" t="s">
        <v>3606</v>
      </c>
      <c r="AR31" s="640" t="s">
        <v>3678</v>
      </c>
      <c r="AS31" s="639" t="s">
        <v>3606</v>
      </c>
      <c r="AT31" s="641" t="s">
        <v>3678</v>
      </c>
      <c r="AU31" s="639" t="s">
        <v>3606</v>
      </c>
      <c r="AV31" s="640" t="s">
        <v>3678</v>
      </c>
      <c r="AW31" s="639" t="s">
        <v>3606</v>
      </c>
      <c r="AX31" s="640" t="s">
        <v>3678</v>
      </c>
      <c r="AY31" s="639" t="s">
        <v>3606</v>
      </c>
      <c r="AZ31" s="640" t="s">
        <v>3678</v>
      </c>
      <c r="BA31" s="639" t="s">
        <v>3606</v>
      </c>
      <c r="BB31" s="640" t="s">
        <v>3678</v>
      </c>
      <c r="BC31" s="639" t="s">
        <v>3606</v>
      </c>
      <c r="BD31" s="640" t="s">
        <v>3678</v>
      </c>
      <c r="BE31" s="640" t="s">
        <v>3606</v>
      </c>
      <c r="BF31" s="640" t="s">
        <v>3678</v>
      </c>
      <c r="BG31" s="640" t="s">
        <v>3606</v>
      </c>
      <c r="BH31" s="640" t="s">
        <v>3678</v>
      </c>
      <c r="BI31" s="640" t="s">
        <v>3606</v>
      </c>
      <c r="BJ31" s="640" t="s">
        <v>3678</v>
      </c>
      <c r="BK31" s="640" t="s">
        <v>3606</v>
      </c>
      <c r="BL31" s="640" t="s">
        <v>3678</v>
      </c>
      <c r="BM31" s="640" t="str">
        <f>IF(
  (
   (P31="Ada")+(P31="tidak perlu")+(P31="draft") +
   (R31="Ada")+(R31="tidak perlu")+(R31="draft") +
   (V31="Ada")+(V31="tidak perlu")+(V31="draft") +
   (X31="Ada")+(X31="tidak perlu")+(X31="draft") +
   (AB31="Ada")+(AB31="tidak perlu")+(AB31="draft") +
   (AD31="Ada")+(AD31="tidak perlu")+(AD31="draft") +
   (AF31="Ada")+(AF31="tidak perlu")+(AF31="draft") +
   (AH31="Ada")+(AH31="tidak perlu")+(AH31="draft") +
   (AJ31="Ada")+(AJ31="tidak perlu")+(AJ31="draft") +
   (AL31="Ada")+(AL31="tidak perlu")+(AL31="draft") +
   (AN31="Ada")+(AN31="tidak perlu")+(AN31="draft") +
   (AP31="Ada")+(AP31="tidak perlu")+(AP31="draft") +
   (AR31="Ada")+(AR31="tidak perlu")+(AR31="draft") +
   (AT31="Ada")+(AT31="tidak perlu")+(AT31="draft") +
   (AV31="Ada")+(AV31="tidak perlu")+(AV31="draft") +
   (AX31="Ada")+(AX31="tidak perlu")+(AX31="draft") +
   (AZ31="Ada")+(AZ31="tidak perlu")+(AZ31="draft") +
   (BB31="Ada")+(BB31="tidak perlu")+(BB31="draft") +
   (BD31="Ada")+(BD31="tidak perlu")+(BD31="draft") +
   (BF31="Ada")+(BF31="tidak perlu")+(BF31="draft")
  ) = 20,
 "Lengkap","Belum Lengkap")</f>
        <v>Lengkap</v>
      </c>
      <c r="BN31" s="637"/>
      <c r="BO31" s="637"/>
      <c r="BP31" s="637"/>
      <c r="BQ31" s="637"/>
      <c r="BR31" s="637"/>
      <c r="BS31" s="637"/>
      <c r="BT31" s="637"/>
      <c r="BU31" s="679"/>
      <c r="BV31" s="679"/>
      <c r="BW31" s="633" t="s">
        <v>3685</v>
      </c>
      <c r="BZ31" s="658"/>
      <c r="CA31" s="658"/>
      <c r="CB31" s="658"/>
      <c r="CC31" s="658"/>
      <c r="CD31" s="658"/>
      <c r="CE31" s="658"/>
      <c r="CF31" s="658"/>
      <c r="CG31" s="658"/>
      <c r="CH31" s="658"/>
      <c r="CI31" s="658"/>
      <c r="CJ31" s="658"/>
      <c r="CK31" s="658"/>
      <c r="CL31" s="658"/>
      <c r="CM31" s="658"/>
      <c r="CN31" s="658"/>
      <c r="CO31" s="658"/>
      <c r="CP31" s="658"/>
      <c r="CQ31" s="658"/>
      <c r="CR31" s="658"/>
      <c r="CS31" s="658"/>
      <c r="CT31" s="658"/>
      <c r="CU31" s="658"/>
      <c r="CV31" s="658"/>
      <c r="CW31" s="658"/>
    </row>
    <row r="32" spans="2:101" ht="17.25" hidden="1" customHeight="1" x14ac:dyDescent="0.2">
      <c r="B32" s="633">
        <v>25</v>
      </c>
      <c r="C32" s="633" t="s">
        <v>244</v>
      </c>
      <c r="D32" s="634" t="s">
        <v>2260</v>
      </c>
      <c r="E32" s="633" t="s">
        <v>278</v>
      </c>
      <c r="F32" s="681" t="s">
        <v>2261</v>
      </c>
      <c r="G32" s="633" t="s">
        <v>3560</v>
      </c>
      <c r="H32" s="635" t="s">
        <v>3667</v>
      </c>
      <c r="I32" s="633" t="s">
        <v>3685</v>
      </c>
      <c r="J32" s="636">
        <v>0.44440000000000002</v>
      </c>
      <c r="K32" s="637" t="str">
        <f t="shared" si="1"/>
        <v>19/20</v>
      </c>
      <c r="L32" s="638" t="s">
        <v>3686</v>
      </c>
      <c r="M32" s="639" t="s">
        <v>3606</v>
      </c>
      <c r="N32" s="639" t="s">
        <v>1266</v>
      </c>
      <c r="O32" s="639" t="s">
        <v>3606</v>
      </c>
      <c r="P32" s="640" t="s">
        <v>3678</v>
      </c>
      <c r="Q32" s="639" t="s">
        <v>3606</v>
      </c>
      <c r="R32" s="641" t="s">
        <v>3678</v>
      </c>
      <c r="S32" s="639" t="s">
        <v>3606</v>
      </c>
      <c r="T32" s="640" t="s">
        <v>3678</v>
      </c>
      <c r="U32" s="639" t="s">
        <v>3606</v>
      </c>
      <c r="V32" s="643" t="s">
        <v>3678</v>
      </c>
      <c r="W32" s="639" t="s">
        <v>3606</v>
      </c>
      <c r="X32" s="643" t="s">
        <v>3678</v>
      </c>
      <c r="Y32" s="642" t="s">
        <v>3606</v>
      </c>
      <c r="Z32" s="640" t="s">
        <v>1266</v>
      </c>
      <c r="AA32" s="639" t="s">
        <v>3606</v>
      </c>
      <c r="AB32" s="643" t="s">
        <v>3678</v>
      </c>
      <c r="AC32" s="639" t="s">
        <v>3606</v>
      </c>
      <c r="AD32" s="643" t="s">
        <v>3678</v>
      </c>
      <c r="AE32" s="639" t="s">
        <v>3606</v>
      </c>
      <c r="AF32" s="640" t="s">
        <v>3678</v>
      </c>
      <c r="AG32" s="641" t="s">
        <v>3606</v>
      </c>
      <c r="AH32" s="640" t="s">
        <v>3678</v>
      </c>
      <c r="AI32" s="641" t="s">
        <v>3606</v>
      </c>
      <c r="AJ32" s="643" t="s">
        <v>3678</v>
      </c>
      <c r="AK32" s="641" t="s">
        <v>3606</v>
      </c>
      <c r="AL32" s="645" t="s">
        <v>3678</v>
      </c>
      <c r="AM32" s="639" t="s">
        <v>3606</v>
      </c>
      <c r="AN32" s="640" t="s">
        <v>3678</v>
      </c>
      <c r="AO32" s="639" t="s">
        <v>3606</v>
      </c>
      <c r="AP32" s="640" t="s">
        <v>3678</v>
      </c>
      <c r="AQ32" s="639" t="s">
        <v>3606</v>
      </c>
      <c r="AR32" s="640" t="s">
        <v>3678</v>
      </c>
      <c r="AS32" s="639" t="s">
        <v>3606</v>
      </c>
      <c r="AT32" s="644" t="s">
        <v>3678</v>
      </c>
      <c r="AU32" s="639" t="s">
        <v>3606</v>
      </c>
      <c r="AV32" s="644" t="s">
        <v>3678</v>
      </c>
      <c r="AW32" s="639" t="s">
        <v>3606</v>
      </c>
      <c r="AX32" s="644" t="s">
        <v>3678</v>
      </c>
      <c r="AY32" s="639" t="s">
        <v>3606</v>
      </c>
      <c r="AZ32" s="640" t="s">
        <v>3678</v>
      </c>
      <c r="BA32" s="639" t="s">
        <v>3606</v>
      </c>
      <c r="BB32" s="640" t="s">
        <v>3678</v>
      </c>
      <c r="BC32" s="639" t="s">
        <v>3606</v>
      </c>
      <c r="BD32" s="645" t="s">
        <v>3678</v>
      </c>
      <c r="BE32" s="640" t="s">
        <v>3606</v>
      </c>
      <c r="BF32" s="645" t="s">
        <v>3678</v>
      </c>
      <c r="BG32" s="640" t="s">
        <v>3606</v>
      </c>
      <c r="BH32" s="645" t="s">
        <v>3678</v>
      </c>
      <c r="BI32" s="640" t="s">
        <v>3606</v>
      </c>
      <c r="BJ32" s="640" t="s">
        <v>3678</v>
      </c>
      <c r="BK32" s="640" t="s">
        <v>3606</v>
      </c>
      <c r="BL32" s="640" t="s">
        <v>3678</v>
      </c>
      <c r="BM32" s="678" t="s">
        <v>3679</v>
      </c>
      <c r="BN32" s="682"/>
      <c r="BO32" s="637"/>
      <c r="BP32" s="637"/>
      <c r="BQ32" s="637"/>
      <c r="BR32" s="637"/>
      <c r="BS32" s="637"/>
      <c r="BT32" s="637"/>
      <c r="BU32" s="679"/>
      <c r="BV32" s="679"/>
      <c r="BW32" s="633" t="s">
        <v>3687</v>
      </c>
      <c r="BZ32" s="658"/>
      <c r="CA32" s="658"/>
      <c r="CB32" s="658"/>
      <c r="CC32" s="658"/>
      <c r="CD32" s="658"/>
      <c r="CE32" s="658"/>
      <c r="CF32" s="658"/>
      <c r="CG32" s="658"/>
      <c r="CH32" s="658"/>
      <c r="CI32" s="658"/>
      <c r="CJ32" s="658"/>
      <c r="CK32" s="658"/>
      <c r="CL32" s="658"/>
      <c r="CM32" s="658"/>
      <c r="CN32" s="658"/>
      <c r="CO32" s="658"/>
      <c r="CP32" s="658"/>
      <c r="CQ32" s="658"/>
      <c r="CR32" s="658"/>
      <c r="CS32" s="658"/>
      <c r="CT32" s="658"/>
      <c r="CU32" s="658"/>
      <c r="CV32" s="658"/>
      <c r="CW32" s="658"/>
    </row>
    <row r="33" spans="2:101" ht="17.25" hidden="1" customHeight="1" x14ac:dyDescent="0.2">
      <c r="B33" s="633">
        <v>26</v>
      </c>
      <c r="C33" s="633" t="s">
        <v>244</v>
      </c>
      <c r="D33" s="634" t="s">
        <v>2269</v>
      </c>
      <c r="E33" s="633" t="s">
        <v>278</v>
      </c>
      <c r="F33" s="634" t="s">
        <v>2270</v>
      </c>
      <c r="G33" s="633" t="s">
        <v>3608</v>
      </c>
      <c r="H33" s="635" t="s">
        <v>3667</v>
      </c>
      <c r="I33" s="633" t="s">
        <v>3687</v>
      </c>
      <c r="J33" s="636">
        <v>0.37309999999999999</v>
      </c>
      <c r="K33" s="637" t="str">
        <f t="shared" si="1"/>
        <v>8/20</v>
      </c>
      <c r="L33" s="638" t="s">
        <v>3669</v>
      </c>
      <c r="M33" s="639" t="s">
        <v>3606</v>
      </c>
      <c r="N33" s="639" t="s">
        <v>1266</v>
      </c>
      <c r="O33" s="639" t="s">
        <v>3603</v>
      </c>
      <c r="P33" s="640" t="s">
        <v>3670</v>
      </c>
      <c r="Q33" s="639" t="s">
        <v>3603</v>
      </c>
      <c r="R33" s="641" t="s">
        <v>3670</v>
      </c>
      <c r="S33" s="639" t="s">
        <v>3606</v>
      </c>
      <c r="T33" s="639"/>
      <c r="U33" s="639" t="s">
        <v>3603</v>
      </c>
      <c r="V33" s="640" t="s">
        <v>3670</v>
      </c>
      <c r="W33" s="639" t="s">
        <v>3603</v>
      </c>
      <c r="X33" s="640" t="s">
        <v>3670</v>
      </c>
      <c r="Y33" s="642" t="s">
        <v>3603</v>
      </c>
      <c r="Z33" s="640" t="s">
        <v>1266</v>
      </c>
      <c r="AA33" s="639" t="s">
        <v>3603</v>
      </c>
      <c r="AB33" s="640" t="s">
        <v>3670</v>
      </c>
      <c r="AC33" s="639" t="s">
        <v>3606</v>
      </c>
      <c r="AD33" s="640" t="s">
        <v>3670</v>
      </c>
      <c r="AE33" s="639" t="s">
        <v>3606</v>
      </c>
      <c r="AF33" s="640" t="s">
        <v>3670</v>
      </c>
      <c r="AG33" s="641" t="s">
        <v>3603</v>
      </c>
      <c r="AH33" s="640" t="s">
        <v>3670</v>
      </c>
      <c r="AI33" s="641" t="s">
        <v>3603</v>
      </c>
      <c r="AJ33" s="640" t="s">
        <v>3670</v>
      </c>
      <c r="AK33" s="641" t="s">
        <v>3606</v>
      </c>
      <c r="AL33" s="640" t="s">
        <v>3670</v>
      </c>
      <c r="AM33" s="639" t="s">
        <v>3606</v>
      </c>
      <c r="AN33" s="640" t="s">
        <v>3670</v>
      </c>
      <c r="AO33" s="639" t="s">
        <v>3606</v>
      </c>
      <c r="AP33" s="640" t="s">
        <v>3670</v>
      </c>
      <c r="AQ33" s="639" t="s">
        <v>3606</v>
      </c>
      <c r="AR33" s="640" t="s">
        <v>3670</v>
      </c>
      <c r="AS33" s="639" t="s">
        <v>3603</v>
      </c>
      <c r="AT33" s="640" t="s">
        <v>3670</v>
      </c>
      <c r="AU33" s="639" t="s">
        <v>3603</v>
      </c>
      <c r="AV33" s="640" t="s">
        <v>3670</v>
      </c>
      <c r="AW33" s="639" t="s">
        <v>3606</v>
      </c>
      <c r="AX33" s="640" t="s">
        <v>3670</v>
      </c>
      <c r="AY33" s="639" t="s">
        <v>3603</v>
      </c>
      <c r="AZ33" s="640" t="s">
        <v>3670</v>
      </c>
      <c r="BA33" s="639" t="s">
        <v>3603</v>
      </c>
      <c r="BB33" s="640" t="s">
        <v>3670</v>
      </c>
      <c r="BC33" s="639" t="s">
        <v>3603</v>
      </c>
      <c r="BD33" s="640" t="s">
        <v>3670</v>
      </c>
      <c r="BE33" s="640" t="s">
        <v>3604</v>
      </c>
      <c r="BF33" s="640" t="s">
        <v>3670</v>
      </c>
      <c r="BG33" s="640" t="s">
        <v>3604</v>
      </c>
      <c r="BH33" s="640"/>
      <c r="BI33" s="640" t="s">
        <v>3603</v>
      </c>
      <c r="BJ33" s="640"/>
      <c r="BK33" s="640" t="s">
        <v>3603</v>
      </c>
      <c r="BL33" s="640"/>
      <c r="BM33" s="678" t="s">
        <v>3689</v>
      </c>
      <c r="BN33" s="637"/>
      <c r="BO33" s="637"/>
      <c r="BP33" s="637"/>
      <c r="BQ33" s="637"/>
      <c r="BR33" s="637"/>
      <c r="BS33" s="637"/>
      <c r="BT33" s="637"/>
      <c r="BU33" s="679"/>
      <c r="BV33" s="679"/>
      <c r="BW33" s="633" t="s">
        <v>3671</v>
      </c>
      <c r="BZ33" s="658"/>
      <c r="CA33" s="658"/>
      <c r="CB33" s="658"/>
      <c r="CC33" s="658"/>
      <c r="CD33" s="658"/>
      <c r="CE33" s="658"/>
      <c r="CF33" s="658"/>
      <c r="CG33" s="658"/>
      <c r="CH33" s="658"/>
      <c r="CI33" s="658"/>
      <c r="CJ33" s="658"/>
      <c r="CK33" s="658"/>
      <c r="CL33" s="658"/>
      <c r="CM33" s="658"/>
      <c r="CN33" s="658"/>
      <c r="CO33" s="658"/>
      <c r="CP33" s="658"/>
      <c r="CQ33" s="658"/>
      <c r="CR33" s="658"/>
      <c r="CS33" s="658"/>
      <c r="CT33" s="658"/>
      <c r="CU33" s="658"/>
      <c r="CV33" s="658"/>
      <c r="CW33" s="658"/>
    </row>
    <row r="34" spans="2:101" ht="17.25" hidden="1" customHeight="1" x14ac:dyDescent="0.2">
      <c r="B34" s="633">
        <v>27</v>
      </c>
      <c r="C34" s="633" t="s">
        <v>244</v>
      </c>
      <c r="D34" s="634" t="s">
        <v>2275</v>
      </c>
      <c r="E34" s="633" t="s">
        <v>278</v>
      </c>
      <c r="F34" s="634" t="s">
        <v>2276</v>
      </c>
      <c r="G34" s="633" t="s">
        <v>3560</v>
      </c>
      <c r="H34" s="635" t="s">
        <v>3667</v>
      </c>
      <c r="I34" s="633" t="s">
        <v>3685</v>
      </c>
      <c r="J34" s="636">
        <v>6.8599999999999994E-2</v>
      </c>
      <c r="K34" s="637" t="str">
        <f t="shared" si="1"/>
        <v>19/20</v>
      </c>
      <c r="L34" s="638" t="s">
        <v>3686</v>
      </c>
      <c r="M34" s="639" t="s">
        <v>3606</v>
      </c>
      <c r="N34" s="639" t="s">
        <v>1266</v>
      </c>
      <c r="O34" s="639" t="s">
        <v>3606</v>
      </c>
      <c r="P34" s="640" t="s">
        <v>3678</v>
      </c>
      <c r="Q34" s="639" t="s">
        <v>3606</v>
      </c>
      <c r="R34" s="643" t="s">
        <v>3678</v>
      </c>
      <c r="S34" s="639" t="s">
        <v>3606</v>
      </c>
      <c r="T34" s="640" t="s">
        <v>3678</v>
      </c>
      <c r="U34" s="639" t="s">
        <v>3606</v>
      </c>
      <c r="V34" s="643" t="s">
        <v>3678</v>
      </c>
      <c r="W34" s="639" t="s">
        <v>3606</v>
      </c>
      <c r="X34" s="645" t="s">
        <v>3678</v>
      </c>
      <c r="Y34" s="642" t="s">
        <v>3606</v>
      </c>
      <c r="Z34" s="640" t="s">
        <v>1266</v>
      </c>
      <c r="AA34" s="639" t="s">
        <v>3606</v>
      </c>
      <c r="AB34" s="643" t="s">
        <v>3678</v>
      </c>
      <c r="AC34" s="639" t="s">
        <v>3606</v>
      </c>
      <c r="AD34" s="644" t="s">
        <v>3678</v>
      </c>
      <c r="AE34" s="639" t="s">
        <v>3606</v>
      </c>
      <c r="AF34" s="640" t="s">
        <v>3678</v>
      </c>
      <c r="AG34" s="641" t="s">
        <v>3606</v>
      </c>
      <c r="AH34" s="644" t="s">
        <v>3678</v>
      </c>
      <c r="AI34" s="641" t="s">
        <v>3606</v>
      </c>
      <c r="AJ34" s="640" t="s">
        <v>3678</v>
      </c>
      <c r="AK34" s="641" t="s">
        <v>3606</v>
      </c>
      <c r="AL34" s="644" t="s">
        <v>3678</v>
      </c>
      <c r="AM34" s="639" t="s">
        <v>3606</v>
      </c>
      <c r="AN34" s="645" t="s">
        <v>3678</v>
      </c>
      <c r="AO34" s="639" t="s">
        <v>3606</v>
      </c>
      <c r="AP34" s="645" t="s">
        <v>3678</v>
      </c>
      <c r="AQ34" s="639" t="s">
        <v>3606</v>
      </c>
      <c r="AR34" s="645" t="s">
        <v>3678</v>
      </c>
      <c r="AS34" s="639" t="s">
        <v>3606</v>
      </c>
      <c r="AT34" s="645" t="s">
        <v>3678</v>
      </c>
      <c r="AU34" s="639" t="s">
        <v>3606</v>
      </c>
      <c r="AV34" s="645" t="s">
        <v>3678</v>
      </c>
      <c r="AW34" s="639" t="s">
        <v>3606</v>
      </c>
      <c r="AX34" s="644" t="s">
        <v>3678</v>
      </c>
      <c r="AY34" s="639" t="s">
        <v>3606</v>
      </c>
      <c r="AZ34" s="644" t="s">
        <v>3678</v>
      </c>
      <c r="BA34" s="639" t="s">
        <v>3606</v>
      </c>
      <c r="BB34" s="644" t="s">
        <v>3678</v>
      </c>
      <c r="BC34" s="639" t="s">
        <v>3606</v>
      </c>
      <c r="BD34" s="645" t="s">
        <v>3678</v>
      </c>
      <c r="BE34" s="640" t="s">
        <v>3606</v>
      </c>
      <c r="BF34" s="640" t="s">
        <v>3678</v>
      </c>
      <c r="BG34" s="640" t="s">
        <v>3606</v>
      </c>
      <c r="BH34" s="644" t="s">
        <v>3678</v>
      </c>
      <c r="BI34" s="640" t="s">
        <v>3606</v>
      </c>
      <c r="BJ34" s="640" t="s">
        <v>3678</v>
      </c>
      <c r="BK34" s="640" t="s">
        <v>3606</v>
      </c>
      <c r="BL34" s="640" t="s">
        <v>3678</v>
      </c>
      <c r="BM34" s="678" t="s">
        <v>3679</v>
      </c>
      <c r="BN34" s="682"/>
      <c r="BO34" s="637"/>
      <c r="BP34" s="637"/>
      <c r="BQ34" s="637"/>
      <c r="BR34" s="637"/>
      <c r="BS34" s="637"/>
      <c r="BT34" s="637"/>
      <c r="BU34" s="679"/>
      <c r="BV34" s="679"/>
      <c r="BW34" s="633" t="s">
        <v>3668</v>
      </c>
      <c r="BZ34" s="658"/>
      <c r="CA34" s="658"/>
      <c r="CB34" s="658"/>
      <c r="CC34" s="658"/>
      <c r="CD34" s="658"/>
      <c r="CE34" s="658"/>
      <c r="CF34" s="658"/>
      <c r="CG34" s="658"/>
      <c r="CH34" s="658"/>
      <c r="CI34" s="658"/>
      <c r="CJ34" s="658"/>
      <c r="CK34" s="658"/>
      <c r="CL34" s="658"/>
      <c r="CM34" s="658"/>
      <c r="CN34" s="658"/>
      <c r="CO34" s="658"/>
      <c r="CP34" s="658"/>
      <c r="CQ34" s="658"/>
      <c r="CR34" s="658"/>
      <c r="CS34" s="658"/>
      <c r="CT34" s="658"/>
      <c r="CU34" s="658"/>
      <c r="CV34" s="658"/>
      <c r="CW34" s="658"/>
    </row>
    <row r="35" spans="2:101" ht="17.25" hidden="1" customHeight="1" x14ac:dyDescent="0.2">
      <c r="B35" s="633">
        <v>28</v>
      </c>
      <c r="C35" s="633" t="s">
        <v>244</v>
      </c>
      <c r="D35" s="634" t="s">
        <v>2286</v>
      </c>
      <c r="E35" s="633" t="s">
        <v>278</v>
      </c>
      <c r="F35" s="634" t="s">
        <v>2287</v>
      </c>
      <c r="G35" s="633" t="s">
        <v>3608</v>
      </c>
      <c r="H35" s="635" t="s">
        <v>3667</v>
      </c>
      <c r="I35" s="633" t="s">
        <v>3668</v>
      </c>
      <c r="J35" s="636">
        <v>0.44440000000000002</v>
      </c>
      <c r="K35" s="637" t="str">
        <f t="shared" si="1"/>
        <v>4/20</v>
      </c>
      <c r="L35" s="638" t="s">
        <v>3669</v>
      </c>
      <c r="M35" s="639" t="s">
        <v>3606</v>
      </c>
      <c r="N35" s="639" t="s">
        <v>1266</v>
      </c>
      <c r="O35" s="639" t="s">
        <v>3603</v>
      </c>
      <c r="P35" s="640" t="s">
        <v>3670</v>
      </c>
      <c r="Q35" s="639" t="s">
        <v>3603</v>
      </c>
      <c r="R35" s="641" t="s">
        <v>3670</v>
      </c>
      <c r="S35" s="639" t="s">
        <v>3606</v>
      </c>
      <c r="T35" s="639"/>
      <c r="U35" s="639" t="s">
        <v>3606</v>
      </c>
      <c r="V35" s="640" t="s">
        <v>3670</v>
      </c>
      <c r="W35" s="639" t="s">
        <v>3603</v>
      </c>
      <c r="X35" s="640" t="s">
        <v>3670</v>
      </c>
      <c r="Y35" s="642" t="s">
        <v>3603</v>
      </c>
      <c r="Z35" s="640" t="s">
        <v>1266</v>
      </c>
      <c r="AA35" s="639" t="s">
        <v>3603</v>
      </c>
      <c r="AB35" s="640" t="s">
        <v>3670</v>
      </c>
      <c r="AC35" s="639" t="s">
        <v>3603</v>
      </c>
      <c r="AD35" s="640" t="s">
        <v>3670</v>
      </c>
      <c r="AE35" s="639" t="s">
        <v>3606</v>
      </c>
      <c r="AF35" s="640" t="s">
        <v>3670</v>
      </c>
      <c r="AG35" s="641" t="s">
        <v>3603</v>
      </c>
      <c r="AH35" s="640" t="s">
        <v>3670</v>
      </c>
      <c r="AI35" s="641" t="s">
        <v>3603</v>
      </c>
      <c r="AJ35" s="640" t="s">
        <v>3670</v>
      </c>
      <c r="AK35" s="641" t="s">
        <v>3603</v>
      </c>
      <c r="AL35" s="640" t="s">
        <v>3670</v>
      </c>
      <c r="AM35" s="639" t="s">
        <v>3603</v>
      </c>
      <c r="AN35" s="640" t="s">
        <v>3670</v>
      </c>
      <c r="AO35" s="639" t="s">
        <v>3603</v>
      </c>
      <c r="AP35" s="640" t="s">
        <v>3670</v>
      </c>
      <c r="AQ35" s="639" t="s">
        <v>3603</v>
      </c>
      <c r="AR35" s="640" t="s">
        <v>3670</v>
      </c>
      <c r="AS35" s="639" t="s">
        <v>3603</v>
      </c>
      <c r="AT35" s="641" t="s">
        <v>3678</v>
      </c>
      <c r="AU35" s="639" t="s">
        <v>3603</v>
      </c>
      <c r="AV35" s="641" t="s">
        <v>3678</v>
      </c>
      <c r="AW35" s="639" t="s">
        <v>3606</v>
      </c>
      <c r="AX35" s="641" t="s">
        <v>3678</v>
      </c>
      <c r="AY35" s="639" t="s">
        <v>3603</v>
      </c>
      <c r="AZ35" s="640" t="s">
        <v>3670</v>
      </c>
      <c r="BA35" s="639" t="s">
        <v>3603</v>
      </c>
      <c r="BB35" s="640" t="s">
        <v>3670</v>
      </c>
      <c r="BC35" s="639" t="s">
        <v>3603</v>
      </c>
      <c r="BD35" s="640" t="s">
        <v>3670</v>
      </c>
      <c r="BE35" s="640" t="s">
        <v>3604</v>
      </c>
      <c r="BF35" s="640" t="s">
        <v>3670</v>
      </c>
      <c r="BG35" s="640" t="s">
        <v>3604</v>
      </c>
      <c r="BH35" s="640"/>
      <c r="BI35" s="640" t="s">
        <v>3603</v>
      </c>
      <c r="BJ35" s="640"/>
      <c r="BK35" s="640" t="s">
        <v>3603</v>
      </c>
      <c r="BL35" s="640"/>
      <c r="BM35" s="678"/>
      <c r="BN35" s="637"/>
      <c r="BO35" s="637"/>
      <c r="BP35" s="637"/>
      <c r="BQ35" s="637"/>
      <c r="BR35" s="637"/>
      <c r="BS35" s="637"/>
      <c r="BT35" s="637"/>
      <c r="BU35" s="679"/>
      <c r="BV35" s="679"/>
      <c r="BW35" s="633" t="s">
        <v>3671</v>
      </c>
      <c r="BZ35" s="658"/>
      <c r="CA35" s="658"/>
      <c r="CB35" s="658"/>
      <c r="CC35" s="658"/>
      <c r="CD35" s="658"/>
      <c r="CE35" s="658"/>
      <c r="CF35" s="658"/>
      <c r="CG35" s="658"/>
      <c r="CH35" s="658"/>
      <c r="CI35" s="658"/>
      <c r="CJ35" s="658"/>
      <c r="CK35" s="658"/>
      <c r="CL35" s="658"/>
      <c r="CM35" s="658"/>
      <c r="CN35" s="658"/>
      <c r="CO35" s="658"/>
      <c r="CP35" s="658"/>
      <c r="CQ35" s="658"/>
      <c r="CR35" s="658"/>
      <c r="CS35" s="658"/>
      <c r="CT35" s="658"/>
      <c r="CU35" s="658"/>
      <c r="CV35" s="658"/>
      <c r="CW35" s="658"/>
    </row>
    <row r="36" spans="2:101" ht="17.25" hidden="1" customHeight="1" x14ac:dyDescent="0.2">
      <c r="B36" s="633">
        <v>29</v>
      </c>
      <c r="C36" s="633" t="s">
        <v>244</v>
      </c>
      <c r="D36" s="634" t="s">
        <v>2295</v>
      </c>
      <c r="E36" s="633" t="s">
        <v>278</v>
      </c>
      <c r="F36" s="634" t="s">
        <v>2296</v>
      </c>
      <c r="G36" s="633" t="s">
        <v>3608</v>
      </c>
      <c r="H36" s="635" t="s">
        <v>3667</v>
      </c>
      <c r="I36" s="633" t="s">
        <v>3668</v>
      </c>
      <c r="J36" s="636">
        <v>0.28639999999999999</v>
      </c>
      <c r="K36" s="637" t="str">
        <f t="shared" si="1"/>
        <v>2/20</v>
      </c>
      <c r="L36" s="638" t="s">
        <v>3669</v>
      </c>
      <c r="M36" s="639" t="s">
        <v>3606</v>
      </c>
      <c r="N36" s="639" t="s">
        <v>1266</v>
      </c>
      <c r="O36" s="639" t="s">
        <v>3603</v>
      </c>
      <c r="P36" s="640" t="s">
        <v>3670</v>
      </c>
      <c r="Q36" s="639" t="s">
        <v>3603</v>
      </c>
      <c r="R36" s="641" t="s">
        <v>3670</v>
      </c>
      <c r="S36" s="639" t="s">
        <v>3606</v>
      </c>
      <c r="T36" s="639"/>
      <c r="U36" s="639" t="s">
        <v>3606</v>
      </c>
      <c r="V36" s="640" t="s">
        <v>3670</v>
      </c>
      <c r="W36" s="639" t="s">
        <v>3603</v>
      </c>
      <c r="X36" s="640" t="s">
        <v>3670</v>
      </c>
      <c r="Y36" s="642" t="s">
        <v>3603</v>
      </c>
      <c r="Z36" s="640" t="s">
        <v>1266</v>
      </c>
      <c r="AA36" s="639" t="s">
        <v>3603</v>
      </c>
      <c r="AB36" s="640" t="s">
        <v>3670</v>
      </c>
      <c r="AC36" s="639" t="s">
        <v>3603</v>
      </c>
      <c r="AD36" s="640" t="s">
        <v>3670</v>
      </c>
      <c r="AE36" s="639" t="s">
        <v>3606</v>
      </c>
      <c r="AF36" s="640" t="s">
        <v>3670</v>
      </c>
      <c r="AG36" s="641" t="s">
        <v>3603</v>
      </c>
      <c r="AH36" s="640" t="s">
        <v>3670</v>
      </c>
      <c r="AI36" s="641" t="s">
        <v>3603</v>
      </c>
      <c r="AJ36" s="640" t="s">
        <v>3670</v>
      </c>
      <c r="AK36" s="641" t="s">
        <v>3603</v>
      </c>
      <c r="AL36" s="640" t="s">
        <v>3670</v>
      </c>
      <c r="AM36" s="639" t="s">
        <v>3603</v>
      </c>
      <c r="AN36" s="640" t="s">
        <v>3670</v>
      </c>
      <c r="AO36" s="639" t="s">
        <v>3603</v>
      </c>
      <c r="AP36" s="640" t="s">
        <v>3670</v>
      </c>
      <c r="AQ36" s="639" t="s">
        <v>3603</v>
      </c>
      <c r="AR36" s="640" t="s">
        <v>3670</v>
      </c>
      <c r="AS36" s="639" t="s">
        <v>3603</v>
      </c>
      <c r="AT36" s="641" t="s">
        <v>3678</v>
      </c>
      <c r="AU36" s="639" t="s">
        <v>3603</v>
      </c>
      <c r="AV36" s="641" t="s">
        <v>3678</v>
      </c>
      <c r="AW36" s="639" t="s">
        <v>3603</v>
      </c>
      <c r="AX36" s="641" t="s">
        <v>3678</v>
      </c>
      <c r="AY36" s="639" t="s">
        <v>3603</v>
      </c>
      <c r="AZ36" s="640" t="s">
        <v>3670</v>
      </c>
      <c r="BA36" s="639" t="s">
        <v>3603</v>
      </c>
      <c r="BB36" s="640" t="s">
        <v>3670</v>
      </c>
      <c r="BC36" s="639" t="s">
        <v>3603</v>
      </c>
      <c r="BD36" s="640" t="s">
        <v>3670</v>
      </c>
      <c r="BE36" s="640" t="s">
        <v>3603</v>
      </c>
      <c r="BF36" s="640" t="s">
        <v>3670</v>
      </c>
      <c r="BG36" s="640" t="s">
        <v>3604</v>
      </c>
      <c r="BH36" s="640"/>
      <c r="BI36" s="640" t="s">
        <v>3603</v>
      </c>
      <c r="BJ36" s="640"/>
      <c r="BK36" s="640" t="s">
        <v>3603</v>
      </c>
      <c r="BL36" s="640"/>
      <c r="BM36" s="678"/>
      <c r="BN36" s="637"/>
      <c r="BO36" s="637"/>
      <c r="BP36" s="637"/>
      <c r="BQ36" s="637"/>
      <c r="BR36" s="637"/>
      <c r="BS36" s="637"/>
      <c r="BT36" s="637"/>
      <c r="BU36" s="679"/>
      <c r="BV36" s="679"/>
      <c r="BW36" s="633" t="s">
        <v>3671</v>
      </c>
      <c r="BZ36" s="658"/>
      <c r="CA36" s="658"/>
      <c r="CB36" s="658"/>
      <c r="CC36" s="658"/>
      <c r="CD36" s="658"/>
      <c r="CE36" s="658"/>
      <c r="CF36" s="658"/>
      <c r="CG36" s="658"/>
      <c r="CH36" s="658"/>
      <c r="CI36" s="658"/>
      <c r="CJ36" s="658"/>
      <c r="CK36" s="658"/>
      <c r="CL36" s="658"/>
      <c r="CM36" s="658"/>
      <c r="CN36" s="658"/>
      <c r="CO36" s="658"/>
      <c r="CP36" s="658"/>
      <c r="CQ36" s="658"/>
      <c r="CR36" s="658"/>
      <c r="CS36" s="658"/>
      <c r="CT36" s="658"/>
      <c r="CU36" s="658"/>
      <c r="CV36" s="658"/>
      <c r="CW36" s="658"/>
    </row>
    <row r="37" spans="2:101" ht="17.25" hidden="1" customHeight="1" x14ac:dyDescent="0.2">
      <c r="B37" s="633">
        <v>30</v>
      </c>
      <c r="C37" s="633" t="s">
        <v>244</v>
      </c>
      <c r="D37" s="634" t="s">
        <v>2302</v>
      </c>
      <c r="E37" s="633" t="s">
        <v>278</v>
      </c>
      <c r="F37" s="680" t="s">
        <v>2303</v>
      </c>
      <c r="G37" s="633" t="s">
        <v>3684</v>
      </c>
      <c r="H37" s="646" t="s">
        <v>3599</v>
      </c>
      <c r="I37" s="633" t="s">
        <v>3599</v>
      </c>
      <c r="J37" s="636">
        <v>0.45600000000000002</v>
      </c>
      <c r="K37" s="637" t="str">
        <f t="shared" si="1"/>
        <v>2/20</v>
      </c>
      <c r="L37" s="638" t="s">
        <v>3669</v>
      </c>
      <c r="M37" s="639" t="s">
        <v>3606</v>
      </c>
      <c r="N37" s="639" t="s">
        <v>1266</v>
      </c>
      <c r="O37" s="639" t="s">
        <v>3603</v>
      </c>
      <c r="P37" s="640" t="s">
        <v>3670</v>
      </c>
      <c r="Q37" s="639" t="s">
        <v>3603</v>
      </c>
      <c r="R37" s="641" t="s">
        <v>3670</v>
      </c>
      <c r="S37" s="639" t="s">
        <v>3603</v>
      </c>
      <c r="T37" s="639"/>
      <c r="U37" s="639" t="s">
        <v>3606</v>
      </c>
      <c r="V37" s="640" t="s">
        <v>3670</v>
      </c>
      <c r="W37" s="639" t="s">
        <v>3603</v>
      </c>
      <c r="X37" s="640" t="s">
        <v>3670</v>
      </c>
      <c r="Y37" s="642" t="s">
        <v>3603</v>
      </c>
      <c r="Z37" s="640" t="s">
        <v>1266</v>
      </c>
      <c r="AA37" s="639" t="s">
        <v>3603</v>
      </c>
      <c r="AB37" s="640" t="s">
        <v>3670</v>
      </c>
      <c r="AC37" s="639" t="s">
        <v>3603</v>
      </c>
      <c r="AD37" s="640" t="s">
        <v>3670</v>
      </c>
      <c r="AE37" s="639" t="s">
        <v>3606</v>
      </c>
      <c r="AF37" s="640" t="s">
        <v>3670</v>
      </c>
      <c r="AG37" s="641" t="s">
        <v>3603</v>
      </c>
      <c r="AH37" s="640" t="s">
        <v>3670</v>
      </c>
      <c r="AI37" s="641" t="s">
        <v>3603</v>
      </c>
      <c r="AJ37" s="640" t="s">
        <v>3670</v>
      </c>
      <c r="AK37" s="641" t="s">
        <v>3603</v>
      </c>
      <c r="AL37" s="640" t="s">
        <v>3670</v>
      </c>
      <c r="AM37" s="639" t="s">
        <v>3603</v>
      </c>
      <c r="AN37" s="640" t="s">
        <v>3670</v>
      </c>
      <c r="AO37" s="639" t="s">
        <v>3603</v>
      </c>
      <c r="AP37" s="640" t="s">
        <v>3670</v>
      </c>
      <c r="AQ37" s="639" t="s">
        <v>3603</v>
      </c>
      <c r="AR37" s="640" t="s">
        <v>3670</v>
      </c>
      <c r="AS37" s="639" t="s">
        <v>3603</v>
      </c>
      <c r="AT37" s="640" t="s">
        <v>3670</v>
      </c>
      <c r="AU37" s="639" t="s">
        <v>3603</v>
      </c>
      <c r="AV37" s="640" t="s">
        <v>3670</v>
      </c>
      <c r="AW37" s="639" t="s">
        <v>3603</v>
      </c>
      <c r="AX37" s="640" t="s">
        <v>3670</v>
      </c>
      <c r="AY37" s="639" t="s">
        <v>3603</v>
      </c>
      <c r="AZ37" s="640" t="s">
        <v>3670</v>
      </c>
      <c r="BA37" s="639" t="s">
        <v>3603</v>
      </c>
      <c r="BB37" s="640" t="s">
        <v>3670</v>
      </c>
      <c r="BC37" s="639" t="s">
        <v>3603</v>
      </c>
      <c r="BD37" s="640" t="s">
        <v>3670</v>
      </c>
      <c r="BE37" s="640" t="s">
        <v>3603</v>
      </c>
      <c r="BF37" s="640" t="s">
        <v>3670</v>
      </c>
      <c r="BG37" s="640" t="s">
        <v>1266</v>
      </c>
      <c r="BH37" s="640"/>
      <c r="BI37" s="640" t="s">
        <v>3603</v>
      </c>
      <c r="BJ37" s="640"/>
      <c r="BK37" s="640" t="s">
        <v>3603</v>
      </c>
      <c r="BL37" s="640"/>
      <c r="BM37" s="678" t="str">
        <f>IF(
  (
   (P37="Ada")+(P37="tidak perlu")+(P37="draft") +
   (R37="Ada")+(R37="tidak perlu")+(R37="draft") +
   (V37="Ada")+(V37="tidak perlu")+(V37="draft") +
   (X37="Ada")+(X37="tidak perlu")+(X37="draft") +
   (AB37="Ada")+(AB37="tidak perlu")+(AB37="draft") +
   (AD37="Ada")+(AD37="tidak perlu")+(AD37="draft") +
   (AF37="Ada")+(AF37="tidak perlu")+(AF37="draft") +
   (AH37="Ada")+(AH37="tidak perlu")+(AH37="draft") +
   (AJ37="Ada")+(AJ37="tidak perlu")+(AJ37="draft") +
   (AL37="Ada")+(AL37="tidak perlu")+(AL37="draft") +
   (AN37="Ada")+(AN37="tidak perlu")+(AN37="draft") +
   (AP37="Ada")+(AP37="tidak perlu")+(AP37="draft") +
   (AR37="Ada")+(AR37="tidak perlu")+(AR37="draft") +
   (AT37="Ada")+(AT37="tidak perlu")+(AT37="draft") +
   (AV37="Ada")+(AV37="tidak perlu")+(AV37="draft") +
   (AX37="Ada")+(AX37="tidak perlu")+(AX37="draft") +
   (AZ37="Ada")+(AZ37="tidak perlu")+(AZ37="draft") +
   (BB37="Ada")+(BB37="tidak perlu")+(BB37="draft") +
   (BD37="Ada")+(BD37="tidak perlu")+(BD37="draft") +
   (BF37="Ada")+(BF37="tidak perlu")+(BF37="draft")
  ) = 20,
 "Lengkap","Belum Lengkap")</f>
        <v>Belum Lengkap</v>
      </c>
      <c r="BN37" s="637"/>
      <c r="BO37" s="637"/>
      <c r="BP37" s="637"/>
      <c r="BQ37" s="637"/>
      <c r="BR37" s="637"/>
      <c r="BS37" s="637"/>
      <c r="BT37" s="637"/>
      <c r="BU37" s="679"/>
      <c r="BV37" s="679"/>
      <c r="BW37" s="633" t="s">
        <v>3671</v>
      </c>
      <c r="BZ37" s="658"/>
      <c r="CA37" s="658"/>
      <c r="CB37" s="658"/>
      <c r="CC37" s="658"/>
      <c r="CD37" s="658"/>
      <c r="CE37" s="658"/>
      <c r="CF37" s="658"/>
      <c r="CG37" s="658"/>
      <c r="CH37" s="658"/>
      <c r="CI37" s="658"/>
      <c r="CJ37" s="658"/>
      <c r="CK37" s="658"/>
      <c r="CL37" s="658"/>
      <c r="CM37" s="658"/>
      <c r="CN37" s="658"/>
      <c r="CO37" s="658"/>
      <c r="CP37" s="658"/>
      <c r="CQ37" s="658"/>
      <c r="CR37" s="658"/>
      <c r="CS37" s="658"/>
      <c r="CT37" s="658"/>
      <c r="CU37" s="658"/>
      <c r="CV37" s="658"/>
      <c r="CW37" s="658"/>
    </row>
    <row r="38" spans="2:101" ht="17.25" hidden="1" customHeight="1" x14ac:dyDescent="0.2">
      <c r="B38" s="633">
        <v>31</v>
      </c>
      <c r="C38" s="633" t="s">
        <v>244</v>
      </c>
      <c r="D38" s="634" t="s">
        <v>2311</v>
      </c>
      <c r="E38" s="633" t="s">
        <v>278</v>
      </c>
      <c r="F38" s="634" t="s">
        <v>2312</v>
      </c>
      <c r="G38" s="633" t="s">
        <v>3608</v>
      </c>
      <c r="H38" s="646" t="s">
        <v>3690</v>
      </c>
      <c r="I38" s="633" t="s">
        <v>3687</v>
      </c>
      <c r="J38" s="636">
        <v>6.8644169337324076E-2</v>
      </c>
      <c r="K38" s="637" t="str">
        <f t="shared" si="1"/>
        <v>10/20</v>
      </c>
      <c r="L38" s="638" t="s">
        <v>3669</v>
      </c>
      <c r="M38" s="639" t="s">
        <v>3606</v>
      </c>
      <c r="N38" s="639" t="s">
        <v>1266</v>
      </c>
      <c r="O38" s="639" t="s">
        <v>3603</v>
      </c>
      <c r="P38" s="640" t="s">
        <v>3670</v>
      </c>
      <c r="Q38" s="639" t="s">
        <v>3603</v>
      </c>
      <c r="R38" s="641" t="s">
        <v>3670</v>
      </c>
      <c r="S38" s="639" t="s">
        <v>3606</v>
      </c>
      <c r="T38" s="639"/>
      <c r="U38" s="639" t="s">
        <v>3606</v>
      </c>
      <c r="V38" s="640" t="s">
        <v>3678</v>
      </c>
      <c r="W38" s="639" t="s">
        <v>3603</v>
      </c>
      <c r="X38" s="640" t="s">
        <v>3670</v>
      </c>
      <c r="Y38" s="642" t="s">
        <v>3603</v>
      </c>
      <c r="Z38" s="640" t="s">
        <v>1266</v>
      </c>
      <c r="AA38" s="639" t="s">
        <v>3603</v>
      </c>
      <c r="AB38" s="640" t="s">
        <v>3670</v>
      </c>
      <c r="AC38" s="639" t="s">
        <v>3606</v>
      </c>
      <c r="AD38" s="640" t="s">
        <v>3670</v>
      </c>
      <c r="AE38" s="639" t="s">
        <v>3606</v>
      </c>
      <c r="AF38" s="640" t="s">
        <v>3678</v>
      </c>
      <c r="AG38" s="641" t="s">
        <v>3603</v>
      </c>
      <c r="AH38" s="640" t="s">
        <v>3670</v>
      </c>
      <c r="AI38" s="641" t="s">
        <v>3606</v>
      </c>
      <c r="AJ38" s="640" t="s">
        <v>3670</v>
      </c>
      <c r="AK38" s="641" t="s">
        <v>3606</v>
      </c>
      <c r="AL38" s="640" t="s">
        <v>3670</v>
      </c>
      <c r="AM38" s="639" t="s">
        <v>3606</v>
      </c>
      <c r="AN38" s="640" t="s">
        <v>3670</v>
      </c>
      <c r="AO38" s="639" t="s">
        <v>3606</v>
      </c>
      <c r="AP38" s="640" t="s">
        <v>3670</v>
      </c>
      <c r="AQ38" s="639" t="s">
        <v>3606</v>
      </c>
      <c r="AR38" s="640" t="s">
        <v>3670</v>
      </c>
      <c r="AS38" s="639" t="s">
        <v>3603</v>
      </c>
      <c r="AT38" s="640" t="s">
        <v>3670</v>
      </c>
      <c r="AU38" s="639" t="s">
        <v>3603</v>
      </c>
      <c r="AV38" s="640" t="s">
        <v>3670</v>
      </c>
      <c r="AW38" s="639" t="s">
        <v>3606</v>
      </c>
      <c r="AX38" s="640" t="s">
        <v>3670</v>
      </c>
      <c r="AY38" s="639" t="s">
        <v>3603</v>
      </c>
      <c r="AZ38" s="640" t="s">
        <v>3670</v>
      </c>
      <c r="BA38" s="639" t="s">
        <v>3603</v>
      </c>
      <c r="BB38" s="640" t="s">
        <v>3670</v>
      </c>
      <c r="BC38" s="639" t="s">
        <v>3603</v>
      </c>
      <c r="BD38" s="640" t="s">
        <v>3670</v>
      </c>
      <c r="BE38" s="640" t="s">
        <v>3606</v>
      </c>
      <c r="BF38" s="640" t="s">
        <v>3670</v>
      </c>
      <c r="BG38" s="640" t="s">
        <v>3604</v>
      </c>
      <c r="BH38" s="644" t="s">
        <v>3678</v>
      </c>
      <c r="BI38" s="640" t="s">
        <v>3603</v>
      </c>
      <c r="BJ38" s="643"/>
      <c r="BK38" s="640" t="s">
        <v>3603</v>
      </c>
      <c r="BL38" s="643"/>
      <c r="BM38" s="678" t="s">
        <v>3679</v>
      </c>
      <c r="BN38" s="682"/>
      <c r="BO38" s="637"/>
      <c r="BP38" s="637"/>
      <c r="BQ38" s="637"/>
      <c r="BR38" s="637"/>
      <c r="BS38" s="637"/>
      <c r="BT38" s="637"/>
      <c r="BU38" s="679"/>
      <c r="BV38" s="679"/>
      <c r="BW38" s="633" t="s">
        <v>3671</v>
      </c>
      <c r="BZ38" s="658"/>
      <c r="CA38" s="658"/>
      <c r="CB38" s="658"/>
      <c r="CC38" s="658"/>
      <c r="CD38" s="658"/>
      <c r="CE38" s="658"/>
      <c r="CF38" s="658"/>
      <c r="CG38" s="658"/>
      <c r="CH38" s="658"/>
      <c r="CI38" s="658"/>
      <c r="CJ38" s="658"/>
      <c r="CK38" s="658"/>
      <c r="CL38" s="658"/>
      <c r="CM38" s="658"/>
      <c r="CN38" s="658"/>
      <c r="CO38" s="658"/>
      <c r="CP38" s="658"/>
      <c r="CQ38" s="658"/>
      <c r="CR38" s="658"/>
      <c r="CS38" s="658"/>
      <c r="CT38" s="658"/>
      <c r="CU38" s="658"/>
      <c r="CV38" s="658"/>
      <c r="CW38" s="658"/>
    </row>
    <row r="39" spans="2:101" ht="17.25" hidden="1" customHeight="1" x14ac:dyDescent="0.2">
      <c r="B39" s="633">
        <v>32</v>
      </c>
      <c r="C39" s="633" t="s">
        <v>244</v>
      </c>
      <c r="D39" s="634" t="s">
        <v>2323</v>
      </c>
      <c r="E39" s="633" t="s">
        <v>278</v>
      </c>
      <c r="F39" s="681" t="s">
        <v>2324</v>
      </c>
      <c r="G39" s="633" t="s">
        <v>3560</v>
      </c>
      <c r="H39" s="635" t="s">
        <v>3667</v>
      </c>
      <c r="I39" s="633" t="s">
        <v>3685</v>
      </c>
      <c r="J39" s="636">
        <v>1</v>
      </c>
      <c r="K39" s="637" t="str">
        <f t="shared" si="1"/>
        <v>19/20</v>
      </c>
      <c r="L39" s="638" t="s">
        <v>3686</v>
      </c>
      <c r="M39" s="639" t="s">
        <v>3606</v>
      </c>
      <c r="N39" s="639" t="s">
        <v>1266</v>
      </c>
      <c r="O39" s="639" t="s">
        <v>3606</v>
      </c>
      <c r="P39" s="640" t="s">
        <v>3678</v>
      </c>
      <c r="Q39" s="639" t="s">
        <v>3606</v>
      </c>
      <c r="R39" s="641" t="s">
        <v>3678</v>
      </c>
      <c r="S39" s="639" t="s">
        <v>3606</v>
      </c>
      <c r="T39" s="640" t="s">
        <v>3678</v>
      </c>
      <c r="U39" s="639" t="s">
        <v>3606</v>
      </c>
      <c r="V39" s="640" t="s">
        <v>3678</v>
      </c>
      <c r="W39" s="639" t="s">
        <v>3606</v>
      </c>
      <c r="X39" s="643" t="s">
        <v>3678</v>
      </c>
      <c r="Y39" s="642" t="s">
        <v>3606</v>
      </c>
      <c r="Z39" s="640" t="s">
        <v>1266</v>
      </c>
      <c r="AA39" s="639" t="s">
        <v>3606</v>
      </c>
      <c r="AB39" s="643" t="s">
        <v>3678</v>
      </c>
      <c r="AC39" s="639" t="s">
        <v>3606</v>
      </c>
      <c r="AD39" s="643" t="s">
        <v>3678</v>
      </c>
      <c r="AE39" s="639" t="s">
        <v>3606</v>
      </c>
      <c r="AF39" s="640" t="s">
        <v>3678</v>
      </c>
      <c r="AG39" s="641" t="s">
        <v>3606</v>
      </c>
      <c r="AH39" s="640" t="s">
        <v>3678</v>
      </c>
      <c r="AI39" s="641" t="s">
        <v>3606</v>
      </c>
      <c r="AJ39" s="643" t="s">
        <v>3678</v>
      </c>
      <c r="AK39" s="641" t="s">
        <v>3606</v>
      </c>
      <c r="AL39" s="645" t="s">
        <v>3678</v>
      </c>
      <c r="AM39" s="639" t="s">
        <v>3606</v>
      </c>
      <c r="AN39" s="640" t="s">
        <v>3678</v>
      </c>
      <c r="AO39" s="639" t="s">
        <v>3606</v>
      </c>
      <c r="AP39" s="640" t="s">
        <v>3678</v>
      </c>
      <c r="AQ39" s="639" t="s">
        <v>3606</v>
      </c>
      <c r="AR39" s="640" t="s">
        <v>3678</v>
      </c>
      <c r="AS39" s="639" t="s">
        <v>3606</v>
      </c>
      <c r="AT39" s="643" t="s">
        <v>3678</v>
      </c>
      <c r="AU39" s="639" t="s">
        <v>3606</v>
      </c>
      <c r="AV39" s="643" t="s">
        <v>3678</v>
      </c>
      <c r="AW39" s="639" t="s">
        <v>3606</v>
      </c>
      <c r="AX39" s="644" t="s">
        <v>3678</v>
      </c>
      <c r="AY39" s="639" t="s">
        <v>3606</v>
      </c>
      <c r="AZ39" s="640" t="s">
        <v>3678</v>
      </c>
      <c r="BA39" s="639" t="s">
        <v>3606</v>
      </c>
      <c r="BB39" s="640" t="s">
        <v>3678</v>
      </c>
      <c r="BC39" s="639" t="s">
        <v>3606</v>
      </c>
      <c r="BD39" s="643" t="s">
        <v>3678</v>
      </c>
      <c r="BE39" s="640" t="s">
        <v>3606</v>
      </c>
      <c r="BF39" s="643" t="s">
        <v>3678</v>
      </c>
      <c r="BG39" s="640" t="s">
        <v>3606</v>
      </c>
      <c r="BH39" s="645" t="s">
        <v>3678</v>
      </c>
      <c r="BI39" s="640" t="s">
        <v>3606</v>
      </c>
      <c r="BJ39" s="640" t="s">
        <v>3678</v>
      </c>
      <c r="BK39" s="640" t="s">
        <v>3606</v>
      </c>
      <c r="BL39" s="640" t="s">
        <v>3678</v>
      </c>
      <c r="BM39" s="678" t="s">
        <v>3679</v>
      </c>
      <c r="BN39" s="682"/>
      <c r="BO39" s="637"/>
      <c r="BP39" s="637"/>
      <c r="BQ39" s="637"/>
      <c r="BR39" s="637"/>
      <c r="BS39" s="637"/>
      <c r="BT39" s="637"/>
      <c r="BU39" s="679"/>
      <c r="BV39" s="679"/>
      <c r="BW39" s="633" t="s">
        <v>3671</v>
      </c>
      <c r="BZ39" s="658"/>
      <c r="CA39" s="658"/>
      <c r="CB39" s="658"/>
      <c r="CC39" s="658"/>
      <c r="CD39" s="658"/>
      <c r="CE39" s="658"/>
      <c r="CF39" s="658"/>
      <c r="CG39" s="658"/>
      <c r="CH39" s="658"/>
      <c r="CI39" s="658"/>
      <c r="CJ39" s="658"/>
      <c r="CK39" s="658"/>
      <c r="CL39" s="658"/>
      <c r="CM39" s="658"/>
      <c r="CN39" s="658"/>
      <c r="CO39" s="658"/>
      <c r="CP39" s="658"/>
      <c r="CQ39" s="658"/>
      <c r="CR39" s="658"/>
      <c r="CS39" s="658"/>
      <c r="CT39" s="658"/>
      <c r="CU39" s="658"/>
      <c r="CV39" s="658"/>
      <c r="CW39" s="658"/>
    </row>
    <row r="40" spans="2:101" ht="17.25" hidden="1" customHeight="1" x14ac:dyDescent="0.2">
      <c r="B40" s="633">
        <v>33</v>
      </c>
      <c r="C40" s="633" t="s">
        <v>244</v>
      </c>
      <c r="D40" s="634" t="s">
        <v>2332</v>
      </c>
      <c r="E40" s="633" t="s">
        <v>278</v>
      </c>
      <c r="F40" s="680" t="s">
        <v>2333</v>
      </c>
      <c r="G40" s="633" t="s">
        <v>3684</v>
      </c>
      <c r="H40" s="646" t="s">
        <v>3599</v>
      </c>
      <c r="I40" s="633" t="s">
        <v>3599</v>
      </c>
      <c r="J40" s="636">
        <v>0.15</v>
      </c>
      <c r="K40" s="637" t="str">
        <f t="shared" si="1"/>
        <v>2/20</v>
      </c>
      <c r="L40" s="638" t="s">
        <v>3669</v>
      </c>
      <c r="M40" s="639" t="s">
        <v>3606</v>
      </c>
      <c r="N40" s="639" t="s">
        <v>1266</v>
      </c>
      <c r="O40" s="639" t="s">
        <v>3603</v>
      </c>
      <c r="P40" s="640" t="s">
        <v>3670</v>
      </c>
      <c r="Q40" s="639" t="s">
        <v>3603</v>
      </c>
      <c r="R40" s="641" t="s">
        <v>3670</v>
      </c>
      <c r="S40" s="639" t="s">
        <v>3603</v>
      </c>
      <c r="T40" s="639"/>
      <c r="U40" s="639" t="s">
        <v>3606</v>
      </c>
      <c r="V40" s="640" t="s">
        <v>3670</v>
      </c>
      <c r="W40" s="639" t="s">
        <v>3603</v>
      </c>
      <c r="X40" s="640" t="s">
        <v>3670</v>
      </c>
      <c r="Y40" s="642" t="s">
        <v>3603</v>
      </c>
      <c r="Z40" s="640" t="s">
        <v>1266</v>
      </c>
      <c r="AA40" s="639" t="s">
        <v>3603</v>
      </c>
      <c r="AB40" s="640" t="s">
        <v>3670</v>
      </c>
      <c r="AC40" s="639" t="s">
        <v>3603</v>
      </c>
      <c r="AD40" s="640" t="s">
        <v>3670</v>
      </c>
      <c r="AE40" s="639" t="s">
        <v>3606</v>
      </c>
      <c r="AF40" s="640" t="s">
        <v>3670</v>
      </c>
      <c r="AG40" s="641" t="s">
        <v>3603</v>
      </c>
      <c r="AH40" s="640" t="s">
        <v>3670</v>
      </c>
      <c r="AI40" s="641" t="s">
        <v>3603</v>
      </c>
      <c r="AJ40" s="640" t="s">
        <v>3670</v>
      </c>
      <c r="AK40" s="641" t="s">
        <v>3603</v>
      </c>
      <c r="AL40" s="640" t="s">
        <v>3670</v>
      </c>
      <c r="AM40" s="639" t="s">
        <v>3603</v>
      </c>
      <c r="AN40" s="640" t="s">
        <v>3670</v>
      </c>
      <c r="AO40" s="639" t="s">
        <v>3603</v>
      </c>
      <c r="AP40" s="640" t="s">
        <v>3670</v>
      </c>
      <c r="AQ40" s="639" t="s">
        <v>3603</v>
      </c>
      <c r="AR40" s="640" t="s">
        <v>3670</v>
      </c>
      <c r="AS40" s="639" t="s">
        <v>3603</v>
      </c>
      <c r="AT40" s="640" t="s">
        <v>3670</v>
      </c>
      <c r="AU40" s="639" t="s">
        <v>3603</v>
      </c>
      <c r="AV40" s="640" t="s">
        <v>3670</v>
      </c>
      <c r="AW40" s="639" t="s">
        <v>3603</v>
      </c>
      <c r="AX40" s="640" t="s">
        <v>3670</v>
      </c>
      <c r="AY40" s="639" t="s">
        <v>3603</v>
      </c>
      <c r="AZ40" s="640" t="s">
        <v>3670</v>
      </c>
      <c r="BA40" s="639" t="s">
        <v>3603</v>
      </c>
      <c r="BB40" s="640" t="s">
        <v>3670</v>
      </c>
      <c r="BC40" s="639" t="s">
        <v>3603</v>
      </c>
      <c r="BD40" s="640" t="s">
        <v>3670</v>
      </c>
      <c r="BE40" s="640" t="s">
        <v>3603</v>
      </c>
      <c r="BF40" s="640" t="s">
        <v>3670</v>
      </c>
      <c r="BG40" s="640" t="s">
        <v>1266</v>
      </c>
      <c r="BH40" s="640"/>
      <c r="BI40" s="640" t="s">
        <v>3603</v>
      </c>
      <c r="BJ40" s="640"/>
      <c r="BK40" s="640" t="s">
        <v>3603</v>
      </c>
      <c r="BL40" s="640"/>
      <c r="BM40" s="678" t="str">
        <f>IF(
  (
   (P40="Ada")+(P40="tidak perlu")+(P40="draft") +
   (R40="Ada")+(R40="tidak perlu")+(R40="draft") +
   (V40="Ada")+(V40="tidak perlu")+(V40="draft") +
   (X40="Ada")+(X40="tidak perlu")+(X40="draft") +
   (AB40="Ada")+(AB40="tidak perlu")+(AB40="draft") +
   (AD40="Ada")+(AD40="tidak perlu")+(AD40="draft") +
   (AF40="Ada")+(AF40="tidak perlu")+(AF40="draft") +
   (AH40="Ada")+(AH40="tidak perlu")+(AH40="draft") +
   (AJ40="Ada")+(AJ40="tidak perlu")+(AJ40="draft") +
   (AL40="Ada")+(AL40="tidak perlu")+(AL40="draft") +
   (AN40="Ada")+(AN40="tidak perlu")+(AN40="draft") +
   (AP40="Ada")+(AP40="tidak perlu")+(AP40="draft") +
   (AR40="Ada")+(AR40="tidak perlu")+(AR40="draft") +
   (AT40="Ada")+(AT40="tidak perlu")+(AT40="draft") +
   (AV40="Ada")+(AV40="tidak perlu")+(AV40="draft") +
   (AX40="Ada")+(AX40="tidak perlu")+(AX40="draft") +
   (AZ40="Ada")+(AZ40="tidak perlu")+(AZ40="draft") +
   (BB40="Ada")+(BB40="tidak perlu")+(BB40="draft") +
   (BD40="Ada")+(BD40="tidak perlu")+(BD40="draft") +
   (BF40="Ada")+(BF40="tidak perlu")+(BF40="draft")
  ) = 20,
 "Lengkap","Belum Lengkap")</f>
        <v>Belum Lengkap</v>
      </c>
      <c r="BN40" s="637"/>
      <c r="BO40" s="637"/>
      <c r="BP40" s="637"/>
      <c r="BQ40" s="637"/>
      <c r="BR40" s="637"/>
      <c r="BS40" s="637"/>
      <c r="BT40" s="637"/>
      <c r="BU40" s="679"/>
      <c r="BV40" s="679"/>
      <c r="BW40" s="633" t="s">
        <v>3691</v>
      </c>
      <c r="BZ40" s="658"/>
      <c r="CA40" s="658"/>
      <c r="CB40" s="658"/>
      <c r="CC40" s="658"/>
      <c r="CD40" s="658"/>
      <c r="CE40" s="658"/>
      <c r="CF40" s="658"/>
      <c r="CG40" s="658"/>
      <c r="CH40" s="658"/>
      <c r="CI40" s="658"/>
      <c r="CJ40" s="658"/>
      <c r="CK40" s="658"/>
      <c r="CL40" s="658"/>
      <c r="CM40" s="658"/>
      <c r="CN40" s="658"/>
      <c r="CO40" s="658"/>
      <c r="CP40" s="658"/>
      <c r="CQ40" s="658"/>
      <c r="CR40" s="658"/>
      <c r="CS40" s="658"/>
      <c r="CT40" s="658"/>
      <c r="CU40" s="658"/>
      <c r="CV40" s="658"/>
      <c r="CW40" s="658"/>
    </row>
    <row r="41" spans="2:101" ht="17.25" hidden="1" customHeight="1" x14ac:dyDescent="0.2">
      <c r="B41" s="633">
        <v>34</v>
      </c>
      <c r="C41" s="633" t="s">
        <v>244</v>
      </c>
      <c r="D41" s="634" t="s">
        <v>2340</v>
      </c>
      <c r="E41" s="633" t="s">
        <v>278</v>
      </c>
      <c r="F41" s="634" t="s">
        <v>2341</v>
      </c>
      <c r="G41" s="633" t="s">
        <v>3608</v>
      </c>
      <c r="H41" s="635" t="s">
        <v>3667</v>
      </c>
      <c r="I41" s="633" t="s">
        <v>3668</v>
      </c>
      <c r="J41" s="636">
        <v>0.14636874996210567</v>
      </c>
      <c r="K41" s="637" t="str">
        <f t="shared" si="1"/>
        <v>3/20</v>
      </c>
      <c r="L41" s="638" t="s">
        <v>3669</v>
      </c>
      <c r="M41" s="639" t="s">
        <v>3606</v>
      </c>
      <c r="N41" s="639" t="s">
        <v>1266</v>
      </c>
      <c r="O41" s="639" t="s">
        <v>3603</v>
      </c>
      <c r="P41" s="640" t="s">
        <v>3670</v>
      </c>
      <c r="Q41" s="639" t="s">
        <v>3603</v>
      </c>
      <c r="R41" s="641" t="s">
        <v>3670</v>
      </c>
      <c r="S41" s="639" t="s">
        <v>3606</v>
      </c>
      <c r="T41" s="639"/>
      <c r="U41" s="639" t="s">
        <v>3606</v>
      </c>
      <c r="V41" s="640" t="s">
        <v>3670</v>
      </c>
      <c r="W41" s="639" t="s">
        <v>3603</v>
      </c>
      <c r="X41" s="640" t="s">
        <v>3670</v>
      </c>
      <c r="Y41" s="642" t="s">
        <v>3603</v>
      </c>
      <c r="Z41" s="640" t="s">
        <v>1266</v>
      </c>
      <c r="AA41" s="639" t="s">
        <v>3603</v>
      </c>
      <c r="AB41" s="640" t="s">
        <v>3670</v>
      </c>
      <c r="AC41" s="639" t="s">
        <v>3603</v>
      </c>
      <c r="AD41" s="640" t="s">
        <v>3670</v>
      </c>
      <c r="AE41" s="639" t="s">
        <v>3606</v>
      </c>
      <c r="AF41" s="640" t="s">
        <v>3670</v>
      </c>
      <c r="AG41" s="641" t="s">
        <v>3603</v>
      </c>
      <c r="AH41" s="640" t="s">
        <v>3670</v>
      </c>
      <c r="AI41" s="641" t="s">
        <v>3603</v>
      </c>
      <c r="AJ41" s="640" t="s">
        <v>3670</v>
      </c>
      <c r="AK41" s="641" t="s">
        <v>3603</v>
      </c>
      <c r="AL41" s="640" t="s">
        <v>3670</v>
      </c>
      <c r="AM41" s="639" t="s">
        <v>3603</v>
      </c>
      <c r="AN41" s="640" t="s">
        <v>3670</v>
      </c>
      <c r="AO41" s="639" t="s">
        <v>3603</v>
      </c>
      <c r="AP41" s="640" t="s">
        <v>3670</v>
      </c>
      <c r="AQ41" s="639" t="s">
        <v>3603</v>
      </c>
      <c r="AR41" s="640" t="s">
        <v>3670</v>
      </c>
      <c r="AS41" s="639" t="s">
        <v>3603</v>
      </c>
      <c r="AT41" s="640" t="s">
        <v>3670</v>
      </c>
      <c r="AU41" s="639" t="s">
        <v>3603</v>
      </c>
      <c r="AV41" s="640" t="s">
        <v>3670</v>
      </c>
      <c r="AW41" s="639" t="s">
        <v>3603</v>
      </c>
      <c r="AX41" s="640" t="s">
        <v>3670</v>
      </c>
      <c r="AY41" s="639" t="s">
        <v>3603</v>
      </c>
      <c r="AZ41" s="640" t="s">
        <v>3670</v>
      </c>
      <c r="BA41" s="639" t="s">
        <v>3603</v>
      </c>
      <c r="BB41" s="640" t="s">
        <v>3670</v>
      </c>
      <c r="BC41" s="639" t="s">
        <v>3603</v>
      </c>
      <c r="BD41" s="640" t="s">
        <v>3670</v>
      </c>
      <c r="BE41" s="640" t="s">
        <v>3604</v>
      </c>
      <c r="BF41" s="640" t="s">
        <v>3670</v>
      </c>
      <c r="BG41" s="640" t="s">
        <v>3603</v>
      </c>
      <c r="BH41" s="640"/>
      <c r="BI41" s="640" t="s">
        <v>3603</v>
      </c>
      <c r="BJ41" s="640"/>
      <c r="BK41" s="640" t="s">
        <v>3603</v>
      </c>
      <c r="BL41" s="640"/>
      <c r="BM41" s="678"/>
      <c r="BN41" s="637"/>
      <c r="BO41" s="637"/>
      <c r="BP41" s="637"/>
      <c r="BQ41" s="637"/>
      <c r="BR41" s="637"/>
      <c r="BS41" s="637"/>
      <c r="BT41" s="637"/>
      <c r="BU41" s="679"/>
      <c r="BV41" s="679"/>
      <c r="BW41" s="633" t="s">
        <v>3671</v>
      </c>
      <c r="BZ41" s="658"/>
      <c r="CA41" s="658"/>
      <c r="CB41" s="658"/>
      <c r="CC41" s="658"/>
      <c r="CD41" s="658"/>
      <c r="CE41" s="658"/>
      <c r="CF41" s="658"/>
      <c r="CG41" s="658"/>
      <c r="CH41" s="658"/>
      <c r="CI41" s="658"/>
      <c r="CJ41" s="658"/>
      <c r="CK41" s="658"/>
      <c r="CL41" s="658"/>
      <c r="CM41" s="658"/>
      <c r="CN41" s="658"/>
      <c r="CO41" s="658"/>
      <c r="CP41" s="658"/>
      <c r="CQ41" s="658"/>
      <c r="CR41" s="658"/>
      <c r="CS41" s="658"/>
      <c r="CT41" s="658"/>
      <c r="CU41" s="658"/>
      <c r="CV41" s="658"/>
      <c r="CW41" s="658"/>
    </row>
    <row r="42" spans="2:101" ht="17.25" hidden="1" customHeight="1" x14ac:dyDescent="0.2">
      <c r="B42" s="633">
        <v>35</v>
      </c>
      <c r="C42" s="633" t="s">
        <v>244</v>
      </c>
      <c r="D42" s="634" t="s">
        <v>2348</v>
      </c>
      <c r="E42" s="633" t="s">
        <v>278</v>
      </c>
      <c r="F42" s="680" t="s">
        <v>2349</v>
      </c>
      <c r="G42" s="633" t="s">
        <v>3684</v>
      </c>
      <c r="H42" s="646" t="s">
        <v>3599</v>
      </c>
      <c r="I42" s="633" t="s">
        <v>3599</v>
      </c>
      <c r="J42" s="636">
        <v>0</v>
      </c>
      <c r="K42" s="637" t="str">
        <f t="shared" si="1"/>
        <v>2/20</v>
      </c>
      <c r="L42" s="638" t="s">
        <v>3669</v>
      </c>
      <c r="M42" s="639" t="s">
        <v>3606</v>
      </c>
      <c r="N42" s="639" t="s">
        <v>1266</v>
      </c>
      <c r="O42" s="639" t="s">
        <v>3603</v>
      </c>
      <c r="P42" s="640" t="s">
        <v>3670</v>
      </c>
      <c r="Q42" s="639" t="s">
        <v>3603</v>
      </c>
      <c r="R42" s="641" t="s">
        <v>3670</v>
      </c>
      <c r="S42" s="639" t="s">
        <v>3603</v>
      </c>
      <c r="T42" s="639"/>
      <c r="U42" s="639" t="s">
        <v>3606</v>
      </c>
      <c r="V42" s="640" t="s">
        <v>3670</v>
      </c>
      <c r="W42" s="639" t="s">
        <v>3603</v>
      </c>
      <c r="X42" s="640" t="s">
        <v>3670</v>
      </c>
      <c r="Y42" s="642" t="s">
        <v>3603</v>
      </c>
      <c r="Z42" s="640" t="s">
        <v>1266</v>
      </c>
      <c r="AA42" s="639" t="s">
        <v>3603</v>
      </c>
      <c r="AB42" s="640" t="s">
        <v>3670</v>
      </c>
      <c r="AC42" s="639" t="s">
        <v>3603</v>
      </c>
      <c r="AD42" s="640" t="s">
        <v>3670</v>
      </c>
      <c r="AE42" s="639" t="s">
        <v>3606</v>
      </c>
      <c r="AF42" s="640" t="s">
        <v>3670</v>
      </c>
      <c r="AG42" s="641" t="s">
        <v>3603</v>
      </c>
      <c r="AH42" s="640" t="s">
        <v>3670</v>
      </c>
      <c r="AI42" s="641" t="s">
        <v>3603</v>
      </c>
      <c r="AJ42" s="640" t="s">
        <v>3670</v>
      </c>
      <c r="AK42" s="641" t="s">
        <v>3603</v>
      </c>
      <c r="AL42" s="640" t="s">
        <v>3670</v>
      </c>
      <c r="AM42" s="639" t="s">
        <v>3603</v>
      </c>
      <c r="AN42" s="640" t="s">
        <v>3670</v>
      </c>
      <c r="AO42" s="639" t="s">
        <v>3603</v>
      </c>
      <c r="AP42" s="640" t="s">
        <v>3670</v>
      </c>
      <c r="AQ42" s="639" t="s">
        <v>3603</v>
      </c>
      <c r="AR42" s="640" t="s">
        <v>3670</v>
      </c>
      <c r="AS42" s="639" t="s">
        <v>3603</v>
      </c>
      <c r="AT42" s="640" t="s">
        <v>3670</v>
      </c>
      <c r="AU42" s="639" t="s">
        <v>3603</v>
      </c>
      <c r="AV42" s="640" t="s">
        <v>3670</v>
      </c>
      <c r="AW42" s="639" t="s">
        <v>3603</v>
      </c>
      <c r="AX42" s="640" t="s">
        <v>3670</v>
      </c>
      <c r="AY42" s="639" t="s">
        <v>3603</v>
      </c>
      <c r="AZ42" s="640" t="s">
        <v>3670</v>
      </c>
      <c r="BA42" s="639" t="s">
        <v>3603</v>
      </c>
      <c r="BB42" s="640" t="s">
        <v>3670</v>
      </c>
      <c r="BC42" s="639" t="s">
        <v>3603</v>
      </c>
      <c r="BD42" s="640" t="s">
        <v>3670</v>
      </c>
      <c r="BE42" s="640" t="s">
        <v>3603</v>
      </c>
      <c r="BF42" s="640" t="s">
        <v>3670</v>
      </c>
      <c r="BG42" s="640" t="s">
        <v>1266</v>
      </c>
      <c r="BH42" s="640"/>
      <c r="BI42" s="640" t="s">
        <v>3603</v>
      </c>
      <c r="BJ42" s="640"/>
      <c r="BK42" s="640" t="s">
        <v>3603</v>
      </c>
      <c r="BL42" s="640"/>
      <c r="BM42" s="678" t="str">
        <f>IF(
  (
   (P42="Ada")+(P42="tidak perlu")+(P42="draft") +
   (R42="Ada")+(R42="tidak perlu")+(R42="draft") +
   (V42="Ada")+(V42="tidak perlu")+(V42="draft") +
   (X42="Ada")+(X42="tidak perlu")+(X42="draft") +
   (AB42="Ada")+(AB42="tidak perlu")+(AB42="draft") +
   (AD42="Ada")+(AD42="tidak perlu")+(AD42="draft") +
   (AF42="Ada")+(AF42="tidak perlu")+(AF42="draft") +
   (AH42="Ada")+(AH42="tidak perlu")+(AH42="draft") +
   (AJ42="Ada")+(AJ42="tidak perlu")+(AJ42="draft") +
   (AL42="Ada")+(AL42="tidak perlu")+(AL42="draft") +
   (AN42="Ada")+(AN42="tidak perlu")+(AN42="draft") +
   (AP42="Ada")+(AP42="tidak perlu")+(AP42="draft") +
   (AR42="Ada")+(AR42="tidak perlu")+(AR42="draft") +
   (AT42="Ada")+(AT42="tidak perlu")+(AT42="draft") +
   (AV42="Ada")+(AV42="tidak perlu")+(AV42="draft") +
   (AX42="Ada")+(AX42="tidak perlu")+(AX42="draft") +
   (AZ42="Ada")+(AZ42="tidak perlu")+(AZ42="draft") +
   (BB42="Ada")+(BB42="tidak perlu")+(BB42="draft") +
   (BD42="Ada")+(BD42="tidak perlu")+(BD42="draft") +
   (BF42="Ada")+(BF42="tidak perlu")+(BF42="draft")
  ) = 20,
 "Lengkap","Belum Lengkap")</f>
        <v>Belum Lengkap</v>
      </c>
      <c r="BN42" s="637"/>
      <c r="BO42" s="637"/>
      <c r="BP42" s="637"/>
      <c r="BQ42" s="637"/>
      <c r="BR42" s="637"/>
      <c r="BS42" s="637"/>
      <c r="BT42" s="637"/>
      <c r="BU42" s="679"/>
      <c r="BV42" s="679"/>
      <c r="BW42" s="633" t="s">
        <v>3599</v>
      </c>
      <c r="BZ42" s="658"/>
      <c r="CA42" s="658"/>
      <c r="CB42" s="658"/>
      <c r="CC42" s="658"/>
      <c r="CD42" s="658"/>
      <c r="CE42" s="658"/>
      <c r="CF42" s="658"/>
      <c r="CG42" s="658"/>
      <c r="CH42" s="658"/>
      <c r="CI42" s="658"/>
      <c r="CJ42" s="658"/>
      <c r="CK42" s="658"/>
      <c r="CL42" s="658"/>
      <c r="CM42" s="658"/>
      <c r="CN42" s="658"/>
      <c r="CO42" s="658"/>
      <c r="CP42" s="658"/>
      <c r="CQ42" s="658"/>
      <c r="CR42" s="658"/>
      <c r="CS42" s="658"/>
      <c r="CT42" s="658"/>
      <c r="CU42" s="658"/>
      <c r="CV42" s="658"/>
      <c r="CW42" s="658"/>
    </row>
    <row r="43" spans="2:101" ht="17.25" hidden="1" customHeight="1" x14ac:dyDescent="0.2">
      <c r="B43" s="633">
        <v>36</v>
      </c>
      <c r="C43" s="633" t="s">
        <v>244</v>
      </c>
      <c r="D43" s="634" t="s">
        <v>2351</v>
      </c>
      <c r="E43" s="633" t="s">
        <v>278</v>
      </c>
      <c r="F43" s="634" t="s">
        <v>2352</v>
      </c>
      <c r="G43" s="633" t="s">
        <v>3560</v>
      </c>
      <c r="H43" s="635" t="s">
        <v>3667</v>
      </c>
      <c r="I43" s="633" t="s">
        <v>3685</v>
      </c>
      <c r="J43" s="636">
        <v>1</v>
      </c>
      <c r="K43" s="637" t="str">
        <f t="shared" si="1"/>
        <v>19/20</v>
      </c>
      <c r="L43" s="638" t="s">
        <v>3686</v>
      </c>
      <c r="M43" s="639" t="s">
        <v>3606</v>
      </c>
      <c r="N43" s="639" t="s">
        <v>1266</v>
      </c>
      <c r="O43" s="639" t="s">
        <v>3606</v>
      </c>
      <c r="P43" s="640" t="s">
        <v>3678</v>
      </c>
      <c r="Q43" s="639" t="s">
        <v>3606</v>
      </c>
      <c r="R43" s="641" t="s">
        <v>3678</v>
      </c>
      <c r="S43" s="639" t="s">
        <v>3606</v>
      </c>
      <c r="T43" s="640" t="s">
        <v>3678</v>
      </c>
      <c r="U43" s="639" t="s">
        <v>3606</v>
      </c>
      <c r="V43" s="643" t="s">
        <v>3678</v>
      </c>
      <c r="W43" s="639" t="s">
        <v>3606</v>
      </c>
      <c r="X43" s="643" t="s">
        <v>3678</v>
      </c>
      <c r="Y43" s="642" t="s">
        <v>3606</v>
      </c>
      <c r="Z43" s="640" t="s">
        <v>1266</v>
      </c>
      <c r="AA43" s="639" t="s">
        <v>3606</v>
      </c>
      <c r="AB43" s="643" t="s">
        <v>3678</v>
      </c>
      <c r="AC43" s="639" t="s">
        <v>3606</v>
      </c>
      <c r="AD43" s="643" t="s">
        <v>3678</v>
      </c>
      <c r="AE43" s="639" t="s">
        <v>3606</v>
      </c>
      <c r="AF43" s="640" t="s">
        <v>3678</v>
      </c>
      <c r="AG43" s="641" t="s">
        <v>3606</v>
      </c>
      <c r="AH43" s="641" t="s">
        <v>3678</v>
      </c>
      <c r="AI43" s="641" t="s">
        <v>3606</v>
      </c>
      <c r="AJ43" s="643" t="s">
        <v>3678</v>
      </c>
      <c r="AK43" s="641" t="s">
        <v>3606</v>
      </c>
      <c r="AL43" s="645" t="s">
        <v>3678</v>
      </c>
      <c r="AM43" s="639" t="s">
        <v>3606</v>
      </c>
      <c r="AN43" s="640" t="s">
        <v>3678</v>
      </c>
      <c r="AO43" s="639" t="s">
        <v>3606</v>
      </c>
      <c r="AP43" s="640" t="s">
        <v>3678</v>
      </c>
      <c r="AQ43" s="639" t="s">
        <v>3606</v>
      </c>
      <c r="AR43" s="640" t="s">
        <v>3678</v>
      </c>
      <c r="AS43" s="639" t="s">
        <v>3606</v>
      </c>
      <c r="AT43" s="643" t="s">
        <v>3678</v>
      </c>
      <c r="AU43" s="639" t="s">
        <v>3606</v>
      </c>
      <c r="AV43" s="643" t="s">
        <v>3678</v>
      </c>
      <c r="AW43" s="639" t="s">
        <v>3606</v>
      </c>
      <c r="AX43" s="643" t="s">
        <v>3678</v>
      </c>
      <c r="AY43" s="639" t="s">
        <v>3606</v>
      </c>
      <c r="AZ43" s="640" t="s">
        <v>3678</v>
      </c>
      <c r="BA43" s="639" t="s">
        <v>3606</v>
      </c>
      <c r="BB43" s="640" t="s">
        <v>3678</v>
      </c>
      <c r="BC43" s="639" t="s">
        <v>3606</v>
      </c>
      <c r="BD43" s="643" t="s">
        <v>3678</v>
      </c>
      <c r="BE43" s="640" t="s">
        <v>3606</v>
      </c>
      <c r="BF43" s="641" t="s">
        <v>3678</v>
      </c>
      <c r="BG43" s="640" t="s">
        <v>1266</v>
      </c>
      <c r="BH43" s="645" t="s">
        <v>1266</v>
      </c>
      <c r="BI43" s="640" t="s">
        <v>3606</v>
      </c>
      <c r="BJ43" s="640" t="s">
        <v>3678</v>
      </c>
      <c r="BK43" s="640" t="s">
        <v>3606</v>
      </c>
      <c r="BL43" s="640" t="s">
        <v>3678</v>
      </c>
      <c r="BM43" s="678" t="s">
        <v>3679</v>
      </c>
      <c r="BN43" s="682"/>
      <c r="BO43" s="637"/>
      <c r="BP43" s="637"/>
      <c r="BQ43" s="637"/>
      <c r="BR43" s="637"/>
      <c r="BS43" s="637"/>
      <c r="BT43" s="637"/>
      <c r="BU43" s="679"/>
      <c r="BV43" s="679"/>
      <c r="BW43" s="633" t="s">
        <v>3671</v>
      </c>
      <c r="BZ43" s="658"/>
      <c r="CA43" s="658"/>
      <c r="CB43" s="658"/>
      <c r="CC43" s="658"/>
      <c r="CD43" s="658"/>
      <c r="CE43" s="658"/>
      <c r="CF43" s="658"/>
      <c r="CG43" s="658"/>
      <c r="CH43" s="658"/>
      <c r="CI43" s="658"/>
      <c r="CJ43" s="658"/>
      <c r="CK43" s="658"/>
      <c r="CL43" s="658"/>
      <c r="CM43" s="658"/>
      <c r="CN43" s="658"/>
      <c r="CO43" s="658"/>
      <c r="CP43" s="658"/>
      <c r="CQ43" s="658"/>
      <c r="CR43" s="658"/>
      <c r="CS43" s="658"/>
      <c r="CT43" s="658"/>
      <c r="CU43" s="658"/>
      <c r="CV43" s="658"/>
      <c r="CW43" s="658"/>
    </row>
    <row r="44" spans="2:101" ht="17.25" hidden="1" customHeight="1" x14ac:dyDescent="0.2">
      <c r="B44" s="633">
        <v>37</v>
      </c>
      <c r="C44" s="633" t="s">
        <v>244</v>
      </c>
      <c r="D44" s="634" t="s">
        <v>2360</v>
      </c>
      <c r="E44" s="633" t="s">
        <v>278</v>
      </c>
      <c r="F44" s="681" t="s">
        <v>2361</v>
      </c>
      <c r="G44" s="633" t="s">
        <v>3560</v>
      </c>
      <c r="H44" s="635" t="s">
        <v>3667</v>
      </c>
      <c r="I44" s="633" t="s">
        <v>3685</v>
      </c>
      <c r="J44" s="636">
        <v>1</v>
      </c>
      <c r="K44" s="637" t="str">
        <f t="shared" si="1"/>
        <v>19/20</v>
      </c>
      <c r="L44" s="638" t="s">
        <v>3686</v>
      </c>
      <c r="M44" s="639" t="s">
        <v>3606</v>
      </c>
      <c r="N44" s="639" t="s">
        <v>1266</v>
      </c>
      <c r="O44" s="639" t="s">
        <v>3606</v>
      </c>
      <c r="P44" s="640" t="s">
        <v>3678</v>
      </c>
      <c r="Q44" s="639" t="s">
        <v>3606</v>
      </c>
      <c r="R44" s="641" t="s">
        <v>3678</v>
      </c>
      <c r="S44" s="639" t="s">
        <v>3606</v>
      </c>
      <c r="T44" s="640" t="s">
        <v>3678</v>
      </c>
      <c r="U44" s="639" t="s">
        <v>3606</v>
      </c>
      <c r="V44" s="643" t="s">
        <v>3678</v>
      </c>
      <c r="W44" s="639" t="s">
        <v>3606</v>
      </c>
      <c r="X44" s="643" t="s">
        <v>3678</v>
      </c>
      <c r="Y44" s="642" t="s">
        <v>3606</v>
      </c>
      <c r="Z44" s="640" t="s">
        <v>1266</v>
      </c>
      <c r="AA44" s="639" t="s">
        <v>3606</v>
      </c>
      <c r="AB44" s="643" t="s">
        <v>3678</v>
      </c>
      <c r="AC44" s="639" t="s">
        <v>3606</v>
      </c>
      <c r="AD44" s="643" t="s">
        <v>3678</v>
      </c>
      <c r="AE44" s="639" t="s">
        <v>3606</v>
      </c>
      <c r="AF44" s="640" t="s">
        <v>3678</v>
      </c>
      <c r="AG44" s="641" t="s">
        <v>3606</v>
      </c>
      <c r="AH44" s="641" t="s">
        <v>3678</v>
      </c>
      <c r="AI44" s="641" t="s">
        <v>3606</v>
      </c>
      <c r="AJ44" s="643" t="s">
        <v>3678</v>
      </c>
      <c r="AK44" s="641" t="s">
        <v>3606</v>
      </c>
      <c r="AL44" s="645" t="s">
        <v>3678</v>
      </c>
      <c r="AM44" s="639" t="s">
        <v>3606</v>
      </c>
      <c r="AN44" s="640" t="s">
        <v>3678</v>
      </c>
      <c r="AO44" s="639" t="s">
        <v>3606</v>
      </c>
      <c r="AP44" s="640" t="s">
        <v>3678</v>
      </c>
      <c r="AQ44" s="639" t="s">
        <v>3606</v>
      </c>
      <c r="AR44" s="640" t="s">
        <v>3678</v>
      </c>
      <c r="AS44" s="639" t="s">
        <v>3606</v>
      </c>
      <c r="AT44" s="644" t="s">
        <v>3678</v>
      </c>
      <c r="AU44" s="639" t="s">
        <v>3606</v>
      </c>
      <c r="AV44" s="643" t="s">
        <v>3678</v>
      </c>
      <c r="AW44" s="639" t="s">
        <v>3606</v>
      </c>
      <c r="AX44" s="644" t="s">
        <v>3678</v>
      </c>
      <c r="AY44" s="639" t="s">
        <v>3606</v>
      </c>
      <c r="AZ44" s="640" t="s">
        <v>3678</v>
      </c>
      <c r="BA44" s="639" t="s">
        <v>3606</v>
      </c>
      <c r="BB44" s="640" t="s">
        <v>3678</v>
      </c>
      <c r="BC44" s="639" t="s">
        <v>3606</v>
      </c>
      <c r="BD44" s="645" t="s">
        <v>3678</v>
      </c>
      <c r="BE44" s="640" t="s">
        <v>3606</v>
      </c>
      <c r="BF44" s="645" t="s">
        <v>3678</v>
      </c>
      <c r="BG44" s="640" t="s">
        <v>3606</v>
      </c>
      <c r="BH44" s="645" t="s">
        <v>3678</v>
      </c>
      <c r="BI44" s="640" t="s">
        <v>3606</v>
      </c>
      <c r="BJ44" s="640" t="s">
        <v>3678</v>
      </c>
      <c r="BK44" s="640" t="s">
        <v>3606</v>
      </c>
      <c r="BL44" s="640" t="s">
        <v>3678</v>
      </c>
      <c r="BM44" s="678" t="s">
        <v>3679</v>
      </c>
      <c r="BN44" s="682"/>
      <c r="BO44" s="637"/>
      <c r="BP44" s="637"/>
      <c r="BQ44" s="637"/>
      <c r="BR44" s="637"/>
      <c r="BS44" s="637"/>
      <c r="BT44" s="637"/>
      <c r="BU44" s="679"/>
      <c r="BV44" s="679"/>
      <c r="BW44" s="633" t="s">
        <v>3687</v>
      </c>
      <c r="BZ44" s="658"/>
      <c r="CA44" s="658"/>
      <c r="CB44" s="658"/>
      <c r="CC44" s="658"/>
      <c r="CD44" s="658"/>
      <c r="CE44" s="658"/>
      <c r="CF44" s="658"/>
      <c r="CG44" s="658"/>
      <c r="CH44" s="658"/>
      <c r="CI44" s="658"/>
      <c r="CJ44" s="658"/>
      <c r="CK44" s="658"/>
      <c r="CL44" s="658"/>
      <c r="CM44" s="658"/>
      <c r="CN44" s="658"/>
      <c r="CO44" s="658"/>
      <c r="CP44" s="658"/>
      <c r="CQ44" s="658"/>
      <c r="CR44" s="658"/>
      <c r="CS44" s="658"/>
      <c r="CT44" s="658"/>
      <c r="CU44" s="658"/>
      <c r="CV44" s="658"/>
      <c r="CW44" s="658"/>
    </row>
    <row r="45" spans="2:101" ht="17.25" hidden="1" customHeight="1" x14ac:dyDescent="0.2">
      <c r="B45" s="633">
        <v>38</v>
      </c>
      <c r="C45" s="633" t="s">
        <v>244</v>
      </c>
      <c r="D45" s="634" t="s">
        <v>2369</v>
      </c>
      <c r="E45" s="633" t="s">
        <v>278</v>
      </c>
      <c r="F45" s="648" t="s">
        <v>2370</v>
      </c>
      <c r="G45" s="633" t="s">
        <v>3560</v>
      </c>
      <c r="H45" s="635" t="s">
        <v>3667</v>
      </c>
      <c r="I45" s="633" t="s">
        <v>3685</v>
      </c>
      <c r="J45" s="636">
        <v>1</v>
      </c>
      <c r="K45" s="637" t="str">
        <f t="shared" si="1"/>
        <v>19/20</v>
      </c>
      <c r="L45" s="638" t="s">
        <v>3686</v>
      </c>
      <c r="M45" s="639" t="s">
        <v>3606</v>
      </c>
      <c r="N45" s="639" t="s">
        <v>1266</v>
      </c>
      <c r="O45" s="639" t="s">
        <v>3606</v>
      </c>
      <c r="P45" s="640" t="s">
        <v>3678</v>
      </c>
      <c r="Q45" s="639" t="s">
        <v>3606</v>
      </c>
      <c r="R45" s="641" t="s">
        <v>3678</v>
      </c>
      <c r="S45" s="639" t="s">
        <v>3606</v>
      </c>
      <c r="T45" s="640" t="s">
        <v>3678</v>
      </c>
      <c r="U45" s="639" t="s">
        <v>3606</v>
      </c>
      <c r="V45" s="643" t="s">
        <v>3678</v>
      </c>
      <c r="W45" s="639" t="s">
        <v>3606</v>
      </c>
      <c r="X45" s="643" t="s">
        <v>3678</v>
      </c>
      <c r="Y45" s="642" t="s">
        <v>3606</v>
      </c>
      <c r="Z45" s="640" t="s">
        <v>1266</v>
      </c>
      <c r="AA45" s="639" t="s">
        <v>3606</v>
      </c>
      <c r="AB45" s="643" t="s">
        <v>3678</v>
      </c>
      <c r="AC45" s="639" t="s">
        <v>3606</v>
      </c>
      <c r="AD45" s="643" t="s">
        <v>3678</v>
      </c>
      <c r="AE45" s="639" t="s">
        <v>3606</v>
      </c>
      <c r="AF45" s="640" t="s">
        <v>3678</v>
      </c>
      <c r="AG45" s="641" t="s">
        <v>3606</v>
      </c>
      <c r="AH45" s="641" t="s">
        <v>3678</v>
      </c>
      <c r="AI45" s="641" t="s">
        <v>3606</v>
      </c>
      <c r="AJ45" s="643" t="s">
        <v>3678</v>
      </c>
      <c r="AK45" s="641" t="s">
        <v>3606</v>
      </c>
      <c r="AL45" s="645" t="s">
        <v>3678</v>
      </c>
      <c r="AM45" s="639" t="s">
        <v>3606</v>
      </c>
      <c r="AN45" s="640" t="s">
        <v>3678</v>
      </c>
      <c r="AO45" s="639" t="s">
        <v>3606</v>
      </c>
      <c r="AP45" s="640" t="s">
        <v>3678</v>
      </c>
      <c r="AQ45" s="639" t="s">
        <v>3606</v>
      </c>
      <c r="AR45" s="640" t="s">
        <v>3678</v>
      </c>
      <c r="AS45" s="639" t="s">
        <v>3606</v>
      </c>
      <c r="AT45" s="643" t="s">
        <v>3678</v>
      </c>
      <c r="AU45" s="639" t="s">
        <v>3606</v>
      </c>
      <c r="AV45" s="643" t="s">
        <v>3678</v>
      </c>
      <c r="AW45" s="639" t="s">
        <v>3606</v>
      </c>
      <c r="AX45" s="643" t="s">
        <v>3678</v>
      </c>
      <c r="AY45" s="639" t="s">
        <v>3606</v>
      </c>
      <c r="AZ45" s="640" t="s">
        <v>3678</v>
      </c>
      <c r="BA45" s="639" t="s">
        <v>3606</v>
      </c>
      <c r="BB45" s="640" t="s">
        <v>3678</v>
      </c>
      <c r="BC45" s="639" t="s">
        <v>3606</v>
      </c>
      <c r="BD45" s="645" t="s">
        <v>3678</v>
      </c>
      <c r="BE45" s="640" t="s">
        <v>3606</v>
      </c>
      <c r="BF45" s="645" t="s">
        <v>3678</v>
      </c>
      <c r="BG45" s="640" t="s">
        <v>1266</v>
      </c>
      <c r="BH45" s="645" t="s">
        <v>1266</v>
      </c>
      <c r="BI45" s="640" t="s">
        <v>3606</v>
      </c>
      <c r="BJ45" s="640" t="s">
        <v>3678</v>
      </c>
      <c r="BK45" s="640" t="s">
        <v>3606</v>
      </c>
      <c r="BL45" s="640" t="s">
        <v>3678</v>
      </c>
      <c r="BM45" s="678" t="s">
        <v>3679</v>
      </c>
      <c r="BN45" s="682"/>
      <c r="BO45" s="637"/>
      <c r="BP45" s="637"/>
      <c r="BQ45" s="637"/>
      <c r="BR45" s="637"/>
      <c r="BS45" s="637"/>
      <c r="BT45" s="637"/>
      <c r="BU45" s="679"/>
      <c r="BV45" s="679"/>
      <c r="BW45" s="633" t="s">
        <v>3687</v>
      </c>
      <c r="BZ45" s="658"/>
      <c r="CA45" s="658"/>
      <c r="CB45" s="658"/>
      <c r="CC45" s="658"/>
      <c r="CD45" s="658"/>
      <c r="CE45" s="658"/>
      <c r="CF45" s="658"/>
      <c r="CG45" s="658"/>
      <c r="CH45" s="658"/>
      <c r="CI45" s="658"/>
      <c r="CJ45" s="658"/>
      <c r="CK45" s="658"/>
      <c r="CL45" s="658"/>
      <c r="CM45" s="658"/>
      <c r="CN45" s="658"/>
      <c r="CO45" s="658"/>
      <c r="CP45" s="658"/>
      <c r="CQ45" s="658"/>
      <c r="CR45" s="658"/>
      <c r="CS45" s="658"/>
      <c r="CT45" s="658"/>
      <c r="CU45" s="658"/>
      <c r="CV45" s="658"/>
      <c r="CW45" s="658"/>
    </row>
    <row r="46" spans="2:101" ht="17.25" hidden="1" customHeight="1" x14ac:dyDescent="0.2">
      <c r="B46" s="633">
        <v>39</v>
      </c>
      <c r="C46" s="633" t="s">
        <v>244</v>
      </c>
      <c r="D46" s="634" t="s">
        <v>2378</v>
      </c>
      <c r="E46" s="633" t="s">
        <v>278</v>
      </c>
      <c r="F46" s="680" t="s">
        <v>3692</v>
      </c>
      <c r="G46" s="633" t="s">
        <v>3684</v>
      </c>
      <c r="H46" s="646" t="s">
        <v>3599</v>
      </c>
      <c r="I46" s="633" t="s">
        <v>3599</v>
      </c>
      <c r="J46" s="636">
        <v>0.08</v>
      </c>
      <c r="K46" s="637" t="str">
        <f t="shared" si="1"/>
        <v>2/20</v>
      </c>
      <c r="L46" s="638" t="s">
        <v>3669</v>
      </c>
      <c r="M46" s="639" t="s">
        <v>3606</v>
      </c>
      <c r="N46" s="639" t="s">
        <v>1266</v>
      </c>
      <c r="O46" s="639" t="s">
        <v>3603</v>
      </c>
      <c r="P46" s="640" t="s">
        <v>3670</v>
      </c>
      <c r="Q46" s="639" t="s">
        <v>3603</v>
      </c>
      <c r="R46" s="641" t="s">
        <v>3670</v>
      </c>
      <c r="S46" s="639" t="s">
        <v>3603</v>
      </c>
      <c r="T46" s="639"/>
      <c r="U46" s="639" t="s">
        <v>3606</v>
      </c>
      <c r="V46" s="640" t="s">
        <v>3670</v>
      </c>
      <c r="W46" s="639" t="s">
        <v>3603</v>
      </c>
      <c r="X46" s="640" t="s">
        <v>3670</v>
      </c>
      <c r="Y46" s="642" t="s">
        <v>3603</v>
      </c>
      <c r="Z46" s="640" t="s">
        <v>1266</v>
      </c>
      <c r="AA46" s="639" t="s">
        <v>3603</v>
      </c>
      <c r="AB46" s="640" t="s">
        <v>3670</v>
      </c>
      <c r="AC46" s="639" t="s">
        <v>3603</v>
      </c>
      <c r="AD46" s="640" t="s">
        <v>3670</v>
      </c>
      <c r="AE46" s="639" t="s">
        <v>3606</v>
      </c>
      <c r="AF46" s="640" t="s">
        <v>3670</v>
      </c>
      <c r="AG46" s="641" t="s">
        <v>3603</v>
      </c>
      <c r="AH46" s="640" t="s">
        <v>3670</v>
      </c>
      <c r="AI46" s="641" t="s">
        <v>3603</v>
      </c>
      <c r="AJ46" s="640" t="s">
        <v>3670</v>
      </c>
      <c r="AK46" s="641" t="s">
        <v>3603</v>
      </c>
      <c r="AL46" s="640" t="s">
        <v>3670</v>
      </c>
      <c r="AM46" s="639" t="s">
        <v>3603</v>
      </c>
      <c r="AN46" s="640" t="s">
        <v>3670</v>
      </c>
      <c r="AO46" s="639" t="s">
        <v>3603</v>
      </c>
      <c r="AP46" s="640" t="s">
        <v>3670</v>
      </c>
      <c r="AQ46" s="639" t="s">
        <v>3603</v>
      </c>
      <c r="AR46" s="640" t="s">
        <v>3670</v>
      </c>
      <c r="AS46" s="639" t="s">
        <v>3603</v>
      </c>
      <c r="AT46" s="640" t="s">
        <v>3670</v>
      </c>
      <c r="AU46" s="639" t="s">
        <v>3603</v>
      </c>
      <c r="AV46" s="640" t="s">
        <v>3670</v>
      </c>
      <c r="AW46" s="639" t="s">
        <v>3603</v>
      </c>
      <c r="AX46" s="640" t="s">
        <v>3670</v>
      </c>
      <c r="AY46" s="639" t="s">
        <v>3603</v>
      </c>
      <c r="AZ46" s="640" t="s">
        <v>3670</v>
      </c>
      <c r="BA46" s="639" t="s">
        <v>3603</v>
      </c>
      <c r="BB46" s="640" t="s">
        <v>3670</v>
      </c>
      <c r="BC46" s="639" t="s">
        <v>3603</v>
      </c>
      <c r="BD46" s="640" t="s">
        <v>3670</v>
      </c>
      <c r="BE46" s="640" t="s">
        <v>3603</v>
      </c>
      <c r="BF46" s="640" t="s">
        <v>3670</v>
      </c>
      <c r="BG46" s="640" t="s">
        <v>1266</v>
      </c>
      <c r="BH46" s="640"/>
      <c r="BI46" s="640" t="s">
        <v>3603</v>
      </c>
      <c r="BJ46" s="640"/>
      <c r="BK46" s="640" t="s">
        <v>3603</v>
      </c>
      <c r="BL46" s="640"/>
      <c r="BM46" s="678" t="str">
        <f>IF(
  (
   (P46="Ada")+(P46="tidak perlu")+(P46="draft") +
   (R46="Ada")+(R46="tidak perlu")+(R46="draft") +
   (V46="Ada")+(V46="tidak perlu")+(V46="draft") +
   (X46="Ada")+(X46="tidak perlu")+(X46="draft") +
   (AB46="Ada")+(AB46="tidak perlu")+(AB46="draft") +
   (AD46="Ada")+(AD46="tidak perlu")+(AD46="draft") +
   (AF46="Ada")+(AF46="tidak perlu")+(AF46="draft") +
   (AH46="Ada")+(AH46="tidak perlu")+(AH46="draft") +
   (AJ46="Ada")+(AJ46="tidak perlu")+(AJ46="draft") +
   (AL46="Ada")+(AL46="tidak perlu")+(AL46="draft") +
   (AN46="Ada")+(AN46="tidak perlu")+(AN46="draft") +
   (AP46="Ada")+(AP46="tidak perlu")+(AP46="draft") +
   (AR46="Ada")+(AR46="tidak perlu")+(AR46="draft") +
   (AT46="Ada")+(AT46="tidak perlu")+(AT46="draft") +
   (AV46="Ada")+(AV46="tidak perlu")+(AV46="draft") +
   (AX46="Ada")+(AX46="tidak perlu")+(AX46="draft") +
   (AZ46="Ada")+(AZ46="tidak perlu")+(AZ46="draft") +
   (BB46="Ada")+(BB46="tidak perlu")+(BB46="draft") +
   (BD46="Ada")+(BD46="tidak perlu")+(BD46="draft") +
   (BF46="Ada")+(BF46="tidak perlu")+(BF46="draft")
  ) = 20,
 "Lengkap","Belum Lengkap")</f>
        <v>Belum Lengkap</v>
      </c>
      <c r="BN46" s="637"/>
      <c r="BO46" s="637"/>
      <c r="BP46" s="637"/>
      <c r="BQ46" s="637"/>
      <c r="BR46" s="637"/>
      <c r="BS46" s="637"/>
      <c r="BT46" s="637"/>
      <c r="BU46" s="679"/>
      <c r="BV46" s="679"/>
      <c r="BW46" s="633" t="s">
        <v>3599</v>
      </c>
      <c r="BZ46" s="658"/>
      <c r="CA46" s="658"/>
      <c r="CB46" s="658"/>
      <c r="CC46" s="658"/>
      <c r="CD46" s="658"/>
      <c r="CE46" s="658"/>
      <c r="CF46" s="658"/>
      <c r="CG46" s="658"/>
      <c r="CH46" s="658"/>
      <c r="CI46" s="658"/>
      <c r="CJ46" s="658"/>
      <c r="CK46" s="658"/>
      <c r="CL46" s="658"/>
      <c r="CM46" s="658"/>
      <c r="CN46" s="658"/>
      <c r="CO46" s="658"/>
      <c r="CP46" s="658"/>
      <c r="CQ46" s="658"/>
      <c r="CR46" s="658"/>
      <c r="CS46" s="658"/>
      <c r="CT46" s="658"/>
      <c r="CU46" s="658"/>
      <c r="CV46" s="658"/>
      <c r="CW46" s="658"/>
    </row>
    <row r="47" spans="2:101" ht="17.25" hidden="1" customHeight="1" x14ac:dyDescent="0.2">
      <c r="B47" s="633">
        <v>40</v>
      </c>
      <c r="C47" s="633" t="s">
        <v>244</v>
      </c>
      <c r="D47" s="634" t="s">
        <v>2385</v>
      </c>
      <c r="E47" s="633" t="s">
        <v>278</v>
      </c>
      <c r="F47" s="680" t="s">
        <v>2386</v>
      </c>
      <c r="G47" s="633" t="s">
        <v>3684</v>
      </c>
      <c r="H47" s="646" t="s">
        <v>3599</v>
      </c>
      <c r="I47" s="633" t="s">
        <v>3599</v>
      </c>
      <c r="J47" s="636">
        <v>0.12</v>
      </c>
      <c r="K47" s="637" t="str">
        <f t="shared" si="1"/>
        <v>2/20</v>
      </c>
      <c r="L47" s="638" t="s">
        <v>3669</v>
      </c>
      <c r="M47" s="639" t="s">
        <v>3606</v>
      </c>
      <c r="N47" s="639" t="s">
        <v>1266</v>
      </c>
      <c r="O47" s="639" t="s">
        <v>3603</v>
      </c>
      <c r="P47" s="640" t="s">
        <v>3670</v>
      </c>
      <c r="Q47" s="639" t="s">
        <v>3603</v>
      </c>
      <c r="R47" s="641" t="s">
        <v>3670</v>
      </c>
      <c r="S47" s="639" t="s">
        <v>3603</v>
      </c>
      <c r="T47" s="639"/>
      <c r="U47" s="639" t="s">
        <v>3606</v>
      </c>
      <c r="V47" s="640" t="s">
        <v>3670</v>
      </c>
      <c r="W47" s="639" t="s">
        <v>3603</v>
      </c>
      <c r="X47" s="640" t="s">
        <v>3670</v>
      </c>
      <c r="Y47" s="642" t="s">
        <v>3603</v>
      </c>
      <c r="Z47" s="640" t="s">
        <v>1266</v>
      </c>
      <c r="AA47" s="639" t="s">
        <v>3603</v>
      </c>
      <c r="AB47" s="640" t="s">
        <v>3670</v>
      </c>
      <c r="AC47" s="639" t="s">
        <v>3603</v>
      </c>
      <c r="AD47" s="640" t="s">
        <v>3670</v>
      </c>
      <c r="AE47" s="639" t="s">
        <v>3606</v>
      </c>
      <c r="AF47" s="640" t="s">
        <v>3670</v>
      </c>
      <c r="AG47" s="641" t="s">
        <v>3603</v>
      </c>
      <c r="AH47" s="640" t="s">
        <v>3670</v>
      </c>
      <c r="AI47" s="641" t="s">
        <v>3603</v>
      </c>
      <c r="AJ47" s="640" t="s">
        <v>3670</v>
      </c>
      <c r="AK47" s="641" t="s">
        <v>3603</v>
      </c>
      <c r="AL47" s="640" t="s">
        <v>3670</v>
      </c>
      <c r="AM47" s="639" t="s">
        <v>3603</v>
      </c>
      <c r="AN47" s="640" t="s">
        <v>3670</v>
      </c>
      <c r="AO47" s="639" t="s">
        <v>3603</v>
      </c>
      <c r="AP47" s="640" t="s">
        <v>3670</v>
      </c>
      <c r="AQ47" s="639" t="s">
        <v>3603</v>
      </c>
      <c r="AR47" s="640" t="s">
        <v>3670</v>
      </c>
      <c r="AS47" s="639" t="s">
        <v>3603</v>
      </c>
      <c r="AT47" s="640" t="s">
        <v>3670</v>
      </c>
      <c r="AU47" s="639" t="s">
        <v>3603</v>
      </c>
      <c r="AV47" s="640" t="s">
        <v>3670</v>
      </c>
      <c r="AW47" s="639" t="s">
        <v>3603</v>
      </c>
      <c r="AX47" s="640" t="s">
        <v>3670</v>
      </c>
      <c r="AY47" s="639" t="s">
        <v>3603</v>
      </c>
      <c r="AZ47" s="640" t="s">
        <v>3670</v>
      </c>
      <c r="BA47" s="639" t="s">
        <v>3603</v>
      </c>
      <c r="BB47" s="640" t="s">
        <v>3670</v>
      </c>
      <c r="BC47" s="639" t="s">
        <v>3603</v>
      </c>
      <c r="BD47" s="640" t="s">
        <v>3670</v>
      </c>
      <c r="BE47" s="640" t="s">
        <v>3603</v>
      </c>
      <c r="BF47" s="640" t="s">
        <v>3670</v>
      </c>
      <c r="BG47" s="640" t="s">
        <v>1266</v>
      </c>
      <c r="BH47" s="640"/>
      <c r="BI47" s="640" t="s">
        <v>3603</v>
      </c>
      <c r="BJ47" s="640"/>
      <c r="BK47" s="640" t="s">
        <v>3603</v>
      </c>
      <c r="BL47" s="640"/>
      <c r="BM47" s="678" t="str">
        <f>IF(
  (
   (P47="Ada")+(P47="tidak perlu")+(P47="draft") +
   (R47="Ada")+(R47="tidak perlu")+(R47="draft") +
   (V47="Ada")+(V47="tidak perlu")+(V47="draft") +
   (X47="Ada")+(X47="tidak perlu")+(X47="draft") +
   (AB47="Ada")+(AB47="tidak perlu")+(AB47="draft") +
   (AD47="Ada")+(AD47="tidak perlu")+(AD47="draft") +
   (AF47="Ada")+(AF47="tidak perlu")+(AF47="draft") +
   (AH47="Ada")+(AH47="tidak perlu")+(AH47="draft") +
   (AJ47="Ada")+(AJ47="tidak perlu")+(AJ47="draft") +
   (AL47="Ada")+(AL47="tidak perlu")+(AL47="draft") +
   (AN47="Ada")+(AN47="tidak perlu")+(AN47="draft") +
   (AP47="Ada")+(AP47="tidak perlu")+(AP47="draft") +
   (AR47="Ada")+(AR47="tidak perlu")+(AR47="draft") +
   (AT47="Ada")+(AT47="tidak perlu")+(AT47="draft") +
   (AV47="Ada")+(AV47="tidak perlu")+(AV47="draft") +
   (AX47="Ada")+(AX47="tidak perlu")+(AX47="draft") +
   (AZ47="Ada")+(AZ47="tidak perlu")+(AZ47="draft") +
   (BB47="Ada")+(BB47="tidak perlu")+(BB47="draft") +
   (BD47="Ada")+(BD47="tidak perlu")+(BD47="draft") +
   (BF47="Ada")+(BF47="tidak perlu")+(BF47="draft")
  ) = 20,
 "Lengkap","Belum Lengkap")</f>
        <v>Belum Lengkap</v>
      </c>
      <c r="BN47" s="637"/>
      <c r="BO47" s="637"/>
      <c r="BP47" s="637"/>
      <c r="BQ47" s="637"/>
      <c r="BR47" s="637"/>
      <c r="BS47" s="637"/>
      <c r="BT47" s="637"/>
      <c r="BU47" s="679"/>
      <c r="BV47" s="679"/>
      <c r="BW47" s="633" t="s">
        <v>3691</v>
      </c>
      <c r="BZ47" s="658"/>
      <c r="CA47" s="658"/>
      <c r="CB47" s="658"/>
      <c r="CC47" s="658"/>
      <c r="CD47" s="658"/>
      <c r="CE47" s="658"/>
      <c r="CF47" s="658"/>
      <c r="CG47" s="658"/>
      <c r="CH47" s="658"/>
      <c r="CI47" s="658"/>
      <c r="CJ47" s="658"/>
      <c r="CK47" s="658"/>
      <c r="CL47" s="658"/>
      <c r="CM47" s="658"/>
      <c r="CN47" s="658"/>
      <c r="CO47" s="658"/>
      <c r="CP47" s="658"/>
      <c r="CQ47" s="658"/>
      <c r="CR47" s="658"/>
      <c r="CS47" s="658"/>
      <c r="CT47" s="658"/>
      <c r="CU47" s="658"/>
      <c r="CV47" s="658"/>
      <c r="CW47" s="658"/>
    </row>
    <row r="48" spans="2:101" ht="17.25" hidden="1" customHeight="1" x14ac:dyDescent="0.2">
      <c r="B48" s="633">
        <v>41</v>
      </c>
      <c r="C48" s="633" t="s">
        <v>244</v>
      </c>
      <c r="D48" s="634" t="s">
        <v>2392</v>
      </c>
      <c r="E48" s="633" t="s">
        <v>278</v>
      </c>
      <c r="F48" s="681" t="s">
        <v>2393</v>
      </c>
      <c r="G48" s="633" t="s">
        <v>3560</v>
      </c>
      <c r="H48" s="635" t="s">
        <v>3667</v>
      </c>
      <c r="I48" s="633" t="s">
        <v>3685</v>
      </c>
      <c r="J48" s="636">
        <v>1</v>
      </c>
      <c r="K48" s="637" t="str">
        <f t="shared" si="1"/>
        <v>19/20</v>
      </c>
      <c r="L48" s="638" t="s">
        <v>3686</v>
      </c>
      <c r="M48" s="639" t="s">
        <v>3606</v>
      </c>
      <c r="N48" s="639" t="s">
        <v>1266</v>
      </c>
      <c r="O48" s="639" t="s">
        <v>3606</v>
      </c>
      <c r="P48" s="640" t="s">
        <v>3678</v>
      </c>
      <c r="Q48" s="639" t="s">
        <v>3606</v>
      </c>
      <c r="R48" s="641" t="s">
        <v>3678</v>
      </c>
      <c r="S48" s="639" t="s">
        <v>3606</v>
      </c>
      <c r="T48" s="640" t="s">
        <v>3678</v>
      </c>
      <c r="U48" s="639" t="s">
        <v>3606</v>
      </c>
      <c r="V48" s="643" t="s">
        <v>3678</v>
      </c>
      <c r="W48" s="639" t="s">
        <v>3606</v>
      </c>
      <c r="X48" s="643" t="s">
        <v>3678</v>
      </c>
      <c r="Y48" s="642" t="s">
        <v>3606</v>
      </c>
      <c r="Z48" s="640" t="s">
        <v>1266</v>
      </c>
      <c r="AA48" s="639" t="s">
        <v>3606</v>
      </c>
      <c r="AB48" s="643" t="s">
        <v>3678</v>
      </c>
      <c r="AC48" s="639" t="s">
        <v>3606</v>
      </c>
      <c r="AD48" s="643" t="s">
        <v>3678</v>
      </c>
      <c r="AE48" s="639" t="s">
        <v>3606</v>
      </c>
      <c r="AF48" s="640" t="s">
        <v>3678</v>
      </c>
      <c r="AG48" s="641" t="s">
        <v>3606</v>
      </c>
      <c r="AH48" s="641" t="s">
        <v>3678</v>
      </c>
      <c r="AI48" s="641" t="s">
        <v>3606</v>
      </c>
      <c r="AJ48" s="643" t="s">
        <v>3678</v>
      </c>
      <c r="AK48" s="641" t="s">
        <v>3606</v>
      </c>
      <c r="AL48" s="645" t="s">
        <v>3678</v>
      </c>
      <c r="AM48" s="639" t="s">
        <v>3606</v>
      </c>
      <c r="AN48" s="640" t="s">
        <v>3678</v>
      </c>
      <c r="AO48" s="639" t="s">
        <v>3606</v>
      </c>
      <c r="AP48" s="640" t="s">
        <v>3678</v>
      </c>
      <c r="AQ48" s="639" t="s">
        <v>3606</v>
      </c>
      <c r="AR48" s="640" t="s">
        <v>3678</v>
      </c>
      <c r="AS48" s="639" t="s">
        <v>3606</v>
      </c>
      <c r="AT48" s="643" t="s">
        <v>3678</v>
      </c>
      <c r="AU48" s="639" t="s">
        <v>3606</v>
      </c>
      <c r="AV48" s="643" t="s">
        <v>3678</v>
      </c>
      <c r="AW48" s="639" t="s">
        <v>3606</v>
      </c>
      <c r="AX48" s="643" t="s">
        <v>3678</v>
      </c>
      <c r="AY48" s="639" t="s">
        <v>3606</v>
      </c>
      <c r="AZ48" s="640" t="s">
        <v>3678</v>
      </c>
      <c r="BA48" s="639" t="s">
        <v>3606</v>
      </c>
      <c r="BB48" s="640" t="s">
        <v>3678</v>
      </c>
      <c r="BC48" s="639" t="s">
        <v>3606</v>
      </c>
      <c r="BD48" s="645" t="s">
        <v>3678</v>
      </c>
      <c r="BE48" s="640" t="s">
        <v>3606</v>
      </c>
      <c r="BF48" s="645" t="s">
        <v>3678</v>
      </c>
      <c r="BG48" s="640" t="s">
        <v>1266</v>
      </c>
      <c r="BH48" s="645" t="s">
        <v>1266</v>
      </c>
      <c r="BI48" s="640" t="s">
        <v>3606</v>
      </c>
      <c r="BJ48" s="640" t="s">
        <v>3678</v>
      </c>
      <c r="BK48" s="640" t="s">
        <v>3606</v>
      </c>
      <c r="BL48" s="640" t="s">
        <v>3678</v>
      </c>
      <c r="BM48" s="678" t="s">
        <v>3679</v>
      </c>
      <c r="BN48" s="682"/>
      <c r="BO48" s="637"/>
      <c r="BP48" s="637"/>
      <c r="BQ48" s="637"/>
      <c r="BR48" s="637"/>
      <c r="BS48" s="637"/>
      <c r="BT48" s="637"/>
      <c r="BU48" s="679"/>
      <c r="BV48" s="679"/>
      <c r="BW48" s="633" t="s">
        <v>3687</v>
      </c>
      <c r="BZ48" s="658"/>
      <c r="CA48" s="658"/>
      <c r="CB48" s="658"/>
      <c r="CC48" s="658"/>
      <c r="CD48" s="658"/>
      <c r="CE48" s="658"/>
      <c r="CF48" s="658"/>
      <c r="CG48" s="658"/>
      <c r="CH48" s="658"/>
      <c r="CI48" s="658"/>
      <c r="CJ48" s="658"/>
      <c r="CK48" s="658"/>
      <c r="CL48" s="658"/>
      <c r="CM48" s="658"/>
      <c r="CN48" s="658"/>
      <c r="CO48" s="658"/>
      <c r="CP48" s="658"/>
      <c r="CQ48" s="658"/>
      <c r="CR48" s="658"/>
      <c r="CS48" s="658"/>
      <c r="CT48" s="658"/>
      <c r="CU48" s="658"/>
      <c r="CV48" s="658"/>
      <c r="CW48" s="658"/>
    </row>
    <row r="49" spans="2:101" ht="17.25" hidden="1" customHeight="1" x14ac:dyDescent="0.2">
      <c r="B49" s="633">
        <v>42</v>
      </c>
      <c r="C49" s="633" t="s">
        <v>244</v>
      </c>
      <c r="D49" s="634" t="s">
        <v>2400</v>
      </c>
      <c r="E49" s="633" t="s">
        <v>278</v>
      </c>
      <c r="F49" s="681" t="s">
        <v>2401</v>
      </c>
      <c r="G49" s="633" t="s">
        <v>3560</v>
      </c>
      <c r="H49" s="635" t="s">
        <v>3667</v>
      </c>
      <c r="I49" s="633" t="s">
        <v>3685</v>
      </c>
      <c r="J49" s="636">
        <v>1</v>
      </c>
      <c r="K49" s="637" t="str">
        <f t="shared" si="1"/>
        <v>19/20</v>
      </c>
      <c r="L49" s="638" t="s">
        <v>3686</v>
      </c>
      <c r="M49" s="639" t="s">
        <v>3606</v>
      </c>
      <c r="N49" s="639" t="s">
        <v>1266</v>
      </c>
      <c r="O49" s="639" t="s">
        <v>3606</v>
      </c>
      <c r="P49" s="640" t="s">
        <v>3678</v>
      </c>
      <c r="Q49" s="639" t="s">
        <v>3606</v>
      </c>
      <c r="R49" s="641" t="s">
        <v>3678</v>
      </c>
      <c r="S49" s="639" t="s">
        <v>3606</v>
      </c>
      <c r="T49" s="640" t="s">
        <v>3678</v>
      </c>
      <c r="U49" s="639" t="s">
        <v>3606</v>
      </c>
      <c r="V49" s="640" t="s">
        <v>3678</v>
      </c>
      <c r="W49" s="639" t="s">
        <v>3606</v>
      </c>
      <c r="X49" s="640" t="s">
        <v>3678</v>
      </c>
      <c r="Y49" s="642" t="s">
        <v>3606</v>
      </c>
      <c r="Z49" s="640" t="s">
        <v>1266</v>
      </c>
      <c r="AA49" s="639" t="s">
        <v>3606</v>
      </c>
      <c r="AB49" s="640" t="s">
        <v>3678</v>
      </c>
      <c r="AC49" s="639" t="s">
        <v>3606</v>
      </c>
      <c r="AD49" s="640" t="s">
        <v>3678</v>
      </c>
      <c r="AE49" s="639" t="s">
        <v>3606</v>
      </c>
      <c r="AF49" s="640" t="s">
        <v>3678</v>
      </c>
      <c r="AG49" s="641" t="s">
        <v>3606</v>
      </c>
      <c r="AH49" s="640" t="s">
        <v>3678</v>
      </c>
      <c r="AI49" s="641" t="s">
        <v>3606</v>
      </c>
      <c r="AJ49" s="640" t="s">
        <v>3678</v>
      </c>
      <c r="AK49" s="641" t="s">
        <v>3606</v>
      </c>
      <c r="AL49" s="640" t="s">
        <v>3678</v>
      </c>
      <c r="AM49" s="639" t="s">
        <v>3606</v>
      </c>
      <c r="AN49" s="640" t="s">
        <v>3678</v>
      </c>
      <c r="AO49" s="639" t="s">
        <v>3606</v>
      </c>
      <c r="AP49" s="640" t="s">
        <v>3678</v>
      </c>
      <c r="AQ49" s="639" t="s">
        <v>3606</v>
      </c>
      <c r="AR49" s="640" t="s">
        <v>3678</v>
      </c>
      <c r="AS49" s="639" t="s">
        <v>3606</v>
      </c>
      <c r="AT49" s="640" t="s">
        <v>3678</v>
      </c>
      <c r="AU49" s="639" t="s">
        <v>3606</v>
      </c>
      <c r="AV49" s="640" t="s">
        <v>3678</v>
      </c>
      <c r="AW49" s="639" t="s">
        <v>3606</v>
      </c>
      <c r="AX49" s="640" t="s">
        <v>3678</v>
      </c>
      <c r="AY49" s="639" t="s">
        <v>3606</v>
      </c>
      <c r="AZ49" s="640" t="s">
        <v>3678</v>
      </c>
      <c r="BA49" s="639" t="s">
        <v>3606</v>
      </c>
      <c r="BB49" s="640" t="s">
        <v>3678</v>
      </c>
      <c r="BC49" s="639" t="s">
        <v>3606</v>
      </c>
      <c r="BD49" s="640" t="s">
        <v>3678</v>
      </c>
      <c r="BE49" s="640" t="s">
        <v>3606</v>
      </c>
      <c r="BF49" s="640" t="s">
        <v>3678</v>
      </c>
      <c r="BG49" s="640" t="s">
        <v>1266</v>
      </c>
      <c r="BH49" s="640" t="s">
        <v>1266</v>
      </c>
      <c r="BI49" s="640" t="s">
        <v>3606</v>
      </c>
      <c r="BJ49" s="640" t="s">
        <v>3678</v>
      </c>
      <c r="BK49" s="640" t="s">
        <v>3606</v>
      </c>
      <c r="BL49" s="640" t="s">
        <v>3678</v>
      </c>
      <c r="BM49" s="640" t="str">
        <f>IF(
  (
   (P49="Ada")+(P49="tidak perlu")+(P49="draft") +
   (R49="Ada")+(R49="tidak perlu")+(R49="draft") +
   (V49="Ada")+(V49="tidak perlu")+(V49="draft") +
   (X49="Ada")+(X49="tidak perlu")+(X49="draft") +
   (AB49="Ada")+(AB49="tidak perlu")+(AB49="draft") +
   (AD49="Ada")+(AD49="tidak perlu")+(AD49="draft") +
   (AF49="Ada")+(AF49="tidak perlu")+(AF49="draft") +
   (AH49="Ada")+(AH49="tidak perlu")+(AH49="draft") +
   (AJ49="Ada")+(AJ49="tidak perlu")+(AJ49="draft") +
   (AL49="Ada")+(AL49="tidak perlu")+(AL49="draft") +
   (AN49="Ada")+(AN49="tidak perlu")+(AN49="draft") +
   (AP49="Ada")+(AP49="tidak perlu")+(AP49="draft") +
   (AR49="Ada")+(AR49="tidak perlu")+(AR49="draft") +
   (AT49="Ada")+(AT49="tidak perlu")+(AT49="draft") +
   (AV49="Ada")+(AV49="tidak perlu")+(AV49="draft") +
   (AX49="Ada")+(AX49="tidak perlu")+(AX49="draft") +
   (AZ49="Ada")+(AZ49="tidak perlu")+(AZ49="draft") +
   (BB49="Ada")+(BB49="tidak perlu")+(BB49="draft") +
   (BD49="Ada")+(BD49="tidak perlu")+(BD49="draft") +
   (BF49="Ada")+(BF49="tidak perlu")+(BF49="draft")
  ) = 20,
 "Lengkap","Belum Lengkap")</f>
        <v>Lengkap</v>
      </c>
      <c r="BN49" s="637"/>
      <c r="BO49" s="637"/>
      <c r="BP49" s="637"/>
      <c r="BQ49" s="637"/>
      <c r="BR49" s="637"/>
      <c r="BS49" s="637"/>
      <c r="BT49" s="637"/>
      <c r="BU49" s="679"/>
      <c r="BV49" s="679"/>
      <c r="BW49" s="633" t="s">
        <v>3687</v>
      </c>
      <c r="BZ49" s="658"/>
      <c r="CA49" s="658"/>
      <c r="CB49" s="658"/>
      <c r="CC49" s="658"/>
      <c r="CD49" s="658"/>
      <c r="CE49" s="658"/>
      <c r="CF49" s="658"/>
      <c r="CG49" s="658"/>
      <c r="CH49" s="658"/>
      <c r="CI49" s="658"/>
      <c r="CJ49" s="658"/>
      <c r="CK49" s="658"/>
      <c r="CL49" s="658"/>
      <c r="CM49" s="658"/>
      <c r="CN49" s="658"/>
      <c r="CO49" s="658"/>
      <c r="CP49" s="658"/>
      <c r="CQ49" s="658"/>
      <c r="CR49" s="658"/>
      <c r="CS49" s="658"/>
      <c r="CT49" s="658"/>
      <c r="CU49" s="658"/>
      <c r="CV49" s="658"/>
      <c r="CW49" s="658"/>
    </row>
    <row r="50" spans="2:101" ht="17.25" hidden="1" customHeight="1" x14ac:dyDescent="0.2">
      <c r="B50" s="633">
        <v>43</v>
      </c>
      <c r="C50" s="633" t="s">
        <v>244</v>
      </c>
      <c r="D50" s="634" t="s">
        <v>2409</v>
      </c>
      <c r="E50" s="633" t="s">
        <v>278</v>
      </c>
      <c r="F50" s="680" t="s">
        <v>2410</v>
      </c>
      <c r="G50" s="633" t="s">
        <v>3684</v>
      </c>
      <c r="H50" s="646" t="s">
        <v>3599</v>
      </c>
      <c r="I50" s="633" t="s">
        <v>3599</v>
      </c>
      <c r="J50" s="636">
        <v>7.0000000000000007E-2</v>
      </c>
      <c r="K50" s="637" t="str">
        <f t="shared" si="1"/>
        <v>2/20</v>
      </c>
      <c r="L50" s="638" t="s">
        <v>3669</v>
      </c>
      <c r="M50" s="639" t="s">
        <v>3606</v>
      </c>
      <c r="N50" s="639" t="s">
        <v>1266</v>
      </c>
      <c r="O50" s="639" t="s">
        <v>3603</v>
      </c>
      <c r="P50" s="640" t="s">
        <v>3670</v>
      </c>
      <c r="Q50" s="639" t="s">
        <v>3603</v>
      </c>
      <c r="R50" s="641" t="s">
        <v>3670</v>
      </c>
      <c r="S50" s="639" t="s">
        <v>3603</v>
      </c>
      <c r="T50" s="639"/>
      <c r="U50" s="639" t="s">
        <v>3606</v>
      </c>
      <c r="V50" s="640" t="s">
        <v>3670</v>
      </c>
      <c r="W50" s="639" t="s">
        <v>3603</v>
      </c>
      <c r="X50" s="640" t="s">
        <v>3670</v>
      </c>
      <c r="Y50" s="642" t="s">
        <v>3603</v>
      </c>
      <c r="Z50" s="640" t="s">
        <v>1266</v>
      </c>
      <c r="AA50" s="639" t="s">
        <v>3603</v>
      </c>
      <c r="AB50" s="640" t="s">
        <v>3670</v>
      </c>
      <c r="AC50" s="639" t="s">
        <v>3603</v>
      </c>
      <c r="AD50" s="640" t="s">
        <v>3670</v>
      </c>
      <c r="AE50" s="639" t="s">
        <v>3606</v>
      </c>
      <c r="AF50" s="640" t="s">
        <v>3670</v>
      </c>
      <c r="AG50" s="641" t="s">
        <v>3603</v>
      </c>
      <c r="AH50" s="640" t="s">
        <v>3670</v>
      </c>
      <c r="AI50" s="641" t="s">
        <v>3603</v>
      </c>
      <c r="AJ50" s="640" t="s">
        <v>3670</v>
      </c>
      <c r="AK50" s="641" t="s">
        <v>3603</v>
      </c>
      <c r="AL50" s="640" t="s">
        <v>3670</v>
      </c>
      <c r="AM50" s="639" t="s">
        <v>3603</v>
      </c>
      <c r="AN50" s="640" t="s">
        <v>3670</v>
      </c>
      <c r="AO50" s="639" t="s">
        <v>3603</v>
      </c>
      <c r="AP50" s="640" t="s">
        <v>3670</v>
      </c>
      <c r="AQ50" s="639" t="s">
        <v>3603</v>
      </c>
      <c r="AR50" s="640" t="s">
        <v>3670</v>
      </c>
      <c r="AS50" s="639" t="s">
        <v>3603</v>
      </c>
      <c r="AT50" s="640" t="s">
        <v>3670</v>
      </c>
      <c r="AU50" s="639" t="s">
        <v>3603</v>
      </c>
      <c r="AV50" s="640" t="s">
        <v>3670</v>
      </c>
      <c r="AW50" s="639" t="s">
        <v>3603</v>
      </c>
      <c r="AX50" s="640" t="s">
        <v>3670</v>
      </c>
      <c r="AY50" s="639" t="s">
        <v>3603</v>
      </c>
      <c r="AZ50" s="640" t="s">
        <v>3670</v>
      </c>
      <c r="BA50" s="639" t="s">
        <v>3603</v>
      </c>
      <c r="BB50" s="640" t="s">
        <v>3670</v>
      </c>
      <c r="BC50" s="639" t="s">
        <v>3603</v>
      </c>
      <c r="BD50" s="640" t="s">
        <v>3670</v>
      </c>
      <c r="BE50" s="640" t="s">
        <v>3603</v>
      </c>
      <c r="BF50" s="640" t="s">
        <v>3670</v>
      </c>
      <c r="BG50" s="640" t="s">
        <v>1266</v>
      </c>
      <c r="BH50" s="640"/>
      <c r="BI50" s="640" t="s">
        <v>3603</v>
      </c>
      <c r="BJ50" s="640"/>
      <c r="BK50" s="640" t="s">
        <v>3603</v>
      </c>
      <c r="BL50" s="640"/>
      <c r="BM50" s="678" t="str">
        <f>IF(
  (
   (P50="Ada")+(P50="tidak perlu")+(P50="draft") +
   (R50="Ada")+(R50="tidak perlu")+(R50="draft") +
   (V50="Ada")+(V50="tidak perlu")+(V50="draft") +
   (X50="Ada")+(X50="tidak perlu")+(X50="draft") +
   (AB50="Ada")+(AB50="tidak perlu")+(AB50="draft") +
   (AD50="Ada")+(AD50="tidak perlu")+(AD50="draft") +
   (AF50="Ada")+(AF50="tidak perlu")+(AF50="draft") +
   (AH50="Ada")+(AH50="tidak perlu")+(AH50="draft") +
   (AJ50="Ada")+(AJ50="tidak perlu")+(AJ50="draft") +
   (AL50="Ada")+(AL50="tidak perlu")+(AL50="draft") +
   (AN50="Ada")+(AN50="tidak perlu")+(AN50="draft") +
   (AP50="Ada")+(AP50="tidak perlu")+(AP50="draft") +
   (AR50="Ada")+(AR50="tidak perlu")+(AR50="draft") +
   (AT50="Ada")+(AT50="tidak perlu")+(AT50="draft") +
   (AV50="Ada")+(AV50="tidak perlu")+(AV50="draft") +
   (AX50="Ada")+(AX50="tidak perlu")+(AX50="draft") +
   (AZ50="Ada")+(AZ50="tidak perlu")+(AZ50="draft") +
   (BB50="Ada")+(BB50="tidak perlu")+(BB50="draft") +
   (BD50="Ada")+(BD50="tidak perlu")+(BD50="draft") +
   (BF50="Ada")+(BF50="tidak perlu")+(BF50="draft")
  ) = 20,
 "Lengkap","Belum Lengkap")</f>
        <v>Belum Lengkap</v>
      </c>
      <c r="BN50" s="637"/>
      <c r="BO50" s="637"/>
      <c r="BP50" s="637"/>
      <c r="BQ50" s="637"/>
      <c r="BR50" s="637"/>
      <c r="BS50" s="637"/>
      <c r="BT50" s="637"/>
      <c r="BU50" s="679"/>
      <c r="BV50" s="679"/>
      <c r="BW50" s="633" t="s">
        <v>3599</v>
      </c>
      <c r="BZ50" s="658"/>
      <c r="CA50" s="658"/>
      <c r="CB50" s="658"/>
      <c r="CC50" s="658"/>
      <c r="CD50" s="658"/>
      <c r="CE50" s="658"/>
      <c r="CF50" s="658"/>
      <c r="CG50" s="658"/>
      <c r="CH50" s="658"/>
      <c r="CI50" s="658"/>
      <c r="CJ50" s="658"/>
      <c r="CK50" s="658"/>
      <c r="CL50" s="658"/>
      <c r="CM50" s="658"/>
      <c r="CN50" s="658"/>
      <c r="CO50" s="658"/>
      <c r="CP50" s="658"/>
      <c r="CQ50" s="658"/>
      <c r="CR50" s="658"/>
      <c r="CS50" s="658"/>
      <c r="CT50" s="658"/>
      <c r="CU50" s="658"/>
      <c r="CV50" s="658"/>
      <c r="CW50" s="658"/>
    </row>
    <row r="51" spans="2:101" ht="17.25" hidden="1" customHeight="1" x14ac:dyDescent="0.2">
      <c r="B51" s="633">
        <v>44</v>
      </c>
      <c r="C51" s="633" t="s">
        <v>244</v>
      </c>
      <c r="D51" s="634" t="s">
        <v>2417</v>
      </c>
      <c r="E51" s="633" t="s">
        <v>278</v>
      </c>
      <c r="F51" s="681" t="s">
        <v>2418</v>
      </c>
      <c r="G51" s="633" t="s">
        <v>3560</v>
      </c>
      <c r="H51" s="635" t="s">
        <v>3667</v>
      </c>
      <c r="I51" s="633" t="s">
        <v>3685</v>
      </c>
      <c r="J51" s="636">
        <v>1</v>
      </c>
      <c r="K51" s="637" t="str">
        <f t="shared" si="1"/>
        <v>19/20</v>
      </c>
      <c r="L51" s="638" t="s">
        <v>3686</v>
      </c>
      <c r="M51" s="639" t="s">
        <v>3606</v>
      </c>
      <c r="N51" s="639" t="s">
        <v>1266</v>
      </c>
      <c r="O51" s="639" t="s">
        <v>3606</v>
      </c>
      <c r="P51" s="640" t="s">
        <v>3678</v>
      </c>
      <c r="Q51" s="639" t="s">
        <v>3606</v>
      </c>
      <c r="R51" s="641" t="s">
        <v>3678</v>
      </c>
      <c r="S51" s="639" t="s">
        <v>3606</v>
      </c>
      <c r="T51" s="640" t="s">
        <v>3678</v>
      </c>
      <c r="U51" s="639" t="s">
        <v>3606</v>
      </c>
      <c r="V51" s="643" t="s">
        <v>3678</v>
      </c>
      <c r="W51" s="639" t="s">
        <v>3606</v>
      </c>
      <c r="X51" s="643" t="s">
        <v>3678</v>
      </c>
      <c r="Y51" s="642" t="s">
        <v>3606</v>
      </c>
      <c r="Z51" s="640" t="s">
        <v>1266</v>
      </c>
      <c r="AA51" s="639" t="s">
        <v>3606</v>
      </c>
      <c r="AB51" s="643" t="s">
        <v>3678</v>
      </c>
      <c r="AC51" s="639" t="s">
        <v>3606</v>
      </c>
      <c r="AD51" s="643" t="s">
        <v>3678</v>
      </c>
      <c r="AE51" s="639" t="s">
        <v>3606</v>
      </c>
      <c r="AF51" s="640" t="s">
        <v>3678</v>
      </c>
      <c r="AG51" s="641" t="s">
        <v>3606</v>
      </c>
      <c r="AH51" s="641" t="s">
        <v>3678</v>
      </c>
      <c r="AI51" s="641" t="s">
        <v>3606</v>
      </c>
      <c r="AJ51" s="643" t="s">
        <v>3678</v>
      </c>
      <c r="AK51" s="641" t="s">
        <v>3606</v>
      </c>
      <c r="AL51" s="645" t="s">
        <v>3678</v>
      </c>
      <c r="AM51" s="639" t="s">
        <v>3606</v>
      </c>
      <c r="AN51" s="640" t="s">
        <v>3678</v>
      </c>
      <c r="AO51" s="639" t="s">
        <v>3606</v>
      </c>
      <c r="AP51" s="640" t="s">
        <v>3678</v>
      </c>
      <c r="AQ51" s="639" t="s">
        <v>3606</v>
      </c>
      <c r="AR51" s="640" t="s">
        <v>3678</v>
      </c>
      <c r="AS51" s="639" t="s">
        <v>3606</v>
      </c>
      <c r="AT51" s="644" t="s">
        <v>3678</v>
      </c>
      <c r="AU51" s="639" t="s">
        <v>3606</v>
      </c>
      <c r="AV51" s="644" t="s">
        <v>3678</v>
      </c>
      <c r="AW51" s="639" t="s">
        <v>3606</v>
      </c>
      <c r="AX51" s="643" t="s">
        <v>3678</v>
      </c>
      <c r="AY51" s="639" t="s">
        <v>3606</v>
      </c>
      <c r="AZ51" s="640" t="s">
        <v>3678</v>
      </c>
      <c r="BA51" s="639" t="s">
        <v>3606</v>
      </c>
      <c r="BB51" s="640" t="s">
        <v>3678</v>
      </c>
      <c r="BC51" s="639" t="s">
        <v>3606</v>
      </c>
      <c r="BD51" s="645" t="s">
        <v>3678</v>
      </c>
      <c r="BE51" s="640" t="s">
        <v>3606</v>
      </c>
      <c r="BF51" s="645" t="s">
        <v>3678</v>
      </c>
      <c r="BG51" s="640" t="s">
        <v>3606</v>
      </c>
      <c r="BH51" s="645" t="s">
        <v>3678</v>
      </c>
      <c r="BI51" s="640" t="s">
        <v>3606</v>
      </c>
      <c r="BJ51" s="640" t="s">
        <v>3678</v>
      </c>
      <c r="BK51" s="640" t="s">
        <v>3606</v>
      </c>
      <c r="BL51" s="640" t="s">
        <v>3678</v>
      </c>
      <c r="BM51" s="678" t="s">
        <v>3679</v>
      </c>
      <c r="BN51" s="682"/>
      <c r="BO51" s="637"/>
      <c r="BP51" s="637"/>
      <c r="BQ51" s="637"/>
      <c r="BR51" s="637"/>
      <c r="BS51" s="637"/>
      <c r="BT51" s="637"/>
      <c r="BU51" s="679"/>
      <c r="BV51" s="679"/>
      <c r="BW51" s="633" t="s">
        <v>3687</v>
      </c>
      <c r="BZ51" s="658"/>
      <c r="CA51" s="658"/>
      <c r="CB51" s="658"/>
      <c r="CC51" s="658"/>
      <c r="CD51" s="658"/>
      <c r="CE51" s="658"/>
      <c r="CF51" s="658"/>
      <c r="CG51" s="658"/>
      <c r="CH51" s="658"/>
      <c r="CI51" s="658"/>
      <c r="CJ51" s="658"/>
      <c r="CK51" s="658"/>
      <c r="CL51" s="658"/>
      <c r="CM51" s="658"/>
      <c r="CN51" s="658"/>
      <c r="CO51" s="658"/>
      <c r="CP51" s="658"/>
      <c r="CQ51" s="658"/>
      <c r="CR51" s="658"/>
      <c r="CS51" s="658"/>
      <c r="CT51" s="658"/>
      <c r="CU51" s="658"/>
      <c r="CV51" s="658"/>
      <c r="CW51" s="658"/>
    </row>
    <row r="52" spans="2:101" ht="17.25" hidden="1" customHeight="1" x14ac:dyDescent="0.2">
      <c r="B52" s="633">
        <v>45</v>
      </c>
      <c r="C52" s="633" t="s">
        <v>244</v>
      </c>
      <c r="D52" s="634" t="s">
        <v>2427</v>
      </c>
      <c r="E52" s="633" t="s">
        <v>278</v>
      </c>
      <c r="F52" s="681" t="s">
        <v>2428</v>
      </c>
      <c r="G52" s="633" t="s">
        <v>3560</v>
      </c>
      <c r="H52" s="635" t="s">
        <v>3667</v>
      </c>
      <c r="I52" s="633" t="s">
        <v>3685</v>
      </c>
      <c r="J52" s="636">
        <v>1</v>
      </c>
      <c r="K52" s="637" t="str">
        <f t="shared" si="1"/>
        <v>19/20</v>
      </c>
      <c r="L52" s="638" t="s">
        <v>3686</v>
      </c>
      <c r="M52" s="639" t="s">
        <v>3606</v>
      </c>
      <c r="N52" s="639" t="s">
        <v>1266</v>
      </c>
      <c r="O52" s="639" t="s">
        <v>3606</v>
      </c>
      <c r="P52" s="640" t="s">
        <v>3678</v>
      </c>
      <c r="Q52" s="639" t="s">
        <v>3606</v>
      </c>
      <c r="R52" s="641" t="s">
        <v>3678</v>
      </c>
      <c r="S52" s="639" t="s">
        <v>3606</v>
      </c>
      <c r="T52" s="640" t="s">
        <v>3678</v>
      </c>
      <c r="U52" s="639" t="s">
        <v>3606</v>
      </c>
      <c r="V52" s="643" t="s">
        <v>3678</v>
      </c>
      <c r="W52" s="639" t="s">
        <v>3606</v>
      </c>
      <c r="X52" s="643" t="s">
        <v>3678</v>
      </c>
      <c r="Y52" s="642" t="s">
        <v>3606</v>
      </c>
      <c r="Z52" s="640" t="s">
        <v>1266</v>
      </c>
      <c r="AA52" s="639" t="s">
        <v>3606</v>
      </c>
      <c r="AB52" s="643" t="s">
        <v>3678</v>
      </c>
      <c r="AC52" s="639" t="s">
        <v>3606</v>
      </c>
      <c r="AD52" s="643" t="s">
        <v>3678</v>
      </c>
      <c r="AE52" s="639" t="s">
        <v>3606</v>
      </c>
      <c r="AF52" s="640" t="s">
        <v>3678</v>
      </c>
      <c r="AG52" s="641" t="s">
        <v>3606</v>
      </c>
      <c r="AH52" s="643" t="s">
        <v>3678</v>
      </c>
      <c r="AI52" s="641" t="s">
        <v>3606</v>
      </c>
      <c r="AJ52" s="643" t="s">
        <v>3678</v>
      </c>
      <c r="AK52" s="641" t="s">
        <v>3606</v>
      </c>
      <c r="AL52" s="645" t="s">
        <v>3678</v>
      </c>
      <c r="AM52" s="639" t="s">
        <v>3606</v>
      </c>
      <c r="AN52" s="640" t="s">
        <v>3678</v>
      </c>
      <c r="AO52" s="639" t="s">
        <v>3606</v>
      </c>
      <c r="AP52" s="640" t="s">
        <v>3678</v>
      </c>
      <c r="AQ52" s="639" t="s">
        <v>3606</v>
      </c>
      <c r="AR52" s="640" t="s">
        <v>3678</v>
      </c>
      <c r="AS52" s="639" t="s">
        <v>3606</v>
      </c>
      <c r="AT52" s="643" t="s">
        <v>3678</v>
      </c>
      <c r="AU52" s="639" t="s">
        <v>3606</v>
      </c>
      <c r="AV52" s="643" t="s">
        <v>3678</v>
      </c>
      <c r="AW52" s="639" t="s">
        <v>3606</v>
      </c>
      <c r="AX52" s="643" t="s">
        <v>3678</v>
      </c>
      <c r="AY52" s="639" t="s">
        <v>3606</v>
      </c>
      <c r="AZ52" s="640" t="s">
        <v>3678</v>
      </c>
      <c r="BA52" s="639" t="s">
        <v>3606</v>
      </c>
      <c r="BB52" s="640" t="s">
        <v>3678</v>
      </c>
      <c r="BC52" s="639" t="s">
        <v>3606</v>
      </c>
      <c r="BD52" s="645" t="s">
        <v>3678</v>
      </c>
      <c r="BE52" s="640" t="s">
        <v>3606</v>
      </c>
      <c r="BF52" s="645" t="s">
        <v>3678</v>
      </c>
      <c r="BG52" s="640" t="s">
        <v>3606</v>
      </c>
      <c r="BH52" s="645" t="s">
        <v>3678</v>
      </c>
      <c r="BI52" s="640" t="s">
        <v>3606</v>
      </c>
      <c r="BJ52" s="640" t="s">
        <v>3678</v>
      </c>
      <c r="BK52" s="640" t="s">
        <v>3606</v>
      </c>
      <c r="BL52" s="640" t="s">
        <v>3678</v>
      </c>
      <c r="BM52" s="678" t="s">
        <v>3679</v>
      </c>
      <c r="BN52" s="682"/>
      <c r="BO52" s="637"/>
      <c r="BP52" s="637"/>
      <c r="BQ52" s="637"/>
      <c r="BR52" s="637"/>
      <c r="BS52" s="637"/>
      <c r="BT52" s="637"/>
      <c r="BU52" s="679"/>
      <c r="BV52" s="679"/>
      <c r="BW52" s="633" t="s">
        <v>3687</v>
      </c>
      <c r="BZ52" s="658"/>
      <c r="CA52" s="658"/>
      <c r="CB52" s="658"/>
      <c r="CC52" s="658"/>
      <c r="CD52" s="658"/>
      <c r="CE52" s="658"/>
      <c r="CF52" s="658"/>
      <c r="CG52" s="658"/>
      <c r="CH52" s="658"/>
      <c r="CI52" s="658"/>
      <c r="CJ52" s="658"/>
      <c r="CK52" s="658"/>
      <c r="CL52" s="658"/>
      <c r="CM52" s="658"/>
      <c r="CN52" s="658"/>
      <c r="CO52" s="658"/>
      <c r="CP52" s="658"/>
      <c r="CQ52" s="658"/>
      <c r="CR52" s="658"/>
      <c r="CS52" s="658"/>
      <c r="CT52" s="658"/>
      <c r="CU52" s="658"/>
      <c r="CV52" s="658"/>
      <c r="CW52" s="658"/>
    </row>
    <row r="53" spans="2:101" ht="17.25" hidden="1" customHeight="1" x14ac:dyDescent="0.2">
      <c r="B53" s="633">
        <v>46</v>
      </c>
      <c r="C53" s="633" t="s">
        <v>244</v>
      </c>
      <c r="D53" s="634" t="s">
        <v>2436</v>
      </c>
      <c r="E53" s="633" t="s">
        <v>278</v>
      </c>
      <c r="F53" s="680" t="s">
        <v>2437</v>
      </c>
      <c r="G53" s="633" t="s">
        <v>3684</v>
      </c>
      <c r="H53" s="646" t="s">
        <v>3599</v>
      </c>
      <c r="I53" s="633" t="s">
        <v>3599</v>
      </c>
      <c r="J53" s="636">
        <v>0.1</v>
      </c>
      <c r="K53" s="637" t="str">
        <f t="shared" si="1"/>
        <v>2/20</v>
      </c>
      <c r="L53" s="638" t="s">
        <v>3669</v>
      </c>
      <c r="M53" s="639" t="s">
        <v>3606</v>
      </c>
      <c r="N53" s="639" t="s">
        <v>1266</v>
      </c>
      <c r="O53" s="639" t="s">
        <v>3603</v>
      </c>
      <c r="P53" s="640" t="s">
        <v>3670</v>
      </c>
      <c r="Q53" s="639" t="s">
        <v>3603</v>
      </c>
      <c r="R53" s="641" t="s">
        <v>3670</v>
      </c>
      <c r="S53" s="639" t="s">
        <v>3603</v>
      </c>
      <c r="T53" s="639"/>
      <c r="U53" s="639" t="s">
        <v>3606</v>
      </c>
      <c r="V53" s="640" t="s">
        <v>3670</v>
      </c>
      <c r="W53" s="639" t="s">
        <v>3603</v>
      </c>
      <c r="X53" s="640" t="s">
        <v>3670</v>
      </c>
      <c r="Y53" s="642" t="s">
        <v>3603</v>
      </c>
      <c r="Z53" s="640" t="s">
        <v>1266</v>
      </c>
      <c r="AA53" s="639" t="s">
        <v>3603</v>
      </c>
      <c r="AB53" s="640" t="s">
        <v>3670</v>
      </c>
      <c r="AC53" s="639" t="s">
        <v>3603</v>
      </c>
      <c r="AD53" s="640" t="s">
        <v>3670</v>
      </c>
      <c r="AE53" s="639" t="s">
        <v>3606</v>
      </c>
      <c r="AF53" s="640" t="s">
        <v>3678</v>
      </c>
      <c r="AG53" s="641" t="s">
        <v>3603</v>
      </c>
      <c r="AH53" s="640" t="s">
        <v>3670</v>
      </c>
      <c r="AI53" s="641" t="s">
        <v>3603</v>
      </c>
      <c r="AJ53" s="640" t="s">
        <v>3670</v>
      </c>
      <c r="AK53" s="641" t="s">
        <v>3603</v>
      </c>
      <c r="AL53" s="640" t="s">
        <v>3670</v>
      </c>
      <c r="AM53" s="639" t="s">
        <v>3603</v>
      </c>
      <c r="AN53" s="640" t="s">
        <v>3670</v>
      </c>
      <c r="AO53" s="639" t="s">
        <v>3603</v>
      </c>
      <c r="AP53" s="640" t="s">
        <v>3670</v>
      </c>
      <c r="AQ53" s="639" t="s">
        <v>3603</v>
      </c>
      <c r="AR53" s="640" t="s">
        <v>3670</v>
      </c>
      <c r="AS53" s="639" t="s">
        <v>3603</v>
      </c>
      <c r="AT53" s="640" t="s">
        <v>3670</v>
      </c>
      <c r="AU53" s="639" t="s">
        <v>3603</v>
      </c>
      <c r="AV53" s="640" t="s">
        <v>3670</v>
      </c>
      <c r="AW53" s="639" t="s">
        <v>3603</v>
      </c>
      <c r="AX53" s="640" t="s">
        <v>3670</v>
      </c>
      <c r="AY53" s="639" t="s">
        <v>3603</v>
      </c>
      <c r="AZ53" s="640" t="s">
        <v>3670</v>
      </c>
      <c r="BA53" s="639" t="s">
        <v>3603</v>
      </c>
      <c r="BB53" s="640" t="s">
        <v>3670</v>
      </c>
      <c r="BC53" s="639" t="s">
        <v>3603</v>
      </c>
      <c r="BD53" s="640" t="s">
        <v>3670</v>
      </c>
      <c r="BE53" s="640" t="s">
        <v>3603</v>
      </c>
      <c r="BF53" s="640" t="s">
        <v>3670</v>
      </c>
      <c r="BG53" s="640" t="s">
        <v>1266</v>
      </c>
      <c r="BH53" s="640"/>
      <c r="BI53" s="640" t="s">
        <v>3603</v>
      </c>
      <c r="BJ53" s="640"/>
      <c r="BK53" s="640" t="s">
        <v>3603</v>
      </c>
      <c r="BL53" s="640"/>
      <c r="BM53" s="678" t="str">
        <f>IF(
  (
   (P53="Ada")+(P53="tidak perlu")+(P53="draft") +
   (R53="Ada")+(R53="tidak perlu")+(R53="draft") +
   (V53="Ada")+(V53="tidak perlu")+(V53="draft") +
   (X53="Ada")+(X53="tidak perlu")+(X53="draft") +
   (AB53="Ada")+(AB53="tidak perlu")+(AB53="draft") +
   (AD53="Ada")+(AD53="tidak perlu")+(AD53="draft") +
   (AF53="Ada")+(AF53="tidak perlu")+(AF53="draft") +
   (AH53="Ada")+(AH53="tidak perlu")+(AH53="draft") +
   (AJ53="Ada")+(AJ53="tidak perlu")+(AJ53="draft") +
   (AL53="Ada")+(AL53="tidak perlu")+(AL53="draft") +
   (AN53="Ada")+(AN53="tidak perlu")+(AN53="draft") +
   (AP53="Ada")+(AP53="tidak perlu")+(AP53="draft") +
   (AR53="Ada")+(AR53="tidak perlu")+(AR53="draft") +
   (AT53="Ada")+(AT53="tidak perlu")+(AT53="draft") +
   (AV53="Ada")+(AV53="tidak perlu")+(AV53="draft") +
   (AX53="Ada")+(AX53="tidak perlu")+(AX53="draft") +
   (AZ53="Ada")+(AZ53="tidak perlu")+(AZ53="draft") +
   (BB53="Ada")+(BB53="tidak perlu")+(BB53="draft") +
   (BD53="Ada")+(BD53="tidak perlu")+(BD53="draft") +
   (BF53="Ada")+(BF53="tidak perlu")+(BF53="draft")
  ) = 20,
 "Lengkap","Belum Lengkap")</f>
        <v>Belum Lengkap</v>
      </c>
      <c r="BN53" s="637"/>
      <c r="BO53" s="637"/>
      <c r="BP53" s="637"/>
      <c r="BQ53" s="637"/>
      <c r="BR53" s="637"/>
      <c r="BS53" s="637"/>
      <c r="BT53" s="637"/>
      <c r="BU53" s="679"/>
      <c r="BV53" s="679"/>
      <c r="BW53" s="633" t="s">
        <v>3599</v>
      </c>
      <c r="BZ53" s="658"/>
      <c r="CA53" s="658"/>
      <c r="CB53" s="658"/>
      <c r="CC53" s="658"/>
      <c r="CD53" s="658"/>
      <c r="CE53" s="658"/>
      <c r="CF53" s="658"/>
      <c r="CG53" s="658"/>
      <c r="CH53" s="658"/>
      <c r="CI53" s="658"/>
      <c r="CJ53" s="658"/>
      <c r="CK53" s="658"/>
      <c r="CL53" s="658"/>
      <c r="CM53" s="658"/>
      <c r="CN53" s="658"/>
      <c r="CO53" s="658"/>
      <c r="CP53" s="658"/>
      <c r="CQ53" s="658"/>
      <c r="CR53" s="658"/>
      <c r="CS53" s="658"/>
      <c r="CT53" s="658"/>
      <c r="CU53" s="658"/>
      <c r="CV53" s="658"/>
      <c r="CW53" s="658"/>
    </row>
    <row r="54" spans="2:101" ht="17.25" hidden="1" customHeight="1" x14ac:dyDescent="0.2">
      <c r="B54" s="633">
        <v>47</v>
      </c>
      <c r="C54" s="633" t="s">
        <v>244</v>
      </c>
      <c r="D54" s="634" t="s">
        <v>2445</v>
      </c>
      <c r="E54" s="633" t="s">
        <v>278</v>
      </c>
      <c r="F54" s="634" t="s">
        <v>3693</v>
      </c>
      <c r="G54" s="633" t="s">
        <v>3608</v>
      </c>
      <c r="H54" s="635" t="s">
        <v>3667</v>
      </c>
      <c r="I54" s="633" t="s">
        <v>3687</v>
      </c>
      <c r="J54" s="636">
        <v>0.80720000000000003</v>
      </c>
      <c r="K54" s="637" t="str">
        <f t="shared" si="1"/>
        <v>9/20</v>
      </c>
      <c r="L54" s="638" t="s">
        <v>3669</v>
      </c>
      <c r="M54" s="639" t="s">
        <v>3606</v>
      </c>
      <c r="N54" s="639" t="s">
        <v>1266</v>
      </c>
      <c r="O54" s="639" t="s">
        <v>3603</v>
      </c>
      <c r="P54" s="640" t="s">
        <v>3670</v>
      </c>
      <c r="Q54" s="639" t="s">
        <v>3603</v>
      </c>
      <c r="R54" s="641" t="s">
        <v>3670</v>
      </c>
      <c r="S54" s="639" t="s">
        <v>3606</v>
      </c>
      <c r="T54" s="639"/>
      <c r="U54" s="639" t="s">
        <v>3606</v>
      </c>
      <c r="V54" s="640" t="s">
        <v>3670</v>
      </c>
      <c r="W54" s="639" t="s">
        <v>3603</v>
      </c>
      <c r="X54" s="640" t="s">
        <v>3670</v>
      </c>
      <c r="Y54" s="642" t="s">
        <v>3603</v>
      </c>
      <c r="Z54" s="640" t="s">
        <v>1266</v>
      </c>
      <c r="AA54" s="639" t="s">
        <v>3603</v>
      </c>
      <c r="AB54" s="640" t="s">
        <v>3670</v>
      </c>
      <c r="AC54" s="639" t="s">
        <v>3606</v>
      </c>
      <c r="AD54" s="640" t="s">
        <v>3670</v>
      </c>
      <c r="AE54" s="639" t="s">
        <v>3606</v>
      </c>
      <c r="AF54" s="640" t="s">
        <v>3670</v>
      </c>
      <c r="AG54" s="641" t="s">
        <v>3603</v>
      </c>
      <c r="AH54" s="640" t="s">
        <v>3670</v>
      </c>
      <c r="AI54" s="641" t="s">
        <v>3603</v>
      </c>
      <c r="AJ54" s="640" t="s">
        <v>3670</v>
      </c>
      <c r="AK54" s="641" t="s">
        <v>3606</v>
      </c>
      <c r="AL54" s="640" t="s">
        <v>3670</v>
      </c>
      <c r="AM54" s="639" t="s">
        <v>3606</v>
      </c>
      <c r="AN54" s="640" t="s">
        <v>3670</v>
      </c>
      <c r="AO54" s="639" t="s">
        <v>3606</v>
      </c>
      <c r="AP54" s="640" t="s">
        <v>3670</v>
      </c>
      <c r="AQ54" s="639" t="s">
        <v>3606</v>
      </c>
      <c r="AR54" s="640" t="s">
        <v>3670</v>
      </c>
      <c r="AS54" s="639" t="s">
        <v>3603</v>
      </c>
      <c r="AT54" s="640" t="s">
        <v>3670</v>
      </c>
      <c r="AU54" s="639" t="s">
        <v>3603</v>
      </c>
      <c r="AV54" s="640" t="s">
        <v>3670</v>
      </c>
      <c r="AW54" s="639" t="s">
        <v>3606</v>
      </c>
      <c r="AX54" s="640" t="s">
        <v>3670</v>
      </c>
      <c r="AY54" s="639" t="s">
        <v>3603</v>
      </c>
      <c r="AZ54" s="640" t="s">
        <v>3670</v>
      </c>
      <c r="BA54" s="639" t="s">
        <v>3603</v>
      </c>
      <c r="BB54" s="640" t="s">
        <v>3670</v>
      </c>
      <c r="BC54" s="639" t="s">
        <v>3603</v>
      </c>
      <c r="BD54" s="640" t="s">
        <v>3670</v>
      </c>
      <c r="BE54" s="640" t="s">
        <v>3606</v>
      </c>
      <c r="BF54" s="640" t="s">
        <v>3670</v>
      </c>
      <c r="BG54" s="640" t="s">
        <v>3604</v>
      </c>
      <c r="BH54" s="640"/>
      <c r="BI54" s="640" t="s">
        <v>3603</v>
      </c>
      <c r="BJ54" s="640"/>
      <c r="BK54" s="640" t="s">
        <v>3603</v>
      </c>
      <c r="BL54" s="640"/>
      <c r="BM54" s="678" t="s">
        <v>3679</v>
      </c>
      <c r="BN54" s="637"/>
      <c r="BO54" s="637"/>
      <c r="BP54" s="637"/>
      <c r="BQ54" s="637"/>
      <c r="BR54" s="637"/>
      <c r="BS54" s="637"/>
      <c r="BT54" s="637"/>
      <c r="BU54" s="679"/>
      <c r="BV54" s="679"/>
      <c r="BW54" s="633" t="s">
        <v>3668</v>
      </c>
      <c r="BZ54" s="658"/>
      <c r="CA54" s="658"/>
      <c r="CB54" s="658"/>
      <c r="CC54" s="658"/>
      <c r="CD54" s="658"/>
      <c r="CE54" s="658"/>
      <c r="CF54" s="658"/>
      <c r="CG54" s="658"/>
      <c r="CH54" s="658"/>
      <c r="CI54" s="658"/>
      <c r="CJ54" s="658"/>
      <c r="CK54" s="658"/>
      <c r="CL54" s="658"/>
      <c r="CM54" s="658"/>
      <c r="CN54" s="658"/>
      <c r="CO54" s="658"/>
      <c r="CP54" s="658"/>
      <c r="CQ54" s="658"/>
      <c r="CR54" s="658"/>
      <c r="CS54" s="658"/>
      <c r="CT54" s="658"/>
      <c r="CU54" s="658"/>
      <c r="CV54" s="658"/>
      <c r="CW54" s="658"/>
    </row>
    <row r="55" spans="2:101" ht="17.25" hidden="1" customHeight="1" x14ac:dyDescent="0.2">
      <c r="B55" s="633">
        <v>48</v>
      </c>
      <c r="C55" s="633" t="s">
        <v>244</v>
      </c>
      <c r="D55" s="634" t="s">
        <v>2453</v>
      </c>
      <c r="E55" s="633" t="s">
        <v>278</v>
      </c>
      <c r="F55" s="681" t="s">
        <v>2454</v>
      </c>
      <c r="G55" s="633" t="s">
        <v>3560</v>
      </c>
      <c r="H55" s="635" t="s">
        <v>3667</v>
      </c>
      <c r="I55" s="633" t="s">
        <v>3694</v>
      </c>
      <c r="J55" s="636">
        <v>1</v>
      </c>
      <c r="K55" s="637" t="str">
        <f t="shared" si="1"/>
        <v>19/20</v>
      </c>
      <c r="L55" s="638" t="s">
        <v>3686</v>
      </c>
      <c r="M55" s="639" t="s">
        <v>3606</v>
      </c>
      <c r="N55" s="639" t="s">
        <v>1266</v>
      </c>
      <c r="O55" s="639" t="s">
        <v>3606</v>
      </c>
      <c r="P55" s="640" t="s">
        <v>3678</v>
      </c>
      <c r="Q55" s="639" t="s">
        <v>3606</v>
      </c>
      <c r="R55" s="641" t="s">
        <v>3678</v>
      </c>
      <c r="S55" s="639" t="s">
        <v>3606</v>
      </c>
      <c r="T55" s="640" t="s">
        <v>3678</v>
      </c>
      <c r="U55" s="639" t="s">
        <v>3606</v>
      </c>
      <c r="V55" s="643" t="s">
        <v>3678</v>
      </c>
      <c r="W55" s="639" t="s">
        <v>3606</v>
      </c>
      <c r="X55" s="643" t="s">
        <v>3678</v>
      </c>
      <c r="Y55" s="642" t="s">
        <v>3606</v>
      </c>
      <c r="Z55" s="640" t="s">
        <v>1266</v>
      </c>
      <c r="AA55" s="639" t="s">
        <v>3606</v>
      </c>
      <c r="AB55" s="643" t="s">
        <v>3678</v>
      </c>
      <c r="AC55" s="639" t="s">
        <v>3606</v>
      </c>
      <c r="AD55" s="643" t="s">
        <v>3678</v>
      </c>
      <c r="AE55" s="639" t="s">
        <v>3606</v>
      </c>
      <c r="AF55" s="640" t="s">
        <v>3678</v>
      </c>
      <c r="AG55" s="641" t="s">
        <v>3606</v>
      </c>
      <c r="AH55" s="640" t="s">
        <v>3678</v>
      </c>
      <c r="AI55" s="641" t="s">
        <v>3606</v>
      </c>
      <c r="AJ55" s="643" t="s">
        <v>3678</v>
      </c>
      <c r="AK55" s="641" t="s">
        <v>3606</v>
      </c>
      <c r="AL55" s="645" t="s">
        <v>3678</v>
      </c>
      <c r="AM55" s="639" t="s">
        <v>3606</v>
      </c>
      <c r="AN55" s="640" t="s">
        <v>3678</v>
      </c>
      <c r="AO55" s="639" t="s">
        <v>3606</v>
      </c>
      <c r="AP55" s="640" t="s">
        <v>3678</v>
      </c>
      <c r="AQ55" s="639" t="s">
        <v>3606</v>
      </c>
      <c r="AR55" s="640" t="s">
        <v>3678</v>
      </c>
      <c r="AS55" s="639" t="s">
        <v>3606</v>
      </c>
      <c r="AT55" s="643" t="s">
        <v>3678</v>
      </c>
      <c r="AU55" s="639" t="s">
        <v>3606</v>
      </c>
      <c r="AV55" s="643" t="s">
        <v>3678</v>
      </c>
      <c r="AW55" s="639" t="s">
        <v>3606</v>
      </c>
      <c r="AX55" s="644" t="s">
        <v>3678</v>
      </c>
      <c r="AY55" s="639" t="s">
        <v>3606</v>
      </c>
      <c r="AZ55" s="640" t="s">
        <v>3678</v>
      </c>
      <c r="BA55" s="639" t="s">
        <v>3606</v>
      </c>
      <c r="BB55" s="640" t="s">
        <v>3678</v>
      </c>
      <c r="BC55" s="639" t="s">
        <v>3606</v>
      </c>
      <c r="BD55" s="645" t="s">
        <v>3678</v>
      </c>
      <c r="BE55" s="640" t="s">
        <v>3606</v>
      </c>
      <c r="BF55" s="645" t="s">
        <v>3678</v>
      </c>
      <c r="BG55" s="640" t="s">
        <v>3606</v>
      </c>
      <c r="BH55" s="645" t="s">
        <v>3678</v>
      </c>
      <c r="BI55" s="640" t="s">
        <v>3606</v>
      </c>
      <c r="BJ55" s="640" t="s">
        <v>3678</v>
      </c>
      <c r="BK55" s="640" t="s">
        <v>3606</v>
      </c>
      <c r="BL55" s="640" t="s">
        <v>3678</v>
      </c>
      <c r="BM55" s="678" t="s">
        <v>3679</v>
      </c>
      <c r="BN55" s="682"/>
      <c r="BO55" s="637"/>
      <c r="BP55" s="637"/>
      <c r="BQ55" s="637"/>
      <c r="BR55" s="637"/>
      <c r="BS55" s="637"/>
      <c r="BT55" s="637"/>
      <c r="BU55" s="679"/>
      <c r="BV55" s="679"/>
      <c r="BW55" s="633" t="s">
        <v>3668</v>
      </c>
      <c r="BZ55" s="658"/>
      <c r="CA55" s="658"/>
      <c r="CB55" s="658"/>
      <c r="CC55" s="658"/>
      <c r="CD55" s="658"/>
      <c r="CE55" s="658"/>
      <c r="CF55" s="658"/>
      <c r="CG55" s="658"/>
      <c r="CH55" s="658"/>
      <c r="CI55" s="658"/>
      <c r="CJ55" s="658"/>
      <c r="CK55" s="658"/>
      <c r="CL55" s="658"/>
      <c r="CM55" s="658"/>
      <c r="CN55" s="658"/>
      <c r="CO55" s="658"/>
      <c r="CP55" s="658"/>
      <c r="CQ55" s="658"/>
      <c r="CR55" s="658"/>
      <c r="CS55" s="658"/>
      <c r="CT55" s="658"/>
      <c r="CU55" s="658"/>
      <c r="CV55" s="658"/>
      <c r="CW55" s="658"/>
    </row>
    <row r="56" spans="2:101" ht="17.25" hidden="1" customHeight="1" x14ac:dyDescent="0.2">
      <c r="B56" s="633">
        <v>49</v>
      </c>
      <c r="C56" s="633" t="s">
        <v>244</v>
      </c>
      <c r="D56" s="634" t="s">
        <v>2461</v>
      </c>
      <c r="E56" s="633" t="s">
        <v>278</v>
      </c>
      <c r="F56" s="634" t="s">
        <v>3695</v>
      </c>
      <c r="G56" s="633" t="s">
        <v>3560</v>
      </c>
      <c r="H56" s="635" t="s">
        <v>3667</v>
      </c>
      <c r="I56" s="633" t="s">
        <v>3685</v>
      </c>
      <c r="J56" s="636">
        <v>1</v>
      </c>
      <c r="K56" s="637" t="str">
        <f t="shared" si="1"/>
        <v>19/20</v>
      </c>
      <c r="L56" s="638" t="s">
        <v>3686</v>
      </c>
      <c r="M56" s="639" t="s">
        <v>3606</v>
      </c>
      <c r="N56" s="639" t="s">
        <v>1266</v>
      </c>
      <c r="O56" s="639" t="s">
        <v>3606</v>
      </c>
      <c r="P56" s="640" t="s">
        <v>3678</v>
      </c>
      <c r="Q56" s="639" t="s">
        <v>3606</v>
      </c>
      <c r="R56" s="641" t="s">
        <v>3678</v>
      </c>
      <c r="S56" s="639" t="s">
        <v>3606</v>
      </c>
      <c r="T56" s="640" t="s">
        <v>3678</v>
      </c>
      <c r="U56" s="639" t="s">
        <v>3606</v>
      </c>
      <c r="V56" s="643" t="s">
        <v>3678</v>
      </c>
      <c r="W56" s="639" t="s">
        <v>3606</v>
      </c>
      <c r="X56" s="643" t="s">
        <v>3678</v>
      </c>
      <c r="Y56" s="642" t="s">
        <v>3606</v>
      </c>
      <c r="Z56" s="640" t="s">
        <v>1266</v>
      </c>
      <c r="AA56" s="639" t="s">
        <v>3606</v>
      </c>
      <c r="AB56" s="643" t="s">
        <v>3678</v>
      </c>
      <c r="AC56" s="639" t="s">
        <v>3606</v>
      </c>
      <c r="AD56" s="643" t="s">
        <v>3678</v>
      </c>
      <c r="AE56" s="639" t="s">
        <v>3606</v>
      </c>
      <c r="AF56" s="640" t="s">
        <v>3678</v>
      </c>
      <c r="AG56" s="641" t="s">
        <v>3606</v>
      </c>
      <c r="AH56" s="641" t="s">
        <v>3678</v>
      </c>
      <c r="AI56" s="641" t="s">
        <v>3606</v>
      </c>
      <c r="AJ56" s="643" t="s">
        <v>3678</v>
      </c>
      <c r="AK56" s="641" t="s">
        <v>3606</v>
      </c>
      <c r="AL56" s="643" t="s">
        <v>3678</v>
      </c>
      <c r="AM56" s="639" t="s">
        <v>3606</v>
      </c>
      <c r="AN56" s="640" t="s">
        <v>3678</v>
      </c>
      <c r="AO56" s="639" t="s">
        <v>3606</v>
      </c>
      <c r="AP56" s="640" t="s">
        <v>3678</v>
      </c>
      <c r="AQ56" s="639" t="s">
        <v>3606</v>
      </c>
      <c r="AR56" s="640" t="s">
        <v>3678</v>
      </c>
      <c r="AS56" s="639" t="s">
        <v>3606</v>
      </c>
      <c r="AT56" s="644" t="s">
        <v>3678</v>
      </c>
      <c r="AU56" s="639" t="s">
        <v>3606</v>
      </c>
      <c r="AV56" s="644" t="s">
        <v>3678</v>
      </c>
      <c r="AW56" s="639" t="s">
        <v>3606</v>
      </c>
      <c r="AX56" s="643" t="s">
        <v>3678</v>
      </c>
      <c r="AY56" s="639" t="s">
        <v>3606</v>
      </c>
      <c r="AZ56" s="640" t="s">
        <v>3678</v>
      </c>
      <c r="BA56" s="639" t="s">
        <v>3606</v>
      </c>
      <c r="BB56" s="640" t="s">
        <v>3678</v>
      </c>
      <c r="BC56" s="639" t="s">
        <v>3606</v>
      </c>
      <c r="BD56" s="643" t="s">
        <v>3678</v>
      </c>
      <c r="BE56" s="640" t="s">
        <v>3606</v>
      </c>
      <c r="BF56" s="645" t="s">
        <v>3678</v>
      </c>
      <c r="BG56" s="640" t="s">
        <v>3606</v>
      </c>
      <c r="BH56" s="645" t="s">
        <v>3678</v>
      </c>
      <c r="BI56" s="640" t="s">
        <v>3606</v>
      </c>
      <c r="BJ56" s="640" t="s">
        <v>3678</v>
      </c>
      <c r="BK56" s="640" t="s">
        <v>3606</v>
      </c>
      <c r="BL56" s="640" t="s">
        <v>3678</v>
      </c>
      <c r="BM56" s="678" t="s">
        <v>3679</v>
      </c>
      <c r="BN56" s="682"/>
      <c r="BO56" s="637"/>
      <c r="BP56" s="637"/>
      <c r="BQ56" s="637"/>
      <c r="BR56" s="637"/>
      <c r="BS56" s="637"/>
      <c r="BT56" s="637"/>
      <c r="BU56" s="679"/>
      <c r="BV56" s="679"/>
      <c r="BW56" s="633" t="s">
        <v>3668</v>
      </c>
      <c r="BZ56" s="658"/>
      <c r="CA56" s="658"/>
      <c r="CB56" s="658"/>
      <c r="CC56" s="658"/>
      <c r="CD56" s="658"/>
      <c r="CE56" s="658"/>
      <c r="CF56" s="658"/>
      <c r="CG56" s="658"/>
      <c r="CH56" s="658"/>
      <c r="CI56" s="658"/>
      <c r="CJ56" s="658"/>
      <c r="CK56" s="658"/>
      <c r="CL56" s="658"/>
      <c r="CM56" s="658"/>
      <c r="CN56" s="658"/>
      <c r="CO56" s="658"/>
      <c r="CP56" s="658"/>
      <c r="CQ56" s="658"/>
      <c r="CR56" s="658"/>
      <c r="CS56" s="658"/>
      <c r="CT56" s="658"/>
      <c r="CU56" s="658"/>
      <c r="CV56" s="658"/>
      <c r="CW56" s="658"/>
    </row>
    <row r="57" spans="2:101" ht="17.25" hidden="1" customHeight="1" x14ac:dyDescent="0.2">
      <c r="B57" s="633">
        <v>50</v>
      </c>
      <c r="C57" s="633" t="s">
        <v>244</v>
      </c>
      <c r="D57" s="634" t="s">
        <v>2470</v>
      </c>
      <c r="E57" s="633" t="s">
        <v>278</v>
      </c>
      <c r="F57" s="681" t="s">
        <v>2471</v>
      </c>
      <c r="G57" s="633" t="s">
        <v>3560</v>
      </c>
      <c r="H57" s="635" t="s">
        <v>3667</v>
      </c>
      <c r="I57" s="633" t="s">
        <v>3685</v>
      </c>
      <c r="J57" s="636">
        <v>1</v>
      </c>
      <c r="K57" s="637" t="str">
        <f t="shared" si="1"/>
        <v>19/20</v>
      </c>
      <c r="L57" s="638" t="s">
        <v>3686</v>
      </c>
      <c r="M57" s="639" t="s">
        <v>3606</v>
      </c>
      <c r="N57" s="639" t="s">
        <v>1266</v>
      </c>
      <c r="O57" s="639" t="s">
        <v>3606</v>
      </c>
      <c r="P57" s="640" t="s">
        <v>3678</v>
      </c>
      <c r="Q57" s="639" t="s">
        <v>3606</v>
      </c>
      <c r="R57" s="641" t="s">
        <v>3678</v>
      </c>
      <c r="S57" s="639" t="s">
        <v>3606</v>
      </c>
      <c r="T57" s="640" t="s">
        <v>3678</v>
      </c>
      <c r="U57" s="639" t="s">
        <v>3606</v>
      </c>
      <c r="V57" s="643" t="s">
        <v>3678</v>
      </c>
      <c r="W57" s="639" t="s">
        <v>3606</v>
      </c>
      <c r="X57" s="643" t="s">
        <v>3678</v>
      </c>
      <c r="Y57" s="642" t="s">
        <v>3606</v>
      </c>
      <c r="Z57" s="640" t="s">
        <v>1266</v>
      </c>
      <c r="AA57" s="639" t="s">
        <v>3606</v>
      </c>
      <c r="AB57" s="643" t="s">
        <v>3678</v>
      </c>
      <c r="AC57" s="639" t="s">
        <v>3606</v>
      </c>
      <c r="AD57" s="643" t="s">
        <v>3678</v>
      </c>
      <c r="AE57" s="639" t="s">
        <v>3606</v>
      </c>
      <c r="AF57" s="640" t="s">
        <v>3678</v>
      </c>
      <c r="AG57" s="641" t="s">
        <v>3606</v>
      </c>
      <c r="AH57" s="640" t="s">
        <v>3678</v>
      </c>
      <c r="AI57" s="641" t="s">
        <v>3606</v>
      </c>
      <c r="AJ57" s="643" t="s">
        <v>3678</v>
      </c>
      <c r="AK57" s="641" t="s">
        <v>3606</v>
      </c>
      <c r="AL57" s="645" t="s">
        <v>3678</v>
      </c>
      <c r="AM57" s="639" t="s">
        <v>3606</v>
      </c>
      <c r="AN57" s="640" t="s">
        <v>3678</v>
      </c>
      <c r="AO57" s="639" t="s">
        <v>3606</v>
      </c>
      <c r="AP57" s="640" t="s">
        <v>3678</v>
      </c>
      <c r="AQ57" s="639" t="s">
        <v>3606</v>
      </c>
      <c r="AR57" s="640" t="s">
        <v>3678</v>
      </c>
      <c r="AS57" s="639" t="s">
        <v>3606</v>
      </c>
      <c r="AT57" s="644" t="s">
        <v>3678</v>
      </c>
      <c r="AU57" s="639" t="s">
        <v>3606</v>
      </c>
      <c r="AV57" s="643" t="s">
        <v>3678</v>
      </c>
      <c r="AW57" s="639" t="s">
        <v>3606</v>
      </c>
      <c r="AX57" s="644" t="s">
        <v>3678</v>
      </c>
      <c r="AY57" s="639" t="s">
        <v>3606</v>
      </c>
      <c r="AZ57" s="640" t="s">
        <v>3678</v>
      </c>
      <c r="BA57" s="639" t="s">
        <v>3606</v>
      </c>
      <c r="BB57" s="640" t="s">
        <v>3678</v>
      </c>
      <c r="BC57" s="639" t="s">
        <v>3606</v>
      </c>
      <c r="BD57" s="645" t="s">
        <v>3678</v>
      </c>
      <c r="BE57" s="640" t="s">
        <v>3606</v>
      </c>
      <c r="BF57" s="645" t="s">
        <v>3678</v>
      </c>
      <c r="BG57" s="640" t="s">
        <v>3606</v>
      </c>
      <c r="BH57" s="645" t="s">
        <v>3678</v>
      </c>
      <c r="BI57" s="640" t="s">
        <v>3606</v>
      </c>
      <c r="BJ57" s="640" t="s">
        <v>3678</v>
      </c>
      <c r="BK57" s="640" t="s">
        <v>3606</v>
      </c>
      <c r="BL57" s="640" t="s">
        <v>3678</v>
      </c>
      <c r="BM57" s="678" t="s">
        <v>3679</v>
      </c>
      <c r="BN57" s="682"/>
      <c r="BO57" s="637"/>
      <c r="BP57" s="637"/>
      <c r="BQ57" s="637"/>
      <c r="BR57" s="637"/>
      <c r="BS57" s="637"/>
      <c r="BT57" s="637"/>
      <c r="BU57" s="679"/>
      <c r="BV57" s="679"/>
      <c r="BW57" s="633" t="s">
        <v>3687</v>
      </c>
      <c r="BZ57" s="658"/>
      <c r="CA57" s="658"/>
      <c r="CB57" s="658"/>
      <c r="CC57" s="658"/>
      <c r="CD57" s="658"/>
      <c r="CE57" s="658"/>
      <c r="CF57" s="658"/>
      <c r="CG57" s="658"/>
      <c r="CH57" s="658"/>
      <c r="CI57" s="658"/>
      <c r="CJ57" s="658"/>
      <c r="CK57" s="658"/>
      <c r="CL57" s="658"/>
      <c r="CM57" s="658"/>
      <c r="CN57" s="658"/>
      <c r="CO57" s="658"/>
      <c r="CP57" s="658"/>
      <c r="CQ57" s="658"/>
      <c r="CR57" s="658"/>
      <c r="CS57" s="658"/>
      <c r="CT57" s="658"/>
      <c r="CU57" s="658"/>
      <c r="CV57" s="658"/>
      <c r="CW57" s="658"/>
    </row>
    <row r="58" spans="2:101" ht="17.25" hidden="1" customHeight="1" x14ac:dyDescent="0.2">
      <c r="B58" s="633">
        <v>51</v>
      </c>
      <c r="C58" s="633" t="s">
        <v>244</v>
      </c>
      <c r="D58" s="634" t="s">
        <v>2479</v>
      </c>
      <c r="E58" s="633" t="s">
        <v>278</v>
      </c>
      <c r="F58" s="634" t="s">
        <v>2480</v>
      </c>
      <c r="G58" s="633" t="s">
        <v>3560</v>
      </c>
      <c r="H58" s="635" t="s">
        <v>3667</v>
      </c>
      <c r="I58" s="633" t="s">
        <v>3685</v>
      </c>
      <c r="J58" s="636">
        <v>1</v>
      </c>
      <c r="K58" s="637" t="str">
        <f t="shared" si="1"/>
        <v>19/20</v>
      </c>
      <c r="L58" s="638" t="s">
        <v>3686</v>
      </c>
      <c r="M58" s="639" t="s">
        <v>3606</v>
      </c>
      <c r="N58" s="639" t="s">
        <v>1266</v>
      </c>
      <c r="O58" s="639" t="s">
        <v>3606</v>
      </c>
      <c r="P58" s="640" t="s">
        <v>3678</v>
      </c>
      <c r="Q58" s="639" t="s">
        <v>3606</v>
      </c>
      <c r="R58" s="641" t="s">
        <v>3678</v>
      </c>
      <c r="S58" s="639" t="s">
        <v>3606</v>
      </c>
      <c r="T58" s="640" t="s">
        <v>3678</v>
      </c>
      <c r="U58" s="639" t="s">
        <v>3606</v>
      </c>
      <c r="V58" s="640" t="s">
        <v>3678</v>
      </c>
      <c r="W58" s="639" t="s">
        <v>3606</v>
      </c>
      <c r="X58" s="640" t="s">
        <v>3678</v>
      </c>
      <c r="Y58" s="642" t="s">
        <v>3606</v>
      </c>
      <c r="Z58" s="640" t="s">
        <v>1266</v>
      </c>
      <c r="AA58" s="639" t="s">
        <v>3606</v>
      </c>
      <c r="AB58" s="640" t="s">
        <v>3678</v>
      </c>
      <c r="AC58" s="639" t="s">
        <v>3606</v>
      </c>
      <c r="AD58" s="640" t="s">
        <v>3678</v>
      </c>
      <c r="AE58" s="639" t="s">
        <v>3606</v>
      </c>
      <c r="AF58" s="640" t="s">
        <v>3678</v>
      </c>
      <c r="AG58" s="641" t="s">
        <v>3606</v>
      </c>
      <c r="AH58" s="641" t="s">
        <v>3678</v>
      </c>
      <c r="AI58" s="641" t="s">
        <v>3606</v>
      </c>
      <c r="AJ58" s="640" t="s">
        <v>3678</v>
      </c>
      <c r="AK58" s="641" t="s">
        <v>3606</v>
      </c>
      <c r="AL58" s="640" t="s">
        <v>3678</v>
      </c>
      <c r="AM58" s="639" t="s">
        <v>3606</v>
      </c>
      <c r="AN58" s="640" t="s">
        <v>3678</v>
      </c>
      <c r="AO58" s="639" t="s">
        <v>3606</v>
      </c>
      <c r="AP58" s="640" t="s">
        <v>3678</v>
      </c>
      <c r="AQ58" s="639" t="s">
        <v>3606</v>
      </c>
      <c r="AR58" s="640" t="s">
        <v>3678</v>
      </c>
      <c r="AS58" s="639" t="s">
        <v>3606</v>
      </c>
      <c r="AT58" s="641" t="s">
        <v>3678</v>
      </c>
      <c r="AU58" s="639" t="s">
        <v>3606</v>
      </c>
      <c r="AV58" s="640" t="s">
        <v>3678</v>
      </c>
      <c r="AW58" s="639" t="s">
        <v>3606</v>
      </c>
      <c r="AX58" s="640" t="s">
        <v>3678</v>
      </c>
      <c r="AY58" s="639" t="s">
        <v>3606</v>
      </c>
      <c r="AZ58" s="640" t="s">
        <v>3678</v>
      </c>
      <c r="BA58" s="639" t="s">
        <v>3606</v>
      </c>
      <c r="BB58" s="640" t="s">
        <v>3678</v>
      </c>
      <c r="BC58" s="639" t="s">
        <v>3606</v>
      </c>
      <c r="BD58" s="640" t="s">
        <v>3678</v>
      </c>
      <c r="BE58" s="640" t="s">
        <v>3606</v>
      </c>
      <c r="BF58" s="640" t="s">
        <v>3678</v>
      </c>
      <c r="BG58" s="640" t="s">
        <v>1266</v>
      </c>
      <c r="BH58" s="640" t="s">
        <v>1266</v>
      </c>
      <c r="BI58" s="640" t="s">
        <v>3606</v>
      </c>
      <c r="BJ58" s="640" t="s">
        <v>3678</v>
      </c>
      <c r="BK58" s="640" t="s">
        <v>3606</v>
      </c>
      <c r="BL58" s="640" t="s">
        <v>3678</v>
      </c>
      <c r="BM58" s="640" t="str">
        <f>IF(
  (
   (P58="Ada")+(P58="tidak perlu")+(P58="draft") +
   (R58="Ada")+(R58="tidak perlu")+(R58="draft") +
   (V58="Ada")+(V58="tidak perlu")+(V58="draft") +
   (X58="Ada")+(X58="tidak perlu")+(X58="draft") +
   (AB58="Ada")+(AB58="tidak perlu")+(AB58="draft") +
   (AD58="Ada")+(AD58="tidak perlu")+(AD58="draft") +
   (AF58="Ada")+(AF58="tidak perlu")+(AF58="draft") +
   (AH58="Ada")+(AH58="tidak perlu")+(AH58="draft") +
   (AJ58="Ada")+(AJ58="tidak perlu")+(AJ58="draft") +
   (AL58="Ada")+(AL58="tidak perlu")+(AL58="draft") +
   (AN58="Ada")+(AN58="tidak perlu")+(AN58="draft") +
   (AP58="Ada")+(AP58="tidak perlu")+(AP58="draft") +
   (AR58="Ada")+(AR58="tidak perlu")+(AR58="draft") +
   (AT58="Ada")+(AT58="tidak perlu")+(AT58="draft") +
   (AV58="Ada")+(AV58="tidak perlu")+(AV58="draft") +
   (AX58="Ada")+(AX58="tidak perlu")+(AX58="draft") +
   (AZ58="Ada")+(AZ58="tidak perlu")+(AZ58="draft") +
   (BB58="Ada")+(BB58="tidak perlu")+(BB58="draft") +
   (BD58="Ada")+(BD58="tidak perlu")+(BD58="draft") +
   (BF58="Ada")+(BF58="tidak perlu")+(BF58="draft")
  ) = 20,
 "Lengkap","Belum Lengkap")</f>
        <v>Lengkap</v>
      </c>
      <c r="BN58" s="637"/>
      <c r="BO58" s="637"/>
      <c r="BP58" s="637"/>
      <c r="BQ58" s="637"/>
      <c r="BR58" s="637"/>
      <c r="BS58" s="637"/>
      <c r="BT58" s="637"/>
      <c r="BU58" s="679"/>
      <c r="BV58" s="679"/>
      <c r="BW58" s="633" t="s">
        <v>3685</v>
      </c>
      <c r="BZ58" s="658"/>
      <c r="CA58" s="658"/>
      <c r="CB58" s="658"/>
      <c r="CC58" s="658"/>
      <c r="CD58" s="658"/>
      <c r="CE58" s="658"/>
      <c r="CF58" s="658"/>
      <c r="CG58" s="658"/>
      <c r="CH58" s="658"/>
      <c r="CI58" s="658"/>
      <c r="CJ58" s="658"/>
      <c r="CK58" s="658"/>
      <c r="CL58" s="658"/>
      <c r="CM58" s="658"/>
      <c r="CN58" s="658"/>
      <c r="CO58" s="658"/>
      <c r="CP58" s="658"/>
      <c r="CQ58" s="658"/>
      <c r="CR58" s="658"/>
      <c r="CS58" s="658"/>
      <c r="CT58" s="658"/>
      <c r="CU58" s="658"/>
      <c r="CV58" s="658"/>
      <c r="CW58" s="658"/>
    </row>
    <row r="59" spans="2:101" ht="17.25" hidden="1" customHeight="1" x14ac:dyDescent="0.2">
      <c r="B59" s="633">
        <v>52</v>
      </c>
      <c r="C59" s="633" t="s">
        <v>244</v>
      </c>
      <c r="D59" s="634" t="s">
        <v>2034</v>
      </c>
      <c r="E59" s="633" t="s">
        <v>248</v>
      </c>
      <c r="F59" s="634" t="s">
        <v>2035</v>
      </c>
      <c r="G59" s="633" t="s">
        <v>3560</v>
      </c>
      <c r="H59" s="635" t="s">
        <v>3667</v>
      </c>
      <c r="I59" s="633" t="s">
        <v>3685</v>
      </c>
      <c r="J59" s="636">
        <v>1</v>
      </c>
      <c r="K59" s="637" t="str">
        <f t="shared" si="1"/>
        <v>19/20</v>
      </c>
      <c r="L59" s="638" t="s">
        <v>3686</v>
      </c>
      <c r="M59" s="639" t="s">
        <v>3606</v>
      </c>
      <c r="N59" s="639" t="s">
        <v>1266</v>
      </c>
      <c r="O59" s="639" t="s">
        <v>3606</v>
      </c>
      <c r="P59" s="640" t="s">
        <v>3678</v>
      </c>
      <c r="Q59" s="639" t="s">
        <v>3606</v>
      </c>
      <c r="R59" s="641" t="s">
        <v>3678</v>
      </c>
      <c r="S59" s="639" t="s">
        <v>3606</v>
      </c>
      <c r="T59" s="640" t="s">
        <v>3678</v>
      </c>
      <c r="U59" s="639" t="s">
        <v>3606</v>
      </c>
      <c r="V59" s="640" t="s">
        <v>3678</v>
      </c>
      <c r="W59" s="639" t="s">
        <v>3606</v>
      </c>
      <c r="X59" s="640" t="s">
        <v>3678</v>
      </c>
      <c r="Y59" s="642" t="s">
        <v>3606</v>
      </c>
      <c r="Z59" s="640" t="s">
        <v>1266</v>
      </c>
      <c r="AA59" s="639" t="s">
        <v>3606</v>
      </c>
      <c r="AB59" s="640" t="s">
        <v>3678</v>
      </c>
      <c r="AC59" s="639" t="s">
        <v>3606</v>
      </c>
      <c r="AD59" s="644" t="s">
        <v>3678</v>
      </c>
      <c r="AE59" s="639" t="s">
        <v>3606</v>
      </c>
      <c r="AF59" s="640" t="s">
        <v>3678</v>
      </c>
      <c r="AG59" s="641" t="s">
        <v>3606</v>
      </c>
      <c r="AH59" s="640" t="s">
        <v>3678</v>
      </c>
      <c r="AI59" s="641" t="s">
        <v>3606</v>
      </c>
      <c r="AJ59" s="643" t="s">
        <v>3678</v>
      </c>
      <c r="AK59" s="641" t="s">
        <v>3606</v>
      </c>
      <c r="AL59" s="644" t="s">
        <v>3678</v>
      </c>
      <c r="AM59" s="639" t="s">
        <v>3606</v>
      </c>
      <c r="AN59" s="640" t="s">
        <v>3678</v>
      </c>
      <c r="AO59" s="639" t="s">
        <v>3606</v>
      </c>
      <c r="AP59" s="640" t="s">
        <v>3678</v>
      </c>
      <c r="AQ59" s="639" t="s">
        <v>3606</v>
      </c>
      <c r="AR59" s="640" t="s">
        <v>3678</v>
      </c>
      <c r="AS59" s="639" t="s">
        <v>3606</v>
      </c>
      <c r="AT59" s="640" t="s">
        <v>3678</v>
      </c>
      <c r="AU59" s="639" t="s">
        <v>3606</v>
      </c>
      <c r="AV59" s="640" t="s">
        <v>3678</v>
      </c>
      <c r="AW59" s="639" t="s">
        <v>3606</v>
      </c>
      <c r="AX59" s="640" t="s">
        <v>3678</v>
      </c>
      <c r="AY59" s="639" t="s">
        <v>3606</v>
      </c>
      <c r="AZ59" s="640" t="s">
        <v>3678</v>
      </c>
      <c r="BA59" s="639" t="s">
        <v>3606</v>
      </c>
      <c r="BB59" s="643" t="s">
        <v>3678</v>
      </c>
      <c r="BC59" s="639" t="s">
        <v>3606</v>
      </c>
      <c r="BD59" s="640" t="s">
        <v>3678</v>
      </c>
      <c r="BE59" s="640" t="s">
        <v>3606</v>
      </c>
      <c r="BF59" s="640" t="s">
        <v>3678</v>
      </c>
      <c r="BG59" s="640" t="s">
        <v>3606</v>
      </c>
      <c r="BH59" s="640" t="s">
        <v>3678</v>
      </c>
      <c r="BI59" s="640" t="s">
        <v>3606</v>
      </c>
      <c r="BJ59" s="640" t="s">
        <v>3678</v>
      </c>
      <c r="BK59" s="640" t="s">
        <v>3606</v>
      </c>
      <c r="BL59" s="640" t="s">
        <v>3678</v>
      </c>
      <c r="BM59" s="678" t="s">
        <v>3679</v>
      </c>
      <c r="BN59" s="682"/>
      <c r="BO59" s="637"/>
      <c r="BP59" s="637"/>
      <c r="BQ59" s="637"/>
      <c r="BR59" s="637"/>
      <c r="BS59" s="637"/>
      <c r="BT59" s="637"/>
      <c r="BU59" s="679"/>
      <c r="BV59" s="679"/>
      <c r="BW59" s="633" t="s">
        <v>3668</v>
      </c>
      <c r="BZ59" s="658"/>
      <c r="CA59" s="658"/>
      <c r="CB59" s="658"/>
      <c r="CC59" s="658"/>
      <c r="CD59" s="658"/>
      <c r="CE59" s="658"/>
      <c r="CF59" s="658"/>
      <c r="CG59" s="658"/>
      <c r="CH59" s="658"/>
      <c r="CI59" s="658"/>
      <c r="CJ59" s="658"/>
      <c r="CK59" s="658"/>
      <c r="CL59" s="658"/>
      <c r="CM59" s="658"/>
      <c r="CN59" s="658"/>
      <c r="CO59" s="658"/>
      <c r="CP59" s="658"/>
      <c r="CQ59" s="658"/>
      <c r="CR59" s="658"/>
      <c r="CS59" s="658"/>
      <c r="CT59" s="658"/>
      <c r="CU59" s="658"/>
      <c r="CV59" s="658"/>
      <c r="CW59" s="658"/>
    </row>
    <row r="60" spans="2:101" ht="17.25" hidden="1" customHeight="1" x14ac:dyDescent="0.2">
      <c r="B60" s="633">
        <v>53</v>
      </c>
      <c r="C60" s="633" t="s">
        <v>244</v>
      </c>
      <c r="D60" s="634" t="s">
        <v>2488</v>
      </c>
      <c r="E60" s="633" t="s">
        <v>278</v>
      </c>
      <c r="F60" s="634" t="s">
        <v>2489</v>
      </c>
      <c r="G60" s="633" t="s">
        <v>3560</v>
      </c>
      <c r="H60" s="635" t="s">
        <v>3667</v>
      </c>
      <c r="I60" s="633" t="s">
        <v>3685</v>
      </c>
      <c r="J60" s="636">
        <v>1</v>
      </c>
      <c r="K60" s="637" t="str">
        <f t="shared" si="1"/>
        <v>19/20</v>
      </c>
      <c r="L60" s="638" t="s">
        <v>3686</v>
      </c>
      <c r="M60" s="639" t="s">
        <v>3606</v>
      </c>
      <c r="N60" s="639" t="s">
        <v>1266</v>
      </c>
      <c r="O60" s="639" t="s">
        <v>3606</v>
      </c>
      <c r="P60" s="640" t="s">
        <v>3678</v>
      </c>
      <c r="Q60" s="639" t="s">
        <v>3606</v>
      </c>
      <c r="R60" s="641" t="s">
        <v>3678</v>
      </c>
      <c r="S60" s="639" t="s">
        <v>3606</v>
      </c>
      <c r="T60" s="640" t="s">
        <v>3678</v>
      </c>
      <c r="U60" s="639" t="s">
        <v>3606</v>
      </c>
      <c r="V60" s="640" t="s">
        <v>3678</v>
      </c>
      <c r="W60" s="639" t="s">
        <v>3606</v>
      </c>
      <c r="X60" s="640" t="s">
        <v>3678</v>
      </c>
      <c r="Y60" s="642" t="s">
        <v>3606</v>
      </c>
      <c r="Z60" s="640" t="s">
        <v>1266</v>
      </c>
      <c r="AA60" s="639" t="s">
        <v>3606</v>
      </c>
      <c r="AB60" s="640" t="s">
        <v>3678</v>
      </c>
      <c r="AC60" s="639" t="s">
        <v>3606</v>
      </c>
      <c r="AD60" s="640" t="s">
        <v>3678</v>
      </c>
      <c r="AE60" s="639" t="s">
        <v>3606</v>
      </c>
      <c r="AF60" s="640" t="s">
        <v>3678</v>
      </c>
      <c r="AG60" s="641" t="s">
        <v>3606</v>
      </c>
      <c r="AH60" s="640" t="s">
        <v>3678</v>
      </c>
      <c r="AI60" s="641" t="s">
        <v>3606</v>
      </c>
      <c r="AJ60" s="640" t="s">
        <v>3678</v>
      </c>
      <c r="AK60" s="641" t="s">
        <v>3606</v>
      </c>
      <c r="AL60" s="640" t="s">
        <v>3678</v>
      </c>
      <c r="AM60" s="639" t="s">
        <v>3606</v>
      </c>
      <c r="AN60" s="640" t="s">
        <v>3678</v>
      </c>
      <c r="AO60" s="639" t="s">
        <v>3606</v>
      </c>
      <c r="AP60" s="640" t="s">
        <v>3678</v>
      </c>
      <c r="AQ60" s="639" t="s">
        <v>3606</v>
      </c>
      <c r="AR60" s="640" t="s">
        <v>3678</v>
      </c>
      <c r="AS60" s="639" t="s">
        <v>3606</v>
      </c>
      <c r="AT60" s="640" t="s">
        <v>3678</v>
      </c>
      <c r="AU60" s="639" t="s">
        <v>3606</v>
      </c>
      <c r="AV60" s="640" t="s">
        <v>3678</v>
      </c>
      <c r="AW60" s="639" t="s">
        <v>3606</v>
      </c>
      <c r="AX60" s="640" t="s">
        <v>3678</v>
      </c>
      <c r="AY60" s="639" t="s">
        <v>3606</v>
      </c>
      <c r="AZ60" s="640" t="s">
        <v>3678</v>
      </c>
      <c r="BA60" s="639" t="s">
        <v>3606</v>
      </c>
      <c r="BB60" s="640" t="s">
        <v>3678</v>
      </c>
      <c r="BC60" s="639" t="s">
        <v>3606</v>
      </c>
      <c r="BD60" s="640" t="s">
        <v>3678</v>
      </c>
      <c r="BE60" s="640" t="s">
        <v>3606</v>
      </c>
      <c r="BF60" s="640" t="s">
        <v>3678</v>
      </c>
      <c r="BG60" s="640" t="s">
        <v>1266</v>
      </c>
      <c r="BH60" s="640" t="s">
        <v>1266</v>
      </c>
      <c r="BI60" s="640" t="s">
        <v>3606</v>
      </c>
      <c r="BJ60" s="640" t="s">
        <v>3678</v>
      </c>
      <c r="BK60" s="640" t="s">
        <v>3606</v>
      </c>
      <c r="BL60" s="640" t="s">
        <v>3678</v>
      </c>
      <c r="BM60" s="640" t="str">
        <f>IF(
  (
   (P60="Ada")+(P60="tidak perlu")+(P60="draft") +
   (R60="Ada")+(R60="tidak perlu")+(R60="draft") +
   (V60="Ada")+(V60="tidak perlu")+(V60="draft") +
   (X60="Ada")+(X60="tidak perlu")+(X60="draft") +
   (AB60="Ada")+(AB60="tidak perlu")+(AB60="draft") +
   (AD60="Ada")+(AD60="tidak perlu")+(AD60="draft") +
   (AF60="Ada")+(AF60="tidak perlu")+(AF60="draft") +
   (AH60="Ada")+(AH60="tidak perlu")+(AH60="draft") +
   (AJ60="Ada")+(AJ60="tidak perlu")+(AJ60="draft") +
   (AL60="Ada")+(AL60="tidak perlu")+(AL60="draft") +
   (AN60="Ada")+(AN60="tidak perlu")+(AN60="draft") +
   (AP60="Ada")+(AP60="tidak perlu")+(AP60="draft") +
   (AR60="Ada")+(AR60="tidak perlu")+(AR60="draft") +
   (AT60="Ada")+(AT60="tidak perlu")+(AT60="draft") +
   (AV60="Ada")+(AV60="tidak perlu")+(AV60="draft") +
   (AX60="Ada")+(AX60="tidak perlu")+(AX60="draft") +
   (AZ60="Ada")+(AZ60="tidak perlu")+(AZ60="draft") +
   (BB60="Ada")+(BB60="tidak perlu")+(BB60="draft") +
   (BD60="Ada")+(BD60="tidak perlu")+(BD60="draft") +
   (BF60="Ada")+(BF60="tidak perlu")+(BF60="draft")
  ) = 20,
 "Lengkap","Belum Lengkap")</f>
        <v>Lengkap</v>
      </c>
      <c r="BN60" s="637"/>
      <c r="BO60" s="637"/>
      <c r="BP60" s="637"/>
      <c r="BQ60" s="637"/>
      <c r="BR60" s="637"/>
      <c r="BS60" s="637"/>
      <c r="BT60" s="637"/>
      <c r="BU60" s="679"/>
      <c r="BV60" s="679"/>
      <c r="BW60" s="633" t="s">
        <v>3685</v>
      </c>
      <c r="BZ60" s="658"/>
      <c r="CA60" s="658"/>
      <c r="CB60" s="658"/>
      <c r="CC60" s="658"/>
      <c r="CD60" s="658"/>
      <c r="CE60" s="658"/>
      <c r="CF60" s="658"/>
      <c r="CG60" s="658"/>
      <c r="CH60" s="658"/>
      <c r="CI60" s="658"/>
      <c r="CJ60" s="658"/>
      <c r="CK60" s="658"/>
      <c r="CL60" s="658"/>
      <c r="CM60" s="658"/>
      <c r="CN60" s="658"/>
      <c r="CO60" s="658"/>
      <c r="CP60" s="658"/>
      <c r="CQ60" s="658"/>
      <c r="CR60" s="658"/>
      <c r="CS60" s="658"/>
      <c r="CT60" s="658"/>
      <c r="CU60" s="658"/>
      <c r="CV60" s="658"/>
      <c r="CW60" s="658"/>
    </row>
    <row r="61" spans="2:101" ht="17.25" hidden="1" customHeight="1" x14ac:dyDescent="0.2">
      <c r="B61" s="633">
        <v>54</v>
      </c>
      <c r="C61" s="633" t="s">
        <v>244</v>
      </c>
      <c r="D61" s="634" t="s">
        <v>2497</v>
      </c>
      <c r="E61" s="633" t="s">
        <v>278</v>
      </c>
      <c r="F61" s="680" t="s">
        <v>2498</v>
      </c>
      <c r="G61" s="633" t="s">
        <v>3684</v>
      </c>
      <c r="H61" s="646" t="s">
        <v>3599</v>
      </c>
      <c r="I61" s="633" t="s">
        <v>3599</v>
      </c>
      <c r="J61" s="636">
        <v>0.11</v>
      </c>
      <c r="K61" s="637" t="str">
        <f t="shared" si="1"/>
        <v>2/20</v>
      </c>
      <c r="L61" s="638" t="s">
        <v>3669</v>
      </c>
      <c r="M61" s="639" t="s">
        <v>3606</v>
      </c>
      <c r="N61" s="639" t="s">
        <v>1266</v>
      </c>
      <c r="O61" s="639" t="s">
        <v>3603</v>
      </c>
      <c r="P61" s="640" t="s">
        <v>3670</v>
      </c>
      <c r="Q61" s="639" t="s">
        <v>3603</v>
      </c>
      <c r="R61" s="641" t="s">
        <v>3670</v>
      </c>
      <c r="S61" s="639" t="s">
        <v>3603</v>
      </c>
      <c r="T61" s="639"/>
      <c r="U61" s="639" t="s">
        <v>3606</v>
      </c>
      <c r="V61" s="640" t="s">
        <v>3670</v>
      </c>
      <c r="W61" s="639" t="s">
        <v>3603</v>
      </c>
      <c r="X61" s="640" t="s">
        <v>3670</v>
      </c>
      <c r="Y61" s="642" t="s">
        <v>3603</v>
      </c>
      <c r="Z61" s="640" t="s">
        <v>1266</v>
      </c>
      <c r="AA61" s="639" t="s">
        <v>3603</v>
      </c>
      <c r="AB61" s="640" t="s">
        <v>3670</v>
      </c>
      <c r="AC61" s="639" t="s">
        <v>3603</v>
      </c>
      <c r="AD61" s="640" t="s">
        <v>3670</v>
      </c>
      <c r="AE61" s="639" t="s">
        <v>3606</v>
      </c>
      <c r="AF61" s="640" t="s">
        <v>3670</v>
      </c>
      <c r="AG61" s="641" t="s">
        <v>3603</v>
      </c>
      <c r="AH61" s="640" t="s">
        <v>3670</v>
      </c>
      <c r="AI61" s="641" t="s">
        <v>3603</v>
      </c>
      <c r="AJ61" s="640" t="s">
        <v>3670</v>
      </c>
      <c r="AK61" s="641" t="s">
        <v>3603</v>
      </c>
      <c r="AL61" s="640" t="s">
        <v>3670</v>
      </c>
      <c r="AM61" s="639" t="s">
        <v>3603</v>
      </c>
      <c r="AN61" s="640" t="s">
        <v>3670</v>
      </c>
      <c r="AO61" s="639" t="s">
        <v>3603</v>
      </c>
      <c r="AP61" s="640" t="s">
        <v>3670</v>
      </c>
      <c r="AQ61" s="639" t="s">
        <v>3603</v>
      </c>
      <c r="AR61" s="640" t="s">
        <v>3670</v>
      </c>
      <c r="AS61" s="639" t="s">
        <v>3603</v>
      </c>
      <c r="AT61" s="640" t="s">
        <v>3670</v>
      </c>
      <c r="AU61" s="639" t="s">
        <v>3603</v>
      </c>
      <c r="AV61" s="640" t="s">
        <v>3670</v>
      </c>
      <c r="AW61" s="639" t="s">
        <v>3603</v>
      </c>
      <c r="AX61" s="640" t="s">
        <v>3670</v>
      </c>
      <c r="AY61" s="639" t="s">
        <v>3603</v>
      </c>
      <c r="AZ61" s="640" t="s">
        <v>3670</v>
      </c>
      <c r="BA61" s="639" t="s">
        <v>3603</v>
      </c>
      <c r="BB61" s="640" t="s">
        <v>3670</v>
      </c>
      <c r="BC61" s="639" t="s">
        <v>3603</v>
      </c>
      <c r="BD61" s="640" t="s">
        <v>3670</v>
      </c>
      <c r="BE61" s="640" t="s">
        <v>3603</v>
      </c>
      <c r="BF61" s="640" t="s">
        <v>3670</v>
      </c>
      <c r="BG61" s="640" t="s">
        <v>1266</v>
      </c>
      <c r="BH61" s="640"/>
      <c r="BI61" s="640" t="s">
        <v>3603</v>
      </c>
      <c r="BJ61" s="640"/>
      <c r="BK61" s="640" t="s">
        <v>3603</v>
      </c>
      <c r="BL61" s="640"/>
      <c r="BM61" s="678" t="str">
        <f>IF(
  (
   (P61="Ada")+(P61="tidak perlu")+(P61="draft") +
   (R61="Ada")+(R61="tidak perlu")+(R61="draft") +
   (V61="Ada")+(V61="tidak perlu")+(V61="draft") +
   (X61="Ada")+(X61="tidak perlu")+(X61="draft") +
   (AB61="Ada")+(AB61="tidak perlu")+(AB61="draft") +
   (AD61="Ada")+(AD61="tidak perlu")+(AD61="draft") +
   (AF61="Ada")+(AF61="tidak perlu")+(AF61="draft") +
   (AH61="Ada")+(AH61="tidak perlu")+(AH61="draft") +
   (AJ61="Ada")+(AJ61="tidak perlu")+(AJ61="draft") +
   (AL61="Ada")+(AL61="tidak perlu")+(AL61="draft") +
   (AN61="Ada")+(AN61="tidak perlu")+(AN61="draft") +
   (AP61="Ada")+(AP61="tidak perlu")+(AP61="draft") +
   (AR61="Ada")+(AR61="tidak perlu")+(AR61="draft") +
   (AT61="Ada")+(AT61="tidak perlu")+(AT61="draft") +
   (AV61="Ada")+(AV61="tidak perlu")+(AV61="draft") +
   (AX61="Ada")+(AX61="tidak perlu")+(AX61="draft") +
   (AZ61="Ada")+(AZ61="tidak perlu")+(AZ61="draft") +
   (BB61="Ada")+(BB61="tidak perlu")+(BB61="draft") +
   (BD61="Ada")+(BD61="tidak perlu")+(BD61="draft") +
   (BF61="Ada")+(BF61="tidak perlu")+(BF61="draft")
  ) = 20,
 "Lengkap","Belum Lengkap")</f>
        <v>Belum Lengkap</v>
      </c>
      <c r="BN61" s="637"/>
      <c r="BO61" s="637"/>
      <c r="BP61" s="637"/>
      <c r="BQ61" s="637"/>
      <c r="BR61" s="637"/>
      <c r="BS61" s="637"/>
      <c r="BT61" s="637"/>
      <c r="BU61" s="679"/>
      <c r="BV61" s="679"/>
      <c r="BW61" s="633" t="s">
        <v>3691</v>
      </c>
      <c r="BZ61" s="658"/>
      <c r="CA61" s="658"/>
      <c r="CB61" s="658"/>
      <c r="CC61" s="658"/>
      <c r="CD61" s="658"/>
      <c r="CE61" s="658"/>
      <c r="CF61" s="658"/>
      <c r="CG61" s="658"/>
      <c r="CH61" s="658"/>
      <c r="CI61" s="658"/>
      <c r="CJ61" s="658"/>
      <c r="CK61" s="658"/>
      <c r="CL61" s="658"/>
      <c r="CM61" s="658"/>
      <c r="CN61" s="658"/>
      <c r="CO61" s="658"/>
      <c r="CP61" s="658"/>
      <c r="CQ61" s="658"/>
      <c r="CR61" s="658"/>
      <c r="CS61" s="658"/>
      <c r="CT61" s="658"/>
      <c r="CU61" s="658"/>
      <c r="CV61" s="658"/>
      <c r="CW61" s="658"/>
    </row>
    <row r="62" spans="2:101" s="664" customFormat="1" ht="17.25" hidden="1" customHeight="1" x14ac:dyDescent="0.2">
      <c r="B62" s="633">
        <v>55</v>
      </c>
      <c r="C62" s="633" t="s">
        <v>244</v>
      </c>
      <c r="D62" s="634" t="s">
        <v>2505</v>
      </c>
      <c r="E62" s="633" t="s">
        <v>278</v>
      </c>
      <c r="F62" s="680" t="s">
        <v>2506</v>
      </c>
      <c r="G62" s="633" t="s">
        <v>3684</v>
      </c>
      <c r="H62" s="646" t="s">
        <v>3599</v>
      </c>
      <c r="I62" s="633" t="s">
        <v>3599</v>
      </c>
      <c r="J62" s="636">
        <v>0.05</v>
      </c>
      <c r="K62" s="637" t="str">
        <f t="shared" si="1"/>
        <v>2/20</v>
      </c>
      <c r="L62" s="638" t="s">
        <v>3669</v>
      </c>
      <c r="M62" s="639" t="s">
        <v>3606</v>
      </c>
      <c r="N62" s="639" t="s">
        <v>1266</v>
      </c>
      <c r="O62" s="639" t="s">
        <v>3603</v>
      </c>
      <c r="P62" s="640" t="s">
        <v>3670</v>
      </c>
      <c r="Q62" s="639" t="s">
        <v>3603</v>
      </c>
      <c r="R62" s="641" t="s">
        <v>3670</v>
      </c>
      <c r="S62" s="639" t="s">
        <v>3603</v>
      </c>
      <c r="T62" s="639"/>
      <c r="U62" s="639" t="s">
        <v>3606</v>
      </c>
      <c r="V62" s="640" t="s">
        <v>3670</v>
      </c>
      <c r="W62" s="639" t="s">
        <v>3603</v>
      </c>
      <c r="X62" s="640" t="s">
        <v>3670</v>
      </c>
      <c r="Y62" s="642" t="s">
        <v>3603</v>
      </c>
      <c r="Z62" s="640" t="s">
        <v>1266</v>
      </c>
      <c r="AA62" s="639" t="s">
        <v>3603</v>
      </c>
      <c r="AB62" s="640" t="s">
        <v>3670</v>
      </c>
      <c r="AC62" s="639" t="s">
        <v>3603</v>
      </c>
      <c r="AD62" s="640" t="s">
        <v>3670</v>
      </c>
      <c r="AE62" s="639" t="s">
        <v>3606</v>
      </c>
      <c r="AF62" s="640" t="s">
        <v>3670</v>
      </c>
      <c r="AG62" s="641" t="s">
        <v>3603</v>
      </c>
      <c r="AH62" s="640" t="s">
        <v>3670</v>
      </c>
      <c r="AI62" s="641" t="s">
        <v>3603</v>
      </c>
      <c r="AJ62" s="640" t="s">
        <v>3670</v>
      </c>
      <c r="AK62" s="641" t="s">
        <v>3603</v>
      </c>
      <c r="AL62" s="640" t="s">
        <v>3670</v>
      </c>
      <c r="AM62" s="639" t="s">
        <v>3603</v>
      </c>
      <c r="AN62" s="640" t="s">
        <v>3670</v>
      </c>
      <c r="AO62" s="639" t="s">
        <v>3603</v>
      </c>
      <c r="AP62" s="640" t="s">
        <v>3670</v>
      </c>
      <c r="AQ62" s="639" t="s">
        <v>3603</v>
      </c>
      <c r="AR62" s="640" t="s">
        <v>3670</v>
      </c>
      <c r="AS62" s="639" t="s">
        <v>3603</v>
      </c>
      <c r="AT62" s="640" t="s">
        <v>3670</v>
      </c>
      <c r="AU62" s="639" t="s">
        <v>3603</v>
      </c>
      <c r="AV62" s="640" t="s">
        <v>3670</v>
      </c>
      <c r="AW62" s="639" t="s">
        <v>3603</v>
      </c>
      <c r="AX62" s="640" t="s">
        <v>3670</v>
      </c>
      <c r="AY62" s="639" t="s">
        <v>3603</v>
      </c>
      <c r="AZ62" s="640" t="s">
        <v>3670</v>
      </c>
      <c r="BA62" s="639" t="s">
        <v>3603</v>
      </c>
      <c r="BB62" s="640" t="s">
        <v>3670</v>
      </c>
      <c r="BC62" s="639" t="s">
        <v>3603</v>
      </c>
      <c r="BD62" s="640" t="s">
        <v>3670</v>
      </c>
      <c r="BE62" s="640" t="s">
        <v>3603</v>
      </c>
      <c r="BF62" s="640" t="s">
        <v>3670</v>
      </c>
      <c r="BG62" s="640" t="s">
        <v>1266</v>
      </c>
      <c r="BH62" s="640"/>
      <c r="BI62" s="640" t="s">
        <v>3603</v>
      </c>
      <c r="BJ62" s="640"/>
      <c r="BK62" s="640" t="s">
        <v>3603</v>
      </c>
      <c r="BL62" s="640"/>
      <c r="BM62" s="678" t="str">
        <f>IF(
  (
   (P62="Ada")+(P62="tidak perlu")+(P62="draft") +
   (R62="Ada")+(R62="tidak perlu")+(R62="draft") +
   (V62="Ada")+(V62="tidak perlu")+(V62="draft") +
   (X62="Ada")+(X62="tidak perlu")+(X62="draft") +
   (AB62="Ada")+(AB62="tidak perlu")+(AB62="draft") +
   (AD62="Ada")+(AD62="tidak perlu")+(AD62="draft") +
   (AF62="Ada")+(AF62="tidak perlu")+(AF62="draft") +
   (AH62="Ada")+(AH62="tidak perlu")+(AH62="draft") +
   (AJ62="Ada")+(AJ62="tidak perlu")+(AJ62="draft") +
   (AL62="Ada")+(AL62="tidak perlu")+(AL62="draft") +
   (AN62="Ada")+(AN62="tidak perlu")+(AN62="draft") +
   (AP62="Ada")+(AP62="tidak perlu")+(AP62="draft") +
   (AR62="Ada")+(AR62="tidak perlu")+(AR62="draft") +
   (AT62="Ada")+(AT62="tidak perlu")+(AT62="draft") +
   (AV62="Ada")+(AV62="tidak perlu")+(AV62="draft") +
   (AX62="Ada")+(AX62="tidak perlu")+(AX62="draft") +
   (AZ62="Ada")+(AZ62="tidak perlu")+(AZ62="draft") +
   (BB62="Ada")+(BB62="tidak perlu")+(BB62="draft") +
   (BD62="Ada")+(BD62="tidak perlu")+(BD62="draft") +
   (BF62="Ada")+(BF62="tidak perlu")+(BF62="draft")
  ) = 20,
 "Lengkap","Belum Lengkap")</f>
        <v>Belum Lengkap</v>
      </c>
      <c r="BN62" s="683" t="s">
        <v>3696</v>
      </c>
      <c r="BO62" s="684"/>
      <c r="BP62" s="684"/>
      <c r="BQ62" s="684"/>
      <c r="BR62" s="684"/>
      <c r="BS62" s="684"/>
      <c r="BT62" s="684"/>
      <c r="BU62" s="685"/>
      <c r="BV62" s="685"/>
      <c r="BW62" s="633" t="s">
        <v>3691</v>
      </c>
      <c r="BX62" s="664" t="str">
        <f t="shared" ref="BX62:BY94" si="3">C62</f>
        <v>SPAM Jatiluhur Hilir</v>
      </c>
      <c r="BY62" s="664" t="str">
        <f t="shared" si="3"/>
        <v>24ABJ.NINJT080.2JR</v>
      </c>
      <c r="BZ62" s="686" t="str" cm="1">
        <f t="array" ref="BZ62">_xlfn.IFNA(_xlfn.IFS(N62="Ada","Selesai",N62="Tidak Perlu","Selesai",N62="","Terlambat"),"")</f>
        <v>Selesai</v>
      </c>
      <c r="CA62" s="686" t="str" cm="1">
        <f t="array" ref="CA62">_xlfn.IFNA(_xlfn.IFS(P62="Ada","Selesai",P62="Tidak Perlu","Selesai",P62="","Terlambat"),"")</f>
        <v/>
      </c>
      <c r="CB62" s="686" t="str" cm="1">
        <f t="array" ref="CB62">_xlfn.IFNA(_xlfn.IFS(R62="Ada","Selesai",R62="Tidak Perlu","Selesai",R62="","Terlambat"),"")</f>
        <v/>
      </c>
      <c r="CC62" s="686" t="str" cm="1">
        <f t="array" ref="CC62">_xlfn.IFNA(_xlfn.IFS(T62="Ada","Selesai",T62="Tidak Perlu","Selesai",T62="","Terlambat"),"")</f>
        <v>Terlambat</v>
      </c>
      <c r="CD62" s="686" t="str" cm="1">
        <f t="array" ref="CD62">_xlfn.IFNA(_xlfn.IFS(V62="Ada","Selesai",V62="Tidak Perlu","Selesai",V62="","Terlambat"),"")</f>
        <v/>
      </c>
      <c r="CE62" s="686" t="str" cm="1">
        <f t="array" ref="CE62">_xlfn.IFNA(_xlfn.IFS(X62="Ada","Selesai",X62="Tidak Perlu","Selesai",X62="","Terlambat"),"")</f>
        <v/>
      </c>
      <c r="CF62" s="686" t="str" cm="1">
        <f t="array" ref="CF62">_xlfn.IFNA(_xlfn.IFS(Z62="Ada","Selesai",Z62="Tidak Perlu","Selesai",Z62="","Terlambat"),"")</f>
        <v>Selesai</v>
      </c>
      <c r="CG62" s="686" t="str" cm="1">
        <f t="array" ref="CG62">_xlfn.IFNA(_xlfn.IFS(AB62="Ada","Selesai",AB62="Tidak Perlu","Selesai",AB62="","Terlambat"),"")</f>
        <v/>
      </c>
      <c r="CH62" s="686" t="str" cm="1">
        <f t="array" ref="CH62">_xlfn.IFNA(_xlfn.IFS(AD62="Ada","Selesai",AD62="Tidak Perlu","Selesai",AD62="","Terlambat"),"")</f>
        <v/>
      </c>
      <c r="CI62" s="686" t="str" cm="1">
        <f t="array" ref="CI62">_xlfn.IFNA(_xlfn.IFS(AF62="Ada","Selesai",AF62="Tidak Perlu","Selesai",AF62="","Terlambat"),"")</f>
        <v/>
      </c>
      <c r="CJ62" s="686" t="str" cm="1">
        <f t="array" ref="CJ62">_xlfn.IFNA(_xlfn.IFS(AH62="Ada","Selesai",AH62="Tidak Perlu","Selesai",AH62="","Terlambat"),"")</f>
        <v/>
      </c>
      <c r="CK62" s="686" t="str" cm="1">
        <f t="array" ref="CK62">_xlfn.IFNA(_xlfn.IFS(AJ62="Ada","Selesai",AJ62="Tidak Perlu","Selesai",AJ62="","Terlambat"),"")</f>
        <v/>
      </c>
      <c r="CL62" s="686" t="str" cm="1">
        <f t="array" ref="CL62">_xlfn.IFNA(_xlfn.IFS(AL62="Ada","Selesai",AL62="Tidak Perlu","Selesai",AL62="","Terlambat"),"")</f>
        <v/>
      </c>
      <c r="CM62" s="686" t="str" cm="1">
        <f t="array" ref="CM62">_xlfn.IFNA(_xlfn.IFS(AN62="Ada","Selesai",AN62="Tidak Perlu","Selesai",AN62="","Terlambat"),"")</f>
        <v/>
      </c>
      <c r="CN62" s="686" t="str" cm="1">
        <f t="array" ref="CN62">_xlfn.IFNA(_xlfn.IFS(AP62="Ada","Selesai",AP62="Tidak Perlu","Selesai",AP62="","Terlambat"),"")</f>
        <v/>
      </c>
      <c r="CO62" s="686" t="str" cm="1">
        <f t="array" ref="CO62">_xlfn.IFNA(_xlfn.IFS(AR62="Ada","Selesai",AR62="Tidak Perlu","Selesai",AR62="","Terlambat"),"")</f>
        <v/>
      </c>
      <c r="CP62" s="686" t="str" cm="1">
        <f t="array" ref="CP62">_xlfn.IFNA(_xlfn.IFS(AT62="Ada","Selesai",AT62="Tidak Perlu","Selesai",AT62="","Terlambat"),"")</f>
        <v/>
      </c>
      <c r="CQ62" s="686" t="str" cm="1">
        <f t="array" ref="CQ62">_xlfn.IFNA(_xlfn.IFS(AV62="Ada","Selesai",AV62="Tidak Perlu","Selesai",AV62="","Terlambat"),"")</f>
        <v/>
      </c>
      <c r="CR62" s="686" t="str" cm="1">
        <f t="array" ref="CR62">_xlfn.IFNA(_xlfn.IFS(AX62="Ada","Selesai",AX62="Tidak Perlu","Selesai",AX62="","Terlambat"),"")</f>
        <v/>
      </c>
      <c r="CS62" s="686" t="str" cm="1">
        <f t="array" ref="CS62">_xlfn.IFNA(_xlfn.IFS(AZ62="Ada","Selesai",AZ62="Tidak Perlu","Selesai",AZ62="","Terlambat"),"")</f>
        <v/>
      </c>
      <c r="CT62" s="686" t="str" cm="1">
        <f t="array" ref="CT62">_xlfn.IFNA(_xlfn.IFS(BB62="Ada","Selesai",BB62="Tidak Perlu","Selesai",BB62="","Terlambat"),"")</f>
        <v/>
      </c>
      <c r="CU62" s="686" t="str" cm="1">
        <f t="array" ref="CU62">_xlfn.IFNA(_xlfn.IFS(BD62="Ada","Selesai",BD62="Tidak Perlu","Selesai",BD62="","Terlambat"),"")</f>
        <v/>
      </c>
      <c r="CV62" s="686" t="str" cm="1">
        <f t="array" ref="CV62">_xlfn.IFNA(_xlfn.IFS(BF62="Ada","Selesai",BF62="Tidak Perlu","Selesai",BF62="","Terlambat"),"")</f>
        <v/>
      </c>
      <c r="CW62" s="686" t="str" cm="1">
        <f t="array" ref="CW62">_xlfn.IFNA(_xlfn.IFS(BM62="Ada","Selesai",BM62="Tidak Perlu","Selesai",BM62="","Terlambat"),"")</f>
        <v/>
      </c>
    </row>
    <row r="63" spans="2:101" ht="17.25" hidden="1" customHeight="1" x14ac:dyDescent="0.2">
      <c r="B63" s="633">
        <v>56</v>
      </c>
      <c r="C63" s="633" t="s">
        <v>244</v>
      </c>
      <c r="D63" s="634" t="s">
        <v>2513</v>
      </c>
      <c r="E63" s="633" t="s">
        <v>278</v>
      </c>
      <c r="F63" s="680" t="s">
        <v>2514</v>
      </c>
      <c r="G63" s="633" t="s">
        <v>3684</v>
      </c>
      <c r="H63" s="646" t="s">
        <v>3599</v>
      </c>
      <c r="I63" s="633" t="s">
        <v>3599</v>
      </c>
      <c r="J63" s="636">
        <v>0.17</v>
      </c>
      <c r="K63" s="637" t="str">
        <f t="shared" si="1"/>
        <v>2/20</v>
      </c>
      <c r="L63" s="638" t="s">
        <v>3669</v>
      </c>
      <c r="M63" s="639" t="s">
        <v>3606</v>
      </c>
      <c r="N63" s="639" t="s">
        <v>1266</v>
      </c>
      <c r="O63" s="639" t="s">
        <v>3603</v>
      </c>
      <c r="P63" s="640" t="s">
        <v>3670</v>
      </c>
      <c r="Q63" s="639" t="s">
        <v>3603</v>
      </c>
      <c r="R63" s="641" t="s">
        <v>3670</v>
      </c>
      <c r="S63" s="639" t="s">
        <v>3603</v>
      </c>
      <c r="T63" s="639"/>
      <c r="U63" s="639" t="s">
        <v>3606</v>
      </c>
      <c r="V63" s="640" t="s">
        <v>3670</v>
      </c>
      <c r="W63" s="639" t="s">
        <v>3603</v>
      </c>
      <c r="X63" s="640" t="s">
        <v>3670</v>
      </c>
      <c r="Y63" s="642" t="s">
        <v>3603</v>
      </c>
      <c r="Z63" s="640" t="s">
        <v>1266</v>
      </c>
      <c r="AA63" s="639" t="s">
        <v>3603</v>
      </c>
      <c r="AB63" s="640" t="s">
        <v>3670</v>
      </c>
      <c r="AC63" s="639" t="s">
        <v>3603</v>
      </c>
      <c r="AD63" s="640" t="s">
        <v>3670</v>
      </c>
      <c r="AE63" s="639" t="s">
        <v>3606</v>
      </c>
      <c r="AF63" s="640" t="s">
        <v>3670</v>
      </c>
      <c r="AG63" s="641" t="s">
        <v>3603</v>
      </c>
      <c r="AH63" s="640" t="s">
        <v>3670</v>
      </c>
      <c r="AI63" s="641" t="s">
        <v>3603</v>
      </c>
      <c r="AJ63" s="640" t="s">
        <v>3670</v>
      </c>
      <c r="AK63" s="641" t="s">
        <v>3603</v>
      </c>
      <c r="AL63" s="640" t="s">
        <v>3670</v>
      </c>
      <c r="AM63" s="639" t="s">
        <v>3603</v>
      </c>
      <c r="AN63" s="640" t="s">
        <v>3670</v>
      </c>
      <c r="AO63" s="639" t="s">
        <v>3603</v>
      </c>
      <c r="AP63" s="640" t="s">
        <v>3670</v>
      </c>
      <c r="AQ63" s="639" t="s">
        <v>3603</v>
      </c>
      <c r="AR63" s="640" t="s">
        <v>3670</v>
      </c>
      <c r="AS63" s="639" t="s">
        <v>3603</v>
      </c>
      <c r="AT63" s="640" t="s">
        <v>3670</v>
      </c>
      <c r="AU63" s="639" t="s">
        <v>3603</v>
      </c>
      <c r="AV63" s="640" t="s">
        <v>3670</v>
      </c>
      <c r="AW63" s="639" t="s">
        <v>3603</v>
      </c>
      <c r="AX63" s="640" t="s">
        <v>3670</v>
      </c>
      <c r="AY63" s="639" t="s">
        <v>3603</v>
      </c>
      <c r="AZ63" s="640" t="s">
        <v>3670</v>
      </c>
      <c r="BA63" s="639" t="s">
        <v>3603</v>
      </c>
      <c r="BB63" s="640" t="s">
        <v>3670</v>
      </c>
      <c r="BC63" s="639" t="s">
        <v>3603</v>
      </c>
      <c r="BD63" s="640" t="s">
        <v>3670</v>
      </c>
      <c r="BE63" s="640" t="s">
        <v>3603</v>
      </c>
      <c r="BF63" s="640" t="s">
        <v>3670</v>
      </c>
      <c r="BG63" s="640" t="s">
        <v>1266</v>
      </c>
      <c r="BH63" s="640"/>
      <c r="BI63" s="640" t="s">
        <v>3603</v>
      </c>
      <c r="BJ63" s="640"/>
      <c r="BK63" s="640" t="s">
        <v>3603</v>
      </c>
      <c r="BL63" s="640"/>
      <c r="BM63" s="678" t="str">
        <f>IF(
  (
   (P63="Ada")+(P63="tidak perlu")+(P63="draft") +
   (R63="Ada")+(R63="tidak perlu")+(R63="draft") +
   (V63="Ada")+(V63="tidak perlu")+(V63="draft") +
   (X63="Ada")+(X63="tidak perlu")+(X63="draft") +
   (AB63="Ada")+(AB63="tidak perlu")+(AB63="draft") +
   (AD63="Ada")+(AD63="tidak perlu")+(AD63="draft") +
   (AF63="Ada")+(AF63="tidak perlu")+(AF63="draft") +
   (AH63="Ada")+(AH63="tidak perlu")+(AH63="draft") +
   (AJ63="Ada")+(AJ63="tidak perlu")+(AJ63="draft") +
   (AL63="Ada")+(AL63="tidak perlu")+(AL63="draft") +
   (AN63="Ada")+(AN63="tidak perlu")+(AN63="draft") +
   (AP63="Ada")+(AP63="tidak perlu")+(AP63="draft") +
   (AR63="Ada")+(AR63="tidak perlu")+(AR63="draft") +
   (AT63="Ada")+(AT63="tidak perlu")+(AT63="draft") +
   (AV63="Ada")+(AV63="tidak perlu")+(AV63="draft") +
   (AX63="Ada")+(AX63="tidak perlu")+(AX63="draft") +
   (AZ63="Ada")+(AZ63="tidak perlu")+(AZ63="draft") +
   (BB63="Ada")+(BB63="tidak perlu")+(BB63="draft") +
   (BD63="Ada")+(BD63="tidak perlu")+(BD63="draft") +
   (BF63="Ada")+(BF63="tidak perlu")+(BF63="draft")
  ) = 20,
 "Lengkap","Belum Lengkap")</f>
        <v>Belum Lengkap</v>
      </c>
      <c r="BN63" s="637"/>
      <c r="BO63" s="637"/>
      <c r="BP63" s="637"/>
      <c r="BQ63" s="637"/>
      <c r="BR63" s="637"/>
      <c r="BS63" s="637"/>
      <c r="BT63" s="637"/>
      <c r="BU63" s="679"/>
      <c r="BV63" s="679"/>
      <c r="BW63" s="633" t="s">
        <v>3691</v>
      </c>
      <c r="BX63" s="651" t="str">
        <f t="shared" si="3"/>
        <v>SPAM Jatiluhur Hilir</v>
      </c>
      <c r="BY63" s="651" t="str">
        <f t="shared" si="3"/>
        <v>24ABJ.NINJT089.1JR</v>
      </c>
      <c r="BZ63" s="658" t="str" cm="1">
        <f t="array" ref="BZ63">_xlfn.IFNA(_xlfn.IFS(N63="Ada","Selesai",N63="Tidak Perlu","Selesai",N63="","Terlambat"),"")</f>
        <v>Selesai</v>
      </c>
      <c r="CA63" s="658" t="str" cm="1">
        <f t="array" ref="CA63">_xlfn.IFNA(_xlfn.IFS(P63="Ada","Selesai",P63="Tidak Perlu","Selesai",P63="","Terlambat"),"")</f>
        <v/>
      </c>
      <c r="CB63" s="658" t="str" cm="1">
        <f t="array" ref="CB63">_xlfn.IFNA(_xlfn.IFS(R63="Ada","Selesai",R63="Tidak Perlu","Selesai",R63="","Terlambat"),"")</f>
        <v/>
      </c>
      <c r="CC63" s="658" t="str" cm="1">
        <f t="array" ref="CC63">_xlfn.IFNA(_xlfn.IFS(T63="Ada","Selesai",T63="Tidak Perlu","Selesai",T63="","Terlambat"),"")</f>
        <v>Terlambat</v>
      </c>
      <c r="CD63" s="658" t="str" cm="1">
        <f t="array" ref="CD63">_xlfn.IFNA(_xlfn.IFS(V63="Ada","Selesai",V63="Tidak Perlu","Selesai",V63="","Terlambat"),"")</f>
        <v/>
      </c>
      <c r="CE63" s="658" t="str" cm="1">
        <f t="array" ref="CE63">_xlfn.IFNA(_xlfn.IFS(X63="Ada","Selesai",X63="Tidak Perlu","Selesai",X63="","Terlambat"),"")</f>
        <v/>
      </c>
      <c r="CF63" s="658" t="str" cm="1">
        <f t="array" ref="CF63">_xlfn.IFNA(_xlfn.IFS(Z63="Ada","Selesai",Z63="Tidak Perlu","Selesai",Z63="","Terlambat"),"")</f>
        <v>Selesai</v>
      </c>
      <c r="CG63" s="658" t="str" cm="1">
        <f t="array" ref="CG63">_xlfn.IFNA(_xlfn.IFS(AB63="Ada","Selesai",AB63="Tidak Perlu","Selesai",AB63="","Terlambat"),"")</f>
        <v/>
      </c>
      <c r="CH63" s="658" t="str" cm="1">
        <f t="array" ref="CH63">_xlfn.IFNA(_xlfn.IFS(AD63="Ada","Selesai",AD63="Tidak Perlu","Selesai",AD63="","Terlambat"),"")</f>
        <v/>
      </c>
      <c r="CI63" s="658" t="str" cm="1">
        <f t="array" ref="CI63">_xlfn.IFNA(_xlfn.IFS(AF63="Ada","Selesai",AF63="Tidak Perlu","Selesai",AF63="","Terlambat"),"")</f>
        <v/>
      </c>
      <c r="CJ63" s="658" t="str" cm="1">
        <f t="array" ref="CJ63">_xlfn.IFNA(_xlfn.IFS(AH63="Ada","Selesai",AH63="Tidak Perlu","Selesai",AH63="","Terlambat"),"")</f>
        <v/>
      </c>
      <c r="CK63" s="658" t="str" cm="1">
        <f t="array" ref="CK63">_xlfn.IFNA(_xlfn.IFS(AJ63="Ada","Selesai",AJ63="Tidak Perlu","Selesai",AJ63="","Terlambat"),"")</f>
        <v/>
      </c>
      <c r="CL63" s="658" t="str" cm="1">
        <f t="array" ref="CL63">_xlfn.IFNA(_xlfn.IFS(AL63="Ada","Selesai",AL63="Tidak Perlu","Selesai",AL63="","Terlambat"),"")</f>
        <v/>
      </c>
      <c r="CM63" s="658" t="str" cm="1">
        <f t="array" ref="CM63">_xlfn.IFNA(_xlfn.IFS(AN63="Ada","Selesai",AN63="Tidak Perlu","Selesai",AN63="","Terlambat"),"")</f>
        <v/>
      </c>
      <c r="CN63" s="658" t="str" cm="1">
        <f t="array" ref="CN63">_xlfn.IFNA(_xlfn.IFS(AP63="Ada","Selesai",AP63="Tidak Perlu","Selesai",AP63="","Terlambat"),"")</f>
        <v/>
      </c>
      <c r="CO63" s="658" t="str" cm="1">
        <f t="array" ref="CO63">_xlfn.IFNA(_xlfn.IFS(AR63="Ada","Selesai",AR63="Tidak Perlu","Selesai",AR63="","Terlambat"),"")</f>
        <v/>
      </c>
      <c r="CP63" s="658" t="str" cm="1">
        <f t="array" ref="CP63">_xlfn.IFNA(_xlfn.IFS(AT63="Ada","Selesai",AT63="Tidak Perlu","Selesai",AT63="","Terlambat"),"")</f>
        <v/>
      </c>
      <c r="CQ63" s="658" t="str" cm="1">
        <f t="array" ref="CQ63">_xlfn.IFNA(_xlfn.IFS(AV63="Ada","Selesai",AV63="Tidak Perlu","Selesai",AV63="","Terlambat"),"")</f>
        <v/>
      </c>
      <c r="CR63" s="658" t="str" cm="1">
        <f t="array" ref="CR63">_xlfn.IFNA(_xlfn.IFS(AX63="Ada","Selesai",AX63="Tidak Perlu","Selesai",AX63="","Terlambat"),"")</f>
        <v/>
      </c>
      <c r="CS63" s="658" t="str" cm="1">
        <f t="array" ref="CS63">_xlfn.IFNA(_xlfn.IFS(AZ63="Ada","Selesai",AZ63="Tidak Perlu","Selesai",AZ63="","Terlambat"),"")</f>
        <v/>
      </c>
      <c r="CT63" s="658" t="str" cm="1">
        <f t="array" ref="CT63">_xlfn.IFNA(_xlfn.IFS(BB63="Ada","Selesai",BB63="Tidak Perlu","Selesai",BB63="","Terlambat"),"")</f>
        <v/>
      </c>
      <c r="CU63" s="658" t="str" cm="1">
        <f t="array" ref="CU63">_xlfn.IFNA(_xlfn.IFS(BD63="Ada","Selesai",BD63="Tidak Perlu","Selesai",BD63="","Terlambat"),"")</f>
        <v/>
      </c>
      <c r="CV63" s="658" t="str" cm="1">
        <f t="array" ref="CV63">_xlfn.IFNA(_xlfn.IFS(BF63="Ada","Selesai",BF63="Tidak Perlu","Selesai",BF63="","Terlambat"),"")</f>
        <v/>
      </c>
      <c r="CW63" s="658" t="str" cm="1">
        <f t="array" ref="CW63">_xlfn.IFNA(_xlfn.IFS(BM63="Ada","Selesai",BM63="Tidak Perlu","Selesai",BM63="","Terlambat"),"")</f>
        <v/>
      </c>
    </row>
    <row r="64" spans="2:101" ht="17.25" hidden="1" customHeight="1" x14ac:dyDescent="0.2">
      <c r="B64" s="633">
        <v>57</v>
      </c>
      <c r="C64" s="633" t="s">
        <v>244</v>
      </c>
      <c r="D64" s="634" t="s">
        <v>2521</v>
      </c>
      <c r="E64" s="633" t="s">
        <v>278</v>
      </c>
      <c r="F64" s="634" t="s">
        <v>2522</v>
      </c>
      <c r="G64" s="633" t="s">
        <v>3608</v>
      </c>
      <c r="H64" s="635" t="s">
        <v>3667</v>
      </c>
      <c r="I64" s="633" t="s">
        <v>3668</v>
      </c>
      <c r="J64" s="636">
        <v>0.45601809846842045</v>
      </c>
      <c r="K64" s="637" t="str">
        <f t="shared" si="1"/>
        <v>5/20</v>
      </c>
      <c r="L64" s="638" t="s">
        <v>3669</v>
      </c>
      <c r="M64" s="639" t="s">
        <v>3606</v>
      </c>
      <c r="N64" s="639" t="s">
        <v>1266</v>
      </c>
      <c r="O64" s="639" t="s">
        <v>3603</v>
      </c>
      <c r="P64" s="640" t="s">
        <v>3670</v>
      </c>
      <c r="Q64" s="639" t="s">
        <v>3603</v>
      </c>
      <c r="R64" s="641" t="s">
        <v>3670</v>
      </c>
      <c r="S64" s="639" t="s">
        <v>3606</v>
      </c>
      <c r="T64" s="639"/>
      <c r="U64" s="639" t="s">
        <v>3606</v>
      </c>
      <c r="V64" s="640" t="s">
        <v>3670</v>
      </c>
      <c r="W64" s="639" t="s">
        <v>3603</v>
      </c>
      <c r="X64" s="640" t="s">
        <v>3670</v>
      </c>
      <c r="Y64" s="642" t="s">
        <v>3603</v>
      </c>
      <c r="Z64" s="640" t="s">
        <v>1266</v>
      </c>
      <c r="AA64" s="639" t="s">
        <v>3603</v>
      </c>
      <c r="AB64" s="640" t="s">
        <v>3670</v>
      </c>
      <c r="AC64" s="639" t="s">
        <v>3603</v>
      </c>
      <c r="AD64" s="640" t="s">
        <v>3670</v>
      </c>
      <c r="AE64" s="639" t="s">
        <v>3606</v>
      </c>
      <c r="AF64" s="640" t="s">
        <v>3678</v>
      </c>
      <c r="AG64" s="641" t="s">
        <v>3603</v>
      </c>
      <c r="AH64" s="640" t="s">
        <v>3670</v>
      </c>
      <c r="AI64" s="641" t="s">
        <v>3603</v>
      </c>
      <c r="AJ64" s="640" t="s">
        <v>3670</v>
      </c>
      <c r="AK64" s="641" t="s">
        <v>3603</v>
      </c>
      <c r="AL64" s="640" t="s">
        <v>3670</v>
      </c>
      <c r="AM64" s="639" t="s">
        <v>3606</v>
      </c>
      <c r="AN64" s="645" t="s">
        <v>3678</v>
      </c>
      <c r="AO64" s="639" t="s">
        <v>3603</v>
      </c>
      <c r="AP64" s="640" t="s">
        <v>3670</v>
      </c>
      <c r="AQ64" s="639" t="s">
        <v>3606</v>
      </c>
      <c r="AR64" s="640" t="s">
        <v>3678</v>
      </c>
      <c r="AS64" s="639" t="s">
        <v>3603</v>
      </c>
      <c r="AT64" s="640" t="s">
        <v>3670</v>
      </c>
      <c r="AU64" s="639" t="s">
        <v>3603</v>
      </c>
      <c r="AV64" s="640" t="s">
        <v>3670</v>
      </c>
      <c r="AW64" s="639" t="s">
        <v>3603</v>
      </c>
      <c r="AX64" s="640" t="s">
        <v>3670</v>
      </c>
      <c r="AY64" s="639" t="s">
        <v>3603</v>
      </c>
      <c r="AZ64" s="640" t="s">
        <v>3670</v>
      </c>
      <c r="BA64" s="639" t="s">
        <v>3603</v>
      </c>
      <c r="BB64" s="640" t="s">
        <v>3670</v>
      </c>
      <c r="BC64" s="639" t="s">
        <v>3603</v>
      </c>
      <c r="BD64" s="640" t="s">
        <v>3670</v>
      </c>
      <c r="BE64" s="640" t="s">
        <v>3604</v>
      </c>
      <c r="BF64" s="640" t="s">
        <v>3670</v>
      </c>
      <c r="BG64" s="640" t="s">
        <v>3603</v>
      </c>
      <c r="BH64" s="640" t="s">
        <v>3670</v>
      </c>
      <c r="BI64" s="640" t="s">
        <v>3603</v>
      </c>
      <c r="BJ64" s="640"/>
      <c r="BK64" s="640" t="s">
        <v>3603</v>
      </c>
      <c r="BL64" s="640"/>
      <c r="BM64" s="678"/>
      <c r="BN64" s="682"/>
      <c r="BO64" s="637"/>
      <c r="BP64" s="637"/>
      <c r="BQ64" s="637"/>
      <c r="BR64" s="637"/>
      <c r="BS64" s="637"/>
      <c r="BT64" s="637"/>
      <c r="BU64" s="679"/>
      <c r="BV64" s="679"/>
      <c r="BW64" s="633" t="s">
        <v>3668</v>
      </c>
      <c r="BX64" s="651" t="str">
        <f t="shared" si="3"/>
        <v>SPAM Jatiluhur Hilir</v>
      </c>
      <c r="BY64" s="651" t="str">
        <f t="shared" si="3"/>
        <v>25ABJ.NINJTP004.1JR</v>
      </c>
      <c r="BZ64" s="658" t="str" cm="1">
        <f t="array" ref="BZ64">_xlfn.IFNA(_xlfn.IFS(N64="Ada","Selesai",N64="Tidak Perlu","Selesai",N64="","Terlambat"),"")</f>
        <v>Selesai</v>
      </c>
      <c r="CA64" s="658" t="str" cm="1">
        <f t="array" ref="CA64">_xlfn.IFNA(_xlfn.IFS(P64="Ada","Selesai",P64="Tidak Perlu","Selesai",P64="","Terlambat"),"")</f>
        <v/>
      </c>
      <c r="CB64" s="658" t="str" cm="1">
        <f t="array" ref="CB64">_xlfn.IFNA(_xlfn.IFS(R64="Ada","Selesai",R64="Tidak Perlu","Selesai",R64="","Terlambat"),"")</f>
        <v/>
      </c>
      <c r="CC64" s="658" t="str" cm="1">
        <f t="array" ref="CC64">_xlfn.IFNA(_xlfn.IFS(T64="Ada","Selesai",T64="Tidak Perlu","Selesai",T64="","Terlambat"),"")</f>
        <v>Terlambat</v>
      </c>
      <c r="CD64" s="658" t="str" cm="1">
        <f t="array" ref="CD64">_xlfn.IFNA(_xlfn.IFS(V64="Ada","Selesai",V64="Tidak Perlu","Selesai",V64="","Terlambat"),"")</f>
        <v/>
      </c>
      <c r="CE64" s="658" t="str" cm="1">
        <f t="array" ref="CE64">_xlfn.IFNA(_xlfn.IFS(X64="Ada","Selesai",X64="Tidak Perlu","Selesai",X64="","Terlambat"),"")</f>
        <v/>
      </c>
      <c r="CF64" s="658" t="str" cm="1">
        <f t="array" ref="CF64">_xlfn.IFNA(_xlfn.IFS(Z64="Ada","Selesai",Z64="Tidak Perlu","Selesai",Z64="","Terlambat"),"")</f>
        <v>Selesai</v>
      </c>
      <c r="CG64" s="658" t="str" cm="1">
        <f t="array" ref="CG64">_xlfn.IFNA(_xlfn.IFS(AB64="Ada","Selesai",AB64="Tidak Perlu","Selesai",AB64="","Terlambat"),"")</f>
        <v/>
      </c>
      <c r="CH64" s="658" t="str" cm="1">
        <f t="array" ref="CH64">_xlfn.IFNA(_xlfn.IFS(AD64="Ada","Selesai",AD64="Tidak Perlu","Selesai",AD64="","Terlambat"),"")</f>
        <v/>
      </c>
      <c r="CI64" s="658" t="str" cm="1">
        <f t="array" ref="CI64">_xlfn.IFNA(_xlfn.IFS(AF64="Ada","Selesai",AF64="Tidak Perlu","Selesai",AF64="","Terlambat"),"")</f>
        <v>Selesai</v>
      </c>
      <c r="CJ64" s="658" t="str" cm="1">
        <f t="array" ref="CJ64">_xlfn.IFNA(_xlfn.IFS(AH64="Ada","Selesai",AH64="Tidak Perlu","Selesai",AH64="","Terlambat"),"")</f>
        <v/>
      </c>
      <c r="CK64" s="658" t="str" cm="1">
        <f t="array" ref="CK64">_xlfn.IFNA(_xlfn.IFS(AJ64="Ada","Selesai",AJ64="Tidak Perlu","Selesai",AJ64="","Terlambat"),"")</f>
        <v/>
      </c>
      <c r="CL64" s="658" t="str" cm="1">
        <f t="array" ref="CL64">_xlfn.IFNA(_xlfn.IFS(AL64="Ada","Selesai",AL64="Tidak Perlu","Selesai",AL64="","Terlambat"),"")</f>
        <v/>
      </c>
      <c r="CM64" s="658" t="str" cm="1">
        <f t="array" ref="CM64">_xlfn.IFNA(_xlfn.IFS(AN64="Ada","Selesai",AN64="Tidak Perlu","Selesai",AN64="","Terlambat"),"")</f>
        <v>Selesai</v>
      </c>
      <c r="CN64" s="658" t="str" cm="1">
        <f t="array" ref="CN64">_xlfn.IFNA(_xlfn.IFS(AP64="Ada","Selesai",AP64="Tidak Perlu","Selesai",AP64="","Terlambat"),"")</f>
        <v/>
      </c>
      <c r="CO64" s="658" t="str" cm="1">
        <f t="array" ref="CO64">_xlfn.IFNA(_xlfn.IFS(AR64="Ada","Selesai",AR64="Tidak Perlu","Selesai",AR64="","Terlambat"),"")</f>
        <v>Selesai</v>
      </c>
      <c r="CP64" s="658" t="str" cm="1">
        <f t="array" ref="CP64">_xlfn.IFNA(_xlfn.IFS(AT64="Ada","Selesai",AT64="Tidak Perlu","Selesai",AT64="","Terlambat"),"")</f>
        <v/>
      </c>
      <c r="CQ64" s="658" t="str" cm="1">
        <f t="array" ref="CQ64">_xlfn.IFNA(_xlfn.IFS(AV64="Ada","Selesai",AV64="Tidak Perlu","Selesai",AV64="","Terlambat"),"")</f>
        <v/>
      </c>
      <c r="CR64" s="658" t="str" cm="1">
        <f t="array" ref="CR64">_xlfn.IFNA(_xlfn.IFS(AX64="Ada","Selesai",AX64="Tidak Perlu","Selesai",AX64="","Terlambat"),"")</f>
        <v/>
      </c>
      <c r="CS64" s="658" t="str" cm="1">
        <f t="array" ref="CS64">_xlfn.IFNA(_xlfn.IFS(AZ64="Ada","Selesai",AZ64="Tidak Perlu","Selesai",AZ64="","Terlambat"),"")</f>
        <v/>
      </c>
      <c r="CT64" s="658" t="str" cm="1">
        <f t="array" ref="CT64">_xlfn.IFNA(_xlfn.IFS(BB64="Ada","Selesai",BB64="Tidak Perlu","Selesai",BB64="","Terlambat"),"")</f>
        <v/>
      </c>
      <c r="CU64" s="658" t="str" cm="1">
        <f t="array" ref="CU64">_xlfn.IFNA(_xlfn.IFS(BD64="Ada","Selesai",BD64="Tidak Perlu","Selesai",BD64="","Terlambat"),"")</f>
        <v/>
      </c>
      <c r="CV64" s="658" t="str" cm="1">
        <f t="array" ref="CV64">_xlfn.IFNA(_xlfn.IFS(BF64="Ada","Selesai",BF64="Tidak Perlu","Selesai",BF64="","Terlambat"),"")</f>
        <v/>
      </c>
      <c r="CW64" s="658" t="str" cm="1">
        <f t="array" ref="CW64">_xlfn.IFNA(_xlfn.IFS(BM64="Ada","Selesai",BM64="Tidak Perlu","Selesai",BM64="","Terlambat"),"")</f>
        <v>Terlambat</v>
      </c>
    </row>
    <row r="65" spans="2:101" ht="17.25" hidden="1" customHeight="1" x14ac:dyDescent="0.2">
      <c r="B65" s="633">
        <v>58</v>
      </c>
      <c r="C65" s="633" t="s">
        <v>244</v>
      </c>
      <c r="D65" s="634" t="s">
        <v>2532</v>
      </c>
      <c r="E65" s="633" t="s">
        <v>278</v>
      </c>
      <c r="F65" s="681" t="s">
        <v>3697</v>
      </c>
      <c r="G65" s="633" t="s">
        <v>3560</v>
      </c>
      <c r="H65" s="646" t="s">
        <v>3690</v>
      </c>
      <c r="I65" s="633" t="s">
        <v>3685</v>
      </c>
      <c r="J65" s="636">
        <v>1</v>
      </c>
      <c r="K65" s="637" t="str">
        <f t="shared" si="1"/>
        <v>19/20</v>
      </c>
      <c r="L65" s="638" t="s">
        <v>3686</v>
      </c>
      <c r="M65" s="639" t="s">
        <v>3606</v>
      </c>
      <c r="N65" s="639" t="s">
        <v>1266</v>
      </c>
      <c r="O65" s="639" t="s">
        <v>3606</v>
      </c>
      <c r="P65" s="640" t="s">
        <v>3678</v>
      </c>
      <c r="Q65" s="639" t="s">
        <v>3606</v>
      </c>
      <c r="R65" s="643" t="s">
        <v>3678</v>
      </c>
      <c r="S65" s="639" t="s">
        <v>3606</v>
      </c>
      <c r="T65" s="640" t="s">
        <v>3678</v>
      </c>
      <c r="U65" s="639" t="s">
        <v>3606</v>
      </c>
      <c r="V65" s="643" t="s">
        <v>3678</v>
      </c>
      <c r="W65" s="639" t="s">
        <v>3606</v>
      </c>
      <c r="X65" s="643" t="s">
        <v>3678</v>
      </c>
      <c r="Y65" s="642" t="s">
        <v>3606</v>
      </c>
      <c r="Z65" s="640" t="s">
        <v>1266</v>
      </c>
      <c r="AA65" s="639" t="s">
        <v>3606</v>
      </c>
      <c r="AB65" s="643" t="s">
        <v>3678</v>
      </c>
      <c r="AC65" s="639" t="s">
        <v>3606</v>
      </c>
      <c r="AD65" s="643" t="s">
        <v>3678</v>
      </c>
      <c r="AE65" s="639" t="s">
        <v>3606</v>
      </c>
      <c r="AF65" s="640" t="s">
        <v>3678</v>
      </c>
      <c r="AG65" s="641" t="s">
        <v>3606</v>
      </c>
      <c r="AH65" s="640" t="s">
        <v>3678</v>
      </c>
      <c r="AI65" s="641" t="s">
        <v>3606</v>
      </c>
      <c r="AJ65" s="643" t="s">
        <v>3678</v>
      </c>
      <c r="AK65" s="641" t="s">
        <v>3606</v>
      </c>
      <c r="AL65" s="645" t="s">
        <v>3678</v>
      </c>
      <c r="AM65" s="639" t="s">
        <v>3606</v>
      </c>
      <c r="AN65" s="640" t="s">
        <v>3678</v>
      </c>
      <c r="AO65" s="639" t="s">
        <v>3606</v>
      </c>
      <c r="AP65" s="640" t="s">
        <v>3678</v>
      </c>
      <c r="AQ65" s="639" t="s">
        <v>3606</v>
      </c>
      <c r="AR65" s="640" t="s">
        <v>3678</v>
      </c>
      <c r="AS65" s="639" t="s">
        <v>3606</v>
      </c>
      <c r="AT65" s="643" t="s">
        <v>3678</v>
      </c>
      <c r="AU65" s="639" t="s">
        <v>3606</v>
      </c>
      <c r="AV65" s="643" t="s">
        <v>3678</v>
      </c>
      <c r="AW65" s="639" t="s">
        <v>3606</v>
      </c>
      <c r="AX65" s="643" t="s">
        <v>3678</v>
      </c>
      <c r="AY65" s="639" t="s">
        <v>3606</v>
      </c>
      <c r="AZ65" s="640" t="s">
        <v>3678</v>
      </c>
      <c r="BA65" s="639" t="s">
        <v>3606</v>
      </c>
      <c r="BB65" s="640" t="s">
        <v>3678</v>
      </c>
      <c r="BC65" s="639" t="s">
        <v>3606</v>
      </c>
      <c r="BD65" s="645" t="s">
        <v>3678</v>
      </c>
      <c r="BE65" s="640" t="s">
        <v>3606</v>
      </c>
      <c r="BF65" s="645" t="s">
        <v>3678</v>
      </c>
      <c r="BG65" s="640" t="s">
        <v>1266</v>
      </c>
      <c r="BH65" s="645" t="s">
        <v>1266</v>
      </c>
      <c r="BI65" s="640" t="s">
        <v>3606</v>
      </c>
      <c r="BJ65" s="640" t="s">
        <v>3678</v>
      </c>
      <c r="BK65" s="640" t="s">
        <v>3606</v>
      </c>
      <c r="BL65" s="640" t="s">
        <v>3678</v>
      </c>
      <c r="BM65" s="678" t="s">
        <v>3679</v>
      </c>
      <c r="BN65" s="682"/>
      <c r="BO65" s="637"/>
      <c r="BP65" s="637"/>
      <c r="BQ65" s="637"/>
      <c r="BR65" s="637"/>
      <c r="BS65" s="637"/>
      <c r="BT65" s="637"/>
      <c r="BU65" s="679"/>
      <c r="BV65" s="679"/>
      <c r="BW65" s="633" t="s">
        <v>3687</v>
      </c>
      <c r="BX65" s="651" t="str">
        <f t="shared" si="3"/>
        <v>SPAM Jatiluhur Hilir</v>
      </c>
      <c r="BY65" s="651" t="str">
        <f t="shared" si="3"/>
        <v>25ABJ.NINJT078.6JR</v>
      </c>
      <c r="BZ65" s="658" t="str" cm="1">
        <f t="array" ref="BZ65">_xlfn.IFNA(_xlfn.IFS(N65="Ada","Selesai",N65="Tidak Perlu","Selesai",N65="","Terlambat"),"")</f>
        <v>Selesai</v>
      </c>
      <c r="CA65" s="658" t="str" cm="1">
        <f t="array" ref="CA65">_xlfn.IFNA(_xlfn.IFS(P65="Ada","Selesai",P65="Tidak Perlu","Selesai",P65="","Terlambat"),"")</f>
        <v>Selesai</v>
      </c>
      <c r="CB65" s="658" t="str" cm="1">
        <f t="array" ref="CB65">_xlfn.IFNA(_xlfn.IFS(R65="Ada","Selesai",R65="Tidak Perlu","Selesai",R65="","Terlambat"),"")</f>
        <v>Selesai</v>
      </c>
      <c r="CC65" s="658" t="str" cm="1">
        <f t="array" ref="CC65">_xlfn.IFNA(_xlfn.IFS(T65="Ada","Selesai",T65="Tidak Perlu","Selesai",T65="","Terlambat"),"")</f>
        <v>Selesai</v>
      </c>
      <c r="CD65" s="658" t="str" cm="1">
        <f t="array" ref="CD65">_xlfn.IFNA(_xlfn.IFS(V65="Ada","Selesai",V65="Tidak Perlu","Selesai",V65="","Terlambat"),"")</f>
        <v>Selesai</v>
      </c>
      <c r="CE65" s="658" t="str" cm="1">
        <f t="array" ref="CE65">_xlfn.IFNA(_xlfn.IFS(X65="Ada","Selesai",X65="Tidak Perlu","Selesai",X65="","Terlambat"),"")</f>
        <v>Selesai</v>
      </c>
      <c r="CF65" s="658" t="str" cm="1">
        <f t="array" ref="CF65">_xlfn.IFNA(_xlfn.IFS(Z65="Ada","Selesai",Z65="Tidak Perlu","Selesai",Z65="","Terlambat"),"")</f>
        <v>Selesai</v>
      </c>
      <c r="CG65" s="658" t="str" cm="1">
        <f t="array" ref="CG65">_xlfn.IFNA(_xlfn.IFS(AB65="Ada","Selesai",AB65="Tidak Perlu","Selesai",AB65="","Terlambat"),"")</f>
        <v>Selesai</v>
      </c>
      <c r="CH65" s="658" t="str" cm="1">
        <f t="array" ref="CH65">_xlfn.IFNA(_xlfn.IFS(AD65="Ada","Selesai",AD65="Tidak Perlu","Selesai",AD65="","Terlambat"),"")</f>
        <v>Selesai</v>
      </c>
      <c r="CI65" s="658" t="str" cm="1">
        <f t="array" ref="CI65">_xlfn.IFNA(_xlfn.IFS(AF65="Ada","Selesai",AF65="Tidak Perlu","Selesai",AF65="","Terlambat"),"")</f>
        <v>Selesai</v>
      </c>
      <c r="CJ65" s="658" t="str" cm="1">
        <f t="array" ref="CJ65">_xlfn.IFNA(_xlfn.IFS(AH65="Ada","Selesai",AH65="Tidak Perlu","Selesai",AH65="","Terlambat"),"")</f>
        <v>Selesai</v>
      </c>
      <c r="CK65" s="658" t="str" cm="1">
        <f t="array" ref="CK65">_xlfn.IFNA(_xlfn.IFS(AJ65="Ada","Selesai",AJ65="Tidak Perlu","Selesai",AJ65="","Terlambat"),"")</f>
        <v>Selesai</v>
      </c>
      <c r="CL65" s="658" t="str" cm="1">
        <f t="array" ref="CL65">_xlfn.IFNA(_xlfn.IFS(AL65="Ada","Selesai",AL65="Tidak Perlu","Selesai",AL65="","Terlambat"),"")</f>
        <v>Selesai</v>
      </c>
      <c r="CM65" s="658" t="str" cm="1">
        <f t="array" ref="CM65">_xlfn.IFNA(_xlfn.IFS(AN65="Ada","Selesai",AN65="Tidak Perlu","Selesai",AN65="","Terlambat"),"")</f>
        <v>Selesai</v>
      </c>
      <c r="CN65" s="658" t="str" cm="1">
        <f t="array" ref="CN65">_xlfn.IFNA(_xlfn.IFS(AP65="Ada","Selesai",AP65="Tidak Perlu","Selesai",AP65="","Terlambat"),"")</f>
        <v>Selesai</v>
      </c>
      <c r="CO65" s="658" t="str" cm="1">
        <f t="array" ref="CO65">_xlfn.IFNA(_xlfn.IFS(AR65="Ada","Selesai",AR65="Tidak Perlu","Selesai",AR65="","Terlambat"),"")</f>
        <v>Selesai</v>
      </c>
      <c r="CP65" s="658" t="str" cm="1">
        <f t="array" ref="CP65">_xlfn.IFNA(_xlfn.IFS(AT65="Ada","Selesai",AT65="Tidak Perlu","Selesai",AT65="","Terlambat"),"")</f>
        <v>Selesai</v>
      </c>
      <c r="CQ65" s="658" t="str" cm="1">
        <f t="array" ref="CQ65">_xlfn.IFNA(_xlfn.IFS(AV65="Ada","Selesai",AV65="Tidak Perlu","Selesai",AV65="","Terlambat"),"")</f>
        <v>Selesai</v>
      </c>
      <c r="CR65" s="658" t="str" cm="1">
        <f t="array" ref="CR65">_xlfn.IFNA(_xlfn.IFS(AX65="Ada","Selesai",AX65="Tidak Perlu","Selesai",AX65="","Terlambat"),"")</f>
        <v>Selesai</v>
      </c>
      <c r="CS65" s="658" t="str" cm="1">
        <f t="array" ref="CS65">_xlfn.IFNA(_xlfn.IFS(AZ65="Ada","Selesai",AZ65="Tidak Perlu","Selesai",AZ65="","Terlambat"),"")</f>
        <v>Selesai</v>
      </c>
      <c r="CT65" s="658" t="str" cm="1">
        <f t="array" ref="CT65">_xlfn.IFNA(_xlfn.IFS(BB65="Ada","Selesai",BB65="Tidak Perlu","Selesai",BB65="","Terlambat"),"")</f>
        <v>Selesai</v>
      </c>
      <c r="CU65" s="658" t="str" cm="1">
        <f t="array" ref="CU65">_xlfn.IFNA(_xlfn.IFS(BD65="Ada","Selesai",BD65="Tidak Perlu","Selesai",BD65="","Terlambat"),"")</f>
        <v>Selesai</v>
      </c>
      <c r="CV65" s="658" t="str" cm="1">
        <f t="array" ref="CV65">_xlfn.IFNA(_xlfn.IFS(BF65="Ada","Selesai",BF65="Tidak Perlu","Selesai",BF65="","Terlambat"),"")</f>
        <v>Selesai</v>
      </c>
      <c r="CW65" s="658" t="str" cm="1">
        <f t="array" ref="CW65">_xlfn.IFNA(_xlfn.IFS(BM65="Ada","Selesai",BM65="Tidak Perlu","Selesai",BM65="","Terlambat"),"")</f>
        <v/>
      </c>
    </row>
    <row r="66" spans="2:101" ht="17.25" hidden="1" customHeight="1" x14ac:dyDescent="0.2">
      <c r="B66" s="633">
        <v>59</v>
      </c>
      <c r="C66" s="633" t="s">
        <v>673</v>
      </c>
      <c r="D66" s="634" t="s">
        <v>2542</v>
      </c>
      <c r="E66" s="633" t="s">
        <v>278</v>
      </c>
      <c r="F66" s="680" t="s">
        <v>3698</v>
      </c>
      <c r="G66" s="633" t="s">
        <v>3684</v>
      </c>
      <c r="H66" s="646" t="s">
        <v>3599</v>
      </c>
      <c r="I66" s="633" t="s">
        <v>3599</v>
      </c>
      <c r="J66" s="636">
        <v>0</v>
      </c>
      <c r="K66" s="637" t="str">
        <f t="shared" si="1"/>
        <v>0/20</v>
      </c>
      <c r="L66" s="638">
        <v>0</v>
      </c>
      <c r="M66" s="639" t="s">
        <v>1266</v>
      </c>
      <c r="N66" s="639"/>
      <c r="O66" s="639" t="s">
        <v>1266</v>
      </c>
      <c r="P66" s="640"/>
      <c r="Q66" s="639" t="s">
        <v>1266</v>
      </c>
      <c r="R66" s="641"/>
      <c r="S66" s="639" t="s">
        <v>1266</v>
      </c>
      <c r="T66" s="639"/>
      <c r="U66" s="639" t="s">
        <v>1266</v>
      </c>
      <c r="V66" s="640"/>
      <c r="W66" s="639" t="s">
        <v>1266</v>
      </c>
      <c r="X66" s="640"/>
      <c r="Y66" s="642" t="s">
        <v>1266</v>
      </c>
      <c r="Z66" s="640" t="s">
        <v>1266</v>
      </c>
      <c r="AA66" s="639" t="s">
        <v>1266</v>
      </c>
      <c r="AB66" s="640"/>
      <c r="AC66" s="639" t="s">
        <v>1266</v>
      </c>
      <c r="AD66" s="640"/>
      <c r="AE66" s="639" t="s">
        <v>1266</v>
      </c>
      <c r="AF66" s="640"/>
      <c r="AG66" s="641" t="s">
        <v>1266</v>
      </c>
      <c r="AH66" s="640"/>
      <c r="AI66" s="641" t="s">
        <v>1266</v>
      </c>
      <c r="AJ66" s="640"/>
      <c r="AK66" s="641" t="s">
        <v>1266</v>
      </c>
      <c r="AL66" s="640"/>
      <c r="AM66" s="639" t="s">
        <v>1266</v>
      </c>
      <c r="AN66" s="640"/>
      <c r="AO66" s="639" t="s">
        <v>1266</v>
      </c>
      <c r="AP66" s="640"/>
      <c r="AQ66" s="639" t="s">
        <v>1266</v>
      </c>
      <c r="AR66" s="640"/>
      <c r="AS66" s="639" t="s">
        <v>1266</v>
      </c>
      <c r="AT66" s="640"/>
      <c r="AU66" s="639" t="s">
        <v>1266</v>
      </c>
      <c r="AV66" s="640"/>
      <c r="AW66" s="639" t="s">
        <v>1266</v>
      </c>
      <c r="AX66" s="640"/>
      <c r="AY66" s="639" t="s">
        <v>1266</v>
      </c>
      <c r="AZ66" s="640"/>
      <c r="BA66" s="639" t="s">
        <v>1266</v>
      </c>
      <c r="BB66" s="640"/>
      <c r="BC66" s="639" t="s">
        <v>1266</v>
      </c>
      <c r="BD66" s="640"/>
      <c r="BE66" s="640" t="s">
        <v>1266</v>
      </c>
      <c r="BF66" s="640"/>
      <c r="BG66" s="640" t="s">
        <v>1266</v>
      </c>
      <c r="BH66" s="640"/>
      <c r="BI66" s="640" t="s">
        <v>1266</v>
      </c>
      <c r="BJ66" s="640"/>
      <c r="BK66" s="640" t="s">
        <v>1266</v>
      </c>
      <c r="BL66" s="640"/>
      <c r="BM66" s="678" t="str">
        <f>IF(
  (
   (P66="Ada")+(P66="tidak perlu")+(P66="draft") +
   (R66="Ada")+(R66="tidak perlu")+(R66="draft") +
   (V66="Ada")+(V66="tidak perlu")+(V66="draft") +
   (X66="Ada")+(X66="tidak perlu")+(X66="draft") +
   (AB66="Ada")+(AB66="tidak perlu")+(AB66="draft") +
   (AD66="Ada")+(AD66="tidak perlu")+(AD66="draft") +
   (AF66="Ada")+(AF66="tidak perlu")+(AF66="draft") +
   (AH66="Ada")+(AH66="tidak perlu")+(AH66="draft") +
   (AJ66="Ada")+(AJ66="tidak perlu")+(AJ66="draft") +
   (AL66="Ada")+(AL66="tidak perlu")+(AL66="draft") +
   (AN66="Ada")+(AN66="tidak perlu")+(AN66="draft") +
   (AP66="Ada")+(AP66="tidak perlu")+(AP66="draft") +
   (AR66="Ada")+(AR66="tidak perlu")+(AR66="draft") +
   (AT66="Ada")+(AT66="tidak perlu")+(AT66="draft") +
   (AV66="Ada")+(AV66="tidak perlu")+(AV66="draft") +
   (AX66="Ada")+(AX66="tidak perlu")+(AX66="draft") +
   (AZ66="Ada")+(AZ66="tidak perlu")+(AZ66="draft") +
   (BB66="Ada")+(BB66="tidak perlu")+(BB66="draft") +
   (BD66="Ada")+(BD66="tidak perlu")+(BD66="draft") +
   (BF66="Ada")+(BF66="tidak perlu")+(BF66="draft")
  ) = 20,
 "Lengkap","Belum Lengkap")</f>
        <v>Belum Lengkap</v>
      </c>
      <c r="BN66" s="637"/>
      <c r="BO66" s="637"/>
      <c r="BP66" s="637"/>
      <c r="BQ66" s="637"/>
      <c r="BR66" s="637"/>
      <c r="BS66" s="637"/>
      <c r="BT66" s="637"/>
      <c r="BU66" s="679"/>
      <c r="BV66" s="679"/>
      <c r="BW66" s="633" t="s">
        <v>3671</v>
      </c>
      <c r="BX66" s="651" t="str">
        <f t="shared" si="3"/>
        <v>SPAM Karian Serpong Hilir</v>
      </c>
      <c r="BY66" s="651" t="str">
        <f t="shared" si="3"/>
        <v>24ABJ.NINKARB016.JE</v>
      </c>
      <c r="BZ66" s="658" t="str" cm="1">
        <f t="array" ref="BZ66">_xlfn.IFNA(_xlfn.IFS(N66="Ada","Selesai",N66="Tidak Perlu","Selesai",N66="","Terlambat"),"")</f>
        <v>Terlambat</v>
      </c>
      <c r="CA66" s="658" t="str" cm="1">
        <f t="array" ref="CA66">_xlfn.IFNA(_xlfn.IFS(P66="Ada","Selesai",P66="Tidak Perlu","Selesai",P66="","Terlambat"),"")</f>
        <v>Terlambat</v>
      </c>
      <c r="CB66" s="658" t="str" cm="1">
        <f t="array" ref="CB66">_xlfn.IFNA(_xlfn.IFS(R66="Ada","Selesai",R66="Tidak Perlu","Selesai",R66="","Terlambat"),"")</f>
        <v>Terlambat</v>
      </c>
      <c r="CC66" s="658" t="str" cm="1">
        <f t="array" ref="CC66">_xlfn.IFNA(_xlfn.IFS(T66="Ada","Selesai",T66="Tidak Perlu","Selesai",T66="","Terlambat"),"")</f>
        <v>Terlambat</v>
      </c>
      <c r="CD66" s="658" t="str" cm="1">
        <f t="array" ref="CD66">_xlfn.IFNA(_xlfn.IFS(V66="Ada","Selesai",V66="Tidak Perlu","Selesai",V66="","Terlambat"),"")</f>
        <v>Terlambat</v>
      </c>
      <c r="CE66" s="658" t="str" cm="1">
        <f t="array" ref="CE66">_xlfn.IFNA(_xlfn.IFS(X66="Ada","Selesai",X66="Tidak Perlu","Selesai",X66="","Terlambat"),"")</f>
        <v>Terlambat</v>
      </c>
      <c r="CF66" s="658" t="str" cm="1">
        <f t="array" ref="CF66">_xlfn.IFNA(_xlfn.IFS(Z66="Ada","Selesai",Z66="Tidak Perlu","Selesai",Z66="","Terlambat"),"")</f>
        <v>Selesai</v>
      </c>
      <c r="CG66" s="658" t="str" cm="1">
        <f t="array" ref="CG66">_xlfn.IFNA(_xlfn.IFS(AB66="Ada","Selesai",AB66="Tidak Perlu","Selesai",AB66="","Terlambat"),"")</f>
        <v>Terlambat</v>
      </c>
      <c r="CH66" s="658" t="str" cm="1">
        <f t="array" ref="CH66">_xlfn.IFNA(_xlfn.IFS(AD66="Ada","Selesai",AD66="Tidak Perlu","Selesai",AD66="","Terlambat"),"")</f>
        <v>Terlambat</v>
      </c>
      <c r="CI66" s="658" t="str" cm="1">
        <f t="array" ref="CI66">_xlfn.IFNA(_xlfn.IFS(AF66="Ada","Selesai",AF66="Tidak Perlu","Selesai",AF66="","Terlambat"),"")</f>
        <v>Terlambat</v>
      </c>
      <c r="CJ66" s="658" t="str" cm="1">
        <f t="array" ref="CJ66">_xlfn.IFNA(_xlfn.IFS(AH66="Ada","Selesai",AH66="Tidak Perlu","Selesai",AH66="","Terlambat"),"")</f>
        <v>Terlambat</v>
      </c>
      <c r="CK66" s="658" t="str" cm="1">
        <f t="array" ref="CK66">_xlfn.IFNA(_xlfn.IFS(AJ66="Ada","Selesai",AJ66="Tidak Perlu","Selesai",AJ66="","Terlambat"),"")</f>
        <v>Terlambat</v>
      </c>
      <c r="CL66" s="658" t="str" cm="1">
        <f t="array" ref="CL66">_xlfn.IFNA(_xlfn.IFS(AL66="Ada","Selesai",AL66="Tidak Perlu","Selesai",AL66="","Terlambat"),"")</f>
        <v>Terlambat</v>
      </c>
      <c r="CM66" s="658" t="str" cm="1">
        <f t="array" ref="CM66">_xlfn.IFNA(_xlfn.IFS(AN66="Ada","Selesai",AN66="Tidak Perlu","Selesai",AN66="","Terlambat"),"")</f>
        <v>Terlambat</v>
      </c>
      <c r="CN66" s="658" t="str" cm="1">
        <f t="array" ref="CN66">_xlfn.IFNA(_xlfn.IFS(AP66="Ada","Selesai",AP66="Tidak Perlu","Selesai",AP66="","Terlambat"),"")</f>
        <v>Terlambat</v>
      </c>
      <c r="CO66" s="658" t="str" cm="1">
        <f t="array" ref="CO66">_xlfn.IFNA(_xlfn.IFS(AR66="Ada","Selesai",AR66="Tidak Perlu","Selesai",AR66="","Terlambat"),"")</f>
        <v>Terlambat</v>
      </c>
      <c r="CP66" s="658" t="str" cm="1">
        <f t="array" ref="CP66">_xlfn.IFNA(_xlfn.IFS(AT66="Ada","Selesai",AT66="Tidak Perlu","Selesai",AT66="","Terlambat"),"")</f>
        <v>Terlambat</v>
      </c>
      <c r="CQ66" s="658" t="str" cm="1">
        <f t="array" ref="CQ66">_xlfn.IFNA(_xlfn.IFS(AV66="Ada","Selesai",AV66="Tidak Perlu","Selesai",AV66="","Terlambat"),"")</f>
        <v>Terlambat</v>
      </c>
      <c r="CR66" s="658" t="str" cm="1">
        <f t="array" ref="CR66">_xlfn.IFNA(_xlfn.IFS(AX66="Ada","Selesai",AX66="Tidak Perlu","Selesai",AX66="","Terlambat"),"")</f>
        <v>Terlambat</v>
      </c>
      <c r="CS66" s="658" t="str" cm="1">
        <f t="array" ref="CS66">_xlfn.IFNA(_xlfn.IFS(AZ66="Ada","Selesai",AZ66="Tidak Perlu","Selesai",AZ66="","Terlambat"),"")</f>
        <v>Terlambat</v>
      </c>
      <c r="CT66" s="658" t="str" cm="1">
        <f t="array" ref="CT66">_xlfn.IFNA(_xlfn.IFS(BB66="Ada","Selesai",BB66="Tidak Perlu","Selesai",BB66="","Terlambat"),"")</f>
        <v>Terlambat</v>
      </c>
      <c r="CU66" s="658" t="str" cm="1">
        <f t="array" ref="CU66">_xlfn.IFNA(_xlfn.IFS(BD66="Ada","Selesai",BD66="Tidak Perlu","Selesai",BD66="","Terlambat"),"")</f>
        <v>Terlambat</v>
      </c>
      <c r="CV66" s="658" t="str" cm="1">
        <f t="array" ref="CV66">_xlfn.IFNA(_xlfn.IFS(BF66="Ada","Selesai",BF66="Tidak Perlu","Selesai",BF66="","Terlambat"),"")</f>
        <v>Terlambat</v>
      </c>
      <c r="CW66" s="658" t="str" cm="1">
        <f t="array" ref="CW66">_xlfn.IFNA(_xlfn.IFS(BM66="Ada","Selesai",BM66="Tidak Perlu","Selesai",BM66="","Terlambat"),"")</f>
        <v/>
      </c>
    </row>
    <row r="67" spans="2:101" ht="17.25" hidden="1" customHeight="1" x14ac:dyDescent="0.2">
      <c r="B67" s="633">
        <v>60</v>
      </c>
      <c r="C67" s="633" t="s">
        <v>673</v>
      </c>
      <c r="D67" s="634" t="s">
        <v>2550</v>
      </c>
      <c r="E67" s="633" t="s">
        <v>278</v>
      </c>
      <c r="F67" s="634" t="s">
        <v>3699</v>
      </c>
      <c r="G67" s="633" t="s">
        <v>3684</v>
      </c>
      <c r="H67" s="635" t="s">
        <v>3667</v>
      </c>
      <c r="I67" s="633" t="s">
        <v>3599</v>
      </c>
      <c r="J67" s="636">
        <v>0</v>
      </c>
      <c r="K67" s="637" t="str">
        <f t="shared" si="1"/>
        <v>1/20</v>
      </c>
      <c r="L67" s="638">
        <v>0</v>
      </c>
      <c r="M67" s="639" t="s">
        <v>3606</v>
      </c>
      <c r="N67" s="639"/>
      <c r="O67" s="639" t="s">
        <v>3603</v>
      </c>
      <c r="P67" s="641"/>
      <c r="Q67" s="639" t="s">
        <v>3603</v>
      </c>
      <c r="R67" s="641"/>
      <c r="S67" s="639" t="s">
        <v>3603</v>
      </c>
      <c r="T67" s="639"/>
      <c r="U67" s="639" t="s">
        <v>3603</v>
      </c>
      <c r="V67" s="640"/>
      <c r="W67" s="639" t="s">
        <v>3603</v>
      </c>
      <c r="X67" s="640"/>
      <c r="Y67" s="642" t="s">
        <v>3603</v>
      </c>
      <c r="Z67" s="640" t="s">
        <v>1266</v>
      </c>
      <c r="AA67" s="639" t="s">
        <v>3603</v>
      </c>
      <c r="AB67" s="640"/>
      <c r="AC67" s="639" t="s">
        <v>3603</v>
      </c>
      <c r="AD67" s="640"/>
      <c r="AE67" s="639" t="s">
        <v>3606</v>
      </c>
      <c r="AF67" s="640"/>
      <c r="AG67" s="641" t="s">
        <v>3603</v>
      </c>
      <c r="AH67" s="640"/>
      <c r="AI67" s="641" t="s">
        <v>3603</v>
      </c>
      <c r="AJ67" s="640"/>
      <c r="AK67" s="641" t="s">
        <v>3603</v>
      </c>
      <c r="AL67" s="640"/>
      <c r="AM67" s="639" t="s">
        <v>3603</v>
      </c>
      <c r="AN67" s="640"/>
      <c r="AO67" s="639" t="s">
        <v>3603</v>
      </c>
      <c r="AP67" s="640"/>
      <c r="AQ67" s="639" t="s">
        <v>3603</v>
      </c>
      <c r="AR67" s="640"/>
      <c r="AS67" s="639" t="s">
        <v>3603</v>
      </c>
      <c r="AT67" s="640"/>
      <c r="AU67" s="639" t="s">
        <v>3603</v>
      </c>
      <c r="AV67" s="640"/>
      <c r="AW67" s="639" t="s">
        <v>3603</v>
      </c>
      <c r="AX67" s="640"/>
      <c r="AY67" s="639" t="s">
        <v>3603</v>
      </c>
      <c r="AZ67" s="640"/>
      <c r="BA67" s="639" t="s">
        <v>3603</v>
      </c>
      <c r="BB67" s="640"/>
      <c r="BC67" s="639" t="s">
        <v>3603</v>
      </c>
      <c r="BD67" s="640"/>
      <c r="BE67" s="640" t="s">
        <v>3603</v>
      </c>
      <c r="BF67" s="640"/>
      <c r="BG67" s="640" t="s">
        <v>3603</v>
      </c>
      <c r="BH67" s="640"/>
      <c r="BI67" s="640" t="s">
        <v>3603</v>
      </c>
      <c r="BJ67" s="640"/>
      <c r="BK67" s="640" t="s">
        <v>3603</v>
      </c>
      <c r="BL67" s="640"/>
      <c r="BM67" s="678"/>
      <c r="BN67" s="682"/>
      <c r="BO67" s="637"/>
      <c r="BP67" s="637"/>
      <c r="BQ67" s="637"/>
      <c r="BR67" s="637"/>
      <c r="BS67" s="637"/>
      <c r="BT67" s="637"/>
      <c r="BU67" s="679"/>
      <c r="BV67" s="679"/>
      <c r="BW67" s="633" t="s">
        <v>3671</v>
      </c>
      <c r="BX67" s="651" t="str">
        <f t="shared" si="3"/>
        <v>SPAM Karian Serpong Hilir</v>
      </c>
      <c r="BY67" s="651" t="str">
        <f t="shared" si="3"/>
        <v>24ABJ.NINKARS002.1JE</v>
      </c>
      <c r="BZ67" s="658" t="str" cm="1">
        <f t="array" ref="BZ67">_xlfn.IFNA(_xlfn.IFS(N67="Ada","Selesai",N67="Tidak Perlu","Selesai",N67="","Terlambat"),"")</f>
        <v>Terlambat</v>
      </c>
      <c r="CA67" s="658" t="str" cm="1">
        <f t="array" ref="CA67">_xlfn.IFNA(_xlfn.IFS(P67="Ada","Selesai",P67="Tidak Perlu","Selesai",P67="","Terlambat"),"")</f>
        <v>Terlambat</v>
      </c>
      <c r="CB67" s="658" t="str" cm="1">
        <f t="array" ref="CB67">_xlfn.IFNA(_xlfn.IFS(R67="Ada","Selesai",R67="Tidak Perlu","Selesai",R67="","Terlambat"),"")</f>
        <v>Terlambat</v>
      </c>
      <c r="CC67" s="658" t="str" cm="1">
        <f t="array" ref="CC67">_xlfn.IFNA(_xlfn.IFS(T67="Ada","Selesai",T67="Tidak Perlu","Selesai",T67="","Terlambat"),"")</f>
        <v>Terlambat</v>
      </c>
      <c r="CD67" s="658" t="str" cm="1">
        <f t="array" ref="CD67">_xlfn.IFNA(_xlfn.IFS(V67="Ada","Selesai",V67="Tidak Perlu","Selesai",V67="","Terlambat"),"")</f>
        <v>Terlambat</v>
      </c>
      <c r="CE67" s="658" t="str" cm="1">
        <f t="array" ref="CE67">_xlfn.IFNA(_xlfn.IFS(X67="Ada","Selesai",X67="Tidak Perlu","Selesai",X67="","Terlambat"),"")</f>
        <v>Terlambat</v>
      </c>
      <c r="CF67" s="658" t="str" cm="1">
        <f t="array" ref="CF67">_xlfn.IFNA(_xlfn.IFS(Z67="Ada","Selesai",Z67="Tidak Perlu","Selesai",Z67="","Terlambat"),"")</f>
        <v>Selesai</v>
      </c>
      <c r="CG67" s="658" t="str" cm="1">
        <f t="array" ref="CG67">_xlfn.IFNA(_xlfn.IFS(AB67="Ada","Selesai",AB67="Tidak Perlu","Selesai",AB67="","Terlambat"),"")</f>
        <v>Terlambat</v>
      </c>
      <c r="CH67" s="658" t="str" cm="1">
        <f t="array" ref="CH67">_xlfn.IFNA(_xlfn.IFS(AD67="Ada","Selesai",AD67="Tidak Perlu","Selesai",AD67="","Terlambat"),"")</f>
        <v>Terlambat</v>
      </c>
      <c r="CI67" s="658" t="str" cm="1">
        <f t="array" ref="CI67">_xlfn.IFNA(_xlfn.IFS(AF67="Ada","Selesai",AF67="Tidak Perlu","Selesai",AF67="","Terlambat"),"")</f>
        <v>Terlambat</v>
      </c>
      <c r="CJ67" s="658" t="str" cm="1">
        <f t="array" ref="CJ67">_xlfn.IFNA(_xlfn.IFS(AH67="Ada","Selesai",AH67="Tidak Perlu","Selesai",AH67="","Terlambat"),"")</f>
        <v>Terlambat</v>
      </c>
      <c r="CK67" s="658" t="str" cm="1">
        <f t="array" ref="CK67">_xlfn.IFNA(_xlfn.IFS(AJ67="Ada","Selesai",AJ67="Tidak Perlu","Selesai",AJ67="","Terlambat"),"")</f>
        <v>Terlambat</v>
      </c>
      <c r="CL67" s="658" t="str" cm="1">
        <f t="array" ref="CL67">_xlfn.IFNA(_xlfn.IFS(AL67="Ada","Selesai",AL67="Tidak Perlu","Selesai",AL67="","Terlambat"),"")</f>
        <v>Terlambat</v>
      </c>
      <c r="CM67" s="658" t="str" cm="1">
        <f t="array" ref="CM67">_xlfn.IFNA(_xlfn.IFS(AN67="Ada","Selesai",AN67="Tidak Perlu","Selesai",AN67="","Terlambat"),"")</f>
        <v>Terlambat</v>
      </c>
      <c r="CN67" s="658" t="str" cm="1">
        <f t="array" ref="CN67">_xlfn.IFNA(_xlfn.IFS(AP67="Ada","Selesai",AP67="Tidak Perlu","Selesai",AP67="","Terlambat"),"")</f>
        <v>Terlambat</v>
      </c>
      <c r="CO67" s="658" t="str" cm="1">
        <f t="array" ref="CO67">_xlfn.IFNA(_xlfn.IFS(AR67="Ada","Selesai",AR67="Tidak Perlu","Selesai",AR67="","Terlambat"),"")</f>
        <v>Terlambat</v>
      </c>
      <c r="CP67" s="658" t="str" cm="1">
        <f t="array" ref="CP67">_xlfn.IFNA(_xlfn.IFS(AT67="Ada","Selesai",AT67="Tidak Perlu","Selesai",AT67="","Terlambat"),"")</f>
        <v>Terlambat</v>
      </c>
      <c r="CQ67" s="658" t="str" cm="1">
        <f t="array" ref="CQ67">_xlfn.IFNA(_xlfn.IFS(AV67="Ada","Selesai",AV67="Tidak Perlu","Selesai",AV67="","Terlambat"),"")</f>
        <v>Terlambat</v>
      </c>
      <c r="CR67" s="658" t="str" cm="1">
        <f t="array" ref="CR67">_xlfn.IFNA(_xlfn.IFS(AX67="Ada","Selesai",AX67="Tidak Perlu","Selesai",AX67="","Terlambat"),"")</f>
        <v>Terlambat</v>
      </c>
      <c r="CS67" s="658" t="str" cm="1">
        <f t="array" ref="CS67">_xlfn.IFNA(_xlfn.IFS(AZ67="Ada","Selesai",AZ67="Tidak Perlu","Selesai",AZ67="","Terlambat"),"")</f>
        <v>Terlambat</v>
      </c>
      <c r="CT67" s="658" t="str" cm="1">
        <f t="array" ref="CT67">_xlfn.IFNA(_xlfn.IFS(BB67="Ada","Selesai",BB67="Tidak Perlu","Selesai",BB67="","Terlambat"),"")</f>
        <v>Terlambat</v>
      </c>
      <c r="CU67" s="658" t="str" cm="1">
        <f t="array" ref="CU67">_xlfn.IFNA(_xlfn.IFS(BD67="Ada","Selesai",BD67="Tidak Perlu","Selesai",BD67="","Terlambat"),"")</f>
        <v>Terlambat</v>
      </c>
      <c r="CV67" s="658" t="str" cm="1">
        <f t="array" ref="CV67">_xlfn.IFNA(_xlfn.IFS(BF67="Ada","Selesai",BF67="Tidak Perlu","Selesai",BF67="","Terlambat"),"")</f>
        <v>Terlambat</v>
      </c>
      <c r="CW67" s="658" t="str" cm="1">
        <f t="array" ref="CW67">_xlfn.IFNA(_xlfn.IFS(BM67="Ada","Selesai",BM67="Tidak Perlu","Selesai",BM67="","Terlambat"),"")</f>
        <v>Terlambat</v>
      </c>
    </row>
    <row r="68" spans="2:101" ht="17.25" hidden="1" customHeight="1" x14ac:dyDescent="0.2">
      <c r="B68" s="633">
        <v>61</v>
      </c>
      <c r="C68" s="633" t="s">
        <v>673</v>
      </c>
      <c r="D68" s="634" t="s">
        <v>2558</v>
      </c>
      <c r="E68" s="633" t="s">
        <v>278</v>
      </c>
      <c r="F68" s="634" t="s">
        <v>3700</v>
      </c>
      <c r="G68" s="633" t="s">
        <v>3608</v>
      </c>
      <c r="H68" s="635" t="s">
        <v>3667</v>
      </c>
      <c r="I68" s="633" t="s">
        <v>3668</v>
      </c>
      <c r="J68" s="636">
        <v>0.77</v>
      </c>
      <c r="K68" s="637" t="str">
        <f t="shared" si="1"/>
        <v>7/20</v>
      </c>
      <c r="L68" s="638" t="s">
        <v>3674</v>
      </c>
      <c r="M68" s="639" t="s">
        <v>3606</v>
      </c>
      <c r="N68" s="639"/>
      <c r="O68" s="639" t="s">
        <v>3603</v>
      </c>
      <c r="P68" s="641"/>
      <c r="Q68" s="639" t="s">
        <v>3603</v>
      </c>
      <c r="R68" s="641"/>
      <c r="S68" s="639" t="s">
        <v>3606</v>
      </c>
      <c r="T68" s="639"/>
      <c r="U68" s="639" t="s">
        <v>3606</v>
      </c>
      <c r="V68" s="640"/>
      <c r="W68" s="639" t="s">
        <v>3603</v>
      </c>
      <c r="X68" s="640"/>
      <c r="Y68" s="642" t="s">
        <v>3603</v>
      </c>
      <c r="Z68" s="640" t="s">
        <v>1266</v>
      </c>
      <c r="AA68" s="639" t="s">
        <v>3603</v>
      </c>
      <c r="AB68" s="640"/>
      <c r="AC68" s="639" t="s">
        <v>3603</v>
      </c>
      <c r="AD68" s="640"/>
      <c r="AE68" s="639" t="s">
        <v>3606</v>
      </c>
      <c r="AF68" s="640"/>
      <c r="AG68" s="641" t="s">
        <v>3603</v>
      </c>
      <c r="AH68" s="640"/>
      <c r="AI68" s="641" t="s">
        <v>3603</v>
      </c>
      <c r="AJ68" s="640"/>
      <c r="AK68" s="641" t="s">
        <v>3603</v>
      </c>
      <c r="AL68" s="640"/>
      <c r="AM68" s="639" t="s">
        <v>3606</v>
      </c>
      <c r="AN68" s="640"/>
      <c r="AO68" s="639" t="s">
        <v>3603</v>
      </c>
      <c r="AP68" s="640"/>
      <c r="AQ68" s="639" t="s">
        <v>3606</v>
      </c>
      <c r="AR68" s="640"/>
      <c r="AS68" s="639" t="s">
        <v>3603</v>
      </c>
      <c r="AT68" s="640"/>
      <c r="AU68" s="639" t="s">
        <v>3603</v>
      </c>
      <c r="AV68" s="640"/>
      <c r="AW68" s="639" t="s">
        <v>3606</v>
      </c>
      <c r="AX68" s="640"/>
      <c r="AY68" s="639" t="s">
        <v>3603</v>
      </c>
      <c r="AZ68" s="640"/>
      <c r="BA68" s="639" t="s">
        <v>3603</v>
      </c>
      <c r="BB68" s="640"/>
      <c r="BC68" s="639" t="s">
        <v>3606</v>
      </c>
      <c r="BD68" s="640"/>
      <c r="BE68" s="640" t="s">
        <v>3606</v>
      </c>
      <c r="BF68" s="640"/>
      <c r="BG68" s="640" t="s">
        <v>3605</v>
      </c>
      <c r="BH68" s="640"/>
      <c r="BI68" s="640" t="s">
        <v>3603</v>
      </c>
      <c r="BJ68" s="640"/>
      <c r="BK68" s="640" t="s">
        <v>3603</v>
      </c>
      <c r="BL68" s="640"/>
      <c r="BM68" s="678"/>
      <c r="BN68" s="637"/>
      <c r="BO68" s="637"/>
      <c r="BP68" s="637"/>
      <c r="BQ68" s="637"/>
      <c r="BR68" s="637"/>
      <c r="BS68" s="637"/>
      <c r="BT68" s="637"/>
      <c r="BU68" s="679"/>
      <c r="BV68" s="679"/>
      <c r="BW68" s="633" t="s">
        <v>3671</v>
      </c>
      <c r="BX68" s="651" t="str">
        <f t="shared" si="3"/>
        <v>SPAM Karian Serpong Hilir</v>
      </c>
      <c r="BY68" s="651" t="str">
        <f t="shared" si="3"/>
        <v>24ABJ.NINKARB006.10JE</v>
      </c>
      <c r="BZ68" s="658" t="str" cm="1">
        <f t="array" ref="BZ68">_xlfn.IFNA(_xlfn.IFS(N68="Ada","Selesai",N68="Tidak Perlu","Selesai",N68="","Terlambat"),"")</f>
        <v>Terlambat</v>
      </c>
      <c r="CA68" s="658" t="str" cm="1">
        <f t="array" ref="CA68">_xlfn.IFNA(_xlfn.IFS(P68="Ada","Selesai",P68="Tidak Perlu","Selesai",P68="","Terlambat"),"")</f>
        <v>Terlambat</v>
      </c>
      <c r="CB68" s="658" t="str" cm="1">
        <f t="array" ref="CB68">_xlfn.IFNA(_xlfn.IFS(R68="Ada","Selesai",R68="Tidak Perlu","Selesai",R68="","Terlambat"),"")</f>
        <v>Terlambat</v>
      </c>
      <c r="CC68" s="658" t="str" cm="1">
        <f t="array" ref="CC68">_xlfn.IFNA(_xlfn.IFS(T68="Ada","Selesai",T68="Tidak Perlu","Selesai",T68="","Terlambat"),"")</f>
        <v>Terlambat</v>
      </c>
      <c r="CD68" s="658" t="str" cm="1">
        <f t="array" ref="CD68">_xlfn.IFNA(_xlfn.IFS(V68="Ada","Selesai",V68="Tidak Perlu","Selesai",V68="","Terlambat"),"")</f>
        <v>Terlambat</v>
      </c>
      <c r="CE68" s="658" t="str" cm="1">
        <f t="array" ref="CE68">_xlfn.IFNA(_xlfn.IFS(X68="Ada","Selesai",X68="Tidak Perlu","Selesai",X68="","Terlambat"),"")</f>
        <v>Terlambat</v>
      </c>
      <c r="CF68" s="658" t="str" cm="1">
        <f t="array" ref="CF68">_xlfn.IFNA(_xlfn.IFS(Z68="Ada","Selesai",Z68="Tidak Perlu","Selesai",Z68="","Terlambat"),"")</f>
        <v>Selesai</v>
      </c>
      <c r="CG68" s="658" t="str" cm="1">
        <f t="array" ref="CG68">_xlfn.IFNA(_xlfn.IFS(AB68="Ada","Selesai",AB68="Tidak Perlu","Selesai",AB68="","Terlambat"),"")</f>
        <v>Terlambat</v>
      </c>
      <c r="CH68" s="658" t="str" cm="1">
        <f t="array" ref="CH68">_xlfn.IFNA(_xlfn.IFS(AD68="Ada","Selesai",AD68="Tidak Perlu","Selesai",AD68="","Terlambat"),"")</f>
        <v>Terlambat</v>
      </c>
      <c r="CI68" s="658" t="str" cm="1">
        <f t="array" ref="CI68">_xlfn.IFNA(_xlfn.IFS(AF68="Ada","Selesai",AF68="Tidak Perlu","Selesai",AF68="","Terlambat"),"")</f>
        <v>Terlambat</v>
      </c>
      <c r="CJ68" s="658" t="str" cm="1">
        <f t="array" ref="CJ68">_xlfn.IFNA(_xlfn.IFS(AH68="Ada","Selesai",AH68="Tidak Perlu","Selesai",AH68="","Terlambat"),"")</f>
        <v>Terlambat</v>
      </c>
      <c r="CK68" s="658" t="str" cm="1">
        <f t="array" ref="CK68">_xlfn.IFNA(_xlfn.IFS(AJ68="Ada","Selesai",AJ68="Tidak Perlu","Selesai",AJ68="","Terlambat"),"")</f>
        <v>Terlambat</v>
      </c>
      <c r="CL68" s="658" t="str" cm="1">
        <f t="array" ref="CL68">_xlfn.IFNA(_xlfn.IFS(AL68="Ada","Selesai",AL68="Tidak Perlu","Selesai",AL68="","Terlambat"),"")</f>
        <v>Terlambat</v>
      </c>
      <c r="CM68" s="658" t="str" cm="1">
        <f t="array" ref="CM68">_xlfn.IFNA(_xlfn.IFS(AN68="Ada","Selesai",AN68="Tidak Perlu","Selesai",AN68="","Terlambat"),"")</f>
        <v>Terlambat</v>
      </c>
      <c r="CN68" s="658" t="str" cm="1">
        <f t="array" ref="CN68">_xlfn.IFNA(_xlfn.IFS(AP68="Ada","Selesai",AP68="Tidak Perlu","Selesai",AP68="","Terlambat"),"")</f>
        <v>Terlambat</v>
      </c>
      <c r="CO68" s="658" t="str" cm="1">
        <f t="array" ref="CO68">_xlfn.IFNA(_xlfn.IFS(AR68="Ada","Selesai",AR68="Tidak Perlu","Selesai",AR68="","Terlambat"),"")</f>
        <v>Terlambat</v>
      </c>
      <c r="CP68" s="658" t="str" cm="1">
        <f t="array" ref="CP68">_xlfn.IFNA(_xlfn.IFS(AT68="Ada","Selesai",AT68="Tidak Perlu","Selesai",AT68="","Terlambat"),"")</f>
        <v>Terlambat</v>
      </c>
      <c r="CQ68" s="658" t="str" cm="1">
        <f t="array" ref="CQ68">_xlfn.IFNA(_xlfn.IFS(AV68="Ada","Selesai",AV68="Tidak Perlu","Selesai",AV68="","Terlambat"),"")</f>
        <v>Terlambat</v>
      </c>
      <c r="CR68" s="658" t="str" cm="1">
        <f t="array" ref="CR68">_xlfn.IFNA(_xlfn.IFS(AX68="Ada","Selesai",AX68="Tidak Perlu","Selesai",AX68="","Terlambat"),"")</f>
        <v>Terlambat</v>
      </c>
      <c r="CS68" s="658" t="str" cm="1">
        <f t="array" ref="CS68">_xlfn.IFNA(_xlfn.IFS(AZ68="Ada","Selesai",AZ68="Tidak Perlu","Selesai",AZ68="","Terlambat"),"")</f>
        <v>Terlambat</v>
      </c>
      <c r="CT68" s="658" t="str" cm="1">
        <f t="array" ref="CT68">_xlfn.IFNA(_xlfn.IFS(BB68="Ada","Selesai",BB68="Tidak Perlu","Selesai",BB68="","Terlambat"),"")</f>
        <v>Terlambat</v>
      </c>
      <c r="CU68" s="658" t="str" cm="1">
        <f t="array" ref="CU68">_xlfn.IFNA(_xlfn.IFS(BD68="Ada","Selesai",BD68="Tidak Perlu","Selesai",BD68="","Terlambat"),"")</f>
        <v>Terlambat</v>
      </c>
      <c r="CV68" s="658" t="str" cm="1">
        <f t="array" ref="CV68">_xlfn.IFNA(_xlfn.IFS(BF68="Ada","Selesai",BF68="Tidak Perlu","Selesai",BF68="","Terlambat"),"")</f>
        <v>Terlambat</v>
      </c>
      <c r="CW68" s="658" t="str" cm="1">
        <f t="array" ref="CW68">_xlfn.IFNA(_xlfn.IFS(BM68="Ada","Selesai",BM68="Tidak Perlu","Selesai",BM68="","Terlambat"),"")</f>
        <v>Terlambat</v>
      </c>
    </row>
    <row r="69" spans="2:101" ht="17.25" hidden="1" customHeight="1" x14ac:dyDescent="0.2">
      <c r="B69" s="633">
        <v>62</v>
      </c>
      <c r="C69" s="633" t="s">
        <v>673</v>
      </c>
      <c r="D69" s="634" t="s">
        <v>2567</v>
      </c>
      <c r="E69" s="633" t="s">
        <v>278</v>
      </c>
      <c r="F69" s="680" t="s">
        <v>3701</v>
      </c>
      <c r="G69" s="633" t="s">
        <v>3684</v>
      </c>
      <c r="H69" s="646" t="s">
        <v>3599</v>
      </c>
      <c r="I69" s="633" t="s">
        <v>3599</v>
      </c>
      <c r="J69" s="636">
        <v>0</v>
      </c>
      <c r="K69" s="637" t="str">
        <f t="shared" si="1"/>
        <v>0/20</v>
      </c>
      <c r="L69" s="638">
        <v>0</v>
      </c>
      <c r="M69" s="639" t="s">
        <v>1266</v>
      </c>
      <c r="N69" s="639"/>
      <c r="O69" s="639" t="s">
        <v>1266</v>
      </c>
      <c r="P69" s="641"/>
      <c r="Q69" s="639" t="s">
        <v>1266</v>
      </c>
      <c r="R69" s="641"/>
      <c r="S69" s="639" t="s">
        <v>1266</v>
      </c>
      <c r="T69" s="639"/>
      <c r="U69" s="639" t="s">
        <v>1266</v>
      </c>
      <c r="V69" s="640"/>
      <c r="W69" s="639" t="s">
        <v>1266</v>
      </c>
      <c r="X69" s="640"/>
      <c r="Y69" s="642" t="s">
        <v>1266</v>
      </c>
      <c r="Z69" s="640" t="s">
        <v>1266</v>
      </c>
      <c r="AA69" s="639" t="s">
        <v>1266</v>
      </c>
      <c r="AB69" s="640"/>
      <c r="AC69" s="639" t="s">
        <v>1266</v>
      </c>
      <c r="AD69" s="640"/>
      <c r="AE69" s="639" t="s">
        <v>1266</v>
      </c>
      <c r="AF69" s="640"/>
      <c r="AG69" s="641" t="s">
        <v>1266</v>
      </c>
      <c r="AH69" s="640"/>
      <c r="AI69" s="641" t="s">
        <v>1266</v>
      </c>
      <c r="AJ69" s="640"/>
      <c r="AK69" s="641" t="s">
        <v>1266</v>
      </c>
      <c r="AL69" s="640"/>
      <c r="AM69" s="639" t="s">
        <v>1266</v>
      </c>
      <c r="AN69" s="640"/>
      <c r="AO69" s="639" t="s">
        <v>1266</v>
      </c>
      <c r="AP69" s="640"/>
      <c r="AQ69" s="639" t="s">
        <v>1266</v>
      </c>
      <c r="AR69" s="640"/>
      <c r="AS69" s="639" t="s">
        <v>1266</v>
      </c>
      <c r="AT69" s="640"/>
      <c r="AU69" s="639" t="s">
        <v>1266</v>
      </c>
      <c r="AV69" s="640"/>
      <c r="AW69" s="639" t="s">
        <v>1266</v>
      </c>
      <c r="AX69" s="640"/>
      <c r="AY69" s="639" t="s">
        <v>1266</v>
      </c>
      <c r="AZ69" s="640"/>
      <c r="BA69" s="639" t="s">
        <v>1266</v>
      </c>
      <c r="BB69" s="640"/>
      <c r="BC69" s="639" t="s">
        <v>1266</v>
      </c>
      <c r="BD69" s="640"/>
      <c r="BE69" s="640" t="s">
        <v>1266</v>
      </c>
      <c r="BF69" s="640"/>
      <c r="BG69" s="640" t="s">
        <v>1266</v>
      </c>
      <c r="BH69" s="640"/>
      <c r="BI69" s="640" t="s">
        <v>1266</v>
      </c>
      <c r="BJ69" s="640"/>
      <c r="BK69" s="640" t="s">
        <v>1266</v>
      </c>
      <c r="BL69" s="640"/>
      <c r="BM69" s="678" t="str">
        <f>IF(
  (
   (P69="Ada")+(P69="tidak perlu")+(P69="draft") +
   (R69="Ada")+(R69="tidak perlu")+(R69="draft") +
   (V69="Ada")+(V69="tidak perlu")+(V69="draft") +
   (X69="Ada")+(X69="tidak perlu")+(X69="draft") +
   (AB69="Ada")+(AB69="tidak perlu")+(AB69="draft") +
   (AD69="Ada")+(AD69="tidak perlu")+(AD69="draft") +
   (AF69="Ada")+(AF69="tidak perlu")+(AF69="draft") +
   (AH69="Ada")+(AH69="tidak perlu")+(AH69="draft") +
   (AJ69="Ada")+(AJ69="tidak perlu")+(AJ69="draft") +
   (AL69="Ada")+(AL69="tidak perlu")+(AL69="draft") +
   (AN69="Ada")+(AN69="tidak perlu")+(AN69="draft") +
   (AP69="Ada")+(AP69="tidak perlu")+(AP69="draft") +
   (AR69="Ada")+(AR69="tidak perlu")+(AR69="draft") +
   (AT69="Ada")+(AT69="tidak perlu")+(AT69="draft") +
   (AV69="Ada")+(AV69="tidak perlu")+(AV69="draft") +
   (AX69="Ada")+(AX69="tidak perlu")+(AX69="draft") +
   (AZ69="Ada")+(AZ69="tidak perlu")+(AZ69="draft") +
   (BB69="Ada")+(BB69="tidak perlu")+(BB69="draft") +
   (BD69="Ada")+(BD69="tidak perlu")+(BD69="draft") +
   (BF69="Ada")+(BF69="tidak perlu")+(BF69="draft")
  ) = 20,
 "Lengkap","Belum Lengkap")</f>
        <v>Belum Lengkap</v>
      </c>
      <c r="BN69" s="637"/>
      <c r="BO69" s="637"/>
      <c r="BP69" s="637"/>
      <c r="BQ69" s="637"/>
      <c r="BR69" s="637"/>
      <c r="BS69" s="637"/>
      <c r="BT69" s="637"/>
      <c r="BU69" s="679"/>
      <c r="BV69" s="679"/>
      <c r="BW69" s="633" t="s">
        <v>3599</v>
      </c>
      <c r="BX69" s="651" t="str">
        <f t="shared" si="3"/>
        <v>SPAM Karian Serpong Hilir</v>
      </c>
      <c r="BY69" s="651" t="str">
        <f t="shared" si="3"/>
        <v>25ABJ.NINKARS017.1JR</v>
      </c>
      <c r="BZ69" s="658" t="str" cm="1">
        <f t="array" ref="BZ69">_xlfn.IFNA(_xlfn.IFS(N69="Ada","Selesai",N69="Tidak Perlu","Selesai",N69="","Terlambat"),"")</f>
        <v>Terlambat</v>
      </c>
      <c r="CA69" s="658" t="str" cm="1">
        <f t="array" ref="CA69">_xlfn.IFNA(_xlfn.IFS(P69="Ada","Selesai",P69="Tidak Perlu","Selesai",P69="","Terlambat"),"")</f>
        <v>Terlambat</v>
      </c>
      <c r="CB69" s="658" t="str" cm="1">
        <f t="array" ref="CB69">_xlfn.IFNA(_xlfn.IFS(R69="Ada","Selesai",R69="Tidak Perlu","Selesai",R69="","Terlambat"),"")</f>
        <v>Terlambat</v>
      </c>
      <c r="CC69" s="658" t="str" cm="1">
        <f t="array" ref="CC69">_xlfn.IFNA(_xlfn.IFS(T69="Ada","Selesai",T69="Tidak Perlu","Selesai",T69="","Terlambat"),"")</f>
        <v>Terlambat</v>
      </c>
      <c r="CD69" s="658" t="str" cm="1">
        <f t="array" ref="CD69">_xlfn.IFNA(_xlfn.IFS(V69="Ada","Selesai",V69="Tidak Perlu","Selesai",V69="","Terlambat"),"")</f>
        <v>Terlambat</v>
      </c>
      <c r="CE69" s="658" t="str" cm="1">
        <f t="array" ref="CE69">_xlfn.IFNA(_xlfn.IFS(X69="Ada","Selesai",X69="Tidak Perlu","Selesai",X69="","Terlambat"),"")</f>
        <v>Terlambat</v>
      </c>
      <c r="CF69" s="658" t="str" cm="1">
        <f t="array" ref="CF69">_xlfn.IFNA(_xlfn.IFS(Z69="Ada","Selesai",Z69="Tidak Perlu","Selesai",Z69="","Terlambat"),"")</f>
        <v>Selesai</v>
      </c>
      <c r="CG69" s="658" t="str" cm="1">
        <f t="array" ref="CG69">_xlfn.IFNA(_xlfn.IFS(AB69="Ada","Selesai",AB69="Tidak Perlu","Selesai",AB69="","Terlambat"),"")</f>
        <v>Terlambat</v>
      </c>
      <c r="CH69" s="658" t="str" cm="1">
        <f t="array" ref="CH69">_xlfn.IFNA(_xlfn.IFS(AD69="Ada","Selesai",AD69="Tidak Perlu","Selesai",AD69="","Terlambat"),"")</f>
        <v>Terlambat</v>
      </c>
      <c r="CI69" s="658" t="str" cm="1">
        <f t="array" ref="CI69">_xlfn.IFNA(_xlfn.IFS(AF69="Ada","Selesai",AF69="Tidak Perlu","Selesai",AF69="","Terlambat"),"")</f>
        <v>Terlambat</v>
      </c>
      <c r="CJ69" s="658" t="str" cm="1">
        <f t="array" ref="CJ69">_xlfn.IFNA(_xlfn.IFS(AH69="Ada","Selesai",AH69="Tidak Perlu","Selesai",AH69="","Terlambat"),"")</f>
        <v>Terlambat</v>
      </c>
      <c r="CK69" s="658" t="str" cm="1">
        <f t="array" ref="CK69">_xlfn.IFNA(_xlfn.IFS(AJ69="Ada","Selesai",AJ69="Tidak Perlu","Selesai",AJ69="","Terlambat"),"")</f>
        <v>Terlambat</v>
      </c>
      <c r="CL69" s="658" t="str" cm="1">
        <f t="array" ref="CL69">_xlfn.IFNA(_xlfn.IFS(AL69="Ada","Selesai",AL69="Tidak Perlu","Selesai",AL69="","Terlambat"),"")</f>
        <v>Terlambat</v>
      </c>
      <c r="CM69" s="658" t="str" cm="1">
        <f t="array" ref="CM69">_xlfn.IFNA(_xlfn.IFS(AN69="Ada","Selesai",AN69="Tidak Perlu","Selesai",AN69="","Terlambat"),"")</f>
        <v>Terlambat</v>
      </c>
      <c r="CN69" s="658" t="str" cm="1">
        <f t="array" ref="CN69">_xlfn.IFNA(_xlfn.IFS(AP69="Ada","Selesai",AP69="Tidak Perlu","Selesai",AP69="","Terlambat"),"")</f>
        <v>Terlambat</v>
      </c>
      <c r="CO69" s="658" t="str" cm="1">
        <f t="array" ref="CO69">_xlfn.IFNA(_xlfn.IFS(AR69="Ada","Selesai",AR69="Tidak Perlu","Selesai",AR69="","Terlambat"),"")</f>
        <v>Terlambat</v>
      </c>
      <c r="CP69" s="658" t="str" cm="1">
        <f t="array" ref="CP69">_xlfn.IFNA(_xlfn.IFS(AT69="Ada","Selesai",AT69="Tidak Perlu","Selesai",AT69="","Terlambat"),"")</f>
        <v>Terlambat</v>
      </c>
      <c r="CQ69" s="658" t="str" cm="1">
        <f t="array" ref="CQ69">_xlfn.IFNA(_xlfn.IFS(AV69="Ada","Selesai",AV69="Tidak Perlu","Selesai",AV69="","Terlambat"),"")</f>
        <v>Terlambat</v>
      </c>
      <c r="CR69" s="658" t="str" cm="1">
        <f t="array" ref="CR69">_xlfn.IFNA(_xlfn.IFS(AX69="Ada","Selesai",AX69="Tidak Perlu","Selesai",AX69="","Terlambat"),"")</f>
        <v>Terlambat</v>
      </c>
      <c r="CS69" s="658" t="str" cm="1">
        <f t="array" ref="CS69">_xlfn.IFNA(_xlfn.IFS(AZ69="Ada","Selesai",AZ69="Tidak Perlu","Selesai",AZ69="","Terlambat"),"")</f>
        <v>Terlambat</v>
      </c>
      <c r="CT69" s="658" t="str" cm="1">
        <f t="array" ref="CT69">_xlfn.IFNA(_xlfn.IFS(BB69="Ada","Selesai",BB69="Tidak Perlu","Selesai",BB69="","Terlambat"),"")</f>
        <v>Terlambat</v>
      </c>
      <c r="CU69" s="658" t="str" cm="1">
        <f t="array" ref="CU69">_xlfn.IFNA(_xlfn.IFS(BD69="Ada","Selesai",BD69="Tidak Perlu","Selesai",BD69="","Terlambat"),"")</f>
        <v>Terlambat</v>
      </c>
      <c r="CV69" s="658" t="str" cm="1">
        <f t="array" ref="CV69">_xlfn.IFNA(_xlfn.IFS(BF69="Ada","Selesai",BF69="Tidak Perlu","Selesai",BF69="","Terlambat"),"")</f>
        <v>Terlambat</v>
      </c>
      <c r="CW69" s="658" t="str" cm="1">
        <f t="array" ref="CW69">_xlfn.IFNA(_xlfn.IFS(BM69="Ada","Selesai",BM69="Tidak Perlu","Selesai",BM69="","Terlambat"),"")</f>
        <v/>
      </c>
    </row>
    <row r="70" spans="2:101" ht="17.25" hidden="1" customHeight="1" x14ac:dyDescent="0.2">
      <c r="B70" s="633">
        <v>63</v>
      </c>
      <c r="C70" s="633" t="s">
        <v>673</v>
      </c>
      <c r="D70" s="634" t="s">
        <v>2575</v>
      </c>
      <c r="E70" s="633" t="s">
        <v>278</v>
      </c>
      <c r="F70" s="634" t="s">
        <v>3702</v>
      </c>
      <c r="G70" s="633" t="s">
        <v>3608</v>
      </c>
      <c r="H70" s="635" t="s">
        <v>3667</v>
      </c>
      <c r="I70" s="633" t="s">
        <v>3668</v>
      </c>
      <c r="J70" s="636">
        <v>0.91</v>
      </c>
      <c r="K70" s="637" t="str">
        <f t="shared" si="1"/>
        <v>7/20</v>
      </c>
      <c r="L70" s="638" t="s">
        <v>3674</v>
      </c>
      <c r="M70" s="639" t="s">
        <v>3606</v>
      </c>
      <c r="N70" s="639"/>
      <c r="O70" s="639" t="s">
        <v>3603</v>
      </c>
      <c r="P70" s="641"/>
      <c r="Q70" s="639" t="s">
        <v>3603</v>
      </c>
      <c r="R70" s="641"/>
      <c r="S70" s="639" t="s">
        <v>3606</v>
      </c>
      <c r="T70" s="639"/>
      <c r="U70" s="639" t="s">
        <v>3606</v>
      </c>
      <c r="V70" s="640"/>
      <c r="W70" s="639" t="s">
        <v>3603</v>
      </c>
      <c r="X70" s="640"/>
      <c r="Y70" s="642" t="s">
        <v>3603</v>
      </c>
      <c r="Z70" s="640" t="s">
        <v>1266</v>
      </c>
      <c r="AA70" s="639" t="s">
        <v>3603</v>
      </c>
      <c r="AB70" s="640"/>
      <c r="AC70" s="639" t="s">
        <v>3603</v>
      </c>
      <c r="AD70" s="640"/>
      <c r="AE70" s="639" t="s">
        <v>3606</v>
      </c>
      <c r="AF70" s="640"/>
      <c r="AG70" s="641" t="s">
        <v>3603</v>
      </c>
      <c r="AH70" s="640"/>
      <c r="AI70" s="641" t="s">
        <v>3603</v>
      </c>
      <c r="AJ70" s="640"/>
      <c r="AK70" s="641" t="s">
        <v>3603</v>
      </c>
      <c r="AL70" s="640"/>
      <c r="AM70" s="639" t="s">
        <v>3606</v>
      </c>
      <c r="AN70" s="640"/>
      <c r="AO70" s="639" t="s">
        <v>3603</v>
      </c>
      <c r="AP70" s="640"/>
      <c r="AQ70" s="639" t="s">
        <v>3606</v>
      </c>
      <c r="AR70" s="640"/>
      <c r="AS70" s="639" t="s">
        <v>3603</v>
      </c>
      <c r="AT70" s="640"/>
      <c r="AU70" s="639" t="s">
        <v>3603</v>
      </c>
      <c r="AV70" s="640"/>
      <c r="AW70" s="639" t="s">
        <v>3606</v>
      </c>
      <c r="AX70" s="640"/>
      <c r="AY70" s="639" t="s">
        <v>3603</v>
      </c>
      <c r="AZ70" s="640"/>
      <c r="BA70" s="639" t="s">
        <v>3606</v>
      </c>
      <c r="BB70" s="640"/>
      <c r="BC70" s="639" t="s">
        <v>3603</v>
      </c>
      <c r="BD70" s="640"/>
      <c r="BE70" s="640" t="s">
        <v>3606</v>
      </c>
      <c r="BF70" s="640"/>
      <c r="BG70" s="640" t="s">
        <v>3605</v>
      </c>
      <c r="BH70" s="640"/>
      <c r="BI70" s="640" t="s">
        <v>3603</v>
      </c>
      <c r="BJ70" s="640"/>
      <c r="BK70" s="640" t="s">
        <v>3603</v>
      </c>
      <c r="BL70" s="640"/>
      <c r="BM70" s="678"/>
      <c r="BN70" s="637"/>
      <c r="BO70" s="637"/>
      <c r="BP70" s="637"/>
      <c r="BQ70" s="637"/>
      <c r="BR70" s="637"/>
      <c r="BS70" s="637"/>
      <c r="BT70" s="637"/>
      <c r="BU70" s="679"/>
      <c r="BV70" s="679"/>
      <c r="BW70" s="633" t="s">
        <v>3671</v>
      </c>
      <c r="BX70" s="651" t="str">
        <f t="shared" si="3"/>
        <v>SPAM Karian Serpong Hilir</v>
      </c>
      <c r="BY70" s="651" t="str">
        <f t="shared" si="3"/>
        <v>24ABJ.NINKARBN00.1JE</v>
      </c>
      <c r="BZ70" s="658" t="str" cm="1">
        <f t="array" ref="BZ70">_xlfn.IFNA(_xlfn.IFS(N70="Ada","Selesai",N70="Tidak Perlu","Selesai",N70="","Terlambat"),"")</f>
        <v>Terlambat</v>
      </c>
      <c r="CA70" s="658" t="str" cm="1">
        <f t="array" ref="CA70">_xlfn.IFNA(_xlfn.IFS(P70="Ada","Selesai",P70="Tidak Perlu","Selesai",P70="","Terlambat"),"")</f>
        <v>Terlambat</v>
      </c>
      <c r="CB70" s="658" t="str" cm="1">
        <f t="array" ref="CB70">_xlfn.IFNA(_xlfn.IFS(R70="Ada","Selesai",R70="Tidak Perlu","Selesai",R70="","Terlambat"),"")</f>
        <v>Terlambat</v>
      </c>
      <c r="CC70" s="658" t="str" cm="1">
        <f t="array" ref="CC70">_xlfn.IFNA(_xlfn.IFS(T70="Ada","Selesai",T70="Tidak Perlu","Selesai",T70="","Terlambat"),"")</f>
        <v>Terlambat</v>
      </c>
      <c r="CD70" s="658" t="str" cm="1">
        <f t="array" ref="CD70">_xlfn.IFNA(_xlfn.IFS(V70="Ada","Selesai",V70="Tidak Perlu","Selesai",V70="","Terlambat"),"")</f>
        <v>Terlambat</v>
      </c>
      <c r="CE70" s="658" t="str" cm="1">
        <f t="array" ref="CE70">_xlfn.IFNA(_xlfn.IFS(X70="Ada","Selesai",X70="Tidak Perlu","Selesai",X70="","Terlambat"),"")</f>
        <v>Terlambat</v>
      </c>
      <c r="CF70" s="658" t="str" cm="1">
        <f t="array" ref="CF70">_xlfn.IFNA(_xlfn.IFS(Z70="Ada","Selesai",Z70="Tidak Perlu","Selesai",Z70="","Terlambat"),"")</f>
        <v>Selesai</v>
      </c>
      <c r="CG70" s="658" t="str" cm="1">
        <f t="array" ref="CG70">_xlfn.IFNA(_xlfn.IFS(AB70="Ada","Selesai",AB70="Tidak Perlu","Selesai",AB70="","Terlambat"),"")</f>
        <v>Terlambat</v>
      </c>
      <c r="CH70" s="658" t="str" cm="1">
        <f t="array" ref="CH70">_xlfn.IFNA(_xlfn.IFS(AD70="Ada","Selesai",AD70="Tidak Perlu","Selesai",AD70="","Terlambat"),"")</f>
        <v>Terlambat</v>
      </c>
      <c r="CI70" s="658" t="str" cm="1">
        <f t="array" ref="CI70">_xlfn.IFNA(_xlfn.IFS(AF70="Ada","Selesai",AF70="Tidak Perlu","Selesai",AF70="","Terlambat"),"")</f>
        <v>Terlambat</v>
      </c>
      <c r="CJ70" s="658" t="str" cm="1">
        <f t="array" ref="CJ70">_xlfn.IFNA(_xlfn.IFS(AH70="Ada","Selesai",AH70="Tidak Perlu","Selesai",AH70="","Terlambat"),"")</f>
        <v>Terlambat</v>
      </c>
      <c r="CK70" s="658" t="str" cm="1">
        <f t="array" ref="CK70">_xlfn.IFNA(_xlfn.IFS(AJ70="Ada","Selesai",AJ70="Tidak Perlu","Selesai",AJ70="","Terlambat"),"")</f>
        <v>Terlambat</v>
      </c>
      <c r="CL70" s="658" t="str" cm="1">
        <f t="array" ref="CL70">_xlfn.IFNA(_xlfn.IFS(AL70="Ada","Selesai",AL70="Tidak Perlu","Selesai",AL70="","Terlambat"),"")</f>
        <v>Terlambat</v>
      </c>
      <c r="CM70" s="658" t="str" cm="1">
        <f t="array" ref="CM70">_xlfn.IFNA(_xlfn.IFS(AN70="Ada","Selesai",AN70="Tidak Perlu","Selesai",AN70="","Terlambat"),"")</f>
        <v>Terlambat</v>
      </c>
      <c r="CN70" s="658" t="str" cm="1">
        <f t="array" ref="CN70">_xlfn.IFNA(_xlfn.IFS(AP70="Ada","Selesai",AP70="Tidak Perlu","Selesai",AP70="","Terlambat"),"")</f>
        <v>Terlambat</v>
      </c>
      <c r="CO70" s="658" t="str" cm="1">
        <f t="array" ref="CO70">_xlfn.IFNA(_xlfn.IFS(AR70="Ada","Selesai",AR70="Tidak Perlu","Selesai",AR70="","Terlambat"),"")</f>
        <v>Terlambat</v>
      </c>
      <c r="CP70" s="658" t="str" cm="1">
        <f t="array" ref="CP70">_xlfn.IFNA(_xlfn.IFS(AT70="Ada","Selesai",AT70="Tidak Perlu","Selesai",AT70="","Terlambat"),"")</f>
        <v>Terlambat</v>
      </c>
      <c r="CQ70" s="658" t="str" cm="1">
        <f t="array" ref="CQ70">_xlfn.IFNA(_xlfn.IFS(AV70="Ada","Selesai",AV70="Tidak Perlu","Selesai",AV70="","Terlambat"),"")</f>
        <v>Terlambat</v>
      </c>
      <c r="CR70" s="658" t="str" cm="1">
        <f t="array" ref="CR70">_xlfn.IFNA(_xlfn.IFS(AX70="Ada","Selesai",AX70="Tidak Perlu","Selesai",AX70="","Terlambat"),"")</f>
        <v>Terlambat</v>
      </c>
      <c r="CS70" s="658" t="str" cm="1">
        <f t="array" ref="CS70">_xlfn.IFNA(_xlfn.IFS(AZ70="Ada","Selesai",AZ70="Tidak Perlu","Selesai",AZ70="","Terlambat"),"")</f>
        <v>Terlambat</v>
      </c>
      <c r="CT70" s="658" t="str" cm="1">
        <f t="array" ref="CT70">_xlfn.IFNA(_xlfn.IFS(BB70="Ada","Selesai",BB70="Tidak Perlu","Selesai",BB70="","Terlambat"),"")</f>
        <v>Terlambat</v>
      </c>
      <c r="CU70" s="658" t="str" cm="1">
        <f t="array" ref="CU70">_xlfn.IFNA(_xlfn.IFS(BD70="Ada","Selesai",BD70="Tidak Perlu","Selesai",BD70="","Terlambat"),"")</f>
        <v>Terlambat</v>
      </c>
      <c r="CV70" s="658" t="str" cm="1">
        <f t="array" ref="CV70">_xlfn.IFNA(_xlfn.IFS(BF70="Ada","Selesai",BF70="Tidak Perlu","Selesai",BF70="","Terlambat"),"")</f>
        <v>Terlambat</v>
      </c>
      <c r="CW70" s="658" t="str" cm="1">
        <f t="array" ref="CW70">_xlfn.IFNA(_xlfn.IFS(BM70="Ada","Selesai",BM70="Tidak Perlu","Selesai",BM70="","Terlambat"),"")</f>
        <v>Terlambat</v>
      </c>
    </row>
    <row r="71" spans="2:101" ht="17.25" hidden="1" customHeight="1" x14ac:dyDescent="0.2">
      <c r="B71" s="633">
        <v>64</v>
      </c>
      <c r="C71" s="633" t="s">
        <v>673</v>
      </c>
      <c r="D71" s="634" t="s">
        <v>2585</v>
      </c>
      <c r="E71" s="633" t="s">
        <v>278</v>
      </c>
      <c r="F71" s="634" t="s">
        <v>2586</v>
      </c>
      <c r="G71" s="633" t="s">
        <v>3608</v>
      </c>
      <c r="H71" s="635" t="s">
        <v>3667</v>
      </c>
      <c r="I71" s="633" t="s">
        <v>3703</v>
      </c>
      <c r="J71" s="636">
        <v>0.88</v>
      </c>
      <c r="K71" s="637" t="str">
        <f t="shared" si="1"/>
        <v>18/20</v>
      </c>
      <c r="L71" s="638" t="s">
        <v>3674</v>
      </c>
      <c r="M71" s="639" t="s">
        <v>3606</v>
      </c>
      <c r="N71" s="639" t="s">
        <v>3678</v>
      </c>
      <c r="O71" s="639" t="s">
        <v>3606</v>
      </c>
      <c r="P71" s="639" t="s">
        <v>3678</v>
      </c>
      <c r="Q71" s="639" t="s">
        <v>3605</v>
      </c>
      <c r="R71" s="641"/>
      <c r="S71" s="639" t="s">
        <v>3606</v>
      </c>
      <c r="T71" s="639" t="s">
        <v>3678</v>
      </c>
      <c r="U71" s="639" t="s">
        <v>3606</v>
      </c>
      <c r="V71" s="639" t="s">
        <v>3678</v>
      </c>
      <c r="W71" s="639" t="s">
        <v>3605</v>
      </c>
      <c r="X71" s="640"/>
      <c r="Y71" s="642" t="s">
        <v>3603</v>
      </c>
      <c r="Z71" s="640" t="s">
        <v>1266</v>
      </c>
      <c r="AA71" s="639" t="s">
        <v>3603</v>
      </c>
      <c r="AB71" s="640"/>
      <c r="AC71" s="639" t="s">
        <v>3606</v>
      </c>
      <c r="AD71" s="640"/>
      <c r="AE71" s="639" t="s">
        <v>3606</v>
      </c>
      <c r="AF71" s="640" t="s">
        <v>3678</v>
      </c>
      <c r="AG71" s="641" t="s">
        <v>3606</v>
      </c>
      <c r="AH71" s="640" t="s">
        <v>3678</v>
      </c>
      <c r="AI71" s="641" t="s">
        <v>3606</v>
      </c>
      <c r="AJ71" s="640" t="s">
        <v>3678</v>
      </c>
      <c r="AK71" s="641" t="s">
        <v>3606</v>
      </c>
      <c r="AL71" s="640" t="s">
        <v>3678</v>
      </c>
      <c r="AM71" s="639" t="s">
        <v>3606</v>
      </c>
      <c r="AN71" s="640" t="s">
        <v>3678</v>
      </c>
      <c r="AO71" s="639" t="s">
        <v>3606</v>
      </c>
      <c r="AP71" s="640" t="s">
        <v>3678</v>
      </c>
      <c r="AQ71" s="639" t="s">
        <v>3606</v>
      </c>
      <c r="AR71" s="640" t="s">
        <v>3678</v>
      </c>
      <c r="AS71" s="639" t="s">
        <v>3603</v>
      </c>
      <c r="AT71" s="640"/>
      <c r="AU71" s="639" t="s">
        <v>3605</v>
      </c>
      <c r="AV71" s="640"/>
      <c r="AW71" s="639" t="s">
        <v>3606</v>
      </c>
      <c r="AX71" s="640"/>
      <c r="AY71" s="639" t="s">
        <v>3606</v>
      </c>
      <c r="AZ71" s="640" t="s">
        <v>3678</v>
      </c>
      <c r="BA71" s="639" t="s">
        <v>3606</v>
      </c>
      <c r="BB71" s="640" t="s">
        <v>3678</v>
      </c>
      <c r="BC71" s="639" t="s">
        <v>3606</v>
      </c>
      <c r="BD71" s="640"/>
      <c r="BE71" s="640" t="s">
        <v>3606</v>
      </c>
      <c r="BF71" s="640" t="s">
        <v>3678</v>
      </c>
      <c r="BG71" s="640" t="s">
        <v>3605</v>
      </c>
      <c r="BH71" s="640"/>
      <c r="BI71" s="640" t="s">
        <v>3603</v>
      </c>
      <c r="BJ71" s="640"/>
      <c r="BK71" s="640" t="s">
        <v>3606</v>
      </c>
      <c r="BL71" s="640"/>
      <c r="BM71" s="678" t="s">
        <v>3689</v>
      </c>
      <c r="BN71" s="637"/>
      <c r="BO71" s="637"/>
      <c r="BP71" s="637"/>
      <c r="BQ71" s="637"/>
      <c r="BR71" s="637"/>
      <c r="BS71" s="637"/>
      <c r="BT71" s="637"/>
      <c r="BU71" s="679"/>
      <c r="BV71" s="679"/>
      <c r="BW71" s="633" t="s">
        <v>3704</v>
      </c>
      <c r="BX71" s="651" t="str">
        <f t="shared" si="3"/>
        <v>SPAM Karian Serpong Hilir</v>
      </c>
      <c r="BY71" s="651" t="str">
        <f t="shared" si="3"/>
        <v>24ABJ.NINKARBN02.1JE</v>
      </c>
      <c r="BZ71" s="658" t="str" cm="1">
        <f t="array" ref="BZ71">_xlfn.IFNA(_xlfn.IFS(N71="Ada","Selesai",N71="Tidak Perlu","Selesai",N71="","Terlambat"),"")</f>
        <v>Selesai</v>
      </c>
      <c r="CA71" s="658" t="str" cm="1">
        <f t="array" ref="CA71">_xlfn.IFNA(_xlfn.IFS(P71="Ada","Selesai",P71="Tidak Perlu","Selesai",P71="","Terlambat"),"")</f>
        <v>Selesai</v>
      </c>
      <c r="CB71" s="658" t="str" cm="1">
        <f t="array" ref="CB71">_xlfn.IFNA(_xlfn.IFS(R71="Ada","Selesai",R71="Tidak Perlu","Selesai",R71="","Terlambat"),"")</f>
        <v>Terlambat</v>
      </c>
      <c r="CC71" s="658" t="str" cm="1">
        <f t="array" ref="CC71">_xlfn.IFNA(_xlfn.IFS(T71="Ada","Selesai",T71="Tidak Perlu","Selesai",T71="","Terlambat"),"")</f>
        <v>Selesai</v>
      </c>
      <c r="CD71" s="658" t="str" cm="1">
        <f t="array" ref="CD71">_xlfn.IFNA(_xlfn.IFS(V71="Ada","Selesai",V71="Tidak Perlu","Selesai",V71="","Terlambat"),"")</f>
        <v>Selesai</v>
      </c>
      <c r="CE71" s="658" t="str" cm="1">
        <f t="array" ref="CE71">_xlfn.IFNA(_xlfn.IFS(X71="Ada","Selesai",X71="Tidak Perlu","Selesai",X71="","Terlambat"),"")</f>
        <v>Terlambat</v>
      </c>
      <c r="CF71" s="658" t="str" cm="1">
        <f t="array" ref="CF71">_xlfn.IFNA(_xlfn.IFS(Z71="Ada","Selesai",Z71="Tidak Perlu","Selesai",Z71="","Terlambat"),"")</f>
        <v>Selesai</v>
      </c>
      <c r="CG71" s="658" t="str" cm="1">
        <f t="array" ref="CG71">_xlfn.IFNA(_xlfn.IFS(AB71="Ada","Selesai",AB71="Tidak Perlu","Selesai",AB71="","Terlambat"),"")</f>
        <v>Terlambat</v>
      </c>
      <c r="CH71" s="658" t="str" cm="1">
        <f t="array" ref="CH71">_xlfn.IFNA(_xlfn.IFS(AD71="Ada","Selesai",AD71="Tidak Perlu","Selesai",AD71="","Terlambat"),"")</f>
        <v>Terlambat</v>
      </c>
      <c r="CI71" s="658" t="str" cm="1">
        <f t="array" ref="CI71">_xlfn.IFNA(_xlfn.IFS(AF71="Ada","Selesai",AF71="Tidak Perlu","Selesai",AF71="","Terlambat"),"")</f>
        <v>Selesai</v>
      </c>
      <c r="CJ71" s="658" t="str" cm="1">
        <f t="array" ref="CJ71">_xlfn.IFNA(_xlfn.IFS(AH71="Ada","Selesai",AH71="Tidak Perlu","Selesai",AH71="","Terlambat"),"")</f>
        <v>Selesai</v>
      </c>
      <c r="CK71" s="658" t="str" cm="1">
        <f t="array" ref="CK71">_xlfn.IFNA(_xlfn.IFS(AJ71="Ada","Selesai",AJ71="Tidak Perlu","Selesai",AJ71="","Terlambat"),"")</f>
        <v>Selesai</v>
      </c>
      <c r="CL71" s="658" t="str" cm="1">
        <f t="array" ref="CL71">_xlfn.IFNA(_xlfn.IFS(AL71="Ada","Selesai",AL71="Tidak Perlu","Selesai",AL71="","Terlambat"),"")</f>
        <v>Selesai</v>
      </c>
      <c r="CM71" s="658" t="str" cm="1">
        <f t="array" ref="CM71">_xlfn.IFNA(_xlfn.IFS(AN71="Ada","Selesai",AN71="Tidak Perlu","Selesai",AN71="","Terlambat"),"")</f>
        <v>Selesai</v>
      </c>
      <c r="CN71" s="658" t="str" cm="1">
        <f t="array" ref="CN71">_xlfn.IFNA(_xlfn.IFS(AP71="Ada","Selesai",AP71="Tidak Perlu","Selesai",AP71="","Terlambat"),"")</f>
        <v>Selesai</v>
      </c>
      <c r="CO71" s="658" t="str" cm="1">
        <f t="array" ref="CO71">_xlfn.IFNA(_xlfn.IFS(AR71="Ada","Selesai",AR71="Tidak Perlu","Selesai",AR71="","Terlambat"),"")</f>
        <v>Selesai</v>
      </c>
      <c r="CP71" s="658" t="str" cm="1">
        <f t="array" ref="CP71">_xlfn.IFNA(_xlfn.IFS(AT71="Ada","Selesai",AT71="Tidak Perlu","Selesai",AT71="","Terlambat"),"")</f>
        <v>Terlambat</v>
      </c>
      <c r="CQ71" s="658" t="str" cm="1">
        <f t="array" ref="CQ71">_xlfn.IFNA(_xlfn.IFS(AV71="Ada","Selesai",AV71="Tidak Perlu","Selesai",AV71="","Terlambat"),"")</f>
        <v>Terlambat</v>
      </c>
      <c r="CR71" s="658" t="str" cm="1">
        <f t="array" ref="CR71">_xlfn.IFNA(_xlfn.IFS(AX71="Ada","Selesai",AX71="Tidak Perlu","Selesai",AX71="","Terlambat"),"")</f>
        <v>Terlambat</v>
      </c>
      <c r="CS71" s="658" t="str" cm="1">
        <f t="array" ref="CS71">_xlfn.IFNA(_xlfn.IFS(AZ71="Ada","Selesai",AZ71="Tidak Perlu","Selesai",AZ71="","Terlambat"),"")</f>
        <v>Selesai</v>
      </c>
      <c r="CT71" s="658" t="str" cm="1">
        <f t="array" ref="CT71">_xlfn.IFNA(_xlfn.IFS(BB71="Ada","Selesai",BB71="Tidak Perlu","Selesai",BB71="","Terlambat"),"")</f>
        <v>Selesai</v>
      </c>
      <c r="CU71" s="658" t="str" cm="1">
        <f t="array" ref="CU71">_xlfn.IFNA(_xlfn.IFS(BD71="Ada","Selesai",BD71="Tidak Perlu","Selesai",BD71="","Terlambat"),"")</f>
        <v>Terlambat</v>
      </c>
      <c r="CV71" s="658" t="str" cm="1">
        <f t="array" ref="CV71">_xlfn.IFNA(_xlfn.IFS(BF71="Ada","Selesai",BF71="Tidak Perlu","Selesai",BF71="","Terlambat"),"")</f>
        <v>Selesai</v>
      </c>
      <c r="CW71" s="658" t="str" cm="1">
        <f t="array" ref="CW71">_xlfn.IFNA(_xlfn.IFS(BM71="Ada","Selesai",BM71="Tidak Perlu","Selesai",BM71="","Terlambat"),"")</f>
        <v/>
      </c>
    </row>
    <row r="72" spans="2:101" ht="17.25" hidden="1" customHeight="1" x14ac:dyDescent="0.2">
      <c r="B72" s="633">
        <v>65</v>
      </c>
      <c r="C72" s="633" t="s">
        <v>673</v>
      </c>
      <c r="D72" s="634" t="s">
        <v>2601</v>
      </c>
      <c r="E72" s="633" t="s">
        <v>278</v>
      </c>
      <c r="F72" s="634" t="s">
        <v>3705</v>
      </c>
      <c r="G72" s="633" t="s">
        <v>3560</v>
      </c>
      <c r="H72" s="635" t="s">
        <v>3667</v>
      </c>
      <c r="I72" s="633" t="s">
        <v>3685</v>
      </c>
      <c r="J72" s="636">
        <v>1</v>
      </c>
      <c r="K72" s="637" t="str">
        <f t="shared" ref="K72:K115" si="4">(
COUNTIF(O72,"Final/Approved")+COUNTIF(O72,"Draft Lengkap")+COUNTIF(O72,"Sebagian/Partial")+
COUNTIF(Q72,"Final/Approved")+COUNTIF(Q72,"Draft Lengkap")+COUNTIF(Q72,"Sebagian/Partial")+
COUNTIF(U72,"Final/Approved")+COUNTIF(U72,"Draft Lengkap")+COUNTIF(U72,"Sebagian/Partial")+
COUNTIF(W72,"Final/Approved")+COUNTIF(W72,"Draft Lengkap")+COUNTIF(W72,"Sebagian/Partial")+
COUNTIF(AA72,"Final/Approved")+COUNTIF(AA72,"Draft Lengkap")+COUNTIF(AA72,"Sebagian/Partial")+
COUNTIF(AC72,"Final/Approved")+COUNTIF(AC72,"Draft Lengkap")+COUNTIF(AC72,"Sebagian/Partial")+
COUNTIF(AE72,"Final/Approved")+COUNTIF(AE72,"Draft Lengkap")+COUNTIF(AE72,"Sebagian/Partial")+
COUNTIF(AG72,"Final/Approved")+COUNTIF(AG72,"Draft Lengkap")+COUNTIF(AG72,"Sebagian/Partial")+
COUNTIF(AI72,"Final/Approved")+COUNTIF(AI72,"Draft Lengkap")+COUNTIF(AI72,"Sebagian/Partial")+
COUNTIF(AK72,"Final/Approved")+COUNTIF(AK72,"Draft Lengkap")+COUNTIF(AK72,"Sebagian/Partial")+
COUNTIF(AM72,"Final/Approved")+COUNTIF(AM72,"Draft Lengkap")+COUNTIF(AM72,"Sebagian/Partial")+
COUNTIF(AO72,"Final/Approved")+COUNTIF(AO72,"Draft Lengkap")+COUNTIF(AO72,"Sebagian/Partial")+
COUNTIF(AQ72,"Final/Approved")+COUNTIF(AQ72,"Draft Lengkap")+COUNTIF(AQ72,"Sebagian/Partial")+
COUNTIF(AT72,"Final/Approved")+COUNTIF(AT72,"Draft Lengkap")+COUNTIF(AT72,"Sebagian/Partial")+
COUNTIF(AU72,"Final/Approved")+COUNTIF(AU72,"Draft Lengkap")+COUNTIF(AU72,"Sebagian/Partial")+
COUNTIF(AW72,"Final/Approved")+COUNTIF(AW72,"Draft Lengkap")+COUNTIF(AW72,"Sebagian/Partial")+
COUNTIF(AY72,"Final/Approved")+COUNTIF(AY72,"Draft Lengkap")+COUNTIF(AY72,"Sebagian/Partial")+
COUNTIF(BA72,"Final/Approved")+COUNTIF(BA72,"Draft Lengkap")+COUNTIF(BA72,"Sebagian/Partial")+
COUNTIF(BC72,"Final/Approved")+COUNTIF(BC72,"Draft Lengkap")+COUNTIF(BC72,"Sebagian/Partial")+
COUNTIF(BE72,"Final/Approved")+COUNTIF(BE72,"Draft Lengkap")+COUNTIF(BE72,"Sebagian/Partial")
)&amp;"/20"</f>
        <v>17/20</v>
      </c>
      <c r="L72" s="638" t="s">
        <v>3686</v>
      </c>
      <c r="M72" s="639" t="s">
        <v>3606</v>
      </c>
      <c r="N72" s="639" t="s">
        <v>1266</v>
      </c>
      <c r="O72" s="639" t="s">
        <v>3606</v>
      </c>
      <c r="P72" s="641" t="s">
        <v>3706</v>
      </c>
      <c r="Q72" s="639" t="s">
        <v>3606</v>
      </c>
      <c r="R72" s="641" t="s">
        <v>3706</v>
      </c>
      <c r="S72" s="639" t="s">
        <v>3606</v>
      </c>
      <c r="T72" s="640" t="s">
        <v>3678</v>
      </c>
      <c r="U72" s="639" t="s">
        <v>3603</v>
      </c>
      <c r="V72" s="640" t="s">
        <v>3706</v>
      </c>
      <c r="W72" s="639" t="s">
        <v>3606</v>
      </c>
      <c r="X72" s="640" t="s">
        <v>3678</v>
      </c>
      <c r="Y72" s="642" t="s">
        <v>3606</v>
      </c>
      <c r="Z72" s="640" t="s">
        <v>1266</v>
      </c>
      <c r="AA72" s="639" t="s">
        <v>3606</v>
      </c>
      <c r="AB72" s="640" t="s">
        <v>3678</v>
      </c>
      <c r="AC72" s="639" t="s">
        <v>3606</v>
      </c>
      <c r="AD72" s="640" t="s">
        <v>3706</v>
      </c>
      <c r="AE72" s="639" t="s">
        <v>3606</v>
      </c>
      <c r="AF72" s="640" t="s">
        <v>3706</v>
      </c>
      <c r="AG72" s="641" t="s">
        <v>3606</v>
      </c>
      <c r="AH72" s="640" t="s">
        <v>3706</v>
      </c>
      <c r="AI72" s="641" t="s">
        <v>3606</v>
      </c>
      <c r="AJ72" s="640" t="s">
        <v>3706</v>
      </c>
      <c r="AK72" s="641" t="s">
        <v>3606</v>
      </c>
      <c r="AL72" s="640" t="s">
        <v>3706</v>
      </c>
      <c r="AM72" s="639" t="s">
        <v>3606</v>
      </c>
      <c r="AN72" s="640" t="s">
        <v>3706</v>
      </c>
      <c r="AO72" s="639" t="s">
        <v>3606</v>
      </c>
      <c r="AP72" s="640" t="s">
        <v>3706</v>
      </c>
      <c r="AQ72" s="639" t="s">
        <v>3606</v>
      </c>
      <c r="AR72" s="640" t="s">
        <v>3706</v>
      </c>
      <c r="AS72" s="639" t="s">
        <v>3606</v>
      </c>
      <c r="AT72" s="640" t="s">
        <v>3678</v>
      </c>
      <c r="AU72" s="639" t="s">
        <v>3603</v>
      </c>
      <c r="AV72" s="640" t="s">
        <v>3678</v>
      </c>
      <c r="AW72" s="639" t="s">
        <v>3606</v>
      </c>
      <c r="AX72" s="640" t="s">
        <v>3706</v>
      </c>
      <c r="AY72" s="639" t="s">
        <v>3606</v>
      </c>
      <c r="AZ72" s="640" t="s">
        <v>3706</v>
      </c>
      <c r="BA72" s="639" t="s">
        <v>3606</v>
      </c>
      <c r="BB72" s="640" t="s">
        <v>3706</v>
      </c>
      <c r="BC72" s="639" t="s">
        <v>3606</v>
      </c>
      <c r="BD72" s="640" t="s">
        <v>3706</v>
      </c>
      <c r="BE72" s="640" t="s">
        <v>3606</v>
      </c>
      <c r="BF72" s="640" t="s">
        <v>3706</v>
      </c>
      <c r="BG72" s="640" t="s">
        <v>1266</v>
      </c>
      <c r="BH72" s="640" t="s">
        <v>1266</v>
      </c>
      <c r="BI72" s="640" t="s">
        <v>3606</v>
      </c>
      <c r="BJ72" s="640" t="s">
        <v>3678</v>
      </c>
      <c r="BK72" s="640" t="s">
        <v>3606</v>
      </c>
      <c r="BL72" s="640" t="s">
        <v>3678</v>
      </c>
      <c r="BM72" s="678" t="s">
        <v>3707</v>
      </c>
      <c r="BN72" s="682"/>
      <c r="BO72" s="637"/>
      <c r="BP72" s="637"/>
      <c r="BQ72" s="637"/>
      <c r="BR72" s="637"/>
      <c r="BS72" s="637"/>
      <c r="BT72" s="637"/>
      <c r="BU72" s="679"/>
      <c r="BV72" s="679"/>
      <c r="BW72" s="633" t="s">
        <v>3704</v>
      </c>
      <c r="BX72" s="651" t="str">
        <f t="shared" si="3"/>
        <v>SPAM Karian Serpong Hilir</v>
      </c>
      <c r="BY72" s="651" t="str">
        <f t="shared" si="3"/>
        <v>25ABJ.NINKARB020.4JE</v>
      </c>
      <c r="BZ72" s="658" t="str" cm="1">
        <f t="array" ref="BZ72">_xlfn.IFNA(_xlfn.IFS(N72="Ada","Selesai",N72="Tidak Perlu","Selesai",N72="","Terlambat"),"")</f>
        <v>Selesai</v>
      </c>
      <c r="CA72" s="658" t="str" cm="1">
        <f t="array" ref="CA72">_xlfn.IFNA(_xlfn.IFS(P72="Ada","Selesai",P72="Tidak Perlu","Selesai",P72="","Terlambat"),"")</f>
        <v>Selesai</v>
      </c>
      <c r="CB72" s="658" t="str" cm="1">
        <f t="array" ref="CB72">_xlfn.IFNA(_xlfn.IFS(R72="Ada","Selesai",R72="Tidak Perlu","Selesai",R72="","Terlambat"),"")</f>
        <v>Selesai</v>
      </c>
      <c r="CC72" s="658" t="str" cm="1">
        <f t="array" ref="CC72">_xlfn.IFNA(_xlfn.IFS(T72="Ada","Selesai",T72="Tidak Perlu","Selesai",T72="","Terlambat"),"")</f>
        <v>Selesai</v>
      </c>
      <c r="CD72" s="658" t="str" cm="1">
        <f t="array" ref="CD72">_xlfn.IFNA(_xlfn.IFS(V72="Ada","Selesai",V72="Tidak Perlu","Selesai",V72="","Terlambat"),"")</f>
        <v>Selesai</v>
      </c>
      <c r="CE72" s="658" t="str" cm="1">
        <f t="array" ref="CE72">_xlfn.IFNA(_xlfn.IFS(X72="Ada","Selesai",X72="Tidak Perlu","Selesai",X72="","Terlambat"),"")</f>
        <v>Selesai</v>
      </c>
      <c r="CF72" s="658" t="str" cm="1">
        <f t="array" ref="CF72">_xlfn.IFNA(_xlfn.IFS(Z72="Ada","Selesai",Z72="Tidak Perlu","Selesai",Z72="","Terlambat"),"")</f>
        <v>Selesai</v>
      </c>
      <c r="CG72" s="658" t="str" cm="1">
        <f t="array" ref="CG72">_xlfn.IFNA(_xlfn.IFS(AB72="Ada","Selesai",AB72="Tidak Perlu","Selesai",AB72="","Terlambat"),"")</f>
        <v>Selesai</v>
      </c>
      <c r="CH72" s="658" t="str" cm="1">
        <f t="array" ref="CH72">_xlfn.IFNA(_xlfn.IFS(AD72="Ada","Selesai",AD72="Tidak Perlu","Selesai",AD72="","Terlambat"),"")</f>
        <v>Selesai</v>
      </c>
      <c r="CI72" s="658" t="str" cm="1">
        <f t="array" ref="CI72">_xlfn.IFNA(_xlfn.IFS(AF72="Ada","Selesai",AF72="Tidak Perlu","Selesai",AF72="","Terlambat"),"")</f>
        <v>Selesai</v>
      </c>
      <c r="CJ72" s="658" t="str" cm="1">
        <f t="array" ref="CJ72">_xlfn.IFNA(_xlfn.IFS(AH72="Ada","Selesai",AH72="Tidak Perlu","Selesai",AH72="","Terlambat"),"")</f>
        <v>Selesai</v>
      </c>
      <c r="CK72" s="658" t="str" cm="1">
        <f t="array" ref="CK72">_xlfn.IFNA(_xlfn.IFS(AJ72="Ada","Selesai",AJ72="Tidak Perlu","Selesai",AJ72="","Terlambat"),"")</f>
        <v>Selesai</v>
      </c>
      <c r="CL72" s="658" t="str" cm="1">
        <f t="array" ref="CL72">_xlfn.IFNA(_xlfn.IFS(AL72="Ada","Selesai",AL72="Tidak Perlu","Selesai",AL72="","Terlambat"),"")</f>
        <v>Selesai</v>
      </c>
      <c r="CM72" s="658" t="str" cm="1">
        <f t="array" ref="CM72">_xlfn.IFNA(_xlfn.IFS(AN72="Ada","Selesai",AN72="Tidak Perlu","Selesai",AN72="","Terlambat"),"")</f>
        <v>Selesai</v>
      </c>
      <c r="CN72" s="658" t="str" cm="1">
        <f t="array" ref="CN72">_xlfn.IFNA(_xlfn.IFS(AP72="Ada","Selesai",AP72="Tidak Perlu","Selesai",AP72="","Terlambat"),"")</f>
        <v>Selesai</v>
      </c>
      <c r="CO72" s="658" t="str" cm="1">
        <f t="array" ref="CO72">_xlfn.IFNA(_xlfn.IFS(AR72="Ada","Selesai",AR72="Tidak Perlu","Selesai",AR72="","Terlambat"),"")</f>
        <v>Selesai</v>
      </c>
      <c r="CP72" s="658" t="str" cm="1">
        <f t="array" ref="CP72">_xlfn.IFNA(_xlfn.IFS(AT72="Ada","Selesai",AT72="Tidak Perlu","Selesai",AT72="","Terlambat"),"")</f>
        <v>Selesai</v>
      </c>
      <c r="CQ72" s="658" t="str" cm="1">
        <f t="array" ref="CQ72">_xlfn.IFNA(_xlfn.IFS(AV72="Ada","Selesai",AV72="Tidak Perlu","Selesai",AV72="","Terlambat"),"")</f>
        <v>Selesai</v>
      </c>
      <c r="CR72" s="658" t="str" cm="1">
        <f t="array" ref="CR72">_xlfn.IFNA(_xlfn.IFS(AX72="Ada","Selesai",AX72="Tidak Perlu","Selesai",AX72="","Terlambat"),"")</f>
        <v>Selesai</v>
      </c>
      <c r="CS72" s="658" t="str" cm="1">
        <f t="array" ref="CS72">_xlfn.IFNA(_xlfn.IFS(AZ72="Ada","Selesai",AZ72="Tidak Perlu","Selesai",AZ72="","Terlambat"),"")</f>
        <v>Selesai</v>
      </c>
      <c r="CT72" s="658" t="str" cm="1">
        <f t="array" ref="CT72">_xlfn.IFNA(_xlfn.IFS(BB72="Ada","Selesai",BB72="Tidak Perlu","Selesai",BB72="","Terlambat"),"")</f>
        <v>Selesai</v>
      </c>
      <c r="CU72" s="658" t="str" cm="1">
        <f t="array" ref="CU72">_xlfn.IFNA(_xlfn.IFS(BD72="Ada","Selesai",BD72="Tidak Perlu","Selesai",BD72="","Terlambat"),"")</f>
        <v>Selesai</v>
      </c>
      <c r="CV72" s="658" t="str" cm="1">
        <f t="array" ref="CV72">_xlfn.IFNA(_xlfn.IFS(BF72="Ada","Selesai",BF72="Tidak Perlu","Selesai",BF72="","Terlambat"),"")</f>
        <v>Selesai</v>
      </c>
      <c r="CW72" s="658" t="str" cm="1">
        <f t="array" ref="CW72">_xlfn.IFNA(_xlfn.IFS(BM72="Ada","Selesai",BM72="Tidak Perlu","Selesai",BM72="","Terlambat"),"")</f>
        <v/>
      </c>
    </row>
    <row r="73" spans="2:101" ht="17.25" hidden="1" customHeight="1" x14ac:dyDescent="0.2">
      <c r="B73" s="633">
        <v>66</v>
      </c>
      <c r="C73" s="633" t="s">
        <v>673</v>
      </c>
      <c r="D73" s="634" t="s">
        <v>2593</v>
      </c>
      <c r="E73" s="633" t="s">
        <v>278</v>
      </c>
      <c r="F73" s="634" t="s">
        <v>2594</v>
      </c>
      <c r="G73" s="633" t="s">
        <v>3608</v>
      </c>
      <c r="H73" s="635" t="s">
        <v>3667</v>
      </c>
      <c r="I73" s="633" t="s">
        <v>3668</v>
      </c>
      <c r="J73" s="636">
        <v>0.9</v>
      </c>
      <c r="K73" s="637" t="str">
        <f t="shared" si="4"/>
        <v>4/20</v>
      </c>
      <c r="L73" s="638" t="s">
        <v>3674</v>
      </c>
      <c r="M73" s="639" t="s">
        <v>3606</v>
      </c>
      <c r="N73" s="639"/>
      <c r="O73" s="639" t="s">
        <v>3603</v>
      </c>
      <c r="P73" s="641"/>
      <c r="Q73" s="639" t="s">
        <v>3603</v>
      </c>
      <c r="R73" s="641"/>
      <c r="S73" s="639" t="s">
        <v>3606</v>
      </c>
      <c r="T73" s="639"/>
      <c r="U73" s="639" t="s">
        <v>3603</v>
      </c>
      <c r="V73" s="640"/>
      <c r="W73" s="639" t="s">
        <v>3603</v>
      </c>
      <c r="X73" s="640"/>
      <c r="Y73" s="642" t="s">
        <v>3603</v>
      </c>
      <c r="Z73" s="640" t="s">
        <v>1266</v>
      </c>
      <c r="AA73" s="639" t="s">
        <v>3603</v>
      </c>
      <c r="AB73" s="640"/>
      <c r="AC73" s="639" t="s">
        <v>3603</v>
      </c>
      <c r="AD73" s="640"/>
      <c r="AE73" s="639" t="s">
        <v>3606</v>
      </c>
      <c r="AF73" s="640"/>
      <c r="AG73" s="641" t="s">
        <v>3603</v>
      </c>
      <c r="AH73" s="640"/>
      <c r="AI73" s="641" t="s">
        <v>3603</v>
      </c>
      <c r="AJ73" s="640"/>
      <c r="AK73" s="641" t="s">
        <v>3603</v>
      </c>
      <c r="AL73" s="640"/>
      <c r="AM73" s="639" t="s">
        <v>3606</v>
      </c>
      <c r="AN73" s="640"/>
      <c r="AO73" s="639" t="s">
        <v>3603</v>
      </c>
      <c r="AP73" s="640"/>
      <c r="AQ73" s="639" t="s">
        <v>3603</v>
      </c>
      <c r="AR73" s="640"/>
      <c r="AS73" s="639" t="s">
        <v>3603</v>
      </c>
      <c r="AT73" s="640"/>
      <c r="AU73" s="639" t="s">
        <v>3603</v>
      </c>
      <c r="AV73" s="640"/>
      <c r="AW73" s="639" t="s">
        <v>3603</v>
      </c>
      <c r="AX73" s="640"/>
      <c r="AY73" s="639" t="s">
        <v>3603</v>
      </c>
      <c r="AZ73" s="640"/>
      <c r="BA73" s="639" t="s">
        <v>3606</v>
      </c>
      <c r="BB73" s="640"/>
      <c r="BC73" s="639" t="s">
        <v>3603</v>
      </c>
      <c r="BD73" s="640"/>
      <c r="BE73" s="640" t="s">
        <v>3606</v>
      </c>
      <c r="BF73" s="640"/>
      <c r="BG73" s="640" t="s">
        <v>1266</v>
      </c>
      <c r="BH73" s="640"/>
      <c r="BI73" s="640" t="s">
        <v>3603</v>
      </c>
      <c r="BJ73" s="640"/>
      <c r="BK73" s="640" t="s">
        <v>3603</v>
      </c>
      <c r="BL73" s="640"/>
      <c r="BM73" s="678"/>
      <c r="BN73" s="637"/>
      <c r="BO73" s="637"/>
      <c r="BP73" s="637"/>
      <c r="BQ73" s="637"/>
      <c r="BR73" s="637"/>
      <c r="BS73" s="637"/>
      <c r="BT73" s="637"/>
      <c r="BU73" s="679"/>
      <c r="BV73" s="679"/>
      <c r="BW73" s="633" t="s">
        <v>3704</v>
      </c>
      <c r="BX73" s="651" t="str">
        <f t="shared" si="3"/>
        <v>SPAM Karian Serpong Hilir</v>
      </c>
      <c r="BY73" s="651" t="str">
        <f t="shared" si="3"/>
        <v>23ABJ.NPPKAR036JE</v>
      </c>
      <c r="BZ73" s="658" t="str" cm="1">
        <f t="array" ref="BZ73">_xlfn.IFNA(_xlfn.IFS(N73="Ada","Selesai",N73="Tidak Perlu","Selesai",N73="","Terlambat"),"")</f>
        <v>Terlambat</v>
      </c>
      <c r="CA73" s="658" t="str" cm="1">
        <f t="array" ref="CA73">_xlfn.IFNA(_xlfn.IFS(P73="Ada","Selesai",P73="Tidak Perlu","Selesai",P73="","Terlambat"),"")</f>
        <v>Terlambat</v>
      </c>
      <c r="CB73" s="658" t="str" cm="1">
        <f t="array" ref="CB73">_xlfn.IFNA(_xlfn.IFS(R73="Ada","Selesai",R73="Tidak Perlu","Selesai",R73="","Terlambat"),"")</f>
        <v>Terlambat</v>
      </c>
      <c r="CC73" s="658" t="str" cm="1">
        <f t="array" ref="CC73">_xlfn.IFNA(_xlfn.IFS(T73="Ada","Selesai",T73="Tidak Perlu","Selesai",T73="","Terlambat"),"")</f>
        <v>Terlambat</v>
      </c>
      <c r="CD73" s="658" t="str" cm="1">
        <f t="array" ref="CD73">_xlfn.IFNA(_xlfn.IFS(V73="Ada","Selesai",V73="Tidak Perlu","Selesai",V73="","Terlambat"),"")</f>
        <v>Terlambat</v>
      </c>
      <c r="CE73" s="658" t="str" cm="1">
        <f t="array" ref="CE73">_xlfn.IFNA(_xlfn.IFS(X73="Ada","Selesai",X73="Tidak Perlu","Selesai",X73="","Terlambat"),"")</f>
        <v>Terlambat</v>
      </c>
      <c r="CF73" s="658" t="str" cm="1">
        <f t="array" ref="CF73">_xlfn.IFNA(_xlfn.IFS(Z73="Ada","Selesai",Z73="Tidak Perlu","Selesai",Z73="","Terlambat"),"")</f>
        <v>Selesai</v>
      </c>
      <c r="CG73" s="658" t="str" cm="1">
        <f t="array" ref="CG73">_xlfn.IFNA(_xlfn.IFS(AB73="Ada","Selesai",AB73="Tidak Perlu","Selesai",AB73="","Terlambat"),"")</f>
        <v>Terlambat</v>
      </c>
      <c r="CH73" s="658" t="str" cm="1">
        <f t="array" ref="CH73">_xlfn.IFNA(_xlfn.IFS(AD73="Ada","Selesai",AD73="Tidak Perlu","Selesai",AD73="","Terlambat"),"")</f>
        <v>Terlambat</v>
      </c>
      <c r="CI73" s="658" t="str" cm="1">
        <f t="array" ref="CI73">_xlfn.IFNA(_xlfn.IFS(AF73="Ada","Selesai",AF73="Tidak Perlu","Selesai",AF73="","Terlambat"),"")</f>
        <v>Terlambat</v>
      </c>
      <c r="CJ73" s="658" t="str" cm="1">
        <f t="array" ref="CJ73">_xlfn.IFNA(_xlfn.IFS(AH73="Ada","Selesai",AH73="Tidak Perlu","Selesai",AH73="","Terlambat"),"")</f>
        <v>Terlambat</v>
      </c>
      <c r="CK73" s="658" t="str" cm="1">
        <f t="array" ref="CK73">_xlfn.IFNA(_xlfn.IFS(AJ73="Ada","Selesai",AJ73="Tidak Perlu","Selesai",AJ73="","Terlambat"),"")</f>
        <v>Terlambat</v>
      </c>
      <c r="CL73" s="658" t="str" cm="1">
        <f t="array" ref="CL73">_xlfn.IFNA(_xlfn.IFS(AL73="Ada","Selesai",AL73="Tidak Perlu","Selesai",AL73="","Terlambat"),"")</f>
        <v>Terlambat</v>
      </c>
      <c r="CM73" s="658" t="str" cm="1">
        <f t="array" ref="CM73">_xlfn.IFNA(_xlfn.IFS(AN73="Ada","Selesai",AN73="Tidak Perlu","Selesai",AN73="","Terlambat"),"")</f>
        <v>Terlambat</v>
      </c>
      <c r="CN73" s="658" t="str" cm="1">
        <f t="array" ref="CN73">_xlfn.IFNA(_xlfn.IFS(AP73="Ada","Selesai",AP73="Tidak Perlu","Selesai",AP73="","Terlambat"),"")</f>
        <v>Terlambat</v>
      </c>
      <c r="CO73" s="658" t="str" cm="1">
        <f t="array" ref="CO73">_xlfn.IFNA(_xlfn.IFS(AR73="Ada","Selesai",AR73="Tidak Perlu","Selesai",AR73="","Terlambat"),"")</f>
        <v>Terlambat</v>
      </c>
      <c r="CP73" s="658" t="str" cm="1">
        <f t="array" ref="CP73">_xlfn.IFNA(_xlfn.IFS(AT73="Ada","Selesai",AT73="Tidak Perlu","Selesai",AT73="","Terlambat"),"")</f>
        <v>Terlambat</v>
      </c>
      <c r="CQ73" s="658" t="str" cm="1">
        <f t="array" ref="CQ73">_xlfn.IFNA(_xlfn.IFS(AV73="Ada","Selesai",AV73="Tidak Perlu","Selesai",AV73="","Terlambat"),"")</f>
        <v>Terlambat</v>
      </c>
      <c r="CR73" s="658" t="str" cm="1">
        <f t="array" ref="CR73">_xlfn.IFNA(_xlfn.IFS(AX73="Ada","Selesai",AX73="Tidak Perlu","Selesai",AX73="","Terlambat"),"")</f>
        <v>Terlambat</v>
      </c>
      <c r="CS73" s="658" t="str" cm="1">
        <f t="array" ref="CS73">_xlfn.IFNA(_xlfn.IFS(AZ73="Ada","Selesai",AZ73="Tidak Perlu","Selesai",AZ73="","Terlambat"),"")</f>
        <v>Terlambat</v>
      </c>
      <c r="CT73" s="658" t="str" cm="1">
        <f t="array" ref="CT73">_xlfn.IFNA(_xlfn.IFS(BB73="Ada","Selesai",BB73="Tidak Perlu","Selesai",BB73="","Terlambat"),"")</f>
        <v>Terlambat</v>
      </c>
      <c r="CU73" s="658" t="str" cm="1">
        <f t="array" ref="CU73">_xlfn.IFNA(_xlfn.IFS(BD73="Ada","Selesai",BD73="Tidak Perlu","Selesai",BD73="","Terlambat"),"")</f>
        <v>Terlambat</v>
      </c>
      <c r="CV73" s="658" t="str" cm="1">
        <f t="array" ref="CV73">_xlfn.IFNA(_xlfn.IFS(BF73="Ada","Selesai",BF73="Tidak Perlu","Selesai",BF73="","Terlambat"),"")</f>
        <v>Terlambat</v>
      </c>
      <c r="CW73" s="658" t="str" cm="1">
        <f t="array" ref="CW73">_xlfn.IFNA(_xlfn.IFS(BM73="Ada","Selesai",BM73="Tidak Perlu","Selesai",BM73="","Terlambat"),"")</f>
        <v>Terlambat</v>
      </c>
    </row>
    <row r="74" spans="2:101" ht="17.25" hidden="1" customHeight="1" x14ac:dyDescent="0.2">
      <c r="B74" s="633">
        <v>67</v>
      </c>
      <c r="C74" s="633" t="s">
        <v>673</v>
      </c>
      <c r="D74" s="634" t="s">
        <v>2609</v>
      </c>
      <c r="E74" s="633" t="s">
        <v>278</v>
      </c>
      <c r="F74" s="680" t="s">
        <v>2610</v>
      </c>
      <c r="G74" s="633" t="s">
        <v>3684</v>
      </c>
      <c r="H74" s="646" t="s">
        <v>3599</v>
      </c>
      <c r="I74" s="633" t="s">
        <v>3599</v>
      </c>
      <c r="J74" s="636">
        <v>0</v>
      </c>
      <c r="K74" s="637" t="str">
        <f t="shared" si="4"/>
        <v>0/20</v>
      </c>
      <c r="L74" s="638">
        <v>0</v>
      </c>
      <c r="M74" s="639" t="s">
        <v>1266</v>
      </c>
      <c r="N74" s="639"/>
      <c r="O74" s="639" t="s">
        <v>1266</v>
      </c>
      <c r="P74" s="641"/>
      <c r="Q74" s="639" t="s">
        <v>1266</v>
      </c>
      <c r="R74" s="641"/>
      <c r="S74" s="639" t="s">
        <v>1266</v>
      </c>
      <c r="T74" s="639"/>
      <c r="U74" s="639" t="s">
        <v>1266</v>
      </c>
      <c r="V74" s="640"/>
      <c r="W74" s="639" t="s">
        <v>1266</v>
      </c>
      <c r="X74" s="640"/>
      <c r="Y74" s="642" t="s">
        <v>1266</v>
      </c>
      <c r="Z74" s="640" t="s">
        <v>1266</v>
      </c>
      <c r="AA74" s="639" t="s">
        <v>1266</v>
      </c>
      <c r="AB74" s="640"/>
      <c r="AC74" s="639" t="s">
        <v>1266</v>
      </c>
      <c r="AD74" s="640"/>
      <c r="AE74" s="639" t="s">
        <v>1266</v>
      </c>
      <c r="AF74" s="640"/>
      <c r="AG74" s="641" t="s">
        <v>1266</v>
      </c>
      <c r="AH74" s="640"/>
      <c r="AI74" s="641" t="s">
        <v>1266</v>
      </c>
      <c r="AJ74" s="640"/>
      <c r="AK74" s="641" t="s">
        <v>1266</v>
      </c>
      <c r="AL74" s="640"/>
      <c r="AM74" s="639" t="s">
        <v>1266</v>
      </c>
      <c r="AN74" s="640"/>
      <c r="AO74" s="639" t="s">
        <v>1266</v>
      </c>
      <c r="AP74" s="640"/>
      <c r="AQ74" s="639" t="s">
        <v>1266</v>
      </c>
      <c r="AR74" s="640"/>
      <c r="AS74" s="639" t="s">
        <v>1266</v>
      </c>
      <c r="AT74" s="640"/>
      <c r="AU74" s="639" t="s">
        <v>1266</v>
      </c>
      <c r="AV74" s="640"/>
      <c r="AW74" s="639" t="s">
        <v>1266</v>
      </c>
      <c r="AX74" s="640"/>
      <c r="AY74" s="639" t="s">
        <v>1266</v>
      </c>
      <c r="AZ74" s="640"/>
      <c r="BA74" s="639" t="s">
        <v>1266</v>
      </c>
      <c r="BB74" s="640"/>
      <c r="BC74" s="639" t="s">
        <v>1266</v>
      </c>
      <c r="BD74" s="640"/>
      <c r="BE74" s="640" t="s">
        <v>1266</v>
      </c>
      <c r="BF74" s="640"/>
      <c r="BG74" s="640" t="s">
        <v>1266</v>
      </c>
      <c r="BH74" s="640"/>
      <c r="BI74" s="640" t="s">
        <v>1266</v>
      </c>
      <c r="BJ74" s="640"/>
      <c r="BK74" s="640" t="s">
        <v>1266</v>
      </c>
      <c r="BL74" s="640"/>
      <c r="BM74" s="678" t="str">
        <f>IF(
  (
   (P74="Ada")+(P74="tidak perlu")+(P74="draft") +
   (R74="Ada")+(R74="tidak perlu")+(R74="draft") +
   (V74="Ada")+(V74="tidak perlu")+(V74="draft") +
   (X74="Ada")+(X74="tidak perlu")+(X74="draft") +
   (AB74="Ada")+(AB74="tidak perlu")+(AB74="draft") +
   (AD74="Ada")+(AD74="tidak perlu")+(AD74="draft") +
   (AF74="Ada")+(AF74="tidak perlu")+(AF74="draft") +
   (AH74="Ada")+(AH74="tidak perlu")+(AH74="draft") +
   (AJ74="Ada")+(AJ74="tidak perlu")+(AJ74="draft") +
   (AL74="Ada")+(AL74="tidak perlu")+(AL74="draft") +
   (AN74="Ada")+(AN74="tidak perlu")+(AN74="draft") +
   (AP74="Ada")+(AP74="tidak perlu")+(AP74="draft") +
   (AR74="Ada")+(AR74="tidak perlu")+(AR74="draft") +
   (AT74="Ada")+(AT74="tidak perlu")+(AT74="draft") +
   (AV74="Ada")+(AV74="tidak perlu")+(AV74="draft") +
   (AX74="Ada")+(AX74="tidak perlu")+(AX74="draft") +
   (AZ74="Ada")+(AZ74="tidak perlu")+(AZ74="draft") +
   (BB74="Ada")+(BB74="tidak perlu")+(BB74="draft") +
   (BD74="Ada")+(BD74="tidak perlu")+(BD74="draft") +
   (BF74="Ada")+(BF74="tidak perlu")+(BF74="draft")
  ) = 20,
 "Lengkap","Belum Lengkap")</f>
        <v>Belum Lengkap</v>
      </c>
      <c r="BN74" s="637"/>
      <c r="BO74" s="637"/>
      <c r="BP74" s="637"/>
      <c r="BQ74" s="637"/>
      <c r="BR74" s="637"/>
      <c r="BS74" s="637"/>
      <c r="BT74" s="637"/>
      <c r="BU74" s="679"/>
      <c r="BV74" s="679"/>
      <c r="BW74" s="633" t="s">
        <v>3599</v>
      </c>
      <c r="BX74" s="651" t="str">
        <f t="shared" si="3"/>
        <v>SPAM Karian Serpong Hilir</v>
      </c>
      <c r="BY74" s="651" t="str">
        <f t="shared" si="3"/>
        <v>25ABJ.NINKARB020.1JE</v>
      </c>
      <c r="BZ74" s="658" t="str" cm="1">
        <f t="array" ref="BZ74">_xlfn.IFNA(_xlfn.IFS(N74="Ada","Selesai",N74="Tidak Perlu","Selesai",N74="","Terlambat"),"")</f>
        <v>Terlambat</v>
      </c>
      <c r="CA74" s="658" t="str" cm="1">
        <f t="array" ref="CA74">_xlfn.IFNA(_xlfn.IFS(P74="Ada","Selesai",P74="Tidak Perlu","Selesai",P74="","Terlambat"),"")</f>
        <v>Terlambat</v>
      </c>
      <c r="CB74" s="658" t="str" cm="1">
        <f t="array" ref="CB74">_xlfn.IFNA(_xlfn.IFS(R74="Ada","Selesai",R74="Tidak Perlu","Selesai",R74="","Terlambat"),"")</f>
        <v>Terlambat</v>
      </c>
      <c r="CC74" s="658" t="str" cm="1">
        <f t="array" ref="CC74">_xlfn.IFNA(_xlfn.IFS(T74="Ada","Selesai",T74="Tidak Perlu","Selesai",T74="","Terlambat"),"")</f>
        <v>Terlambat</v>
      </c>
      <c r="CD74" s="658" t="str" cm="1">
        <f t="array" ref="CD74">_xlfn.IFNA(_xlfn.IFS(V74="Ada","Selesai",V74="Tidak Perlu","Selesai",V74="","Terlambat"),"")</f>
        <v>Terlambat</v>
      </c>
      <c r="CE74" s="658" t="str" cm="1">
        <f t="array" ref="CE74">_xlfn.IFNA(_xlfn.IFS(X74="Ada","Selesai",X74="Tidak Perlu","Selesai",X74="","Terlambat"),"")</f>
        <v>Terlambat</v>
      </c>
      <c r="CF74" s="658" t="str" cm="1">
        <f t="array" ref="CF74">_xlfn.IFNA(_xlfn.IFS(Z74="Ada","Selesai",Z74="Tidak Perlu","Selesai",Z74="","Terlambat"),"")</f>
        <v>Selesai</v>
      </c>
      <c r="CG74" s="658" t="str" cm="1">
        <f t="array" ref="CG74">_xlfn.IFNA(_xlfn.IFS(AB74="Ada","Selesai",AB74="Tidak Perlu","Selesai",AB74="","Terlambat"),"")</f>
        <v>Terlambat</v>
      </c>
      <c r="CH74" s="658" t="str" cm="1">
        <f t="array" ref="CH74">_xlfn.IFNA(_xlfn.IFS(AD74="Ada","Selesai",AD74="Tidak Perlu","Selesai",AD74="","Terlambat"),"")</f>
        <v>Terlambat</v>
      </c>
      <c r="CI74" s="658" t="str" cm="1">
        <f t="array" ref="CI74">_xlfn.IFNA(_xlfn.IFS(AF74="Ada","Selesai",AF74="Tidak Perlu","Selesai",AF74="","Terlambat"),"")</f>
        <v>Terlambat</v>
      </c>
      <c r="CJ74" s="658" t="str" cm="1">
        <f t="array" ref="CJ74">_xlfn.IFNA(_xlfn.IFS(AH74="Ada","Selesai",AH74="Tidak Perlu","Selesai",AH74="","Terlambat"),"")</f>
        <v>Terlambat</v>
      </c>
      <c r="CK74" s="658" t="str" cm="1">
        <f t="array" ref="CK74">_xlfn.IFNA(_xlfn.IFS(AJ74="Ada","Selesai",AJ74="Tidak Perlu","Selesai",AJ74="","Terlambat"),"")</f>
        <v>Terlambat</v>
      </c>
      <c r="CL74" s="658" t="str" cm="1">
        <f t="array" ref="CL74">_xlfn.IFNA(_xlfn.IFS(AL74="Ada","Selesai",AL74="Tidak Perlu","Selesai",AL74="","Terlambat"),"")</f>
        <v>Terlambat</v>
      </c>
      <c r="CM74" s="658" t="str" cm="1">
        <f t="array" ref="CM74">_xlfn.IFNA(_xlfn.IFS(AN74="Ada","Selesai",AN74="Tidak Perlu","Selesai",AN74="","Terlambat"),"")</f>
        <v>Terlambat</v>
      </c>
      <c r="CN74" s="658" t="str" cm="1">
        <f t="array" ref="CN74">_xlfn.IFNA(_xlfn.IFS(AP74="Ada","Selesai",AP74="Tidak Perlu","Selesai",AP74="","Terlambat"),"")</f>
        <v>Terlambat</v>
      </c>
      <c r="CO74" s="658" t="str" cm="1">
        <f t="array" ref="CO74">_xlfn.IFNA(_xlfn.IFS(AR74="Ada","Selesai",AR74="Tidak Perlu","Selesai",AR74="","Terlambat"),"")</f>
        <v>Terlambat</v>
      </c>
      <c r="CP74" s="658" t="str" cm="1">
        <f t="array" ref="CP74">_xlfn.IFNA(_xlfn.IFS(AT74="Ada","Selesai",AT74="Tidak Perlu","Selesai",AT74="","Terlambat"),"")</f>
        <v>Terlambat</v>
      </c>
      <c r="CQ74" s="658" t="str" cm="1">
        <f t="array" ref="CQ74">_xlfn.IFNA(_xlfn.IFS(AV74="Ada","Selesai",AV74="Tidak Perlu","Selesai",AV74="","Terlambat"),"")</f>
        <v>Terlambat</v>
      </c>
      <c r="CR74" s="658" t="str" cm="1">
        <f t="array" ref="CR74">_xlfn.IFNA(_xlfn.IFS(AX74="Ada","Selesai",AX74="Tidak Perlu","Selesai",AX74="","Terlambat"),"")</f>
        <v>Terlambat</v>
      </c>
      <c r="CS74" s="658" t="str" cm="1">
        <f t="array" ref="CS74">_xlfn.IFNA(_xlfn.IFS(AZ74="Ada","Selesai",AZ74="Tidak Perlu","Selesai",AZ74="","Terlambat"),"")</f>
        <v>Terlambat</v>
      </c>
      <c r="CT74" s="658" t="str" cm="1">
        <f t="array" ref="CT74">_xlfn.IFNA(_xlfn.IFS(BB74="Ada","Selesai",BB74="Tidak Perlu","Selesai",BB74="","Terlambat"),"")</f>
        <v>Terlambat</v>
      </c>
      <c r="CU74" s="658" t="str" cm="1">
        <f t="array" ref="CU74">_xlfn.IFNA(_xlfn.IFS(BD74="Ada","Selesai",BD74="Tidak Perlu","Selesai",BD74="","Terlambat"),"")</f>
        <v>Terlambat</v>
      </c>
      <c r="CV74" s="658" t="str" cm="1">
        <f t="array" ref="CV74">_xlfn.IFNA(_xlfn.IFS(BF74="Ada","Selesai",BF74="Tidak Perlu","Selesai",BF74="","Terlambat"),"")</f>
        <v>Terlambat</v>
      </c>
      <c r="CW74" s="658" t="str" cm="1">
        <f t="array" ref="CW74">_xlfn.IFNA(_xlfn.IFS(BM74="Ada","Selesai",BM74="Tidak Perlu","Selesai",BM74="","Terlambat"),"")</f>
        <v/>
      </c>
    </row>
    <row r="75" spans="2:101" ht="17.25" hidden="1" customHeight="1" x14ac:dyDescent="0.2">
      <c r="B75" s="633">
        <v>68</v>
      </c>
      <c r="C75" s="633" t="s">
        <v>673</v>
      </c>
      <c r="D75" s="634" t="s">
        <v>2616</v>
      </c>
      <c r="E75" s="633" t="s">
        <v>278</v>
      </c>
      <c r="F75" s="634" t="s">
        <v>2617</v>
      </c>
      <c r="G75" s="633" t="s">
        <v>3608</v>
      </c>
      <c r="H75" s="635" t="s">
        <v>3667</v>
      </c>
      <c r="I75" s="633" t="s">
        <v>3668</v>
      </c>
      <c r="J75" s="636">
        <v>0.25</v>
      </c>
      <c r="K75" s="637" t="str">
        <f t="shared" si="4"/>
        <v>6/20</v>
      </c>
      <c r="L75" s="638" t="s">
        <v>3674</v>
      </c>
      <c r="M75" s="639" t="s">
        <v>3606</v>
      </c>
      <c r="N75" s="639"/>
      <c r="O75" s="639" t="s">
        <v>3603</v>
      </c>
      <c r="P75" s="647"/>
      <c r="Q75" s="639" t="s">
        <v>3603</v>
      </c>
      <c r="R75" s="641"/>
      <c r="S75" s="639" t="s">
        <v>3606</v>
      </c>
      <c r="T75" s="639"/>
      <c r="U75" s="639" t="s">
        <v>3606</v>
      </c>
      <c r="V75" s="640"/>
      <c r="W75" s="639" t="s">
        <v>3603</v>
      </c>
      <c r="X75" s="640"/>
      <c r="Y75" s="642" t="s">
        <v>3603</v>
      </c>
      <c r="Z75" s="640" t="s">
        <v>1266</v>
      </c>
      <c r="AA75" s="639" t="s">
        <v>3603</v>
      </c>
      <c r="AB75" s="640"/>
      <c r="AC75" s="639" t="s">
        <v>3603</v>
      </c>
      <c r="AD75" s="640"/>
      <c r="AE75" s="639" t="s">
        <v>3606</v>
      </c>
      <c r="AF75" s="640"/>
      <c r="AG75" s="641" t="s">
        <v>3603</v>
      </c>
      <c r="AH75" s="640"/>
      <c r="AI75" s="641" t="s">
        <v>3603</v>
      </c>
      <c r="AJ75" s="640"/>
      <c r="AK75" s="641" t="s">
        <v>3603</v>
      </c>
      <c r="AL75" s="640"/>
      <c r="AM75" s="639" t="s">
        <v>3606</v>
      </c>
      <c r="AN75" s="640"/>
      <c r="AO75" s="639" t="s">
        <v>3603</v>
      </c>
      <c r="AP75" s="640"/>
      <c r="AQ75" s="639" t="s">
        <v>3603</v>
      </c>
      <c r="AR75" s="640"/>
      <c r="AS75" s="639" t="s">
        <v>3603</v>
      </c>
      <c r="AT75" s="640"/>
      <c r="AU75" s="639" t="s">
        <v>3603</v>
      </c>
      <c r="AV75" s="640"/>
      <c r="AW75" s="639" t="s">
        <v>3603</v>
      </c>
      <c r="AX75" s="640"/>
      <c r="AY75" s="639" t="s">
        <v>3603</v>
      </c>
      <c r="AZ75" s="640"/>
      <c r="BA75" s="639" t="s">
        <v>3606</v>
      </c>
      <c r="BB75" s="640"/>
      <c r="BC75" s="639" t="s">
        <v>3606</v>
      </c>
      <c r="BD75" s="640"/>
      <c r="BE75" s="640" t="s">
        <v>3606</v>
      </c>
      <c r="BF75" s="640"/>
      <c r="BG75" s="640" t="s">
        <v>3605</v>
      </c>
      <c r="BH75" s="640"/>
      <c r="BI75" s="640" t="s">
        <v>3603</v>
      </c>
      <c r="BJ75" s="640"/>
      <c r="BK75" s="640" t="s">
        <v>3603</v>
      </c>
      <c r="BL75" s="640"/>
      <c r="BM75" s="678"/>
      <c r="BN75" s="637"/>
      <c r="BO75" s="637"/>
      <c r="BP75" s="637"/>
      <c r="BQ75" s="637"/>
      <c r="BR75" s="637"/>
      <c r="BS75" s="637"/>
      <c r="BT75" s="637"/>
      <c r="BU75" s="679"/>
      <c r="BV75" s="679"/>
      <c r="BW75" s="633" t="s">
        <v>3671</v>
      </c>
      <c r="BX75" s="651" t="str">
        <f t="shared" si="3"/>
        <v>SPAM Karian Serpong Hilir</v>
      </c>
      <c r="BY75" s="651" t="str">
        <f t="shared" si="3"/>
        <v>25ABJ.NINKARB020.2JE</v>
      </c>
      <c r="BZ75" s="658" t="str" cm="1">
        <f t="array" ref="BZ75">_xlfn.IFNA(_xlfn.IFS(N75="Ada","Selesai",N75="Tidak Perlu","Selesai",N75="","Terlambat"),"")</f>
        <v>Terlambat</v>
      </c>
      <c r="CA75" s="658" t="str" cm="1">
        <f t="array" ref="CA75">_xlfn.IFNA(_xlfn.IFS(P75="Ada","Selesai",P75="Tidak Perlu","Selesai",P75="","Terlambat"),"")</f>
        <v>Terlambat</v>
      </c>
      <c r="CB75" s="658" t="str" cm="1">
        <f t="array" ref="CB75">_xlfn.IFNA(_xlfn.IFS(R75="Ada","Selesai",R75="Tidak Perlu","Selesai",R75="","Terlambat"),"")</f>
        <v>Terlambat</v>
      </c>
      <c r="CC75" s="658" t="str" cm="1">
        <f t="array" ref="CC75">_xlfn.IFNA(_xlfn.IFS(T75="Ada","Selesai",T75="Tidak Perlu","Selesai",T75="","Terlambat"),"")</f>
        <v>Terlambat</v>
      </c>
      <c r="CD75" s="658" t="str" cm="1">
        <f t="array" ref="CD75">_xlfn.IFNA(_xlfn.IFS(V75="Ada","Selesai",V75="Tidak Perlu","Selesai",V75="","Terlambat"),"")</f>
        <v>Terlambat</v>
      </c>
      <c r="CE75" s="658" t="str" cm="1">
        <f t="array" ref="CE75">_xlfn.IFNA(_xlfn.IFS(X75="Ada","Selesai",X75="Tidak Perlu","Selesai",X75="","Terlambat"),"")</f>
        <v>Terlambat</v>
      </c>
      <c r="CF75" s="658" t="str" cm="1">
        <f t="array" ref="CF75">_xlfn.IFNA(_xlfn.IFS(Z75="Ada","Selesai",Z75="Tidak Perlu","Selesai",Z75="","Terlambat"),"")</f>
        <v>Selesai</v>
      </c>
      <c r="CG75" s="658" t="str" cm="1">
        <f t="array" ref="CG75">_xlfn.IFNA(_xlfn.IFS(AB75="Ada","Selesai",AB75="Tidak Perlu","Selesai",AB75="","Terlambat"),"")</f>
        <v>Terlambat</v>
      </c>
      <c r="CH75" s="658" t="str" cm="1">
        <f t="array" ref="CH75">_xlfn.IFNA(_xlfn.IFS(AD75="Ada","Selesai",AD75="Tidak Perlu","Selesai",AD75="","Terlambat"),"")</f>
        <v>Terlambat</v>
      </c>
      <c r="CI75" s="658" t="str" cm="1">
        <f t="array" ref="CI75">_xlfn.IFNA(_xlfn.IFS(AF75="Ada","Selesai",AF75="Tidak Perlu","Selesai",AF75="","Terlambat"),"")</f>
        <v>Terlambat</v>
      </c>
      <c r="CJ75" s="658" t="str" cm="1">
        <f t="array" ref="CJ75">_xlfn.IFNA(_xlfn.IFS(AH75="Ada","Selesai",AH75="Tidak Perlu","Selesai",AH75="","Terlambat"),"")</f>
        <v>Terlambat</v>
      </c>
      <c r="CK75" s="658" t="str" cm="1">
        <f t="array" ref="CK75">_xlfn.IFNA(_xlfn.IFS(AJ75="Ada","Selesai",AJ75="Tidak Perlu","Selesai",AJ75="","Terlambat"),"")</f>
        <v>Terlambat</v>
      </c>
      <c r="CL75" s="658" t="str" cm="1">
        <f t="array" ref="CL75">_xlfn.IFNA(_xlfn.IFS(AL75="Ada","Selesai",AL75="Tidak Perlu","Selesai",AL75="","Terlambat"),"")</f>
        <v>Terlambat</v>
      </c>
      <c r="CM75" s="658" t="str" cm="1">
        <f t="array" ref="CM75">_xlfn.IFNA(_xlfn.IFS(AN75="Ada","Selesai",AN75="Tidak Perlu","Selesai",AN75="","Terlambat"),"")</f>
        <v>Terlambat</v>
      </c>
      <c r="CN75" s="658" t="str" cm="1">
        <f t="array" ref="CN75">_xlfn.IFNA(_xlfn.IFS(AP75="Ada","Selesai",AP75="Tidak Perlu","Selesai",AP75="","Terlambat"),"")</f>
        <v>Terlambat</v>
      </c>
      <c r="CO75" s="658" t="str" cm="1">
        <f t="array" ref="CO75">_xlfn.IFNA(_xlfn.IFS(AR75="Ada","Selesai",AR75="Tidak Perlu","Selesai",AR75="","Terlambat"),"")</f>
        <v>Terlambat</v>
      </c>
      <c r="CP75" s="658" t="str" cm="1">
        <f t="array" ref="CP75">_xlfn.IFNA(_xlfn.IFS(AT75="Ada","Selesai",AT75="Tidak Perlu","Selesai",AT75="","Terlambat"),"")</f>
        <v>Terlambat</v>
      </c>
      <c r="CQ75" s="658" t="str" cm="1">
        <f t="array" ref="CQ75">_xlfn.IFNA(_xlfn.IFS(AV75="Ada","Selesai",AV75="Tidak Perlu","Selesai",AV75="","Terlambat"),"")</f>
        <v>Terlambat</v>
      </c>
      <c r="CR75" s="658" t="str" cm="1">
        <f t="array" ref="CR75">_xlfn.IFNA(_xlfn.IFS(AX75="Ada","Selesai",AX75="Tidak Perlu","Selesai",AX75="","Terlambat"),"")</f>
        <v>Terlambat</v>
      </c>
      <c r="CS75" s="658" t="str" cm="1">
        <f t="array" ref="CS75">_xlfn.IFNA(_xlfn.IFS(AZ75="Ada","Selesai",AZ75="Tidak Perlu","Selesai",AZ75="","Terlambat"),"")</f>
        <v>Terlambat</v>
      </c>
      <c r="CT75" s="658" t="str" cm="1">
        <f t="array" ref="CT75">_xlfn.IFNA(_xlfn.IFS(BB75="Ada","Selesai",BB75="Tidak Perlu","Selesai",BB75="","Terlambat"),"")</f>
        <v>Terlambat</v>
      </c>
      <c r="CU75" s="658" t="str" cm="1">
        <f t="array" ref="CU75">_xlfn.IFNA(_xlfn.IFS(BD75="Ada","Selesai",BD75="Tidak Perlu","Selesai",BD75="","Terlambat"),"")</f>
        <v>Terlambat</v>
      </c>
      <c r="CV75" s="658" t="str" cm="1">
        <f t="array" ref="CV75">_xlfn.IFNA(_xlfn.IFS(BF75="Ada","Selesai",BF75="Tidak Perlu","Selesai",BF75="","Terlambat"),"")</f>
        <v>Terlambat</v>
      </c>
      <c r="CW75" s="658" t="str" cm="1">
        <f t="array" ref="CW75">_xlfn.IFNA(_xlfn.IFS(BM75="Ada","Selesai",BM75="Tidak Perlu","Selesai",BM75="","Terlambat"),"")</f>
        <v>Terlambat</v>
      </c>
    </row>
    <row r="76" spans="2:101" ht="17.25" hidden="1" customHeight="1" x14ac:dyDescent="0.2">
      <c r="B76" s="633">
        <v>69</v>
      </c>
      <c r="C76" s="633" t="s">
        <v>673</v>
      </c>
      <c r="D76" s="634" t="s">
        <v>2624</v>
      </c>
      <c r="E76" s="633" t="s">
        <v>278</v>
      </c>
      <c r="F76" s="634" t="s">
        <v>2625</v>
      </c>
      <c r="G76" s="633" t="s">
        <v>3608</v>
      </c>
      <c r="H76" s="635" t="s">
        <v>3667</v>
      </c>
      <c r="I76" s="633" t="s">
        <v>3668</v>
      </c>
      <c r="J76" s="636">
        <v>0.86</v>
      </c>
      <c r="K76" s="637" t="str">
        <f t="shared" si="4"/>
        <v>6/20</v>
      </c>
      <c r="L76" s="638" t="s">
        <v>3674</v>
      </c>
      <c r="M76" s="639" t="s">
        <v>3606</v>
      </c>
      <c r="N76" s="639"/>
      <c r="O76" s="639" t="s">
        <v>3603</v>
      </c>
      <c r="P76" s="647"/>
      <c r="Q76" s="639" t="s">
        <v>3603</v>
      </c>
      <c r="R76" s="641"/>
      <c r="S76" s="639" t="s">
        <v>3606</v>
      </c>
      <c r="T76" s="639"/>
      <c r="U76" s="639" t="s">
        <v>3606</v>
      </c>
      <c r="V76" s="640"/>
      <c r="W76" s="639" t="s">
        <v>3603</v>
      </c>
      <c r="X76" s="640"/>
      <c r="Y76" s="642" t="s">
        <v>3603</v>
      </c>
      <c r="Z76" s="640" t="s">
        <v>1266</v>
      </c>
      <c r="AA76" s="639" t="s">
        <v>3603</v>
      </c>
      <c r="AB76" s="640"/>
      <c r="AC76" s="639" t="s">
        <v>3603</v>
      </c>
      <c r="AD76" s="640"/>
      <c r="AE76" s="639" t="s">
        <v>3606</v>
      </c>
      <c r="AF76" s="640"/>
      <c r="AG76" s="641" t="s">
        <v>3603</v>
      </c>
      <c r="AH76" s="640"/>
      <c r="AI76" s="641" t="s">
        <v>3603</v>
      </c>
      <c r="AJ76" s="640"/>
      <c r="AK76" s="641" t="s">
        <v>3603</v>
      </c>
      <c r="AL76" s="640"/>
      <c r="AM76" s="639" t="s">
        <v>3606</v>
      </c>
      <c r="AN76" s="640"/>
      <c r="AO76" s="639" t="s">
        <v>3603</v>
      </c>
      <c r="AP76" s="640"/>
      <c r="AQ76" s="639" t="s">
        <v>3603</v>
      </c>
      <c r="AR76" s="640"/>
      <c r="AS76" s="639" t="s">
        <v>3603</v>
      </c>
      <c r="AT76" s="640"/>
      <c r="AU76" s="639" t="s">
        <v>3603</v>
      </c>
      <c r="AV76" s="640"/>
      <c r="AW76" s="639" t="s">
        <v>3603</v>
      </c>
      <c r="AX76" s="640"/>
      <c r="AY76" s="639" t="s">
        <v>3603</v>
      </c>
      <c r="AZ76" s="640"/>
      <c r="BA76" s="639" t="s">
        <v>3606</v>
      </c>
      <c r="BB76" s="640"/>
      <c r="BC76" s="639" t="s">
        <v>3606</v>
      </c>
      <c r="BD76" s="640"/>
      <c r="BE76" s="640" t="s">
        <v>3606</v>
      </c>
      <c r="BF76" s="640"/>
      <c r="BG76" s="640" t="s">
        <v>1266</v>
      </c>
      <c r="BH76" s="640"/>
      <c r="BI76" s="640" t="s">
        <v>3603</v>
      </c>
      <c r="BJ76" s="640"/>
      <c r="BK76" s="640" t="s">
        <v>3603</v>
      </c>
      <c r="BL76" s="640"/>
      <c r="BM76" s="678"/>
      <c r="BN76" s="637"/>
      <c r="BO76" s="637"/>
      <c r="BP76" s="637"/>
      <c r="BQ76" s="637"/>
      <c r="BR76" s="637"/>
      <c r="BS76" s="637"/>
      <c r="BT76" s="637"/>
      <c r="BU76" s="679"/>
      <c r="BV76" s="679"/>
      <c r="BW76" s="633" t="s">
        <v>3704</v>
      </c>
      <c r="BX76" s="651" t="str">
        <f t="shared" si="3"/>
        <v>SPAM Karian Serpong Hilir</v>
      </c>
      <c r="BY76" s="651" t="str">
        <f t="shared" si="3"/>
        <v>25ABJ.NINKARB020.3JE</v>
      </c>
      <c r="BZ76" s="658" t="str" cm="1">
        <f t="array" ref="BZ76">_xlfn.IFNA(_xlfn.IFS(N76="Ada","Selesai",N76="Tidak Perlu","Selesai",N76="","Terlambat"),"")</f>
        <v>Terlambat</v>
      </c>
      <c r="CA76" s="658" t="str" cm="1">
        <f t="array" ref="CA76">_xlfn.IFNA(_xlfn.IFS(P76="Ada","Selesai",P76="Tidak Perlu","Selesai",P76="","Terlambat"),"")</f>
        <v>Terlambat</v>
      </c>
      <c r="CB76" s="658" t="str" cm="1">
        <f t="array" ref="CB76">_xlfn.IFNA(_xlfn.IFS(R76="Ada","Selesai",R76="Tidak Perlu","Selesai",R76="","Terlambat"),"")</f>
        <v>Terlambat</v>
      </c>
      <c r="CC76" s="658" t="str" cm="1">
        <f t="array" ref="CC76">_xlfn.IFNA(_xlfn.IFS(T76="Ada","Selesai",T76="Tidak Perlu","Selesai",T76="","Terlambat"),"")</f>
        <v>Terlambat</v>
      </c>
      <c r="CD76" s="658" t="str" cm="1">
        <f t="array" ref="CD76">_xlfn.IFNA(_xlfn.IFS(V76="Ada","Selesai",V76="Tidak Perlu","Selesai",V76="","Terlambat"),"")</f>
        <v>Terlambat</v>
      </c>
      <c r="CE76" s="658" t="str" cm="1">
        <f t="array" ref="CE76">_xlfn.IFNA(_xlfn.IFS(X76="Ada","Selesai",X76="Tidak Perlu","Selesai",X76="","Terlambat"),"")</f>
        <v>Terlambat</v>
      </c>
      <c r="CF76" s="658" t="str" cm="1">
        <f t="array" ref="CF76">_xlfn.IFNA(_xlfn.IFS(Z76="Ada","Selesai",Z76="Tidak Perlu","Selesai",Z76="","Terlambat"),"")</f>
        <v>Selesai</v>
      </c>
      <c r="CG76" s="658" t="str" cm="1">
        <f t="array" ref="CG76">_xlfn.IFNA(_xlfn.IFS(AB76="Ada","Selesai",AB76="Tidak Perlu","Selesai",AB76="","Terlambat"),"")</f>
        <v>Terlambat</v>
      </c>
      <c r="CH76" s="658" t="str" cm="1">
        <f t="array" ref="CH76">_xlfn.IFNA(_xlfn.IFS(AD76="Ada","Selesai",AD76="Tidak Perlu","Selesai",AD76="","Terlambat"),"")</f>
        <v>Terlambat</v>
      </c>
      <c r="CI76" s="658" t="str" cm="1">
        <f t="array" ref="CI76">_xlfn.IFNA(_xlfn.IFS(AF76="Ada","Selesai",AF76="Tidak Perlu","Selesai",AF76="","Terlambat"),"")</f>
        <v>Terlambat</v>
      </c>
      <c r="CJ76" s="658" t="str" cm="1">
        <f t="array" ref="CJ76">_xlfn.IFNA(_xlfn.IFS(AH76="Ada","Selesai",AH76="Tidak Perlu","Selesai",AH76="","Terlambat"),"")</f>
        <v>Terlambat</v>
      </c>
      <c r="CK76" s="658" t="str" cm="1">
        <f t="array" ref="CK76">_xlfn.IFNA(_xlfn.IFS(AJ76="Ada","Selesai",AJ76="Tidak Perlu","Selesai",AJ76="","Terlambat"),"")</f>
        <v>Terlambat</v>
      </c>
      <c r="CL76" s="658" t="str" cm="1">
        <f t="array" ref="CL76">_xlfn.IFNA(_xlfn.IFS(AL76="Ada","Selesai",AL76="Tidak Perlu","Selesai",AL76="","Terlambat"),"")</f>
        <v>Terlambat</v>
      </c>
      <c r="CM76" s="658" t="str" cm="1">
        <f t="array" ref="CM76">_xlfn.IFNA(_xlfn.IFS(AN76="Ada","Selesai",AN76="Tidak Perlu","Selesai",AN76="","Terlambat"),"")</f>
        <v>Terlambat</v>
      </c>
      <c r="CN76" s="658" t="str" cm="1">
        <f t="array" ref="CN76">_xlfn.IFNA(_xlfn.IFS(AP76="Ada","Selesai",AP76="Tidak Perlu","Selesai",AP76="","Terlambat"),"")</f>
        <v>Terlambat</v>
      </c>
      <c r="CO76" s="658" t="str" cm="1">
        <f t="array" ref="CO76">_xlfn.IFNA(_xlfn.IFS(AR76="Ada","Selesai",AR76="Tidak Perlu","Selesai",AR76="","Terlambat"),"")</f>
        <v>Terlambat</v>
      </c>
      <c r="CP76" s="658" t="str" cm="1">
        <f t="array" ref="CP76">_xlfn.IFNA(_xlfn.IFS(AT76="Ada","Selesai",AT76="Tidak Perlu","Selesai",AT76="","Terlambat"),"")</f>
        <v>Terlambat</v>
      </c>
      <c r="CQ76" s="658" t="str" cm="1">
        <f t="array" ref="CQ76">_xlfn.IFNA(_xlfn.IFS(AV76="Ada","Selesai",AV76="Tidak Perlu","Selesai",AV76="","Terlambat"),"")</f>
        <v>Terlambat</v>
      </c>
      <c r="CR76" s="658" t="str" cm="1">
        <f t="array" ref="CR76">_xlfn.IFNA(_xlfn.IFS(AX76="Ada","Selesai",AX76="Tidak Perlu","Selesai",AX76="","Terlambat"),"")</f>
        <v>Terlambat</v>
      </c>
      <c r="CS76" s="658" t="str" cm="1">
        <f t="array" ref="CS76">_xlfn.IFNA(_xlfn.IFS(AZ76="Ada","Selesai",AZ76="Tidak Perlu","Selesai",AZ76="","Terlambat"),"")</f>
        <v>Terlambat</v>
      </c>
      <c r="CT76" s="658" t="str" cm="1">
        <f t="array" ref="CT76">_xlfn.IFNA(_xlfn.IFS(BB76="Ada","Selesai",BB76="Tidak Perlu","Selesai",BB76="","Terlambat"),"")</f>
        <v>Terlambat</v>
      </c>
      <c r="CU76" s="658" t="str" cm="1">
        <f t="array" ref="CU76">_xlfn.IFNA(_xlfn.IFS(BD76="Ada","Selesai",BD76="Tidak Perlu","Selesai",BD76="","Terlambat"),"")</f>
        <v>Terlambat</v>
      </c>
      <c r="CV76" s="658" t="str" cm="1">
        <f t="array" ref="CV76">_xlfn.IFNA(_xlfn.IFS(BF76="Ada","Selesai",BF76="Tidak Perlu","Selesai",BF76="","Terlambat"),"")</f>
        <v>Terlambat</v>
      </c>
      <c r="CW76" s="658" t="str" cm="1">
        <f t="array" ref="CW76">_xlfn.IFNA(_xlfn.IFS(BM76="Ada","Selesai",BM76="Tidak Perlu","Selesai",BM76="","Terlambat"),"")</f>
        <v>Terlambat</v>
      </c>
    </row>
    <row r="77" spans="2:101" ht="17.25" hidden="1" customHeight="1" x14ac:dyDescent="0.2">
      <c r="B77" s="633">
        <v>70</v>
      </c>
      <c r="C77" s="633" t="s">
        <v>673</v>
      </c>
      <c r="D77" s="634" t="s">
        <v>2632</v>
      </c>
      <c r="E77" s="633" t="s">
        <v>278</v>
      </c>
      <c r="F77" s="634" t="s">
        <v>2633</v>
      </c>
      <c r="G77" s="633" t="s">
        <v>3608</v>
      </c>
      <c r="H77" s="635" t="s">
        <v>3667</v>
      </c>
      <c r="I77" s="633" t="s">
        <v>3668</v>
      </c>
      <c r="J77" s="636">
        <v>0.09</v>
      </c>
      <c r="K77" s="637" t="str">
        <f t="shared" si="4"/>
        <v>5/20</v>
      </c>
      <c r="L77" s="638" t="s">
        <v>3674</v>
      </c>
      <c r="M77" s="639" t="s">
        <v>3606</v>
      </c>
      <c r="N77" s="639"/>
      <c r="O77" s="639" t="s">
        <v>3603</v>
      </c>
      <c r="P77" s="647"/>
      <c r="Q77" s="639" t="s">
        <v>3603</v>
      </c>
      <c r="R77" s="647"/>
      <c r="S77" s="639" t="s">
        <v>3606</v>
      </c>
      <c r="T77" s="639"/>
      <c r="U77" s="639" t="s">
        <v>3606</v>
      </c>
      <c r="V77" s="640"/>
      <c r="W77" s="639" t="s">
        <v>3603</v>
      </c>
      <c r="X77" s="640"/>
      <c r="Y77" s="642" t="s">
        <v>3603</v>
      </c>
      <c r="Z77" s="640" t="s">
        <v>1266</v>
      </c>
      <c r="AA77" s="639" t="s">
        <v>3603</v>
      </c>
      <c r="AB77" s="640"/>
      <c r="AC77" s="639" t="s">
        <v>3603</v>
      </c>
      <c r="AD77" s="640"/>
      <c r="AE77" s="639" t="s">
        <v>3606</v>
      </c>
      <c r="AF77" s="640"/>
      <c r="AG77" s="641" t="s">
        <v>3603</v>
      </c>
      <c r="AH77" s="640"/>
      <c r="AI77" s="641" t="s">
        <v>3603</v>
      </c>
      <c r="AJ77" s="640"/>
      <c r="AK77" s="641" t="s">
        <v>3603</v>
      </c>
      <c r="AL77" s="640"/>
      <c r="AM77" s="639" t="s">
        <v>3603</v>
      </c>
      <c r="AN77" s="640"/>
      <c r="AO77" s="639" t="s">
        <v>3603</v>
      </c>
      <c r="AP77" s="640"/>
      <c r="AQ77" s="639" t="s">
        <v>3603</v>
      </c>
      <c r="AR77" s="640"/>
      <c r="AS77" s="639" t="s">
        <v>3603</v>
      </c>
      <c r="AT77" s="640"/>
      <c r="AU77" s="639" t="s">
        <v>3603</v>
      </c>
      <c r="AV77" s="640"/>
      <c r="AW77" s="639" t="s">
        <v>3606</v>
      </c>
      <c r="AX77" s="640"/>
      <c r="AY77" s="639" t="s">
        <v>3603</v>
      </c>
      <c r="AZ77" s="640"/>
      <c r="BA77" s="639" t="s">
        <v>3603</v>
      </c>
      <c r="BB77" s="640"/>
      <c r="BC77" s="639" t="s">
        <v>3606</v>
      </c>
      <c r="BD77" s="640"/>
      <c r="BE77" s="640" t="s">
        <v>3606</v>
      </c>
      <c r="BF77" s="640"/>
      <c r="BG77" s="640" t="s">
        <v>1266</v>
      </c>
      <c r="BH77" s="640"/>
      <c r="BI77" s="640" t="s">
        <v>3603</v>
      </c>
      <c r="BJ77" s="640"/>
      <c r="BK77" s="640" t="s">
        <v>3603</v>
      </c>
      <c r="BL77" s="640"/>
      <c r="BM77" s="678"/>
      <c r="BN77" s="637"/>
      <c r="BO77" s="637"/>
      <c r="BP77" s="637"/>
      <c r="BQ77" s="637"/>
      <c r="BR77" s="637"/>
      <c r="BS77" s="637"/>
      <c r="BT77" s="637"/>
      <c r="BU77" s="679"/>
      <c r="BV77" s="679"/>
      <c r="BW77" s="633" t="s">
        <v>3671</v>
      </c>
      <c r="BX77" s="651" t="str">
        <f t="shared" si="3"/>
        <v>SPAM Karian Serpong Hilir</v>
      </c>
      <c r="BY77" s="651" t="str">
        <f t="shared" si="3"/>
        <v>24ABJ.NINKARB006.6JE</v>
      </c>
      <c r="BZ77" s="658" t="str" cm="1">
        <f t="array" ref="BZ77">_xlfn.IFNA(_xlfn.IFS(N77="Ada","Selesai",N77="Tidak Perlu","Selesai",N77="","Terlambat"),"")</f>
        <v>Terlambat</v>
      </c>
      <c r="CA77" s="658" t="str" cm="1">
        <f t="array" ref="CA77">_xlfn.IFNA(_xlfn.IFS(P77="Ada","Selesai",P77="Tidak Perlu","Selesai",P77="","Terlambat"),"")</f>
        <v>Terlambat</v>
      </c>
      <c r="CB77" s="658" t="str" cm="1">
        <f t="array" ref="CB77">_xlfn.IFNA(_xlfn.IFS(R77="Ada","Selesai",R77="Tidak Perlu","Selesai",R77="","Terlambat"),"")</f>
        <v>Terlambat</v>
      </c>
      <c r="CC77" s="658" t="str" cm="1">
        <f t="array" ref="CC77">_xlfn.IFNA(_xlfn.IFS(T77="Ada","Selesai",T77="Tidak Perlu","Selesai",T77="","Terlambat"),"")</f>
        <v>Terlambat</v>
      </c>
      <c r="CD77" s="658" t="str" cm="1">
        <f t="array" ref="CD77">_xlfn.IFNA(_xlfn.IFS(V77="Ada","Selesai",V77="Tidak Perlu","Selesai",V77="","Terlambat"),"")</f>
        <v>Terlambat</v>
      </c>
      <c r="CE77" s="658" t="str" cm="1">
        <f t="array" ref="CE77">_xlfn.IFNA(_xlfn.IFS(X77="Ada","Selesai",X77="Tidak Perlu","Selesai",X77="","Terlambat"),"")</f>
        <v>Terlambat</v>
      </c>
      <c r="CF77" s="658" t="str" cm="1">
        <f t="array" ref="CF77">_xlfn.IFNA(_xlfn.IFS(Z77="Ada","Selesai",Z77="Tidak Perlu","Selesai",Z77="","Terlambat"),"")</f>
        <v>Selesai</v>
      </c>
      <c r="CG77" s="658" t="str" cm="1">
        <f t="array" ref="CG77">_xlfn.IFNA(_xlfn.IFS(AB77="Ada","Selesai",AB77="Tidak Perlu","Selesai",AB77="","Terlambat"),"")</f>
        <v>Terlambat</v>
      </c>
      <c r="CH77" s="658" t="str" cm="1">
        <f t="array" ref="CH77">_xlfn.IFNA(_xlfn.IFS(AD77="Ada","Selesai",AD77="Tidak Perlu","Selesai",AD77="","Terlambat"),"")</f>
        <v>Terlambat</v>
      </c>
      <c r="CI77" s="658" t="str" cm="1">
        <f t="array" ref="CI77">_xlfn.IFNA(_xlfn.IFS(AF77="Ada","Selesai",AF77="Tidak Perlu","Selesai",AF77="","Terlambat"),"")</f>
        <v>Terlambat</v>
      </c>
      <c r="CJ77" s="658" t="str" cm="1">
        <f t="array" ref="CJ77">_xlfn.IFNA(_xlfn.IFS(AH77="Ada","Selesai",AH77="Tidak Perlu","Selesai",AH77="","Terlambat"),"")</f>
        <v>Terlambat</v>
      </c>
      <c r="CK77" s="658" t="str" cm="1">
        <f t="array" ref="CK77">_xlfn.IFNA(_xlfn.IFS(AJ77="Ada","Selesai",AJ77="Tidak Perlu","Selesai",AJ77="","Terlambat"),"")</f>
        <v>Terlambat</v>
      </c>
      <c r="CL77" s="658" t="str" cm="1">
        <f t="array" ref="CL77">_xlfn.IFNA(_xlfn.IFS(AL77="Ada","Selesai",AL77="Tidak Perlu","Selesai",AL77="","Terlambat"),"")</f>
        <v>Terlambat</v>
      </c>
      <c r="CM77" s="658" t="str" cm="1">
        <f t="array" ref="CM77">_xlfn.IFNA(_xlfn.IFS(AN77="Ada","Selesai",AN77="Tidak Perlu","Selesai",AN77="","Terlambat"),"")</f>
        <v>Terlambat</v>
      </c>
      <c r="CN77" s="658" t="str" cm="1">
        <f t="array" ref="CN77">_xlfn.IFNA(_xlfn.IFS(AP77="Ada","Selesai",AP77="Tidak Perlu","Selesai",AP77="","Terlambat"),"")</f>
        <v>Terlambat</v>
      </c>
      <c r="CO77" s="658" t="str" cm="1">
        <f t="array" ref="CO77">_xlfn.IFNA(_xlfn.IFS(AR77="Ada","Selesai",AR77="Tidak Perlu","Selesai",AR77="","Terlambat"),"")</f>
        <v>Terlambat</v>
      </c>
      <c r="CP77" s="658" t="str" cm="1">
        <f t="array" ref="CP77">_xlfn.IFNA(_xlfn.IFS(AT77="Ada","Selesai",AT77="Tidak Perlu","Selesai",AT77="","Terlambat"),"")</f>
        <v>Terlambat</v>
      </c>
      <c r="CQ77" s="658" t="str" cm="1">
        <f t="array" ref="CQ77">_xlfn.IFNA(_xlfn.IFS(AV77="Ada","Selesai",AV77="Tidak Perlu","Selesai",AV77="","Terlambat"),"")</f>
        <v>Terlambat</v>
      </c>
      <c r="CR77" s="658" t="str" cm="1">
        <f t="array" ref="CR77">_xlfn.IFNA(_xlfn.IFS(AX77="Ada","Selesai",AX77="Tidak Perlu","Selesai",AX77="","Terlambat"),"")</f>
        <v>Terlambat</v>
      </c>
      <c r="CS77" s="658" t="str" cm="1">
        <f t="array" ref="CS77">_xlfn.IFNA(_xlfn.IFS(AZ77="Ada","Selesai",AZ77="Tidak Perlu","Selesai",AZ77="","Terlambat"),"")</f>
        <v>Terlambat</v>
      </c>
      <c r="CT77" s="658" t="str" cm="1">
        <f t="array" ref="CT77">_xlfn.IFNA(_xlfn.IFS(BB77="Ada","Selesai",BB77="Tidak Perlu","Selesai",BB77="","Terlambat"),"")</f>
        <v>Terlambat</v>
      </c>
      <c r="CU77" s="658" t="str" cm="1">
        <f t="array" ref="CU77">_xlfn.IFNA(_xlfn.IFS(BD77="Ada","Selesai",BD77="Tidak Perlu","Selesai",BD77="","Terlambat"),"")</f>
        <v>Terlambat</v>
      </c>
      <c r="CV77" s="658" t="str" cm="1">
        <f t="array" ref="CV77">_xlfn.IFNA(_xlfn.IFS(BF77="Ada","Selesai",BF77="Tidak Perlu","Selesai",BF77="","Terlambat"),"")</f>
        <v>Terlambat</v>
      </c>
      <c r="CW77" s="658" t="str" cm="1">
        <f t="array" ref="CW77">_xlfn.IFNA(_xlfn.IFS(BM77="Ada","Selesai",BM77="Tidak Perlu","Selesai",BM77="","Terlambat"),"")</f>
        <v>Terlambat</v>
      </c>
    </row>
    <row r="78" spans="2:101" ht="17.25" hidden="1" customHeight="1" x14ac:dyDescent="0.2">
      <c r="B78" s="633">
        <v>71</v>
      </c>
      <c r="C78" s="633" t="s">
        <v>673</v>
      </c>
      <c r="D78" s="634" t="s">
        <v>2640</v>
      </c>
      <c r="E78" s="633" t="s">
        <v>278</v>
      </c>
      <c r="F78" s="634" t="s">
        <v>2641</v>
      </c>
      <c r="G78" s="633" t="s">
        <v>3560</v>
      </c>
      <c r="H78" s="635" t="s">
        <v>3667</v>
      </c>
      <c r="I78" s="633" t="s">
        <v>3685</v>
      </c>
      <c r="J78" s="636">
        <v>1</v>
      </c>
      <c r="K78" s="637" t="str">
        <f t="shared" si="4"/>
        <v>19/20</v>
      </c>
      <c r="L78" s="638" t="s">
        <v>3686</v>
      </c>
      <c r="M78" s="639" t="s">
        <v>3606</v>
      </c>
      <c r="N78" s="639" t="s">
        <v>1266</v>
      </c>
      <c r="O78" s="639" t="s">
        <v>3606</v>
      </c>
      <c r="P78" s="647" t="s">
        <v>3678</v>
      </c>
      <c r="Q78" s="639" t="s">
        <v>3606</v>
      </c>
      <c r="R78" s="641" t="s">
        <v>3678</v>
      </c>
      <c r="S78" s="639" t="s">
        <v>3606</v>
      </c>
      <c r="T78" s="640" t="s">
        <v>3678</v>
      </c>
      <c r="U78" s="639" t="s">
        <v>3606</v>
      </c>
      <c r="V78" s="640" t="s">
        <v>3678</v>
      </c>
      <c r="W78" s="639" t="s">
        <v>3606</v>
      </c>
      <c r="X78" s="641" t="s">
        <v>3678</v>
      </c>
      <c r="Y78" s="642" t="s">
        <v>3606</v>
      </c>
      <c r="Z78" s="640" t="s">
        <v>1266</v>
      </c>
      <c r="AA78" s="639" t="s">
        <v>3606</v>
      </c>
      <c r="AB78" s="640" t="s">
        <v>3678</v>
      </c>
      <c r="AC78" s="639" t="s">
        <v>3606</v>
      </c>
      <c r="AD78" s="640" t="s">
        <v>3678</v>
      </c>
      <c r="AE78" s="639" t="s">
        <v>3606</v>
      </c>
      <c r="AF78" s="640" t="s">
        <v>3678</v>
      </c>
      <c r="AG78" s="641" t="s">
        <v>3606</v>
      </c>
      <c r="AH78" s="640" t="s">
        <v>3678</v>
      </c>
      <c r="AI78" s="641" t="s">
        <v>3606</v>
      </c>
      <c r="AJ78" s="640" t="s">
        <v>3678</v>
      </c>
      <c r="AK78" s="641" t="s">
        <v>3606</v>
      </c>
      <c r="AL78" s="640" t="s">
        <v>3678</v>
      </c>
      <c r="AM78" s="639" t="s">
        <v>3606</v>
      </c>
      <c r="AN78" s="640" t="s">
        <v>3678</v>
      </c>
      <c r="AO78" s="639" t="s">
        <v>3606</v>
      </c>
      <c r="AP78" s="640" t="s">
        <v>3678</v>
      </c>
      <c r="AQ78" s="639" t="s">
        <v>3606</v>
      </c>
      <c r="AR78" s="640" t="s">
        <v>3678</v>
      </c>
      <c r="AS78" s="639" t="s">
        <v>3606</v>
      </c>
      <c r="AT78" s="641" t="s">
        <v>3678</v>
      </c>
      <c r="AU78" s="639" t="s">
        <v>3606</v>
      </c>
      <c r="AV78" s="640" t="s">
        <v>3678</v>
      </c>
      <c r="AW78" s="639" t="s">
        <v>3606</v>
      </c>
      <c r="AX78" s="640" t="s">
        <v>3678</v>
      </c>
      <c r="AY78" s="639" t="s">
        <v>3606</v>
      </c>
      <c r="AZ78" s="640" t="s">
        <v>3678</v>
      </c>
      <c r="BA78" s="639" t="s">
        <v>3606</v>
      </c>
      <c r="BB78" s="640" t="s">
        <v>3678</v>
      </c>
      <c r="BC78" s="639" t="s">
        <v>3606</v>
      </c>
      <c r="BD78" s="640" t="s">
        <v>3678</v>
      </c>
      <c r="BE78" s="640" t="s">
        <v>3606</v>
      </c>
      <c r="BF78" s="640" t="s">
        <v>3678</v>
      </c>
      <c r="BG78" s="640" t="s">
        <v>3606</v>
      </c>
      <c r="BH78" s="640" t="s">
        <v>3678</v>
      </c>
      <c r="BI78" s="640" t="s">
        <v>3606</v>
      </c>
      <c r="BJ78" s="640" t="s">
        <v>3678</v>
      </c>
      <c r="BK78" s="640" t="s">
        <v>3606</v>
      </c>
      <c r="BL78" s="640" t="s">
        <v>3678</v>
      </c>
      <c r="BM78" s="640" t="str">
        <f>IF(
  (
   (P78="Ada")+(P78="tidak perlu")+(P78="draft") +
   (R78="Ada")+(R78="tidak perlu")+(R78="draft") +
   (V78="Ada")+(V78="tidak perlu")+(V78="draft") +
   (X78="Ada")+(X78="tidak perlu")+(X78="draft") +
   (AB78="Ada")+(AB78="tidak perlu")+(AB78="draft") +
   (AD78="Ada")+(AD78="tidak perlu")+(AD78="draft") +
   (AF78="Ada")+(AF78="tidak perlu")+(AF78="draft") +
   (AH78="Ada")+(AH78="tidak perlu")+(AH78="draft") +
   (AJ78="Ada")+(AJ78="tidak perlu")+(AJ78="draft") +
   (AL78="Ada")+(AL78="tidak perlu")+(AL78="draft") +
   (AN78="Ada")+(AN78="tidak perlu")+(AN78="draft") +
   (AP78="Ada")+(AP78="tidak perlu")+(AP78="draft") +
   (AR78="Ada")+(AR78="tidak perlu")+(AR78="draft") +
   (AT78="Ada")+(AT78="tidak perlu")+(AT78="draft") +
   (AV78="Ada")+(AV78="tidak perlu")+(AV78="draft") +
   (AX78="Ada")+(AX78="tidak perlu")+(AX78="draft") +
   (AZ78="Ada")+(AZ78="tidak perlu")+(AZ78="draft") +
   (BB78="Ada")+(BB78="tidak perlu")+(BB78="draft") +
   (BD78="Ada")+(BD78="tidak perlu")+(BD78="draft") +
   (BF78="Ada")+(BF78="tidak perlu")+(BF78="draft")
  ) = 20,
 "Lengkap","Belum Lengkap")</f>
        <v>Lengkap</v>
      </c>
      <c r="BN78" s="637"/>
      <c r="BO78" s="637" t="s">
        <v>3708</v>
      </c>
      <c r="BP78" s="637" t="s">
        <v>3709</v>
      </c>
      <c r="BQ78" s="637" t="s">
        <v>3710</v>
      </c>
      <c r="BR78" s="637"/>
      <c r="BS78" s="637"/>
      <c r="BT78" s="687" t="s">
        <v>3711</v>
      </c>
      <c r="BU78" s="679"/>
      <c r="BV78" s="679"/>
      <c r="BW78" s="633" t="s">
        <v>3685</v>
      </c>
      <c r="BX78" s="651" t="str">
        <f t="shared" si="3"/>
        <v>SPAM Karian Serpong Hilir</v>
      </c>
      <c r="BY78" s="651" t="str">
        <f t="shared" si="3"/>
        <v>24ABJ.NINKARB016.7JE</v>
      </c>
      <c r="BZ78" s="658" t="str" cm="1">
        <f t="array" ref="BZ78">_xlfn.IFNA(_xlfn.IFS(N78="Ada","Selesai",N78="Tidak Perlu","Selesai",N78="","Terlambat"),"")</f>
        <v>Selesai</v>
      </c>
      <c r="CA78" s="658" t="str" cm="1">
        <f t="array" ref="CA78">_xlfn.IFNA(_xlfn.IFS(P78="Ada","Selesai",P78="Tidak Perlu","Selesai",P78="","Terlambat"),"")</f>
        <v>Selesai</v>
      </c>
      <c r="CB78" s="658" t="str" cm="1">
        <f t="array" ref="CB78">_xlfn.IFNA(_xlfn.IFS(R78="Ada","Selesai",R78="Tidak Perlu","Selesai",R78="","Terlambat"),"")</f>
        <v>Selesai</v>
      </c>
      <c r="CC78" s="658" t="str" cm="1">
        <f t="array" ref="CC78">_xlfn.IFNA(_xlfn.IFS(T78="Ada","Selesai",T78="Tidak Perlu","Selesai",T78="","Terlambat"),"")</f>
        <v>Selesai</v>
      </c>
      <c r="CD78" s="658" t="str" cm="1">
        <f t="array" ref="CD78">_xlfn.IFNA(_xlfn.IFS(V78="Ada","Selesai",V78="Tidak Perlu","Selesai",V78="","Terlambat"),"")</f>
        <v>Selesai</v>
      </c>
      <c r="CE78" s="658" t="str" cm="1">
        <f t="array" ref="CE78">_xlfn.IFNA(_xlfn.IFS(X78="Ada","Selesai",X78="Tidak Perlu","Selesai",X78="","Terlambat"),"")</f>
        <v>Selesai</v>
      </c>
      <c r="CF78" s="658" t="str" cm="1">
        <f t="array" ref="CF78">_xlfn.IFNA(_xlfn.IFS(Z78="Ada","Selesai",Z78="Tidak Perlu","Selesai",Z78="","Terlambat"),"")</f>
        <v>Selesai</v>
      </c>
      <c r="CG78" s="658" t="str" cm="1">
        <f t="array" ref="CG78">_xlfn.IFNA(_xlfn.IFS(AB78="Ada","Selesai",AB78="Tidak Perlu","Selesai",AB78="","Terlambat"),"")</f>
        <v>Selesai</v>
      </c>
      <c r="CH78" s="658" t="str" cm="1">
        <f t="array" ref="CH78">_xlfn.IFNA(_xlfn.IFS(AD78="Ada","Selesai",AD78="Tidak Perlu","Selesai",AD78="","Terlambat"),"")</f>
        <v>Selesai</v>
      </c>
      <c r="CI78" s="658" t="str" cm="1">
        <f t="array" ref="CI78">_xlfn.IFNA(_xlfn.IFS(AF78="Ada","Selesai",AF78="Tidak Perlu","Selesai",AF78="","Terlambat"),"")</f>
        <v>Selesai</v>
      </c>
      <c r="CJ78" s="658" t="str" cm="1">
        <f t="array" ref="CJ78">_xlfn.IFNA(_xlfn.IFS(AH78="Ada","Selesai",AH78="Tidak Perlu","Selesai",AH78="","Terlambat"),"")</f>
        <v>Selesai</v>
      </c>
      <c r="CK78" s="658" t="str" cm="1">
        <f t="array" ref="CK78">_xlfn.IFNA(_xlfn.IFS(AJ78="Ada","Selesai",AJ78="Tidak Perlu","Selesai",AJ78="","Terlambat"),"")</f>
        <v>Selesai</v>
      </c>
      <c r="CL78" s="658" t="str" cm="1">
        <f t="array" ref="CL78">_xlfn.IFNA(_xlfn.IFS(AL78="Ada","Selesai",AL78="Tidak Perlu","Selesai",AL78="","Terlambat"),"")</f>
        <v>Selesai</v>
      </c>
      <c r="CM78" s="658" t="str" cm="1">
        <f t="array" ref="CM78">_xlfn.IFNA(_xlfn.IFS(AN78="Ada","Selesai",AN78="Tidak Perlu","Selesai",AN78="","Terlambat"),"")</f>
        <v>Selesai</v>
      </c>
      <c r="CN78" s="658" t="str" cm="1">
        <f t="array" ref="CN78">_xlfn.IFNA(_xlfn.IFS(AP78="Ada","Selesai",AP78="Tidak Perlu","Selesai",AP78="","Terlambat"),"")</f>
        <v>Selesai</v>
      </c>
      <c r="CO78" s="658" t="str" cm="1">
        <f t="array" ref="CO78">_xlfn.IFNA(_xlfn.IFS(AR78="Ada","Selesai",AR78="Tidak Perlu","Selesai",AR78="","Terlambat"),"")</f>
        <v>Selesai</v>
      </c>
      <c r="CP78" s="658" t="str" cm="1">
        <f t="array" ref="CP78">_xlfn.IFNA(_xlfn.IFS(AT78="Ada","Selesai",AT78="Tidak Perlu","Selesai",AT78="","Terlambat"),"")</f>
        <v>Selesai</v>
      </c>
      <c r="CQ78" s="658" t="str" cm="1">
        <f t="array" ref="CQ78">_xlfn.IFNA(_xlfn.IFS(AV78="Ada","Selesai",AV78="Tidak Perlu","Selesai",AV78="","Terlambat"),"")</f>
        <v>Selesai</v>
      </c>
      <c r="CR78" s="658" t="str" cm="1">
        <f t="array" ref="CR78">_xlfn.IFNA(_xlfn.IFS(AX78="Ada","Selesai",AX78="Tidak Perlu","Selesai",AX78="","Terlambat"),"")</f>
        <v>Selesai</v>
      </c>
      <c r="CS78" s="658" t="str" cm="1">
        <f t="array" ref="CS78">_xlfn.IFNA(_xlfn.IFS(AZ78="Ada","Selesai",AZ78="Tidak Perlu","Selesai",AZ78="","Terlambat"),"")</f>
        <v>Selesai</v>
      </c>
      <c r="CT78" s="658" t="str" cm="1">
        <f t="array" ref="CT78">_xlfn.IFNA(_xlfn.IFS(BB78="Ada","Selesai",BB78="Tidak Perlu","Selesai",BB78="","Terlambat"),"")</f>
        <v>Selesai</v>
      </c>
      <c r="CU78" s="658" t="str" cm="1">
        <f t="array" ref="CU78">_xlfn.IFNA(_xlfn.IFS(BD78="Ada","Selesai",BD78="Tidak Perlu","Selesai",BD78="","Terlambat"),"")</f>
        <v>Selesai</v>
      </c>
      <c r="CV78" s="658" t="str" cm="1">
        <f t="array" ref="CV78">_xlfn.IFNA(_xlfn.IFS(BF78="Ada","Selesai",BF78="Tidak Perlu","Selesai",BF78="","Terlambat"),"")</f>
        <v>Selesai</v>
      </c>
      <c r="CW78" s="658" t="str" cm="1">
        <f t="array" ref="CW78">_xlfn.IFNA(_xlfn.IFS(BM78="Ada","Selesai",BM78="Tidak Perlu","Selesai",BM78="","Terlambat"),"")</f>
        <v/>
      </c>
    </row>
    <row r="79" spans="2:101" ht="17.25" hidden="1" customHeight="1" x14ac:dyDescent="0.2">
      <c r="B79" s="633">
        <v>72</v>
      </c>
      <c r="C79" s="633" t="s">
        <v>673</v>
      </c>
      <c r="D79" s="634" t="s">
        <v>2649</v>
      </c>
      <c r="E79" s="633" t="s">
        <v>278</v>
      </c>
      <c r="F79" s="680" t="s">
        <v>2650</v>
      </c>
      <c r="G79" s="633" t="s">
        <v>3684</v>
      </c>
      <c r="H79" s="646" t="s">
        <v>3599</v>
      </c>
      <c r="I79" s="633" t="s">
        <v>3599</v>
      </c>
      <c r="J79" s="636">
        <v>0</v>
      </c>
      <c r="K79" s="637" t="str">
        <f t="shared" si="4"/>
        <v>0/20</v>
      </c>
      <c r="L79" s="638">
        <v>0</v>
      </c>
      <c r="M79" s="639" t="s">
        <v>3606</v>
      </c>
      <c r="N79" s="639"/>
      <c r="O79" s="639" t="s">
        <v>1266</v>
      </c>
      <c r="P79" s="647"/>
      <c r="Q79" s="639" t="s">
        <v>1266</v>
      </c>
      <c r="R79" s="647"/>
      <c r="S79" s="639" t="s">
        <v>1266</v>
      </c>
      <c r="T79" s="639"/>
      <c r="U79" s="639" t="s">
        <v>1266</v>
      </c>
      <c r="V79" s="640"/>
      <c r="W79" s="639" t="s">
        <v>1266</v>
      </c>
      <c r="X79" s="640"/>
      <c r="Y79" s="642" t="s">
        <v>1266</v>
      </c>
      <c r="Z79" s="640" t="s">
        <v>1266</v>
      </c>
      <c r="AA79" s="639" t="s">
        <v>1266</v>
      </c>
      <c r="AB79" s="640"/>
      <c r="AC79" s="639" t="s">
        <v>1266</v>
      </c>
      <c r="AD79" s="640"/>
      <c r="AE79" s="639" t="s">
        <v>1266</v>
      </c>
      <c r="AF79" s="640"/>
      <c r="AG79" s="641" t="s">
        <v>1266</v>
      </c>
      <c r="AH79" s="640"/>
      <c r="AI79" s="641" t="s">
        <v>1266</v>
      </c>
      <c r="AJ79" s="640"/>
      <c r="AK79" s="641" t="s">
        <v>1266</v>
      </c>
      <c r="AL79" s="640"/>
      <c r="AM79" s="639" t="s">
        <v>1266</v>
      </c>
      <c r="AN79" s="640"/>
      <c r="AO79" s="639" t="s">
        <v>1266</v>
      </c>
      <c r="AP79" s="640"/>
      <c r="AQ79" s="639" t="s">
        <v>1266</v>
      </c>
      <c r="AR79" s="640"/>
      <c r="AS79" s="639" t="s">
        <v>1266</v>
      </c>
      <c r="AT79" s="640"/>
      <c r="AU79" s="639" t="s">
        <v>1266</v>
      </c>
      <c r="AV79" s="640"/>
      <c r="AW79" s="639" t="s">
        <v>1266</v>
      </c>
      <c r="AX79" s="640"/>
      <c r="AY79" s="639" t="s">
        <v>1266</v>
      </c>
      <c r="AZ79" s="640"/>
      <c r="BA79" s="639" t="s">
        <v>1266</v>
      </c>
      <c r="BB79" s="640"/>
      <c r="BC79" s="639" t="s">
        <v>1266</v>
      </c>
      <c r="BD79" s="640"/>
      <c r="BE79" s="640" t="s">
        <v>1266</v>
      </c>
      <c r="BF79" s="640"/>
      <c r="BG79" s="640" t="s">
        <v>1266</v>
      </c>
      <c r="BH79" s="640"/>
      <c r="BI79" s="640" t="s">
        <v>1266</v>
      </c>
      <c r="BJ79" s="640"/>
      <c r="BK79" s="640" t="s">
        <v>1266</v>
      </c>
      <c r="BL79" s="640"/>
      <c r="BM79" s="678" t="str">
        <f>IF(
  (
   (P79="Ada")+(P79="tidak perlu")+(P79="draft") +
   (R79="Ada")+(R79="tidak perlu")+(R79="draft") +
   (V79="Ada")+(V79="tidak perlu")+(V79="draft") +
   (X79="Ada")+(X79="tidak perlu")+(X79="draft") +
   (AB79="Ada")+(AB79="tidak perlu")+(AB79="draft") +
   (AD79="Ada")+(AD79="tidak perlu")+(AD79="draft") +
   (AF79="Ada")+(AF79="tidak perlu")+(AF79="draft") +
   (AH79="Ada")+(AH79="tidak perlu")+(AH79="draft") +
   (AJ79="Ada")+(AJ79="tidak perlu")+(AJ79="draft") +
   (AL79="Ada")+(AL79="tidak perlu")+(AL79="draft") +
   (AN79="Ada")+(AN79="tidak perlu")+(AN79="draft") +
   (AP79="Ada")+(AP79="tidak perlu")+(AP79="draft") +
   (AR79="Ada")+(AR79="tidak perlu")+(AR79="draft") +
   (AT79="Ada")+(AT79="tidak perlu")+(AT79="draft") +
   (AV79="Ada")+(AV79="tidak perlu")+(AV79="draft") +
   (AX79="Ada")+(AX79="tidak perlu")+(AX79="draft") +
   (AZ79="Ada")+(AZ79="tidak perlu")+(AZ79="draft") +
   (BB79="Ada")+(BB79="tidak perlu")+(BB79="draft") +
   (BD79="Ada")+(BD79="tidak perlu")+(BD79="draft") +
   (BF79="Ada")+(BF79="tidak perlu")+(BF79="draft")
  ) = 20,
 "Lengkap","Belum Lengkap")</f>
        <v>Belum Lengkap</v>
      </c>
      <c r="BN79" s="637"/>
      <c r="BO79" s="637" t="s">
        <v>3712</v>
      </c>
      <c r="BP79" s="637" t="s">
        <v>3713</v>
      </c>
      <c r="BQ79" s="637" t="s">
        <v>3710</v>
      </c>
      <c r="BR79" s="637"/>
      <c r="BS79" s="637"/>
      <c r="BT79" s="687" t="s">
        <v>3711</v>
      </c>
      <c r="BU79" s="679"/>
      <c r="BV79" s="679"/>
      <c r="BW79" s="633" t="s">
        <v>3599</v>
      </c>
      <c r="BX79" s="651" t="str">
        <f t="shared" si="3"/>
        <v>SPAM Karian Serpong Hilir</v>
      </c>
      <c r="BY79" s="651" t="str">
        <f t="shared" si="3"/>
        <v>24ABJ.NINKARB020.19JE</v>
      </c>
      <c r="BZ79" s="658" t="str" cm="1">
        <f t="array" ref="BZ79">_xlfn.IFNA(_xlfn.IFS(N79="Ada","Selesai",N79="Tidak Perlu","Selesai",N79="","Terlambat"),"")</f>
        <v>Terlambat</v>
      </c>
      <c r="CA79" s="658" t="str" cm="1">
        <f t="array" ref="CA79">_xlfn.IFNA(_xlfn.IFS(P79="Ada","Selesai",P79="Tidak Perlu","Selesai",P79="","Terlambat"),"")</f>
        <v>Terlambat</v>
      </c>
      <c r="CB79" s="658" t="str" cm="1">
        <f t="array" ref="CB79">_xlfn.IFNA(_xlfn.IFS(R79="Ada","Selesai",R79="Tidak Perlu","Selesai",R79="","Terlambat"),"")</f>
        <v>Terlambat</v>
      </c>
      <c r="CC79" s="658" t="str" cm="1">
        <f t="array" ref="CC79">_xlfn.IFNA(_xlfn.IFS(T79="Ada","Selesai",T79="Tidak Perlu","Selesai",T79="","Terlambat"),"")</f>
        <v>Terlambat</v>
      </c>
      <c r="CD79" s="658" t="str" cm="1">
        <f t="array" ref="CD79">_xlfn.IFNA(_xlfn.IFS(V79="Ada","Selesai",V79="Tidak Perlu","Selesai",V79="","Terlambat"),"")</f>
        <v>Terlambat</v>
      </c>
      <c r="CE79" s="658" t="str" cm="1">
        <f t="array" ref="CE79">_xlfn.IFNA(_xlfn.IFS(X79="Ada","Selesai",X79="Tidak Perlu","Selesai",X79="","Terlambat"),"")</f>
        <v>Terlambat</v>
      </c>
      <c r="CF79" s="658" t="str" cm="1">
        <f t="array" ref="CF79">_xlfn.IFNA(_xlfn.IFS(Z79="Ada","Selesai",Z79="Tidak Perlu","Selesai",Z79="","Terlambat"),"")</f>
        <v>Selesai</v>
      </c>
      <c r="CG79" s="658" t="str" cm="1">
        <f t="array" ref="CG79">_xlfn.IFNA(_xlfn.IFS(AB79="Ada","Selesai",AB79="Tidak Perlu","Selesai",AB79="","Terlambat"),"")</f>
        <v>Terlambat</v>
      </c>
      <c r="CH79" s="658" t="str" cm="1">
        <f t="array" ref="CH79">_xlfn.IFNA(_xlfn.IFS(AD79="Ada","Selesai",AD79="Tidak Perlu","Selesai",AD79="","Terlambat"),"")</f>
        <v>Terlambat</v>
      </c>
      <c r="CI79" s="658" t="str" cm="1">
        <f t="array" ref="CI79">_xlfn.IFNA(_xlfn.IFS(AF79="Ada","Selesai",AF79="Tidak Perlu","Selesai",AF79="","Terlambat"),"")</f>
        <v>Terlambat</v>
      </c>
      <c r="CJ79" s="658" t="str" cm="1">
        <f t="array" ref="CJ79">_xlfn.IFNA(_xlfn.IFS(AH79="Ada","Selesai",AH79="Tidak Perlu","Selesai",AH79="","Terlambat"),"")</f>
        <v>Terlambat</v>
      </c>
      <c r="CK79" s="658" t="str" cm="1">
        <f t="array" ref="CK79">_xlfn.IFNA(_xlfn.IFS(AJ79="Ada","Selesai",AJ79="Tidak Perlu","Selesai",AJ79="","Terlambat"),"")</f>
        <v>Terlambat</v>
      </c>
      <c r="CL79" s="658" t="str" cm="1">
        <f t="array" ref="CL79">_xlfn.IFNA(_xlfn.IFS(AL79="Ada","Selesai",AL79="Tidak Perlu","Selesai",AL79="","Terlambat"),"")</f>
        <v>Terlambat</v>
      </c>
      <c r="CM79" s="658" t="str" cm="1">
        <f t="array" ref="CM79">_xlfn.IFNA(_xlfn.IFS(AN79="Ada","Selesai",AN79="Tidak Perlu","Selesai",AN79="","Terlambat"),"")</f>
        <v>Terlambat</v>
      </c>
      <c r="CN79" s="658" t="str" cm="1">
        <f t="array" ref="CN79">_xlfn.IFNA(_xlfn.IFS(AP79="Ada","Selesai",AP79="Tidak Perlu","Selesai",AP79="","Terlambat"),"")</f>
        <v>Terlambat</v>
      </c>
      <c r="CO79" s="658" t="str" cm="1">
        <f t="array" ref="CO79">_xlfn.IFNA(_xlfn.IFS(AR79="Ada","Selesai",AR79="Tidak Perlu","Selesai",AR79="","Terlambat"),"")</f>
        <v>Terlambat</v>
      </c>
      <c r="CP79" s="658" t="str" cm="1">
        <f t="array" ref="CP79">_xlfn.IFNA(_xlfn.IFS(AT79="Ada","Selesai",AT79="Tidak Perlu","Selesai",AT79="","Terlambat"),"")</f>
        <v>Terlambat</v>
      </c>
      <c r="CQ79" s="658" t="str" cm="1">
        <f t="array" ref="CQ79">_xlfn.IFNA(_xlfn.IFS(AV79="Ada","Selesai",AV79="Tidak Perlu","Selesai",AV79="","Terlambat"),"")</f>
        <v>Terlambat</v>
      </c>
      <c r="CR79" s="658" t="str" cm="1">
        <f t="array" ref="CR79">_xlfn.IFNA(_xlfn.IFS(AX79="Ada","Selesai",AX79="Tidak Perlu","Selesai",AX79="","Terlambat"),"")</f>
        <v>Terlambat</v>
      </c>
      <c r="CS79" s="658" t="str" cm="1">
        <f t="array" ref="CS79">_xlfn.IFNA(_xlfn.IFS(AZ79="Ada","Selesai",AZ79="Tidak Perlu","Selesai",AZ79="","Terlambat"),"")</f>
        <v>Terlambat</v>
      </c>
      <c r="CT79" s="658" t="str" cm="1">
        <f t="array" ref="CT79">_xlfn.IFNA(_xlfn.IFS(BB79="Ada","Selesai",BB79="Tidak Perlu","Selesai",BB79="","Terlambat"),"")</f>
        <v>Terlambat</v>
      </c>
      <c r="CU79" s="658" t="str" cm="1">
        <f t="array" ref="CU79">_xlfn.IFNA(_xlfn.IFS(BD79="Ada","Selesai",BD79="Tidak Perlu","Selesai",BD79="","Terlambat"),"")</f>
        <v>Terlambat</v>
      </c>
      <c r="CV79" s="658" t="str" cm="1">
        <f t="array" ref="CV79">_xlfn.IFNA(_xlfn.IFS(BF79="Ada","Selesai",BF79="Tidak Perlu","Selesai",BF79="","Terlambat"),"")</f>
        <v>Terlambat</v>
      </c>
      <c r="CW79" s="658" t="str" cm="1">
        <f t="array" ref="CW79">_xlfn.IFNA(_xlfn.IFS(BM79="Ada","Selesai",BM79="Tidak Perlu","Selesai",BM79="","Terlambat"),"")</f>
        <v/>
      </c>
    </row>
    <row r="80" spans="2:101" ht="17.25" hidden="1" customHeight="1" x14ac:dyDescent="0.2">
      <c r="B80" s="633">
        <v>73</v>
      </c>
      <c r="C80" s="633" t="s">
        <v>673</v>
      </c>
      <c r="D80" s="634" t="s">
        <v>2657</v>
      </c>
      <c r="E80" s="633" t="s">
        <v>278</v>
      </c>
      <c r="F80" s="634" t="s">
        <v>2658</v>
      </c>
      <c r="G80" s="633" t="s">
        <v>3684</v>
      </c>
      <c r="H80" s="635" t="s">
        <v>3667</v>
      </c>
      <c r="I80" s="633" t="s">
        <v>3599</v>
      </c>
      <c r="J80" s="636">
        <v>0.09</v>
      </c>
      <c r="K80" s="637" t="str">
        <f t="shared" si="4"/>
        <v>1/20</v>
      </c>
      <c r="L80" s="638">
        <v>0</v>
      </c>
      <c r="M80" s="639" t="s">
        <v>3606</v>
      </c>
      <c r="N80" s="639"/>
      <c r="O80" s="639" t="s">
        <v>3603</v>
      </c>
      <c r="P80" s="647"/>
      <c r="Q80" s="639" t="s">
        <v>3603</v>
      </c>
      <c r="R80" s="647"/>
      <c r="S80" s="639" t="s">
        <v>3603</v>
      </c>
      <c r="T80" s="639"/>
      <c r="U80" s="639" t="s">
        <v>3603</v>
      </c>
      <c r="V80" s="640"/>
      <c r="W80" s="639" t="s">
        <v>3603</v>
      </c>
      <c r="X80" s="640"/>
      <c r="Y80" s="642" t="s">
        <v>3603</v>
      </c>
      <c r="Z80" s="640" t="s">
        <v>1266</v>
      </c>
      <c r="AA80" s="639" t="s">
        <v>3603</v>
      </c>
      <c r="AB80" s="640"/>
      <c r="AC80" s="639" t="s">
        <v>3603</v>
      </c>
      <c r="AD80" s="640"/>
      <c r="AE80" s="639" t="s">
        <v>3606</v>
      </c>
      <c r="AF80" s="640"/>
      <c r="AG80" s="641" t="s">
        <v>3603</v>
      </c>
      <c r="AH80" s="640"/>
      <c r="AI80" s="641" t="s">
        <v>3603</v>
      </c>
      <c r="AJ80" s="640"/>
      <c r="AK80" s="641" t="s">
        <v>3603</v>
      </c>
      <c r="AL80" s="640"/>
      <c r="AM80" s="639" t="s">
        <v>3603</v>
      </c>
      <c r="AN80" s="640"/>
      <c r="AO80" s="639" t="s">
        <v>3603</v>
      </c>
      <c r="AP80" s="640"/>
      <c r="AQ80" s="639" t="s">
        <v>3603</v>
      </c>
      <c r="AR80" s="640"/>
      <c r="AS80" s="639" t="s">
        <v>3603</v>
      </c>
      <c r="AT80" s="640"/>
      <c r="AU80" s="639" t="s">
        <v>3603</v>
      </c>
      <c r="AV80" s="640"/>
      <c r="AW80" s="639" t="s">
        <v>3603</v>
      </c>
      <c r="AX80" s="640"/>
      <c r="AY80" s="639" t="s">
        <v>3603</v>
      </c>
      <c r="AZ80" s="640"/>
      <c r="BA80" s="639" t="s">
        <v>3603</v>
      </c>
      <c r="BB80" s="640"/>
      <c r="BC80" s="639" t="s">
        <v>3603</v>
      </c>
      <c r="BD80" s="640"/>
      <c r="BE80" s="640" t="s">
        <v>3603</v>
      </c>
      <c r="BF80" s="640"/>
      <c r="BG80" s="640" t="s">
        <v>3603</v>
      </c>
      <c r="BH80" s="640" t="s">
        <v>1266</v>
      </c>
      <c r="BI80" s="640" t="s">
        <v>3603</v>
      </c>
      <c r="BJ80" s="640"/>
      <c r="BK80" s="640" t="s">
        <v>3603</v>
      </c>
      <c r="BL80" s="640"/>
      <c r="BM80" s="678"/>
      <c r="BN80" s="682"/>
      <c r="BO80" s="637"/>
      <c r="BP80" s="637"/>
      <c r="BQ80" s="637"/>
      <c r="BR80" s="637"/>
      <c r="BS80" s="637"/>
      <c r="BT80" s="637"/>
      <c r="BU80" s="679"/>
      <c r="BV80" s="679"/>
      <c r="BW80" s="633" t="s">
        <v>3671</v>
      </c>
      <c r="BX80" s="651" t="str">
        <f t="shared" si="3"/>
        <v>SPAM Karian Serpong Hilir</v>
      </c>
      <c r="BY80" s="651" t="str">
        <f t="shared" si="3"/>
        <v>24ABJ.NINKARB019.17JE</v>
      </c>
      <c r="BZ80" s="658" t="str" cm="1">
        <f t="array" ref="BZ80">_xlfn.IFNA(_xlfn.IFS(N80="Ada","Selesai",N80="Tidak Perlu","Selesai",N80="","Terlambat"),"")</f>
        <v>Terlambat</v>
      </c>
      <c r="CA80" s="658" t="str" cm="1">
        <f t="array" ref="CA80">_xlfn.IFNA(_xlfn.IFS(P80="Ada","Selesai",P80="Tidak Perlu","Selesai",P80="","Terlambat"),"")</f>
        <v>Terlambat</v>
      </c>
      <c r="CB80" s="658" t="str" cm="1">
        <f t="array" ref="CB80">_xlfn.IFNA(_xlfn.IFS(R80="Ada","Selesai",R80="Tidak Perlu","Selesai",R80="","Terlambat"),"")</f>
        <v>Terlambat</v>
      </c>
      <c r="CC80" s="658" t="str" cm="1">
        <f t="array" ref="CC80">_xlfn.IFNA(_xlfn.IFS(T80="Ada","Selesai",T80="Tidak Perlu","Selesai",T80="","Terlambat"),"")</f>
        <v>Terlambat</v>
      </c>
      <c r="CD80" s="658" t="str" cm="1">
        <f t="array" ref="CD80">_xlfn.IFNA(_xlfn.IFS(V80="Ada","Selesai",V80="Tidak Perlu","Selesai",V80="","Terlambat"),"")</f>
        <v>Terlambat</v>
      </c>
      <c r="CE80" s="658" t="str" cm="1">
        <f t="array" ref="CE80">_xlfn.IFNA(_xlfn.IFS(X80="Ada","Selesai",X80="Tidak Perlu","Selesai",X80="","Terlambat"),"")</f>
        <v>Terlambat</v>
      </c>
      <c r="CF80" s="658" t="str" cm="1">
        <f t="array" ref="CF80">_xlfn.IFNA(_xlfn.IFS(Z80="Ada","Selesai",Z80="Tidak Perlu","Selesai",Z80="","Terlambat"),"")</f>
        <v>Selesai</v>
      </c>
      <c r="CG80" s="658" t="str" cm="1">
        <f t="array" ref="CG80">_xlfn.IFNA(_xlfn.IFS(AB80="Ada","Selesai",AB80="Tidak Perlu","Selesai",AB80="","Terlambat"),"")</f>
        <v>Terlambat</v>
      </c>
      <c r="CH80" s="658" t="str" cm="1">
        <f t="array" ref="CH80">_xlfn.IFNA(_xlfn.IFS(AD80="Ada","Selesai",AD80="Tidak Perlu","Selesai",AD80="","Terlambat"),"")</f>
        <v>Terlambat</v>
      </c>
      <c r="CI80" s="658" t="str" cm="1">
        <f t="array" ref="CI80">_xlfn.IFNA(_xlfn.IFS(AF80="Ada","Selesai",AF80="Tidak Perlu","Selesai",AF80="","Terlambat"),"")</f>
        <v>Terlambat</v>
      </c>
      <c r="CJ80" s="658" t="str" cm="1">
        <f t="array" ref="CJ80">_xlfn.IFNA(_xlfn.IFS(AH80="Ada","Selesai",AH80="Tidak Perlu","Selesai",AH80="","Terlambat"),"")</f>
        <v>Terlambat</v>
      </c>
      <c r="CK80" s="658" t="str" cm="1">
        <f t="array" ref="CK80">_xlfn.IFNA(_xlfn.IFS(AJ80="Ada","Selesai",AJ80="Tidak Perlu","Selesai",AJ80="","Terlambat"),"")</f>
        <v>Terlambat</v>
      </c>
      <c r="CL80" s="658" t="str" cm="1">
        <f t="array" ref="CL80">_xlfn.IFNA(_xlfn.IFS(AL80="Ada","Selesai",AL80="Tidak Perlu","Selesai",AL80="","Terlambat"),"")</f>
        <v>Terlambat</v>
      </c>
      <c r="CM80" s="658" t="str" cm="1">
        <f t="array" ref="CM80">_xlfn.IFNA(_xlfn.IFS(AN80="Ada","Selesai",AN80="Tidak Perlu","Selesai",AN80="","Terlambat"),"")</f>
        <v>Terlambat</v>
      </c>
      <c r="CN80" s="658" t="str" cm="1">
        <f t="array" ref="CN80">_xlfn.IFNA(_xlfn.IFS(AP80="Ada","Selesai",AP80="Tidak Perlu","Selesai",AP80="","Terlambat"),"")</f>
        <v>Terlambat</v>
      </c>
      <c r="CO80" s="658" t="str" cm="1">
        <f t="array" ref="CO80">_xlfn.IFNA(_xlfn.IFS(AR80="Ada","Selesai",AR80="Tidak Perlu","Selesai",AR80="","Terlambat"),"")</f>
        <v>Terlambat</v>
      </c>
      <c r="CP80" s="658" t="str" cm="1">
        <f t="array" ref="CP80">_xlfn.IFNA(_xlfn.IFS(AT80="Ada","Selesai",AT80="Tidak Perlu","Selesai",AT80="","Terlambat"),"")</f>
        <v>Terlambat</v>
      </c>
      <c r="CQ80" s="658" t="str" cm="1">
        <f t="array" ref="CQ80">_xlfn.IFNA(_xlfn.IFS(AV80="Ada","Selesai",AV80="Tidak Perlu","Selesai",AV80="","Terlambat"),"")</f>
        <v>Terlambat</v>
      </c>
      <c r="CR80" s="658" t="str" cm="1">
        <f t="array" ref="CR80">_xlfn.IFNA(_xlfn.IFS(AX80="Ada","Selesai",AX80="Tidak Perlu","Selesai",AX80="","Terlambat"),"")</f>
        <v>Terlambat</v>
      </c>
      <c r="CS80" s="658" t="str" cm="1">
        <f t="array" ref="CS80">_xlfn.IFNA(_xlfn.IFS(AZ80="Ada","Selesai",AZ80="Tidak Perlu","Selesai",AZ80="","Terlambat"),"")</f>
        <v>Terlambat</v>
      </c>
      <c r="CT80" s="658" t="str" cm="1">
        <f t="array" ref="CT80">_xlfn.IFNA(_xlfn.IFS(BB80="Ada","Selesai",BB80="Tidak Perlu","Selesai",BB80="","Terlambat"),"")</f>
        <v>Terlambat</v>
      </c>
      <c r="CU80" s="658" t="str" cm="1">
        <f t="array" ref="CU80">_xlfn.IFNA(_xlfn.IFS(BD80="Ada","Selesai",BD80="Tidak Perlu","Selesai",BD80="","Terlambat"),"")</f>
        <v>Terlambat</v>
      </c>
      <c r="CV80" s="658" t="str" cm="1">
        <f t="array" ref="CV80">_xlfn.IFNA(_xlfn.IFS(BF80="Ada","Selesai",BF80="Tidak Perlu","Selesai",BF80="","Terlambat"),"")</f>
        <v>Terlambat</v>
      </c>
      <c r="CW80" s="658" t="str" cm="1">
        <f t="array" ref="CW80">_xlfn.IFNA(_xlfn.IFS(BM80="Ada","Selesai",BM80="Tidak Perlu","Selesai",BM80="","Terlambat"),"")</f>
        <v>Terlambat</v>
      </c>
    </row>
    <row r="81" spans="2:101" ht="17.25" hidden="1" customHeight="1" x14ac:dyDescent="0.2">
      <c r="B81" s="633">
        <v>74</v>
      </c>
      <c r="C81" s="633" t="s">
        <v>673</v>
      </c>
      <c r="D81" s="634" t="s">
        <v>2665</v>
      </c>
      <c r="E81" s="633" t="s">
        <v>278</v>
      </c>
      <c r="F81" s="634" t="s">
        <v>2666</v>
      </c>
      <c r="G81" s="633" t="s">
        <v>3608</v>
      </c>
      <c r="H81" s="635" t="s">
        <v>3667</v>
      </c>
      <c r="I81" s="633" t="s">
        <v>3668</v>
      </c>
      <c r="J81" s="636">
        <v>0.93</v>
      </c>
      <c r="K81" s="637" t="str">
        <f t="shared" si="4"/>
        <v>6/20</v>
      </c>
      <c r="L81" s="638" t="s">
        <v>3674</v>
      </c>
      <c r="M81" s="639" t="s">
        <v>3606</v>
      </c>
      <c r="N81" s="639"/>
      <c r="O81" s="639" t="s">
        <v>3603</v>
      </c>
      <c r="P81" s="639"/>
      <c r="Q81" s="639" t="s">
        <v>3603</v>
      </c>
      <c r="R81" s="639"/>
      <c r="S81" s="639" t="s">
        <v>3606</v>
      </c>
      <c r="T81" s="639"/>
      <c r="U81" s="639" t="s">
        <v>3606</v>
      </c>
      <c r="V81" s="640"/>
      <c r="W81" s="639" t="s">
        <v>3603</v>
      </c>
      <c r="X81" s="640"/>
      <c r="Y81" s="642" t="s">
        <v>3603</v>
      </c>
      <c r="Z81" s="640" t="s">
        <v>1266</v>
      </c>
      <c r="AA81" s="639" t="s">
        <v>3603</v>
      </c>
      <c r="AB81" s="640"/>
      <c r="AC81" s="639" t="s">
        <v>3603</v>
      </c>
      <c r="AD81" s="640"/>
      <c r="AE81" s="639" t="s">
        <v>3606</v>
      </c>
      <c r="AF81" s="640"/>
      <c r="AG81" s="641" t="s">
        <v>3603</v>
      </c>
      <c r="AH81" s="640"/>
      <c r="AI81" s="641" t="s">
        <v>3603</v>
      </c>
      <c r="AJ81" s="640"/>
      <c r="AK81" s="641" t="s">
        <v>3603</v>
      </c>
      <c r="AL81" s="640"/>
      <c r="AM81" s="639" t="s">
        <v>3606</v>
      </c>
      <c r="AN81" s="640"/>
      <c r="AO81" s="639" t="s">
        <v>3603</v>
      </c>
      <c r="AP81" s="640"/>
      <c r="AQ81" s="639" t="s">
        <v>3603</v>
      </c>
      <c r="AR81" s="640"/>
      <c r="AS81" s="639" t="s">
        <v>3603</v>
      </c>
      <c r="AT81" s="640"/>
      <c r="AU81" s="639" t="s">
        <v>3603</v>
      </c>
      <c r="AV81" s="640"/>
      <c r="AW81" s="639" t="s">
        <v>3606</v>
      </c>
      <c r="AX81" s="640"/>
      <c r="AY81" s="639" t="s">
        <v>3603</v>
      </c>
      <c r="AZ81" s="640"/>
      <c r="BA81" s="639" t="s">
        <v>3603</v>
      </c>
      <c r="BB81" s="640"/>
      <c r="BC81" s="639" t="s">
        <v>3606</v>
      </c>
      <c r="BD81" s="640"/>
      <c r="BE81" s="640" t="s">
        <v>3606</v>
      </c>
      <c r="BF81" s="640"/>
      <c r="BG81" s="640" t="s">
        <v>1266</v>
      </c>
      <c r="BH81" s="640"/>
      <c r="BI81" s="640" t="s">
        <v>3603</v>
      </c>
      <c r="BJ81" s="640"/>
      <c r="BK81" s="640" t="s">
        <v>3603</v>
      </c>
      <c r="BL81" s="640"/>
      <c r="BM81" s="678"/>
      <c r="BN81" s="637"/>
      <c r="BO81" s="637" t="s">
        <v>3714</v>
      </c>
      <c r="BP81" s="637"/>
      <c r="BQ81" s="637" t="s">
        <v>3715</v>
      </c>
      <c r="BR81" s="637"/>
      <c r="BS81" s="637"/>
      <c r="BT81" s="637" t="s">
        <v>3716</v>
      </c>
      <c r="BU81" s="679"/>
      <c r="BV81" s="679"/>
      <c r="BW81" s="633" t="s">
        <v>3671</v>
      </c>
      <c r="BX81" s="651" t="str">
        <f t="shared" si="3"/>
        <v>SPAM Karian Serpong Hilir</v>
      </c>
      <c r="BY81" s="651" t="str">
        <f t="shared" si="3"/>
        <v>25ABJ.NINKARB006.1JE</v>
      </c>
      <c r="BZ81" s="658" t="str" cm="1">
        <f t="array" ref="BZ81">_xlfn.IFNA(_xlfn.IFS(N81="Ada","Selesai",N81="Tidak Perlu","Selesai",N81="","Terlambat"),"")</f>
        <v>Terlambat</v>
      </c>
      <c r="CA81" s="658" t="str" cm="1">
        <f t="array" ref="CA81">_xlfn.IFNA(_xlfn.IFS(P81="Ada","Selesai",P81="Tidak Perlu","Selesai",P81="","Terlambat"),"")</f>
        <v>Terlambat</v>
      </c>
      <c r="CB81" s="658" t="str" cm="1">
        <f t="array" ref="CB81">_xlfn.IFNA(_xlfn.IFS(R81="Ada","Selesai",R81="Tidak Perlu","Selesai",R81="","Terlambat"),"")</f>
        <v>Terlambat</v>
      </c>
      <c r="CC81" s="658" t="str" cm="1">
        <f t="array" ref="CC81">_xlfn.IFNA(_xlfn.IFS(T81="Ada","Selesai",T81="Tidak Perlu","Selesai",T81="","Terlambat"),"")</f>
        <v>Terlambat</v>
      </c>
      <c r="CD81" s="658" t="str" cm="1">
        <f t="array" ref="CD81">_xlfn.IFNA(_xlfn.IFS(V81="Ada","Selesai",V81="Tidak Perlu","Selesai",V81="","Terlambat"),"")</f>
        <v>Terlambat</v>
      </c>
      <c r="CE81" s="658" t="str" cm="1">
        <f t="array" ref="CE81">_xlfn.IFNA(_xlfn.IFS(X81="Ada","Selesai",X81="Tidak Perlu","Selesai",X81="","Terlambat"),"")</f>
        <v>Terlambat</v>
      </c>
      <c r="CF81" s="658" t="str" cm="1">
        <f t="array" ref="CF81">_xlfn.IFNA(_xlfn.IFS(Z81="Ada","Selesai",Z81="Tidak Perlu","Selesai",Z81="","Terlambat"),"")</f>
        <v>Selesai</v>
      </c>
      <c r="CG81" s="658" t="str" cm="1">
        <f t="array" ref="CG81">_xlfn.IFNA(_xlfn.IFS(AB81="Ada","Selesai",AB81="Tidak Perlu","Selesai",AB81="","Terlambat"),"")</f>
        <v>Terlambat</v>
      </c>
      <c r="CH81" s="658" t="str" cm="1">
        <f t="array" ref="CH81">_xlfn.IFNA(_xlfn.IFS(AD81="Ada","Selesai",AD81="Tidak Perlu","Selesai",AD81="","Terlambat"),"")</f>
        <v>Terlambat</v>
      </c>
      <c r="CI81" s="658" t="str" cm="1">
        <f t="array" ref="CI81">_xlfn.IFNA(_xlfn.IFS(AF81="Ada","Selesai",AF81="Tidak Perlu","Selesai",AF81="","Terlambat"),"")</f>
        <v>Terlambat</v>
      </c>
      <c r="CJ81" s="658" t="str" cm="1">
        <f t="array" ref="CJ81">_xlfn.IFNA(_xlfn.IFS(AH81="Ada","Selesai",AH81="Tidak Perlu","Selesai",AH81="","Terlambat"),"")</f>
        <v>Terlambat</v>
      </c>
      <c r="CK81" s="658" t="str" cm="1">
        <f t="array" ref="CK81">_xlfn.IFNA(_xlfn.IFS(AJ81="Ada","Selesai",AJ81="Tidak Perlu","Selesai",AJ81="","Terlambat"),"")</f>
        <v>Terlambat</v>
      </c>
      <c r="CL81" s="658" t="str" cm="1">
        <f t="array" ref="CL81">_xlfn.IFNA(_xlfn.IFS(AL81="Ada","Selesai",AL81="Tidak Perlu","Selesai",AL81="","Terlambat"),"")</f>
        <v>Terlambat</v>
      </c>
      <c r="CM81" s="658" t="str" cm="1">
        <f t="array" ref="CM81">_xlfn.IFNA(_xlfn.IFS(AN81="Ada","Selesai",AN81="Tidak Perlu","Selesai",AN81="","Terlambat"),"")</f>
        <v>Terlambat</v>
      </c>
      <c r="CN81" s="658" t="str" cm="1">
        <f t="array" ref="CN81">_xlfn.IFNA(_xlfn.IFS(AP81="Ada","Selesai",AP81="Tidak Perlu","Selesai",AP81="","Terlambat"),"")</f>
        <v>Terlambat</v>
      </c>
      <c r="CO81" s="658" t="str" cm="1">
        <f t="array" ref="CO81">_xlfn.IFNA(_xlfn.IFS(AR81="Ada","Selesai",AR81="Tidak Perlu","Selesai",AR81="","Terlambat"),"")</f>
        <v>Terlambat</v>
      </c>
      <c r="CP81" s="658" t="str" cm="1">
        <f t="array" ref="CP81">_xlfn.IFNA(_xlfn.IFS(AT81="Ada","Selesai",AT81="Tidak Perlu","Selesai",AT81="","Terlambat"),"")</f>
        <v>Terlambat</v>
      </c>
      <c r="CQ81" s="658" t="str" cm="1">
        <f t="array" ref="CQ81">_xlfn.IFNA(_xlfn.IFS(AV81="Ada","Selesai",AV81="Tidak Perlu","Selesai",AV81="","Terlambat"),"")</f>
        <v>Terlambat</v>
      </c>
      <c r="CR81" s="658" t="str" cm="1">
        <f t="array" ref="CR81">_xlfn.IFNA(_xlfn.IFS(AX81="Ada","Selesai",AX81="Tidak Perlu","Selesai",AX81="","Terlambat"),"")</f>
        <v>Terlambat</v>
      </c>
      <c r="CS81" s="658" t="str" cm="1">
        <f t="array" ref="CS81">_xlfn.IFNA(_xlfn.IFS(AZ81="Ada","Selesai",AZ81="Tidak Perlu","Selesai",AZ81="","Terlambat"),"")</f>
        <v>Terlambat</v>
      </c>
      <c r="CT81" s="658" t="str" cm="1">
        <f t="array" ref="CT81">_xlfn.IFNA(_xlfn.IFS(BB81="Ada","Selesai",BB81="Tidak Perlu","Selesai",BB81="","Terlambat"),"")</f>
        <v>Terlambat</v>
      </c>
      <c r="CU81" s="658" t="str" cm="1">
        <f t="array" ref="CU81">_xlfn.IFNA(_xlfn.IFS(BD81="Ada","Selesai",BD81="Tidak Perlu","Selesai",BD81="","Terlambat"),"")</f>
        <v>Terlambat</v>
      </c>
      <c r="CV81" s="658" t="str" cm="1">
        <f t="array" ref="CV81">_xlfn.IFNA(_xlfn.IFS(BF81="Ada","Selesai",BF81="Tidak Perlu","Selesai",BF81="","Terlambat"),"")</f>
        <v>Terlambat</v>
      </c>
      <c r="CW81" s="658" t="str" cm="1">
        <f t="array" ref="CW81">_xlfn.IFNA(_xlfn.IFS(BM81="Ada","Selesai",BM81="Tidak Perlu","Selesai",BM81="","Terlambat"),"")</f>
        <v>Terlambat</v>
      </c>
    </row>
    <row r="82" spans="2:101" ht="17.25" hidden="1" customHeight="1" x14ac:dyDescent="0.2">
      <c r="B82" s="633">
        <v>75</v>
      </c>
      <c r="C82" s="633" t="s">
        <v>673</v>
      </c>
      <c r="D82" s="634" t="s">
        <v>2674</v>
      </c>
      <c r="E82" s="633" t="s">
        <v>278</v>
      </c>
      <c r="F82" s="634" t="s">
        <v>2675</v>
      </c>
      <c r="G82" s="633" t="s">
        <v>3560</v>
      </c>
      <c r="H82" s="635" t="s">
        <v>3667</v>
      </c>
      <c r="I82" s="633" t="s">
        <v>3685</v>
      </c>
      <c r="J82" s="636">
        <v>1</v>
      </c>
      <c r="K82" s="637" t="str">
        <f t="shared" si="4"/>
        <v>15/20</v>
      </c>
      <c r="L82" s="638" t="s">
        <v>3686</v>
      </c>
      <c r="M82" s="639" t="s">
        <v>3606</v>
      </c>
      <c r="N82" s="639" t="s">
        <v>1266</v>
      </c>
      <c r="O82" s="639" t="s">
        <v>3603</v>
      </c>
      <c r="P82" s="639" t="s">
        <v>3706</v>
      </c>
      <c r="Q82" s="639" t="s">
        <v>3606</v>
      </c>
      <c r="R82" s="639" t="s">
        <v>3706</v>
      </c>
      <c r="S82" s="639" t="s">
        <v>3606</v>
      </c>
      <c r="T82" s="640" t="s">
        <v>3678</v>
      </c>
      <c r="U82" s="639" t="s">
        <v>3606</v>
      </c>
      <c r="V82" s="640" t="s">
        <v>3706</v>
      </c>
      <c r="W82" s="639" t="s">
        <v>3603</v>
      </c>
      <c r="X82" s="640" t="s">
        <v>3678</v>
      </c>
      <c r="Y82" s="642" t="s">
        <v>3606</v>
      </c>
      <c r="Z82" s="640" t="s">
        <v>1266</v>
      </c>
      <c r="AA82" s="639" t="s">
        <v>3603</v>
      </c>
      <c r="AB82" s="640" t="s">
        <v>3678</v>
      </c>
      <c r="AC82" s="639" t="s">
        <v>3606</v>
      </c>
      <c r="AD82" s="640" t="s">
        <v>3706</v>
      </c>
      <c r="AE82" s="639" t="s">
        <v>3606</v>
      </c>
      <c r="AF82" s="640" t="s">
        <v>3706</v>
      </c>
      <c r="AG82" s="641" t="s">
        <v>3606</v>
      </c>
      <c r="AH82" s="640" t="s">
        <v>3678</v>
      </c>
      <c r="AI82" s="641" t="s">
        <v>3606</v>
      </c>
      <c r="AJ82" s="640" t="s">
        <v>3678</v>
      </c>
      <c r="AK82" s="641" t="s">
        <v>3606</v>
      </c>
      <c r="AL82" s="640" t="s">
        <v>3678</v>
      </c>
      <c r="AM82" s="639" t="s">
        <v>3606</v>
      </c>
      <c r="AN82" s="640" t="s">
        <v>3706</v>
      </c>
      <c r="AO82" s="639" t="s">
        <v>3606</v>
      </c>
      <c r="AP82" s="640" t="s">
        <v>3706</v>
      </c>
      <c r="AQ82" s="639" t="s">
        <v>3606</v>
      </c>
      <c r="AR82" s="640" t="s">
        <v>3706</v>
      </c>
      <c r="AS82" s="639" t="s">
        <v>3606</v>
      </c>
      <c r="AT82" s="640" t="s">
        <v>3678</v>
      </c>
      <c r="AU82" s="639" t="s">
        <v>3603</v>
      </c>
      <c r="AV82" s="640" t="s">
        <v>3678</v>
      </c>
      <c r="AW82" s="639" t="s">
        <v>3606</v>
      </c>
      <c r="AX82" s="640" t="s">
        <v>3706</v>
      </c>
      <c r="AY82" s="639" t="s">
        <v>3606</v>
      </c>
      <c r="AZ82" s="640" t="s">
        <v>3706</v>
      </c>
      <c r="BA82" s="639" t="s">
        <v>3606</v>
      </c>
      <c r="BB82" s="640" t="s">
        <v>3706</v>
      </c>
      <c r="BC82" s="639" t="s">
        <v>3606</v>
      </c>
      <c r="BD82" s="640" t="s">
        <v>3706</v>
      </c>
      <c r="BE82" s="640" t="s">
        <v>3606</v>
      </c>
      <c r="BF82" s="640" t="s">
        <v>3706</v>
      </c>
      <c r="BG82" s="640" t="s">
        <v>3606</v>
      </c>
      <c r="BH82" s="640" t="s">
        <v>3678</v>
      </c>
      <c r="BI82" s="640" t="s">
        <v>3606</v>
      </c>
      <c r="BJ82" s="640" t="s">
        <v>3678</v>
      </c>
      <c r="BK82" s="640" t="s">
        <v>3606</v>
      </c>
      <c r="BL82" s="640" t="s">
        <v>3678</v>
      </c>
      <c r="BM82" s="678" t="s">
        <v>3707</v>
      </c>
      <c r="BN82" s="682"/>
      <c r="BO82" s="637" t="s">
        <v>3717</v>
      </c>
      <c r="BP82" s="637" t="s">
        <v>3718</v>
      </c>
      <c r="BQ82" s="637" t="s">
        <v>3715</v>
      </c>
      <c r="BR82" s="637"/>
      <c r="BS82" s="637"/>
      <c r="BT82" s="637" t="s">
        <v>3716</v>
      </c>
      <c r="BU82" s="679"/>
      <c r="BV82" s="679"/>
      <c r="BW82" s="633" t="s">
        <v>3671</v>
      </c>
      <c r="BX82" s="651" t="str">
        <f t="shared" si="3"/>
        <v>SPAM Karian Serpong Hilir</v>
      </c>
      <c r="BY82" s="651" t="str">
        <f t="shared" si="3"/>
        <v>25ABJ.NINKARS006.1JE</v>
      </c>
      <c r="BZ82" s="658" t="str" cm="1">
        <f t="array" ref="BZ82">_xlfn.IFNA(_xlfn.IFS(N82="Ada","Selesai",N82="Tidak Perlu","Selesai",N82="","Terlambat"),"")</f>
        <v>Selesai</v>
      </c>
      <c r="CA82" s="658" t="str" cm="1">
        <f t="array" ref="CA82">_xlfn.IFNA(_xlfn.IFS(P82="Ada","Selesai",P82="Tidak Perlu","Selesai",P82="","Terlambat"),"")</f>
        <v>Selesai</v>
      </c>
      <c r="CB82" s="658" t="str" cm="1">
        <f t="array" ref="CB82">_xlfn.IFNA(_xlfn.IFS(R82="Ada","Selesai",R82="Tidak Perlu","Selesai",R82="","Terlambat"),"")</f>
        <v>Selesai</v>
      </c>
      <c r="CC82" s="658" t="str" cm="1">
        <f t="array" ref="CC82">_xlfn.IFNA(_xlfn.IFS(T82="Ada","Selesai",T82="Tidak Perlu","Selesai",T82="","Terlambat"),"")</f>
        <v>Selesai</v>
      </c>
      <c r="CD82" s="658" t="str" cm="1">
        <f t="array" ref="CD82">_xlfn.IFNA(_xlfn.IFS(V82="Ada","Selesai",V82="Tidak Perlu","Selesai",V82="","Terlambat"),"")</f>
        <v>Selesai</v>
      </c>
      <c r="CE82" s="658" t="str" cm="1">
        <f t="array" ref="CE82">_xlfn.IFNA(_xlfn.IFS(X82="Ada","Selesai",X82="Tidak Perlu","Selesai",X82="","Terlambat"),"")</f>
        <v>Selesai</v>
      </c>
      <c r="CF82" s="658" t="str" cm="1">
        <f t="array" ref="CF82">_xlfn.IFNA(_xlfn.IFS(Z82="Ada","Selesai",Z82="Tidak Perlu","Selesai",Z82="","Terlambat"),"")</f>
        <v>Selesai</v>
      </c>
      <c r="CG82" s="658" t="str" cm="1">
        <f t="array" ref="CG82">_xlfn.IFNA(_xlfn.IFS(AB82="Ada","Selesai",AB82="Tidak Perlu","Selesai",AB82="","Terlambat"),"")</f>
        <v>Selesai</v>
      </c>
      <c r="CH82" s="658" t="str" cm="1">
        <f t="array" ref="CH82">_xlfn.IFNA(_xlfn.IFS(AD82="Ada","Selesai",AD82="Tidak Perlu","Selesai",AD82="","Terlambat"),"")</f>
        <v>Selesai</v>
      </c>
      <c r="CI82" s="658" t="str" cm="1">
        <f t="array" ref="CI82">_xlfn.IFNA(_xlfn.IFS(AF82="Ada","Selesai",AF82="Tidak Perlu","Selesai",AF82="","Terlambat"),"")</f>
        <v>Selesai</v>
      </c>
      <c r="CJ82" s="658" t="str" cm="1">
        <f t="array" ref="CJ82">_xlfn.IFNA(_xlfn.IFS(AH82="Ada","Selesai",AH82="Tidak Perlu","Selesai",AH82="","Terlambat"),"")</f>
        <v>Selesai</v>
      </c>
      <c r="CK82" s="658" t="str" cm="1">
        <f t="array" ref="CK82">_xlfn.IFNA(_xlfn.IFS(AJ82="Ada","Selesai",AJ82="Tidak Perlu","Selesai",AJ82="","Terlambat"),"")</f>
        <v>Selesai</v>
      </c>
      <c r="CL82" s="658" t="str" cm="1">
        <f t="array" ref="CL82">_xlfn.IFNA(_xlfn.IFS(AL82="Ada","Selesai",AL82="Tidak Perlu","Selesai",AL82="","Terlambat"),"")</f>
        <v>Selesai</v>
      </c>
      <c r="CM82" s="658" t="str" cm="1">
        <f t="array" ref="CM82">_xlfn.IFNA(_xlfn.IFS(AN82="Ada","Selesai",AN82="Tidak Perlu","Selesai",AN82="","Terlambat"),"")</f>
        <v>Selesai</v>
      </c>
      <c r="CN82" s="658" t="str" cm="1">
        <f t="array" ref="CN82">_xlfn.IFNA(_xlfn.IFS(AP82="Ada","Selesai",AP82="Tidak Perlu","Selesai",AP82="","Terlambat"),"")</f>
        <v>Selesai</v>
      </c>
      <c r="CO82" s="658" t="str" cm="1">
        <f t="array" ref="CO82">_xlfn.IFNA(_xlfn.IFS(AR82="Ada","Selesai",AR82="Tidak Perlu","Selesai",AR82="","Terlambat"),"")</f>
        <v>Selesai</v>
      </c>
      <c r="CP82" s="658" t="str" cm="1">
        <f t="array" ref="CP82">_xlfn.IFNA(_xlfn.IFS(AT82="Ada","Selesai",AT82="Tidak Perlu","Selesai",AT82="","Terlambat"),"")</f>
        <v>Selesai</v>
      </c>
      <c r="CQ82" s="658" t="str" cm="1">
        <f t="array" ref="CQ82">_xlfn.IFNA(_xlfn.IFS(AV82="Ada","Selesai",AV82="Tidak Perlu","Selesai",AV82="","Terlambat"),"")</f>
        <v>Selesai</v>
      </c>
      <c r="CR82" s="658" t="str" cm="1">
        <f t="array" ref="CR82">_xlfn.IFNA(_xlfn.IFS(AX82="Ada","Selesai",AX82="Tidak Perlu","Selesai",AX82="","Terlambat"),"")</f>
        <v>Selesai</v>
      </c>
      <c r="CS82" s="658" t="str" cm="1">
        <f t="array" ref="CS82">_xlfn.IFNA(_xlfn.IFS(AZ82="Ada","Selesai",AZ82="Tidak Perlu","Selesai",AZ82="","Terlambat"),"")</f>
        <v>Selesai</v>
      </c>
      <c r="CT82" s="658" t="str" cm="1">
        <f t="array" ref="CT82">_xlfn.IFNA(_xlfn.IFS(BB82="Ada","Selesai",BB82="Tidak Perlu","Selesai",BB82="","Terlambat"),"")</f>
        <v>Selesai</v>
      </c>
      <c r="CU82" s="658" t="str" cm="1">
        <f t="array" ref="CU82">_xlfn.IFNA(_xlfn.IFS(BD82="Ada","Selesai",BD82="Tidak Perlu","Selesai",BD82="","Terlambat"),"")</f>
        <v>Selesai</v>
      </c>
      <c r="CV82" s="658" t="str" cm="1">
        <f t="array" ref="CV82">_xlfn.IFNA(_xlfn.IFS(BF82="Ada","Selesai",BF82="Tidak Perlu","Selesai",BF82="","Terlambat"),"")</f>
        <v>Selesai</v>
      </c>
      <c r="CW82" s="658" t="str" cm="1">
        <f t="array" ref="CW82">_xlfn.IFNA(_xlfn.IFS(BM82="Ada","Selesai",BM82="Tidak Perlu","Selesai",BM82="","Terlambat"),"")</f>
        <v/>
      </c>
    </row>
    <row r="83" spans="2:101" ht="17.25" hidden="1" customHeight="1" x14ac:dyDescent="0.2">
      <c r="B83" s="633">
        <v>76</v>
      </c>
      <c r="C83" s="633" t="s">
        <v>673</v>
      </c>
      <c r="D83" s="634" t="s">
        <v>2684</v>
      </c>
      <c r="E83" s="633" t="s">
        <v>278</v>
      </c>
      <c r="F83" s="634" t="s">
        <v>2685</v>
      </c>
      <c r="G83" s="633" t="s">
        <v>3608</v>
      </c>
      <c r="H83" s="635" t="s">
        <v>3667</v>
      </c>
      <c r="I83" s="633" t="s">
        <v>3668</v>
      </c>
      <c r="J83" s="636">
        <v>0.37</v>
      </c>
      <c r="K83" s="637" t="str">
        <f t="shared" si="4"/>
        <v>5/20</v>
      </c>
      <c r="L83" s="638" t="s">
        <v>3674</v>
      </c>
      <c r="M83" s="639" t="s">
        <v>3606</v>
      </c>
      <c r="N83" s="639"/>
      <c r="O83" s="639" t="s">
        <v>3603</v>
      </c>
      <c r="P83" s="639"/>
      <c r="Q83" s="639" t="s">
        <v>3603</v>
      </c>
      <c r="R83" s="639"/>
      <c r="S83" s="639" t="s">
        <v>3606</v>
      </c>
      <c r="T83" s="639"/>
      <c r="U83" s="639" t="s">
        <v>3606</v>
      </c>
      <c r="V83" s="640"/>
      <c r="W83" s="639" t="s">
        <v>3603</v>
      </c>
      <c r="X83" s="640"/>
      <c r="Y83" s="642" t="s">
        <v>3603</v>
      </c>
      <c r="Z83" s="640" t="s">
        <v>1266</v>
      </c>
      <c r="AA83" s="639" t="s">
        <v>3603</v>
      </c>
      <c r="AB83" s="640"/>
      <c r="AC83" s="639" t="s">
        <v>3603</v>
      </c>
      <c r="AD83" s="640"/>
      <c r="AE83" s="639" t="s">
        <v>3606</v>
      </c>
      <c r="AF83" s="640"/>
      <c r="AG83" s="641" t="s">
        <v>3603</v>
      </c>
      <c r="AH83" s="640"/>
      <c r="AI83" s="641" t="s">
        <v>3603</v>
      </c>
      <c r="AJ83" s="640"/>
      <c r="AK83" s="641" t="s">
        <v>3603</v>
      </c>
      <c r="AL83" s="640"/>
      <c r="AM83" s="639" t="s">
        <v>3603</v>
      </c>
      <c r="AN83" s="640"/>
      <c r="AO83" s="639" t="s">
        <v>3603</v>
      </c>
      <c r="AP83" s="640"/>
      <c r="AQ83" s="639" t="s">
        <v>3603</v>
      </c>
      <c r="AR83" s="640"/>
      <c r="AS83" s="639" t="s">
        <v>3603</v>
      </c>
      <c r="AT83" s="640"/>
      <c r="AU83" s="639" t="s">
        <v>3603</v>
      </c>
      <c r="AV83" s="640"/>
      <c r="AW83" s="639" t="s">
        <v>3606</v>
      </c>
      <c r="AX83" s="640"/>
      <c r="AY83" s="639" t="s">
        <v>3603</v>
      </c>
      <c r="AZ83" s="640"/>
      <c r="BA83" s="639" t="s">
        <v>3603</v>
      </c>
      <c r="BB83" s="640"/>
      <c r="BC83" s="639" t="s">
        <v>3606</v>
      </c>
      <c r="BD83" s="640"/>
      <c r="BE83" s="640" t="s">
        <v>3606</v>
      </c>
      <c r="BF83" s="640"/>
      <c r="BG83" s="640" t="s">
        <v>3605</v>
      </c>
      <c r="BH83" s="640">
        <v>46092</v>
      </c>
      <c r="BI83" s="640" t="s">
        <v>3603</v>
      </c>
      <c r="BJ83" s="640"/>
      <c r="BK83" s="640" t="s">
        <v>3603</v>
      </c>
      <c r="BL83" s="640"/>
      <c r="BM83" s="678"/>
      <c r="BN83" s="684" t="s">
        <v>3719</v>
      </c>
      <c r="BO83" s="684" t="s">
        <v>3720</v>
      </c>
      <c r="BP83" s="684" t="s">
        <v>3721</v>
      </c>
      <c r="BQ83" s="637" t="s">
        <v>3710</v>
      </c>
      <c r="BR83" s="684"/>
      <c r="BS83" s="684" t="s">
        <v>3722</v>
      </c>
      <c r="BT83" s="687" t="s">
        <v>3711</v>
      </c>
      <c r="BU83" s="679"/>
      <c r="BV83" s="679"/>
      <c r="BW83" s="633" t="s">
        <v>3671</v>
      </c>
      <c r="BX83" s="651" t="str">
        <f t="shared" si="3"/>
        <v>SPAM Karian Serpong Hilir</v>
      </c>
      <c r="BY83" s="651" t="str">
        <f t="shared" si="3"/>
        <v>25ABJ.NINKARSN01.1JE</v>
      </c>
      <c r="BZ83" s="658" t="str" cm="1">
        <f t="array" ref="BZ83">_xlfn.IFNA(_xlfn.IFS(N83="Ada","Selesai",N83="Tidak Perlu","Selesai",N83="","Terlambat"),"")</f>
        <v>Terlambat</v>
      </c>
      <c r="CA83" s="658" t="str" cm="1">
        <f t="array" ref="CA83">_xlfn.IFNA(_xlfn.IFS(P83="Ada","Selesai",P83="Tidak Perlu","Selesai",P83="","Terlambat"),"")</f>
        <v>Terlambat</v>
      </c>
      <c r="CB83" s="658" t="str" cm="1">
        <f t="array" ref="CB83">_xlfn.IFNA(_xlfn.IFS(R83="Ada","Selesai",R83="Tidak Perlu","Selesai",R83="","Terlambat"),"")</f>
        <v>Terlambat</v>
      </c>
      <c r="CC83" s="658" t="str" cm="1">
        <f t="array" ref="CC83">_xlfn.IFNA(_xlfn.IFS(T83="Ada","Selesai",T83="Tidak Perlu","Selesai",T83="","Terlambat"),"")</f>
        <v>Terlambat</v>
      </c>
      <c r="CD83" s="658" t="str" cm="1">
        <f t="array" ref="CD83">_xlfn.IFNA(_xlfn.IFS(V83="Ada","Selesai",V83="Tidak Perlu","Selesai",V83="","Terlambat"),"")</f>
        <v>Terlambat</v>
      </c>
      <c r="CE83" s="658" t="str" cm="1">
        <f t="array" ref="CE83">_xlfn.IFNA(_xlfn.IFS(X83="Ada","Selesai",X83="Tidak Perlu","Selesai",X83="","Terlambat"),"")</f>
        <v>Terlambat</v>
      </c>
      <c r="CF83" s="658" t="str" cm="1">
        <f t="array" ref="CF83">_xlfn.IFNA(_xlfn.IFS(Z83="Ada","Selesai",Z83="Tidak Perlu","Selesai",Z83="","Terlambat"),"")</f>
        <v>Selesai</v>
      </c>
      <c r="CG83" s="658" t="str" cm="1">
        <f t="array" ref="CG83">_xlfn.IFNA(_xlfn.IFS(AB83="Ada","Selesai",AB83="Tidak Perlu","Selesai",AB83="","Terlambat"),"")</f>
        <v>Terlambat</v>
      </c>
      <c r="CH83" s="658" t="str" cm="1">
        <f t="array" ref="CH83">_xlfn.IFNA(_xlfn.IFS(AD83="Ada","Selesai",AD83="Tidak Perlu","Selesai",AD83="","Terlambat"),"")</f>
        <v>Terlambat</v>
      </c>
      <c r="CI83" s="658" t="str" cm="1">
        <f t="array" ref="CI83">_xlfn.IFNA(_xlfn.IFS(AF83="Ada","Selesai",AF83="Tidak Perlu","Selesai",AF83="","Terlambat"),"")</f>
        <v>Terlambat</v>
      </c>
      <c r="CJ83" s="658" t="str" cm="1">
        <f t="array" ref="CJ83">_xlfn.IFNA(_xlfn.IFS(AH83="Ada","Selesai",AH83="Tidak Perlu","Selesai",AH83="","Terlambat"),"")</f>
        <v>Terlambat</v>
      </c>
      <c r="CK83" s="658" t="str" cm="1">
        <f t="array" ref="CK83">_xlfn.IFNA(_xlfn.IFS(AJ83="Ada","Selesai",AJ83="Tidak Perlu","Selesai",AJ83="","Terlambat"),"")</f>
        <v>Terlambat</v>
      </c>
      <c r="CL83" s="658" t="str" cm="1">
        <f t="array" ref="CL83">_xlfn.IFNA(_xlfn.IFS(AL83="Ada","Selesai",AL83="Tidak Perlu","Selesai",AL83="","Terlambat"),"")</f>
        <v>Terlambat</v>
      </c>
      <c r="CM83" s="658" t="str" cm="1">
        <f t="array" ref="CM83">_xlfn.IFNA(_xlfn.IFS(AN83="Ada","Selesai",AN83="Tidak Perlu","Selesai",AN83="","Terlambat"),"")</f>
        <v>Terlambat</v>
      </c>
      <c r="CN83" s="658" t="str" cm="1">
        <f t="array" ref="CN83">_xlfn.IFNA(_xlfn.IFS(AP83="Ada","Selesai",AP83="Tidak Perlu","Selesai",AP83="","Terlambat"),"")</f>
        <v>Terlambat</v>
      </c>
      <c r="CO83" s="658" t="str" cm="1">
        <f t="array" ref="CO83">_xlfn.IFNA(_xlfn.IFS(AR83="Ada","Selesai",AR83="Tidak Perlu","Selesai",AR83="","Terlambat"),"")</f>
        <v>Terlambat</v>
      </c>
      <c r="CP83" s="658" t="str" cm="1">
        <f t="array" ref="CP83">_xlfn.IFNA(_xlfn.IFS(AT83="Ada","Selesai",AT83="Tidak Perlu","Selesai",AT83="","Terlambat"),"")</f>
        <v>Terlambat</v>
      </c>
      <c r="CQ83" s="658" t="str" cm="1">
        <f t="array" ref="CQ83">_xlfn.IFNA(_xlfn.IFS(AV83="Ada","Selesai",AV83="Tidak Perlu","Selesai",AV83="","Terlambat"),"")</f>
        <v>Terlambat</v>
      </c>
      <c r="CR83" s="658" t="str" cm="1">
        <f t="array" ref="CR83">_xlfn.IFNA(_xlfn.IFS(AX83="Ada","Selesai",AX83="Tidak Perlu","Selesai",AX83="","Terlambat"),"")</f>
        <v>Terlambat</v>
      </c>
      <c r="CS83" s="658" t="str" cm="1">
        <f t="array" ref="CS83">_xlfn.IFNA(_xlfn.IFS(AZ83="Ada","Selesai",AZ83="Tidak Perlu","Selesai",AZ83="","Terlambat"),"")</f>
        <v>Terlambat</v>
      </c>
      <c r="CT83" s="658" t="str" cm="1">
        <f t="array" ref="CT83">_xlfn.IFNA(_xlfn.IFS(BB83="Ada","Selesai",BB83="Tidak Perlu","Selesai",BB83="","Terlambat"),"")</f>
        <v>Terlambat</v>
      </c>
      <c r="CU83" s="658" t="str" cm="1">
        <f t="array" ref="CU83">_xlfn.IFNA(_xlfn.IFS(BD83="Ada","Selesai",BD83="Tidak Perlu","Selesai",BD83="","Terlambat"),"")</f>
        <v>Terlambat</v>
      </c>
      <c r="CV83" s="658" t="str" cm="1">
        <f t="array" ref="CV83">_xlfn.IFNA(_xlfn.IFS(BF83="Ada","Selesai",BF83="Tidak Perlu","Selesai",BF83="","Terlambat"),"")</f>
        <v>Terlambat</v>
      </c>
      <c r="CW83" s="658" t="str" cm="1">
        <f t="array" ref="CW83">_xlfn.IFNA(_xlfn.IFS(BM83="Ada","Selesai",BM83="Tidak Perlu","Selesai",BM83="","Terlambat"),"")</f>
        <v>Terlambat</v>
      </c>
    </row>
    <row r="84" spans="2:101" ht="17.25" hidden="1" customHeight="1" x14ac:dyDescent="0.2">
      <c r="B84" s="633">
        <v>77</v>
      </c>
      <c r="C84" s="633" t="s">
        <v>673</v>
      </c>
      <c r="D84" s="634" t="s">
        <v>2699</v>
      </c>
      <c r="E84" s="633" t="s">
        <v>278</v>
      </c>
      <c r="F84" s="634" t="s">
        <v>2700</v>
      </c>
      <c r="G84" s="633" t="s">
        <v>3560</v>
      </c>
      <c r="H84" s="635" t="s">
        <v>3667</v>
      </c>
      <c r="I84" s="633" t="s">
        <v>3685</v>
      </c>
      <c r="J84" s="636">
        <v>1</v>
      </c>
      <c r="K84" s="637" t="str">
        <f t="shared" si="4"/>
        <v>15/20</v>
      </c>
      <c r="L84" s="638" t="s">
        <v>3686</v>
      </c>
      <c r="M84" s="639" t="s">
        <v>3606</v>
      </c>
      <c r="N84" s="639" t="s">
        <v>1266</v>
      </c>
      <c r="O84" s="639" t="s">
        <v>3603</v>
      </c>
      <c r="P84" s="647" t="s">
        <v>3706</v>
      </c>
      <c r="Q84" s="639" t="s">
        <v>3606</v>
      </c>
      <c r="R84" s="647" t="s">
        <v>3706</v>
      </c>
      <c r="S84" s="639" t="s">
        <v>3606</v>
      </c>
      <c r="T84" s="640" t="s">
        <v>3678</v>
      </c>
      <c r="U84" s="639" t="s">
        <v>3603</v>
      </c>
      <c r="V84" s="640" t="s">
        <v>3706</v>
      </c>
      <c r="W84" s="639" t="s">
        <v>3606</v>
      </c>
      <c r="X84" s="640" t="s">
        <v>3678</v>
      </c>
      <c r="Y84" s="642" t="s">
        <v>3603</v>
      </c>
      <c r="Z84" s="640" t="s">
        <v>1266</v>
      </c>
      <c r="AA84" s="639" t="s">
        <v>3603</v>
      </c>
      <c r="AB84" s="640" t="s">
        <v>3678</v>
      </c>
      <c r="AC84" s="639" t="s">
        <v>3606</v>
      </c>
      <c r="AD84" s="640" t="s">
        <v>3706</v>
      </c>
      <c r="AE84" s="639" t="s">
        <v>3606</v>
      </c>
      <c r="AF84" s="640" t="s">
        <v>3706</v>
      </c>
      <c r="AG84" s="641" t="s">
        <v>3606</v>
      </c>
      <c r="AH84" s="640" t="s">
        <v>3706</v>
      </c>
      <c r="AI84" s="641" t="s">
        <v>3606</v>
      </c>
      <c r="AJ84" s="640" t="s">
        <v>3706</v>
      </c>
      <c r="AK84" s="641" t="s">
        <v>3606</v>
      </c>
      <c r="AL84" s="640" t="s">
        <v>3706</v>
      </c>
      <c r="AM84" s="639" t="s">
        <v>3606</v>
      </c>
      <c r="AN84" s="640" t="s">
        <v>3706</v>
      </c>
      <c r="AO84" s="639" t="s">
        <v>3606</v>
      </c>
      <c r="AP84" s="640" t="s">
        <v>3706</v>
      </c>
      <c r="AQ84" s="639" t="s">
        <v>3606</v>
      </c>
      <c r="AR84" s="640" t="s">
        <v>3706</v>
      </c>
      <c r="AS84" s="639" t="s">
        <v>3606</v>
      </c>
      <c r="AT84" s="640" t="s">
        <v>3678</v>
      </c>
      <c r="AU84" s="639" t="s">
        <v>3603</v>
      </c>
      <c r="AV84" s="640" t="s">
        <v>3678</v>
      </c>
      <c r="AW84" s="639" t="s">
        <v>3606</v>
      </c>
      <c r="AX84" s="640" t="s">
        <v>3706</v>
      </c>
      <c r="AY84" s="639" t="s">
        <v>3606</v>
      </c>
      <c r="AZ84" s="640" t="s">
        <v>3706</v>
      </c>
      <c r="BA84" s="639" t="s">
        <v>3606</v>
      </c>
      <c r="BB84" s="640" t="s">
        <v>3706</v>
      </c>
      <c r="BC84" s="639" t="s">
        <v>3606</v>
      </c>
      <c r="BD84" s="640" t="s">
        <v>3706</v>
      </c>
      <c r="BE84" s="640" t="s">
        <v>3606</v>
      </c>
      <c r="BF84" s="640" t="s">
        <v>3706</v>
      </c>
      <c r="BG84" s="640" t="s">
        <v>1266</v>
      </c>
      <c r="BH84" s="640" t="s">
        <v>1266</v>
      </c>
      <c r="BI84" s="640" t="s">
        <v>3606</v>
      </c>
      <c r="BJ84" s="640" t="s">
        <v>3678</v>
      </c>
      <c r="BK84" s="640" t="s">
        <v>3606</v>
      </c>
      <c r="BL84" s="640" t="s">
        <v>3678</v>
      </c>
      <c r="BM84" s="678" t="s">
        <v>3707</v>
      </c>
      <c r="BN84" s="682"/>
      <c r="BO84" s="637"/>
      <c r="BP84" s="637"/>
      <c r="BQ84" s="637"/>
      <c r="BR84" s="637"/>
      <c r="BS84" s="637"/>
      <c r="BT84" s="637"/>
      <c r="BU84" s="679"/>
      <c r="BV84" s="679"/>
      <c r="BW84" s="633" t="s">
        <v>3704</v>
      </c>
      <c r="BX84" s="651" t="str">
        <f t="shared" si="3"/>
        <v>SPAM Karian Serpong Hilir</v>
      </c>
      <c r="BY84" s="651" t="str">
        <f t="shared" si="3"/>
        <v>25ABJ.NINKARSN02.3JE</v>
      </c>
      <c r="BZ84" s="658" t="str" cm="1">
        <f t="array" ref="BZ84">_xlfn.IFNA(_xlfn.IFS(N84="Ada","Selesai",N84="Tidak Perlu","Selesai",N84="","Terlambat"),"")</f>
        <v>Selesai</v>
      </c>
      <c r="CA84" s="658" t="str" cm="1">
        <f t="array" ref="CA84">_xlfn.IFNA(_xlfn.IFS(P84="Ada","Selesai",P84="Tidak Perlu","Selesai",P84="","Terlambat"),"")</f>
        <v>Selesai</v>
      </c>
      <c r="CB84" s="658" t="str" cm="1">
        <f t="array" ref="CB84">_xlfn.IFNA(_xlfn.IFS(R84="Ada","Selesai",R84="Tidak Perlu","Selesai",R84="","Terlambat"),"")</f>
        <v>Selesai</v>
      </c>
      <c r="CC84" s="658" t="str" cm="1">
        <f t="array" ref="CC84">_xlfn.IFNA(_xlfn.IFS(T84="Ada","Selesai",T84="Tidak Perlu","Selesai",T84="","Terlambat"),"")</f>
        <v>Selesai</v>
      </c>
      <c r="CD84" s="658" t="str" cm="1">
        <f t="array" ref="CD84">_xlfn.IFNA(_xlfn.IFS(V84="Ada","Selesai",V84="Tidak Perlu","Selesai",V84="","Terlambat"),"")</f>
        <v>Selesai</v>
      </c>
      <c r="CE84" s="658" t="str" cm="1">
        <f t="array" ref="CE84">_xlfn.IFNA(_xlfn.IFS(X84="Ada","Selesai",X84="Tidak Perlu","Selesai",X84="","Terlambat"),"")</f>
        <v>Selesai</v>
      </c>
      <c r="CF84" s="658" t="str" cm="1">
        <f t="array" ref="CF84">_xlfn.IFNA(_xlfn.IFS(Z84="Ada","Selesai",Z84="Tidak Perlu","Selesai",Z84="","Terlambat"),"")</f>
        <v>Selesai</v>
      </c>
      <c r="CG84" s="658" t="str" cm="1">
        <f t="array" ref="CG84">_xlfn.IFNA(_xlfn.IFS(AB84="Ada","Selesai",AB84="Tidak Perlu","Selesai",AB84="","Terlambat"),"")</f>
        <v>Selesai</v>
      </c>
      <c r="CH84" s="658" t="str" cm="1">
        <f t="array" ref="CH84">_xlfn.IFNA(_xlfn.IFS(AD84="Ada","Selesai",AD84="Tidak Perlu","Selesai",AD84="","Terlambat"),"")</f>
        <v>Selesai</v>
      </c>
      <c r="CI84" s="658" t="str" cm="1">
        <f t="array" ref="CI84">_xlfn.IFNA(_xlfn.IFS(AF84="Ada","Selesai",AF84="Tidak Perlu","Selesai",AF84="","Terlambat"),"")</f>
        <v>Selesai</v>
      </c>
      <c r="CJ84" s="658" t="str" cm="1">
        <f t="array" ref="CJ84">_xlfn.IFNA(_xlfn.IFS(AH84="Ada","Selesai",AH84="Tidak Perlu","Selesai",AH84="","Terlambat"),"")</f>
        <v>Selesai</v>
      </c>
      <c r="CK84" s="658" t="str" cm="1">
        <f t="array" ref="CK84">_xlfn.IFNA(_xlfn.IFS(AJ84="Ada","Selesai",AJ84="Tidak Perlu","Selesai",AJ84="","Terlambat"),"")</f>
        <v>Selesai</v>
      </c>
      <c r="CL84" s="658" t="str" cm="1">
        <f t="array" ref="CL84">_xlfn.IFNA(_xlfn.IFS(AL84="Ada","Selesai",AL84="Tidak Perlu","Selesai",AL84="","Terlambat"),"")</f>
        <v>Selesai</v>
      </c>
      <c r="CM84" s="658" t="str" cm="1">
        <f t="array" ref="CM84">_xlfn.IFNA(_xlfn.IFS(AN84="Ada","Selesai",AN84="Tidak Perlu","Selesai",AN84="","Terlambat"),"")</f>
        <v>Selesai</v>
      </c>
      <c r="CN84" s="658" t="str" cm="1">
        <f t="array" ref="CN84">_xlfn.IFNA(_xlfn.IFS(AP84="Ada","Selesai",AP84="Tidak Perlu","Selesai",AP84="","Terlambat"),"")</f>
        <v>Selesai</v>
      </c>
      <c r="CO84" s="658" t="str" cm="1">
        <f t="array" ref="CO84">_xlfn.IFNA(_xlfn.IFS(AR84="Ada","Selesai",AR84="Tidak Perlu","Selesai",AR84="","Terlambat"),"")</f>
        <v>Selesai</v>
      </c>
      <c r="CP84" s="658" t="str" cm="1">
        <f t="array" ref="CP84">_xlfn.IFNA(_xlfn.IFS(AT84="Ada","Selesai",AT84="Tidak Perlu","Selesai",AT84="","Terlambat"),"")</f>
        <v>Selesai</v>
      </c>
      <c r="CQ84" s="658" t="str" cm="1">
        <f t="array" ref="CQ84">_xlfn.IFNA(_xlfn.IFS(AV84="Ada","Selesai",AV84="Tidak Perlu","Selesai",AV84="","Terlambat"),"")</f>
        <v>Selesai</v>
      </c>
      <c r="CR84" s="658" t="str" cm="1">
        <f t="array" ref="CR84">_xlfn.IFNA(_xlfn.IFS(AX84="Ada","Selesai",AX84="Tidak Perlu","Selesai",AX84="","Terlambat"),"")</f>
        <v>Selesai</v>
      </c>
      <c r="CS84" s="658" t="str" cm="1">
        <f t="array" ref="CS84">_xlfn.IFNA(_xlfn.IFS(AZ84="Ada","Selesai",AZ84="Tidak Perlu","Selesai",AZ84="","Terlambat"),"")</f>
        <v>Selesai</v>
      </c>
      <c r="CT84" s="658" t="str" cm="1">
        <f t="array" ref="CT84">_xlfn.IFNA(_xlfn.IFS(BB84="Ada","Selesai",BB84="Tidak Perlu","Selesai",BB84="","Terlambat"),"")</f>
        <v>Selesai</v>
      </c>
      <c r="CU84" s="658" t="str" cm="1">
        <f t="array" ref="CU84">_xlfn.IFNA(_xlfn.IFS(BD84="Ada","Selesai",BD84="Tidak Perlu","Selesai",BD84="","Terlambat"),"")</f>
        <v>Selesai</v>
      </c>
      <c r="CV84" s="658" t="str" cm="1">
        <f t="array" ref="CV84">_xlfn.IFNA(_xlfn.IFS(BF84="Ada","Selesai",BF84="Tidak Perlu","Selesai",BF84="","Terlambat"),"")</f>
        <v>Selesai</v>
      </c>
      <c r="CW84" s="658" t="str" cm="1">
        <f t="array" ref="CW84">_xlfn.IFNA(_xlfn.IFS(BM84="Ada","Selesai",BM84="Tidak Perlu","Selesai",BM84="","Terlambat"),"")</f>
        <v/>
      </c>
    </row>
    <row r="85" spans="2:101" ht="17.25" hidden="1" customHeight="1" x14ac:dyDescent="0.2">
      <c r="B85" s="633">
        <v>78</v>
      </c>
      <c r="C85" s="633" t="s">
        <v>673</v>
      </c>
      <c r="D85" s="634" t="s">
        <v>2708</v>
      </c>
      <c r="E85" s="633" t="s">
        <v>278</v>
      </c>
      <c r="F85" s="634" t="s">
        <v>2709</v>
      </c>
      <c r="G85" s="633" t="s">
        <v>3560</v>
      </c>
      <c r="H85" s="635" t="s">
        <v>3667</v>
      </c>
      <c r="I85" s="633" t="s">
        <v>3685</v>
      </c>
      <c r="J85" s="636">
        <v>1</v>
      </c>
      <c r="K85" s="637" t="str">
        <f t="shared" si="4"/>
        <v>18/20</v>
      </c>
      <c r="L85" s="638" t="s">
        <v>3686</v>
      </c>
      <c r="M85" s="639" t="s">
        <v>3606</v>
      </c>
      <c r="N85" s="639" t="s">
        <v>1266</v>
      </c>
      <c r="O85" s="639" t="s">
        <v>3606</v>
      </c>
      <c r="P85" s="641" t="s">
        <v>3706</v>
      </c>
      <c r="Q85" s="639" t="s">
        <v>3606</v>
      </c>
      <c r="R85" s="641" t="s">
        <v>3706</v>
      </c>
      <c r="S85" s="639" t="s">
        <v>3606</v>
      </c>
      <c r="T85" s="640" t="s">
        <v>3678</v>
      </c>
      <c r="U85" s="639" t="s">
        <v>3606</v>
      </c>
      <c r="V85" s="640" t="s">
        <v>3706</v>
      </c>
      <c r="W85" s="639" t="s">
        <v>3606</v>
      </c>
      <c r="X85" s="640" t="s">
        <v>3678</v>
      </c>
      <c r="Y85" s="642" t="s">
        <v>3606</v>
      </c>
      <c r="Z85" s="640" t="s">
        <v>1266</v>
      </c>
      <c r="AA85" s="639" t="s">
        <v>3606</v>
      </c>
      <c r="AB85" s="640" t="s">
        <v>3678</v>
      </c>
      <c r="AC85" s="639" t="s">
        <v>3606</v>
      </c>
      <c r="AD85" s="640" t="s">
        <v>3706</v>
      </c>
      <c r="AE85" s="639" t="s">
        <v>3606</v>
      </c>
      <c r="AF85" s="640" t="s">
        <v>3706</v>
      </c>
      <c r="AG85" s="641" t="s">
        <v>3606</v>
      </c>
      <c r="AH85" s="640" t="s">
        <v>3706</v>
      </c>
      <c r="AI85" s="641" t="s">
        <v>3606</v>
      </c>
      <c r="AJ85" s="640" t="s">
        <v>3706</v>
      </c>
      <c r="AK85" s="641" t="s">
        <v>3606</v>
      </c>
      <c r="AL85" s="640" t="s">
        <v>3706</v>
      </c>
      <c r="AM85" s="639" t="s">
        <v>3606</v>
      </c>
      <c r="AN85" s="640" t="s">
        <v>3706</v>
      </c>
      <c r="AO85" s="639" t="s">
        <v>3606</v>
      </c>
      <c r="AP85" s="640" t="s">
        <v>3706</v>
      </c>
      <c r="AQ85" s="639" t="s">
        <v>3606</v>
      </c>
      <c r="AR85" s="640" t="s">
        <v>3706</v>
      </c>
      <c r="AS85" s="639" t="s">
        <v>3606</v>
      </c>
      <c r="AT85" s="640" t="s">
        <v>3678</v>
      </c>
      <c r="AU85" s="639" t="s">
        <v>3603</v>
      </c>
      <c r="AV85" s="640" t="s">
        <v>3678</v>
      </c>
      <c r="AW85" s="639" t="s">
        <v>3606</v>
      </c>
      <c r="AX85" s="640" t="s">
        <v>3706</v>
      </c>
      <c r="AY85" s="639" t="s">
        <v>3606</v>
      </c>
      <c r="AZ85" s="640" t="s">
        <v>3706</v>
      </c>
      <c r="BA85" s="639" t="s">
        <v>3606</v>
      </c>
      <c r="BB85" s="640" t="s">
        <v>3706</v>
      </c>
      <c r="BC85" s="639" t="s">
        <v>3606</v>
      </c>
      <c r="BD85" s="640" t="s">
        <v>3706</v>
      </c>
      <c r="BE85" s="640" t="s">
        <v>3606</v>
      </c>
      <c r="BF85" s="640" t="s">
        <v>3706</v>
      </c>
      <c r="BG85" s="640" t="s">
        <v>3606</v>
      </c>
      <c r="BH85" s="640" t="s">
        <v>3706</v>
      </c>
      <c r="BI85" s="640" t="s">
        <v>3606</v>
      </c>
      <c r="BJ85" s="640" t="s">
        <v>3678</v>
      </c>
      <c r="BK85" s="640" t="s">
        <v>3606</v>
      </c>
      <c r="BL85" s="640" t="s">
        <v>3678</v>
      </c>
      <c r="BM85" s="678" t="s">
        <v>3707</v>
      </c>
      <c r="BN85" s="682"/>
      <c r="BO85" s="637"/>
      <c r="BP85" s="637"/>
      <c r="BQ85" s="637"/>
      <c r="BR85" s="637"/>
      <c r="BS85" s="637"/>
      <c r="BT85" s="637"/>
      <c r="BU85" s="679"/>
      <c r="BV85" s="679"/>
      <c r="BW85" s="633" t="s">
        <v>3704</v>
      </c>
      <c r="BX85" s="651" t="str">
        <f t="shared" si="3"/>
        <v>SPAM Karian Serpong Hilir</v>
      </c>
      <c r="BY85" s="651" t="str">
        <f t="shared" si="3"/>
        <v>24ABJ.NINKARS017.1JE</v>
      </c>
      <c r="BZ85" s="658" t="str" cm="1">
        <f t="array" ref="BZ85">_xlfn.IFNA(_xlfn.IFS(N85="Ada","Selesai",N85="Tidak Perlu","Selesai",N85="","Terlambat"),"")</f>
        <v>Selesai</v>
      </c>
      <c r="CA85" s="658" t="str" cm="1">
        <f t="array" ref="CA85">_xlfn.IFNA(_xlfn.IFS(P85="Ada","Selesai",P85="Tidak Perlu","Selesai",P85="","Terlambat"),"")</f>
        <v>Selesai</v>
      </c>
      <c r="CB85" s="658" t="str" cm="1">
        <f t="array" ref="CB85">_xlfn.IFNA(_xlfn.IFS(R85="Ada","Selesai",R85="Tidak Perlu","Selesai",R85="","Terlambat"),"")</f>
        <v>Selesai</v>
      </c>
      <c r="CC85" s="658" t="str" cm="1">
        <f t="array" ref="CC85">_xlfn.IFNA(_xlfn.IFS(T85="Ada","Selesai",T85="Tidak Perlu","Selesai",T85="","Terlambat"),"")</f>
        <v>Selesai</v>
      </c>
      <c r="CD85" s="658" t="str" cm="1">
        <f t="array" ref="CD85">_xlfn.IFNA(_xlfn.IFS(V85="Ada","Selesai",V85="Tidak Perlu","Selesai",V85="","Terlambat"),"")</f>
        <v>Selesai</v>
      </c>
      <c r="CE85" s="658" t="str" cm="1">
        <f t="array" ref="CE85">_xlfn.IFNA(_xlfn.IFS(X85="Ada","Selesai",X85="Tidak Perlu","Selesai",X85="","Terlambat"),"")</f>
        <v>Selesai</v>
      </c>
      <c r="CF85" s="658" t="str" cm="1">
        <f t="array" ref="CF85">_xlfn.IFNA(_xlfn.IFS(Z85="Ada","Selesai",Z85="Tidak Perlu","Selesai",Z85="","Terlambat"),"")</f>
        <v>Selesai</v>
      </c>
      <c r="CG85" s="658" t="str" cm="1">
        <f t="array" ref="CG85">_xlfn.IFNA(_xlfn.IFS(AB85="Ada","Selesai",AB85="Tidak Perlu","Selesai",AB85="","Terlambat"),"")</f>
        <v>Selesai</v>
      </c>
      <c r="CH85" s="658" t="str" cm="1">
        <f t="array" ref="CH85">_xlfn.IFNA(_xlfn.IFS(AD85="Ada","Selesai",AD85="Tidak Perlu","Selesai",AD85="","Terlambat"),"")</f>
        <v>Selesai</v>
      </c>
      <c r="CI85" s="658" t="str" cm="1">
        <f t="array" ref="CI85">_xlfn.IFNA(_xlfn.IFS(AF85="Ada","Selesai",AF85="Tidak Perlu","Selesai",AF85="","Terlambat"),"")</f>
        <v>Selesai</v>
      </c>
      <c r="CJ85" s="658" t="str" cm="1">
        <f t="array" ref="CJ85">_xlfn.IFNA(_xlfn.IFS(AH85="Ada","Selesai",AH85="Tidak Perlu","Selesai",AH85="","Terlambat"),"")</f>
        <v>Selesai</v>
      </c>
      <c r="CK85" s="658" t="str" cm="1">
        <f t="array" ref="CK85">_xlfn.IFNA(_xlfn.IFS(AJ85="Ada","Selesai",AJ85="Tidak Perlu","Selesai",AJ85="","Terlambat"),"")</f>
        <v>Selesai</v>
      </c>
      <c r="CL85" s="658" t="str" cm="1">
        <f t="array" ref="CL85">_xlfn.IFNA(_xlfn.IFS(AL85="Ada","Selesai",AL85="Tidak Perlu","Selesai",AL85="","Terlambat"),"")</f>
        <v>Selesai</v>
      </c>
      <c r="CM85" s="658" t="str" cm="1">
        <f t="array" ref="CM85">_xlfn.IFNA(_xlfn.IFS(AN85="Ada","Selesai",AN85="Tidak Perlu","Selesai",AN85="","Terlambat"),"")</f>
        <v>Selesai</v>
      </c>
      <c r="CN85" s="658" t="str" cm="1">
        <f t="array" ref="CN85">_xlfn.IFNA(_xlfn.IFS(AP85="Ada","Selesai",AP85="Tidak Perlu","Selesai",AP85="","Terlambat"),"")</f>
        <v>Selesai</v>
      </c>
      <c r="CO85" s="658" t="str" cm="1">
        <f t="array" ref="CO85">_xlfn.IFNA(_xlfn.IFS(AR85="Ada","Selesai",AR85="Tidak Perlu","Selesai",AR85="","Terlambat"),"")</f>
        <v>Selesai</v>
      </c>
      <c r="CP85" s="658" t="str" cm="1">
        <f t="array" ref="CP85">_xlfn.IFNA(_xlfn.IFS(AT85="Ada","Selesai",AT85="Tidak Perlu","Selesai",AT85="","Terlambat"),"")</f>
        <v>Selesai</v>
      </c>
      <c r="CQ85" s="658" t="str" cm="1">
        <f t="array" ref="CQ85">_xlfn.IFNA(_xlfn.IFS(AV85="Ada","Selesai",AV85="Tidak Perlu","Selesai",AV85="","Terlambat"),"")</f>
        <v>Selesai</v>
      </c>
      <c r="CR85" s="658" t="str" cm="1">
        <f t="array" ref="CR85">_xlfn.IFNA(_xlfn.IFS(AX85="Ada","Selesai",AX85="Tidak Perlu","Selesai",AX85="","Terlambat"),"")</f>
        <v>Selesai</v>
      </c>
      <c r="CS85" s="658" t="str" cm="1">
        <f t="array" ref="CS85">_xlfn.IFNA(_xlfn.IFS(AZ85="Ada","Selesai",AZ85="Tidak Perlu","Selesai",AZ85="","Terlambat"),"")</f>
        <v>Selesai</v>
      </c>
      <c r="CT85" s="658" t="str" cm="1">
        <f t="array" ref="CT85">_xlfn.IFNA(_xlfn.IFS(BB85="Ada","Selesai",BB85="Tidak Perlu","Selesai",BB85="","Terlambat"),"")</f>
        <v>Selesai</v>
      </c>
      <c r="CU85" s="658" t="str" cm="1">
        <f t="array" ref="CU85">_xlfn.IFNA(_xlfn.IFS(BD85="Ada","Selesai",BD85="Tidak Perlu","Selesai",BD85="","Terlambat"),"")</f>
        <v>Selesai</v>
      </c>
      <c r="CV85" s="658" t="str" cm="1">
        <f t="array" ref="CV85">_xlfn.IFNA(_xlfn.IFS(BF85="Ada","Selesai",BF85="Tidak Perlu","Selesai",BF85="","Terlambat"),"")</f>
        <v>Selesai</v>
      </c>
      <c r="CW85" s="658" t="str" cm="1">
        <f t="array" ref="CW85">_xlfn.IFNA(_xlfn.IFS(BM85="Ada","Selesai",BM85="Tidak Perlu","Selesai",BM85="","Terlambat"),"")</f>
        <v/>
      </c>
    </row>
    <row r="86" spans="2:101" ht="17.25" hidden="1" customHeight="1" x14ac:dyDescent="0.2">
      <c r="B86" s="633">
        <v>79</v>
      </c>
      <c r="C86" s="633" t="s">
        <v>673</v>
      </c>
      <c r="D86" s="634" t="s">
        <v>2717</v>
      </c>
      <c r="E86" s="633" t="s">
        <v>278</v>
      </c>
      <c r="F86" s="634" t="s">
        <v>2718</v>
      </c>
      <c r="G86" s="633" t="s">
        <v>3608</v>
      </c>
      <c r="H86" s="635" t="s">
        <v>3667</v>
      </c>
      <c r="I86" s="633" t="s">
        <v>3668</v>
      </c>
      <c r="J86" s="636">
        <v>0.27</v>
      </c>
      <c r="K86" s="637" t="str">
        <f t="shared" si="4"/>
        <v>3/20</v>
      </c>
      <c r="L86" s="638" t="s">
        <v>3674</v>
      </c>
      <c r="M86" s="639" t="s">
        <v>3606</v>
      </c>
      <c r="N86" s="639"/>
      <c r="O86" s="639" t="s">
        <v>3603</v>
      </c>
      <c r="P86" s="641"/>
      <c r="Q86" s="639" t="s">
        <v>3603</v>
      </c>
      <c r="R86" s="641"/>
      <c r="S86" s="639" t="s">
        <v>3606</v>
      </c>
      <c r="T86" s="639"/>
      <c r="U86" s="639" t="s">
        <v>3606</v>
      </c>
      <c r="V86" s="640"/>
      <c r="W86" s="639" t="s">
        <v>3603</v>
      </c>
      <c r="X86" s="640"/>
      <c r="Y86" s="642" t="s">
        <v>3603</v>
      </c>
      <c r="Z86" s="640" t="s">
        <v>1266</v>
      </c>
      <c r="AA86" s="639" t="s">
        <v>3603</v>
      </c>
      <c r="AB86" s="640"/>
      <c r="AC86" s="639" t="s">
        <v>3603</v>
      </c>
      <c r="AD86" s="640"/>
      <c r="AE86" s="639" t="s">
        <v>3606</v>
      </c>
      <c r="AF86" s="640"/>
      <c r="AG86" s="641" t="s">
        <v>3603</v>
      </c>
      <c r="AH86" s="640"/>
      <c r="AI86" s="641" t="s">
        <v>3603</v>
      </c>
      <c r="AJ86" s="640"/>
      <c r="AK86" s="641" t="s">
        <v>3603</v>
      </c>
      <c r="AL86" s="640"/>
      <c r="AM86" s="639" t="s">
        <v>3603</v>
      </c>
      <c r="AN86" s="640"/>
      <c r="AO86" s="639" t="s">
        <v>3603</v>
      </c>
      <c r="AP86" s="640"/>
      <c r="AQ86" s="639" t="s">
        <v>3603</v>
      </c>
      <c r="AR86" s="640"/>
      <c r="AS86" s="639" t="s">
        <v>3603</v>
      </c>
      <c r="AT86" s="640"/>
      <c r="AU86" s="639" t="s">
        <v>3603</v>
      </c>
      <c r="AV86" s="640"/>
      <c r="AW86" s="639" t="s">
        <v>3603</v>
      </c>
      <c r="AX86" s="640"/>
      <c r="AY86" s="639" t="s">
        <v>3603</v>
      </c>
      <c r="AZ86" s="640"/>
      <c r="BA86" s="639" t="s">
        <v>3603</v>
      </c>
      <c r="BB86" s="640"/>
      <c r="BC86" s="639" t="s">
        <v>3603</v>
      </c>
      <c r="BD86" s="640"/>
      <c r="BE86" s="640" t="s">
        <v>3606</v>
      </c>
      <c r="BF86" s="640"/>
      <c r="BG86" s="640" t="s">
        <v>1266</v>
      </c>
      <c r="BH86" s="640"/>
      <c r="BI86" s="640" t="s">
        <v>3603</v>
      </c>
      <c r="BJ86" s="640"/>
      <c r="BK86" s="640" t="s">
        <v>3603</v>
      </c>
      <c r="BL86" s="640"/>
      <c r="BM86" s="678"/>
      <c r="BN86" s="637"/>
      <c r="BO86" s="637"/>
      <c r="BP86" s="637"/>
      <c r="BQ86" s="637"/>
      <c r="BR86" s="637"/>
      <c r="BS86" s="637"/>
      <c r="BT86" s="637"/>
      <c r="BU86" s="679"/>
      <c r="BV86" s="679"/>
      <c r="BW86" s="633" t="s">
        <v>3671</v>
      </c>
      <c r="BX86" s="651" t="str">
        <f t="shared" si="3"/>
        <v>SPAM Karian Serpong Hilir</v>
      </c>
      <c r="BY86" s="651" t="str">
        <f t="shared" si="3"/>
        <v>25ABJ.NINKARS002.1JE</v>
      </c>
      <c r="BZ86" s="658" t="str" cm="1">
        <f t="array" ref="BZ86">_xlfn.IFNA(_xlfn.IFS(N86="Ada","Selesai",N86="Tidak Perlu","Selesai",N86="","Terlambat"),"")</f>
        <v>Terlambat</v>
      </c>
      <c r="CA86" s="658" t="str" cm="1">
        <f t="array" ref="CA86">_xlfn.IFNA(_xlfn.IFS(P86="Ada","Selesai",P86="Tidak Perlu","Selesai",P86="","Terlambat"),"")</f>
        <v>Terlambat</v>
      </c>
      <c r="CB86" s="658" t="str" cm="1">
        <f t="array" ref="CB86">_xlfn.IFNA(_xlfn.IFS(R86="Ada","Selesai",R86="Tidak Perlu","Selesai",R86="","Terlambat"),"")</f>
        <v>Terlambat</v>
      </c>
      <c r="CC86" s="658" t="str" cm="1">
        <f t="array" ref="CC86">_xlfn.IFNA(_xlfn.IFS(T86="Ada","Selesai",T86="Tidak Perlu","Selesai",T86="","Terlambat"),"")</f>
        <v>Terlambat</v>
      </c>
      <c r="CD86" s="658" t="str" cm="1">
        <f t="array" ref="CD86">_xlfn.IFNA(_xlfn.IFS(V86="Ada","Selesai",V86="Tidak Perlu","Selesai",V86="","Terlambat"),"")</f>
        <v>Terlambat</v>
      </c>
      <c r="CE86" s="658" t="str" cm="1">
        <f t="array" ref="CE86">_xlfn.IFNA(_xlfn.IFS(X86="Ada","Selesai",X86="Tidak Perlu","Selesai",X86="","Terlambat"),"")</f>
        <v>Terlambat</v>
      </c>
      <c r="CF86" s="658" t="str" cm="1">
        <f t="array" ref="CF86">_xlfn.IFNA(_xlfn.IFS(Z86="Ada","Selesai",Z86="Tidak Perlu","Selesai",Z86="","Terlambat"),"")</f>
        <v>Selesai</v>
      </c>
      <c r="CG86" s="658" t="str" cm="1">
        <f t="array" ref="CG86">_xlfn.IFNA(_xlfn.IFS(AB86="Ada","Selesai",AB86="Tidak Perlu","Selesai",AB86="","Terlambat"),"")</f>
        <v>Terlambat</v>
      </c>
      <c r="CH86" s="658" t="str" cm="1">
        <f t="array" ref="CH86">_xlfn.IFNA(_xlfn.IFS(AD86="Ada","Selesai",AD86="Tidak Perlu","Selesai",AD86="","Terlambat"),"")</f>
        <v>Terlambat</v>
      </c>
      <c r="CI86" s="658" t="str" cm="1">
        <f t="array" ref="CI86">_xlfn.IFNA(_xlfn.IFS(AF86="Ada","Selesai",AF86="Tidak Perlu","Selesai",AF86="","Terlambat"),"")</f>
        <v>Terlambat</v>
      </c>
      <c r="CJ86" s="658" t="str" cm="1">
        <f t="array" ref="CJ86">_xlfn.IFNA(_xlfn.IFS(AH86="Ada","Selesai",AH86="Tidak Perlu","Selesai",AH86="","Terlambat"),"")</f>
        <v>Terlambat</v>
      </c>
      <c r="CK86" s="658" t="str" cm="1">
        <f t="array" ref="CK86">_xlfn.IFNA(_xlfn.IFS(AJ86="Ada","Selesai",AJ86="Tidak Perlu","Selesai",AJ86="","Terlambat"),"")</f>
        <v>Terlambat</v>
      </c>
      <c r="CL86" s="658" t="str" cm="1">
        <f t="array" ref="CL86">_xlfn.IFNA(_xlfn.IFS(AL86="Ada","Selesai",AL86="Tidak Perlu","Selesai",AL86="","Terlambat"),"")</f>
        <v>Terlambat</v>
      </c>
      <c r="CM86" s="658" t="str" cm="1">
        <f t="array" ref="CM86">_xlfn.IFNA(_xlfn.IFS(AN86="Ada","Selesai",AN86="Tidak Perlu","Selesai",AN86="","Terlambat"),"")</f>
        <v>Terlambat</v>
      </c>
      <c r="CN86" s="658" t="str" cm="1">
        <f t="array" ref="CN86">_xlfn.IFNA(_xlfn.IFS(AP86="Ada","Selesai",AP86="Tidak Perlu","Selesai",AP86="","Terlambat"),"")</f>
        <v>Terlambat</v>
      </c>
      <c r="CO86" s="658" t="str" cm="1">
        <f t="array" ref="CO86">_xlfn.IFNA(_xlfn.IFS(AR86="Ada","Selesai",AR86="Tidak Perlu","Selesai",AR86="","Terlambat"),"")</f>
        <v>Terlambat</v>
      </c>
      <c r="CP86" s="658" t="str" cm="1">
        <f t="array" ref="CP86">_xlfn.IFNA(_xlfn.IFS(AT86="Ada","Selesai",AT86="Tidak Perlu","Selesai",AT86="","Terlambat"),"")</f>
        <v>Terlambat</v>
      </c>
      <c r="CQ86" s="658" t="str" cm="1">
        <f t="array" ref="CQ86">_xlfn.IFNA(_xlfn.IFS(AV86="Ada","Selesai",AV86="Tidak Perlu","Selesai",AV86="","Terlambat"),"")</f>
        <v>Terlambat</v>
      </c>
      <c r="CR86" s="658" t="str" cm="1">
        <f t="array" ref="CR86">_xlfn.IFNA(_xlfn.IFS(AX86="Ada","Selesai",AX86="Tidak Perlu","Selesai",AX86="","Terlambat"),"")</f>
        <v>Terlambat</v>
      </c>
      <c r="CS86" s="658" t="str" cm="1">
        <f t="array" ref="CS86">_xlfn.IFNA(_xlfn.IFS(AZ86="Ada","Selesai",AZ86="Tidak Perlu","Selesai",AZ86="","Terlambat"),"")</f>
        <v>Terlambat</v>
      </c>
      <c r="CT86" s="658" t="str" cm="1">
        <f t="array" ref="CT86">_xlfn.IFNA(_xlfn.IFS(BB86="Ada","Selesai",BB86="Tidak Perlu","Selesai",BB86="","Terlambat"),"")</f>
        <v>Terlambat</v>
      </c>
      <c r="CU86" s="658" t="str" cm="1">
        <f t="array" ref="CU86">_xlfn.IFNA(_xlfn.IFS(BD86="Ada","Selesai",BD86="Tidak Perlu","Selesai",BD86="","Terlambat"),"")</f>
        <v>Terlambat</v>
      </c>
      <c r="CV86" s="658" t="str" cm="1">
        <f t="array" ref="CV86">_xlfn.IFNA(_xlfn.IFS(BF86="Ada","Selesai",BF86="Tidak Perlu","Selesai",BF86="","Terlambat"),"")</f>
        <v>Terlambat</v>
      </c>
      <c r="CW86" s="658" t="str" cm="1">
        <f t="array" ref="CW86">_xlfn.IFNA(_xlfn.IFS(BM86="Ada","Selesai",BM86="Tidak Perlu","Selesai",BM86="","Terlambat"),"")</f>
        <v>Terlambat</v>
      </c>
    </row>
    <row r="87" spans="2:101" ht="17.25" hidden="1" customHeight="1" x14ac:dyDescent="0.2">
      <c r="B87" s="633">
        <v>80</v>
      </c>
      <c r="C87" s="633" t="s">
        <v>673</v>
      </c>
      <c r="D87" s="634" t="s">
        <v>2726</v>
      </c>
      <c r="E87" s="633" t="s">
        <v>278</v>
      </c>
      <c r="F87" s="634" t="s">
        <v>2727</v>
      </c>
      <c r="G87" s="633" t="s">
        <v>3560</v>
      </c>
      <c r="H87" s="635" t="s">
        <v>3667</v>
      </c>
      <c r="I87" s="633" t="s">
        <v>3685</v>
      </c>
      <c r="J87" s="636">
        <v>1</v>
      </c>
      <c r="K87" s="637" t="str">
        <f t="shared" si="4"/>
        <v>19/20</v>
      </c>
      <c r="L87" s="638" t="s">
        <v>3686</v>
      </c>
      <c r="M87" s="639" t="s">
        <v>3606</v>
      </c>
      <c r="N87" s="639" t="s">
        <v>1266</v>
      </c>
      <c r="O87" s="639" t="s">
        <v>3606</v>
      </c>
      <c r="P87" s="641" t="s">
        <v>3706</v>
      </c>
      <c r="Q87" s="639" t="s">
        <v>3606</v>
      </c>
      <c r="R87" s="641" t="s">
        <v>3706</v>
      </c>
      <c r="S87" s="639" t="s">
        <v>3606</v>
      </c>
      <c r="T87" s="640" t="s">
        <v>3678</v>
      </c>
      <c r="U87" s="639" t="s">
        <v>3606</v>
      </c>
      <c r="V87" s="640" t="s">
        <v>3706</v>
      </c>
      <c r="W87" s="639" t="s">
        <v>3606</v>
      </c>
      <c r="X87" s="640" t="s">
        <v>3678</v>
      </c>
      <c r="Y87" s="642" t="s">
        <v>3606</v>
      </c>
      <c r="Z87" s="640" t="s">
        <v>1266</v>
      </c>
      <c r="AA87" s="639" t="s">
        <v>3606</v>
      </c>
      <c r="AB87" s="640" t="s">
        <v>3678</v>
      </c>
      <c r="AC87" s="639" t="s">
        <v>3606</v>
      </c>
      <c r="AD87" s="640" t="s">
        <v>3706</v>
      </c>
      <c r="AE87" s="639" t="s">
        <v>3606</v>
      </c>
      <c r="AF87" s="640" t="s">
        <v>3706</v>
      </c>
      <c r="AG87" s="641" t="s">
        <v>3606</v>
      </c>
      <c r="AH87" s="640" t="s">
        <v>3706</v>
      </c>
      <c r="AI87" s="641" t="s">
        <v>3606</v>
      </c>
      <c r="AJ87" s="640" t="s">
        <v>3706</v>
      </c>
      <c r="AK87" s="641" t="s">
        <v>3606</v>
      </c>
      <c r="AL87" s="640" t="s">
        <v>3678</v>
      </c>
      <c r="AM87" s="639" t="s">
        <v>3606</v>
      </c>
      <c r="AN87" s="640" t="s">
        <v>3706</v>
      </c>
      <c r="AO87" s="639" t="s">
        <v>3606</v>
      </c>
      <c r="AP87" s="640" t="s">
        <v>3706</v>
      </c>
      <c r="AQ87" s="639" t="s">
        <v>3606</v>
      </c>
      <c r="AR87" s="640" t="s">
        <v>3706</v>
      </c>
      <c r="AS87" s="639" t="s">
        <v>3605</v>
      </c>
      <c r="AT87" s="640" t="s">
        <v>3678</v>
      </c>
      <c r="AU87" s="639" t="s">
        <v>3605</v>
      </c>
      <c r="AV87" s="640" t="s">
        <v>3678</v>
      </c>
      <c r="AW87" s="639" t="s">
        <v>3606</v>
      </c>
      <c r="AX87" s="640" t="s">
        <v>3706</v>
      </c>
      <c r="AY87" s="639" t="s">
        <v>3606</v>
      </c>
      <c r="AZ87" s="640" t="s">
        <v>3706</v>
      </c>
      <c r="BA87" s="639" t="s">
        <v>3606</v>
      </c>
      <c r="BB87" s="640" t="s">
        <v>3706</v>
      </c>
      <c r="BC87" s="639" t="s">
        <v>3606</v>
      </c>
      <c r="BD87" s="640" t="s">
        <v>3706</v>
      </c>
      <c r="BE87" s="640" t="s">
        <v>3606</v>
      </c>
      <c r="BF87" s="640" t="s">
        <v>3706</v>
      </c>
      <c r="BG87" s="640" t="s">
        <v>1266</v>
      </c>
      <c r="BH87" s="640" t="s">
        <v>1266</v>
      </c>
      <c r="BI87" s="640" t="s">
        <v>3606</v>
      </c>
      <c r="BJ87" s="640" t="s">
        <v>3678</v>
      </c>
      <c r="BK87" s="640" t="s">
        <v>3606</v>
      </c>
      <c r="BL87" s="640" t="s">
        <v>3678</v>
      </c>
      <c r="BM87" s="678" t="s">
        <v>3707</v>
      </c>
      <c r="BN87" s="682"/>
      <c r="BO87" s="637"/>
      <c r="BP87" s="637"/>
      <c r="BQ87" s="637"/>
      <c r="BR87" s="637"/>
      <c r="BS87" s="637"/>
      <c r="BT87" s="637"/>
      <c r="BU87" s="679"/>
      <c r="BV87" s="679"/>
      <c r="BW87" s="633" t="s">
        <v>3704</v>
      </c>
      <c r="BX87" s="651" t="str">
        <f t="shared" si="3"/>
        <v>SPAM Karian Serpong Hilir</v>
      </c>
      <c r="BY87" s="651" t="str">
        <f t="shared" si="3"/>
        <v>25ABJ.NINKARB020.18JE</v>
      </c>
      <c r="BZ87" s="658" t="str" cm="1">
        <f t="array" ref="BZ87">_xlfn.IFNA(_xlfn.IFS(N87="Ada","Selesai",N87="Tidak Perlu","Selesai",N87="","Terlambat"),"")</f>
        <v>Selesai</v>
      </c>
      <c r="CA87" s="658" t="str" cm="1">
        <f t="array" ref="CA87">_xlfn.IFNA(_xlfn.IFS(P87="Ada","Selesai",P87="Tidak Perlu","Selesai",P87="","Terlambat"),"")</f>
        <v>Selesai</v>
      </c>
      <c r="CB87" s="658" t="str" cm="1">
        <f t="array" ref="CB87">_xlfn.IFNA(_xlfn.IFS(R87="Ada","Selesai",R87="Tidak Perlu","Selesai",R87="","Terlambat"),"")</f>
        <v>Selesai</v>
      </c>
      <c r="CC87" s="658" t="str" cm="1">
        <f t="array" ref="CC87">_xlfn.IFNA(_xlfn.IFS(T87="Ada","Selesai",T87="Tidak Perlu","Selesai",T87="","Terlambat"),"")</f>
        <v>Selesai</v>
      </c>
      <c r="CD87" s="658" t="str" cm="1">
        <f t="array" ref="CD87">_xlfn.IFNA(_xlfn.IFS(V87="Ada","Selesai",V87="Tidak Perlu","Selesai",V87="","Terlambat"),"")</f>
        <v>Selesai</v>
      </c>
      <c r="CE87" s="658" t="str" cm="1">
        <f t="array" ref="CE87">_xlfn.IFNA(_xlfn.IFS(X87="Ada","Selesai",X87="Tidak Perlu","Selesai",X87="","Terlambat"),"")</f>
        <v>Selesai</v>
      </c>
      <c r="CF87" s="658" t="str" cm="1">
        <f t="array" ref="CF87">_xlfn.IFNA(_xlfn.IFS(Z87="Ada","Selesai",Z87="Tidak Perlu","Selesai",Z87="","Terlambat"),"")</f>
        <v>Selesai</v>
      </c>
      <c r="CG87" s="658" t="str" cm="1">
        <f t="array" ref="CG87">_xlfn.IFNA(_xlfn.IFS(AB87="Ada","Selesai",AB87="Tidak Perlu","Selesai",AB87="","Terlambat"),"")</f>
        <v>Selesai</v>
      </c>
      <c r="CH87" s="658" t="str" cm="1">
        <f t="array" ref="CH87">_xlfn.IFNA(_xlfn.IFS(AD87="Ada","Selesai",AD87="Tidak Perlu","Selesai",AD87="","Terlambat"),"")</f>
        <v>Selesai</v>
      </c>
      <c r="CI87" s="658" t="str" cm="1">
        <f t="array" ref="CI87">_xlfn.IFNA(_xlfn.IFS(AF87="Ada","Selesai",AF87="Tidak Perlu","Selesai",AF87="","Terlambat"),"")</f>
        <v>Selesai</v>
      </c>
      <c r="CJ87" s="658" t="str" cm="1">
        <f t="array" ref="CJ87">_xlfn.IFNA(_xlfn.IFS(AH87="Ada","Selesai",AH87="Tidak Perlu","Selesai",AH87="","Terlambat"),"")</f>
        <v>Selesai</v>
      </c>
      <c r="CK87" s="658" t="str" cm="1">
        <f t="array" ref="CK87">_xlfn.IFNA(_xlfn.IFS(AJ87="Ada","Selesai",AJ87="Tidak Perlu","Selesai",AJ87="","Terlambat"),"")</f>
        <v>Selesai</v>
      </c>
      <c r="CL87" s="658" t="str" cm="1">
        <f t="array" ref="CL87">_xlfn.IFNA(_xlfn.IFS(AL87="Ada","Selesai",AL87="Tidak Perlu","Selesai",AL87="","Terlambat"),"")</f>
        <v>Selesai</v>
      </c>
      <c r="CM87" s="658" t="str" cm="1">
        <f t="array" ref="CM87">_xlfn.IFNA(_xlfn.IFS(AN87="Ada","Selesai",AN87="Tidak Perlu","Selesai",AN87="","Terlambat"),"")</f>
        <v>Selesai</v>
      </c>
      <c r="CN87" s="658" t="str" cm="1">
        <f t="array" ref="CN87">_xlfn.IFNA(_xlfn.IFS(AP87="Ada","Selesai",AP87="Tidak Perlu","Selesai",AP87="","Terlambat"),"")</f>
        <v>Selesai</v>
      </c>
      <c r="CO87" s="658" t="str" cm="1">
        <f t="array" ref="CO87">_xlfn.IFNA(_xlfn.IFS(AR87="Ada","Selesai",AR87="Tidak Perlu","Selesai",AR87="","Terlambat"),"")</f>
        <v>Selesai</v>
      </c>
      <c r="CP87" s="658" t="str" cm="1">
        <f t="array" ref="CP87">_xlfn.IFNA(_xlfn.IFS(AT87="Ada","Selesai",AT87="Tidak Perlu","Selesai",AT87="","Terlambat"),"")</f>
        <v>Selesai</v>
      </c>
      <c r="CQ87" s="658" t="str" cm="1">
        <f t="array" ref="CQ87">_xlfn.IFNA(_xlfn.IFS(AV87="Ada","Selesai",AV87="Tidak Perlu","Selesai",AV87="","Terlambat"),"")</f>
        <v>Selesai</v>
      </c>
      <c r="CR87" s="658" t="str" cm="1">
        <f t="array" ref="CR87">_xlfn.IFNA(_xlfn.IFS(AX87="Ada","Selesai",AX87="Tidak Perlu","Selesai",AX87="","Terlambat"),"")</f>
        <v>Selesai</v>
      </c>
      <c r="CS87" s="658" t="str" cm="1">
        <f t="array" ref="CS87">_xlfn.IFNA(_xlfn.IFS(AZ87="Ada","Selesai",AZ87="Tidak Perlu","Selesai",AZ87="","Terlambat"),"")</f>
        <v>Selesai</v>
      </c>
      <c r="CT87" s="658" t="str" cm="1">
        <f t="array" ref="CT87">_xlfn.IFNA(_xlfn.IFS(BB87="Ada","Selesai",BB87="Tidak Perlu","Selesai",BB87="","Terlambat"),"")</f>
        <v>Selesai</v>
      </c>
      <c r="CU87" s="658" t="str" cm="1">
        <f t="array" ref="CU87">_xlfn.IFNA(_xlfn.IFS(BD87="Ada","Selesai",BD87="Tidak Perlu","Selesai",BD87="","Terlambat"),"")</f>
        <v>Selesai</v>
      </c>
      <c r="CV87" s="658" t="str" cm="1">
        <f t="array" ref="CV87">_xlfn.IFNA(_xlfn.IFS(BF87="Ada","Selesai",BF87="Tidak Perlu","Selesai",BF87="","Terlambat"),"")</f>
        <v>Selesai</v>
      </c>
      <c r="CW87" s="658" t="str" cm="1">
        <f t="array" ref="CW87">_xlfn.IFNA(_xlfn.IFS(BM87="Ada","Selesai",BM87="Tidak Perlu","Selesai",BM87="","Terlambat"),"")</f>
        <v/>
      </c>
    </row>
    <row r="88" spans="2:101" ht="17.25" hidden="1" customHeight="1" x14ac:dyDescent="0.2">
      <c r="B88" s="633">
        <v>81</v>
      </c>
      <c r="C88" s="633" t="s">
        <v>673</v>
      </c>
      <c r="D88" s="634" t="s">
        <v>2735</v>
      </c>
      <c r="E88" s="633" t="s">
        <v>278</v>
      </c>
      <c r="F88" s="634" t="s">
        <v>2736</v>
      </c>
      <c r="G88" s="633" t="s">
        <v>3560</v>
      </c>
      <c r="H88" s="635" t="s">
        <v>3667</v>
      </c>
      <c r="I88" s="633" t="s">
        <v>3685</v>
      </c>
      <c r="J88" s="636">
        <v>1</v>
      </c>
      <c r="K88" s="637" t="str">
        <f t="shared" si="4"/>
        <v>17/20</v>
      </c>
      <c r="L88" s="638" t="s">
        <v>3686</v>
      </c>
      <c r="M88" s="639" t="s">
        <v>3606</v>
      </c>
      <c r="N88" s="639" t="s">
        <v>1266</v>
      </c>
      <c r="O88" s="639" t="s">
        <v>3606</v>
      </c>
      <c r="P88" s="647" t="s">
        <v>3678</v>
      </c>
      <c r="Q88" s="639" t="s">
        <v>3606</v>
      </c>
      <c r="R88" s="641" t="s">
        <v>3678</v>
      </c>
      <c r="S88" s="639" t="s">
        <v>3606</v>
      </c>
      <c r="T88" s="640" t="s">
        <v>3678</v>
      </c>
      <c r="U88" s="639" t="s">
        <v>3606</v>
      </c>
      <c r="V88" s="640" t="s">
        <v>3678</v>
      </c>
      <c r="W88" s="639" t="s">
        <v>3606</v>
      </c>
      <c r="X88" s="641" t="s">
        <v>3678</v>
      </c>
      <c r="Y88" s="642" t="s">
        <v>3606</v>
      </c>
      <c r="Z88" s="640" t="s">
        <v>1266</v>
      </c>
      <c r="AA88" s="639" t="s">
        <v>3606</v>
      </c>
      <c r="AB88" s="640" t="s">
        <v>3678</v>
      </c>
      <c r="AC88" s="639" t="s">
        <v>3606</v>
      </c>
      <c r="AD88" s="640" t="s">
        <v>3678</v>
      </c>
      <c r="AE88" s="639" t="s">
        <v>3606</v>
      </c>
      <c r="AF88" s="640" t="s">
        <v>3678</v>
      </c>
      <c r="AG88" s="641" t="s">
        <v>3606</v>
      </c>
      <c r="AH88" s="640" t="s">
        <v>3678</v>
      </c>
      <c r="AI88" s="641" t="s">
        <v>3606</v>
      </c>
      <c r="AJ88" s="640" t="s">
        <v>3678</v>
      </c>
      <c r="AK88" s="641" t="s">
        <v>3606</v>
      </c>
      <c r="AL88" s="640" t="s">
        <v>3678</v>
      </c>
      <c r="AM88" s="639" t="s">
        <v>3606</v>
      </c>
      <c r="AN88" s="640" t="s">
        <v>3678</v>
      </c>
      <c r="AO88" s="639" t="s">
        <v>3606</v>
      </c>
      <c r="AP88" s="640" t="s">
        <v>3678</v>
      </c>
      <c r="AQ88" s="639" t="s">
        <v>3606</v>
      </c>
      <c r="AR88" s="640" t="s">
        <v>3678</v>
      </c>
      <c r="AS88" s="639" t="s">
        <v>3603</v>
      </c>
      <c r="AT88" s="641" t="s">
        <v>3678</v>
      </c>
      <c r="AU88" s="639" t="s">
        <v>3603</v>
      </c>
      <c r="AV88" s="640" t="s">
        <v>3678</v>
      </c>
      <c r="AW88" s="639" t="s">
        <v>3606</v>
      </c>
      <c r="AX88" s="640" t="s">
        <v>3678</v>
      </c>
      <c r="AY88" s="639" t="s">
        <v>3606</v>
      </c>
      <c r="AZ88" s="640" t="s">
        <v>3678</v>
      </c>
      <c r="BA88" s="639" t="s">
        <v>3606</v>
      </c>
      <c r="BB88" s="640" t="s">
        <v>3678</v>
      </c>
      <c r="BC88" s="639" t="s">
        <v>3603</v>
      </c>
      <c r="BD88" s="640" t="s">
        <v>3678</v>
      </c>
      <c r="BE88" s="640" t="s">
        <v>3606</v>
      </c>
      <c r="BF88" s="640" t="s">
        <v>3678</v>
      </c>
      <c r="BG88" s="640" t="s">
        <v>1266</v>
      </c>
      <c r="BH88" s="640" t="s">
        <v>1266</v>
      </c>
      <c r="BI88" s="640" t="s">
        <v>3606</v>
      </c>
      <c r="BJ88" s="640" t="s">
        <v>3678</v>
      </c>
      <c r="BK88" s="640" t="s">
        <v>3606</v>
      </c>
      <c r="BL88" s="640" t="s">
        <v>3678</v>
      </c>
      <c r="BM88" s="678" t="str">
        <f>IF(
  (
   (P88="Ada")+(P88="tidak perlu")+(P88="draft") +
   (R88="Ada")+(R88="tidak perlu")+(R88="draft") +
   (V88="Ada")+(V88="tidak perlu")+(V88="draft") +
   (X88="Ada")+(X88="tidak perlu")+(X88="draft") +
   (AB88="Ada")+(AB88="tidak perlu")+(AB88="draft") +
   (AD88="Ada")+(AD88="tidak perlu")+(AD88="draft") +
   (AF88="Ada")+(AF88="tidak perlu")+(AF88="draft") +
   (AH88="Ada")+(AH88="tidak perlu")+(AH88="draft") +
   (AJ88="Ada")+(AJ88="tidak perlu")+(AJ88="draft") +
   (AL88="Ada")+(AL88="tidak perlu")+(AL88="draft") +
   (AN88="Ada")+(AN88="tidak perlu")+(AN88="draft") +
   (AP88="Ada")+(AP88="tidak perlu")+(AP88="draft") +
   (AR88="Ada")+(AR88="tidak perlu")+(AR88="draft") +
   (AT88="Ada")+(AT88="tidak perlu")+(AT88="draft") +
   (AV88="Ada")+(AV88="tidak perlu")+(AV88="draft") +
   (AX88="Ada")+(AX88="tidak perlu")+(AX88="draft") +
   (AZ88="Ada")+(AZ88="tidak perlu")+(AZ88="draft") +
   (BB88="Ada")+(BB88="tidak perlu")+(BB88="draft") +
   (BD88="Ada")+(BD88="tidak perlu")+(BD88="draft") +
   (BF88="Ada")+(BF88="tidak perlu")+(BF88="draft")
  ) = 20,
 "Lengkap","Belum Lengkap")</f>
        <v>Lengkap</v>
      </c>
      <c r="BN88" s="637"/>
      <c r="BO88" s="637"/>
      <c r="BP88" s="637"/>
      <c r="BQ88" s="637"/>
      <c r="BR88" s="637"/>
      <c r="BS88" s="637"/>
      <c r="BT88" s="637"/>
      <c r="BU88" s="679"/>
      <c r="BV88" s="679"/>
      <c r="BW88" s="633" t="s">
        <v>3685</v>
      </c>
      <c r="BX88" s="651" t="str">
        <f t="shared" si="3"/>
        <v>SPAM Karian Serpong Hilir</v>
      </c>
      <c r="BY88" s="651" t="str">
        <f t="shared" si="3"/>
        <v>25ABJ.NINKARB018.1JE</v>
      </c>
      <c r="BZ88" s="658" t="str" cm="1">
        <f t="array" ref="BZ88">_xlfn.IFNA(_xlfn.IFS(N88="Ada","Selesai",N88="Tidak Perlu","Selesai",N88="","Terlambat"),"")</f>
        <v>Selesai</v>
      </c>
      <c r="CA88" s="658" t="str" cm="1">
        <f t="array" ref="CA88">_xlfn.IFNA(_xlfn.IFS(P88="Ada","Selesai",P88="Tidak Perlu","Selesai",P88="","Terlambat"),"")</f>
        <v>Selesai</v>
      </c>
      <c r="CB88" s="658" t="str" cm="1">
        <f t="array" ref="CB88">_xlfn.IFNA(_xlfn.IFS(R88="Ada","Selesai",R88="Tidak Perlu","Selesai",R88="","Terlambat"),"")</f>
        <v>Selesai</v>
      </c>
      <c r="CC88" s="658" t="str" cm="1">
        <f t="array" ref="CC88">_xlfn.IFNA(_xlfn.IFS(T88="Ada","Selesai",T88="Tidak Perlu","Selesai",T88="","Terlambat"),"")</f>
        <v>Selesai</v>
      </c>
      <c r="CD88" s="658" t="str" cm="1">
        <f t="array" ref="CD88">_xlfn.IFNA(_xlfn.IFS(V88="Ada","Selesai",V88="Tidak Perlu","Selesai",V88="","Terlambat"),"")</f>
        <v>Selesai</v>
      </c>
      <c r="CE88" s="658" t="str" cm="1">
        <f t="array" ref="CE88">_xlfn.IFNA(_xlfn.IFS(X88="Ada","Selesai",X88="Tidak Perlu","Selesai",X88="","Terlambat"),"")</f>
        <v>Selesai</v>
      </c>
      <c r="CF88" s="658" t="str" cm="1">
        <f t="array" ref="CF88">_xlfn.IFNA(_xlfn.IFS(Z88="Ada","Selesai",Z88="Tidak Perlu","Selesai",Z88="","Terlambat"),"")</f>
        <v>Selesai</v>
      </c>
      <c r="CG88" s="658" t="str" cm="1">
        <f t="array" ref="CG88">_xlfn.IFNA(_xlfn.IFS(AB88="Ada","Selesai",AB88="Tidak Perlu","Selesai",AB88="","Terlambat"),"")</f>
        <v>Selesai</v>
      </c>
      <c r="CH88" s="658" t="str" cm="1">
        <f t="array" ref="CH88">_xlfn.IFNA(_xlfn.IFS(AD88="Ada","Selesai",AD88="Tidak Perlu","Selesai",AD88="","Terlambat"),"")</f>
        <v>Selesai</v>
      </c>
      <c r="CI88" s="658" t="str" cm="1">
        <f t="array" ref="CI88">_xlfn.IFNA(_xlfn.IFS(AF88="Ada","Selesai",AF88="Tidak Perlu","Selesai",AF88="","Terlambat"),"")</f>
        <v>Selesai</v>
      </c>
      <c r="CJ88" s="658" t="str" cm="1">
        <f t="array" ref="CJ88">_xlfn.IFNA(_xlfn.IFS(AH88="Ada","Selesai",AH88="Tidak Perlu","Selesai",AH88="","Terlambat"),"")</f>
        <v>Selesai</v>
      </c>
      <c r="CK88" s="658" t="str" cm="1">
        <f t="array" ref="CK88">_xlfn.IFNA(_xlfn.IFS(AJ88="Ada","Selesai",AJ88="Tidak Perlu","Selesai",AJ88="","Terlambat"),"")</f>
        <v>Selesai</v>
      </c>
      <c r="CL88" s="658" t="str" cm="1">
        <f t="array" ref="CL88">_xlfn.IFNA(_xlfn.IFS(AL88="Ada","Selesai",AL88="Tidak Perlu","Selesai",AL88="","Terlambat"),"")</f>
        <v>Selesai</v>
      </c>
      <c r="CM88" s="658" t="str" cm="1">
        <f t="array" ref="CM88">_xlfn.IFNA(_xlfn.IFS(AN88="Ada","Selesai",AN88="Tidak Perlu","Selesai",AN88="","Terlambat"),"")</f>
        <v>Selesai</v>
      </c>
      <c r="CN88" s="658" t="str" cm="1">
        <f t="array" ref="CN88">_xlfn.IFNA(_xlfn.IFS(AP88="Ada","Selesai",AP88="Tidak Perlu","Selesai",AP88="","Terlambat"),"")</f>
        <v>Selesai</v>
      </c>
      <c r="CO88" s="658" t="str" cm="1">
        <f t="array" ref="CO88">_xlfn.IFNA(_xlfn.IFS(AR88="Ada","Selesai",AR88="Tidak Perlu","Selesai",AR88="","Terlambat"),"")</f>
        <v>Selesai</v>
      </c>
      <c r="CP88" s="658" t="str" cm="1">
        <f t="array" ref="CP88">_xlfn.IFNA(_xlfn.IFS(AT88="Ada","Selesai",AT88="Tidak Perlu","Selesai",AT88="","Terlambat"),"")</f>
        <v>Selesai</v>
      </c>
      <c r="CQ88" s="658" t="str" cm="1">
        <f t="array" ref="CQ88">_xlfn.IFNA(_xlfn.IFS(AV88="Ada","Selesai",AV88="Tidak Perlu","Selesai",AV88="","Terlambat"),"")</f>
        <v>Selesai</v>
      </c>
      <c r="CR88" s="658" t="str" cm="1">
        <f t="array" ref="CR88">_xlfn.IFNA(_xlfn.IFS(AX88="Ada","Selesai",AX88="Tidak Perlu","Selesai",AX88="","Terlambat"),"")</f>
        <v>Selesai</v>
      </c>
      <c r="CS88" s="658" t="str" cm="1">
        <f t="array" ref="CS88">_xlfn.IFNA(_xlfn.IFS(AZ88="Ada","Selesai",AZ88="Tidak Perlu","Selesai",AZ88="","Terlambat"),"")</f>
        <v>Selesai</v>
      </c>
      <c r="CT88" s="658" t="str" cm="1">
        <f t="array" ref="CT88">_xlfn.IFNA(_xlfn.IFS(BB88="Ada","Selesai",BB88="Tidak Perlu","Selesai",BB88="","Terlambat"),"")</f>
        <v>Selesai</v>
      </c>
      <c r="CU88" s="658" t="str" cm="1">
        <f t="array" ref="CU88">_xlfn.IFNA(_xlfn.IFS(BD88="Ada","Selesai",BD88="Tidak Perlu","Selesai",BD88="","Terlambat"),"")</f>
        <v>Selesai</v>
      </c>
      <c r="CV88" s="658" t="str" cm="1">
        <f t="array" ref="CV88">_xlfn.IFNA(_xlfn.IFS(BF88="Ada","Selesai",BF88="Tidak Perlu","Selesai",BF88="","Terlambat"),"")</f>
        <v>Selesai</v>
      </c>
      <c r="CW88" s="658" t="str" cm="1">
        <f t="array" ref="CW88">_xlfn.IFNA(_xlfn.IFS(BM88="Ada","Selesai",BM88="Tidak Perlu","Selesai",BM88="","Terlambat"),"")</f>
        <v/>
      </c>
    </row>
    <row r="89" spans="2:101" ht="17.25" hidden="1" customHeight="1" x14ac:dyDescent="0.2">
      <c r="B89" s="633">
        <v>82</v>
      </c>
      <c r="C89" s="633" t="s">
        <v>673</v>
      </c>
      <c r="D89" s="634" t="s">
        <v>2743</v>
      </c>
      <c r="E89" s="633" t="s">
        <v>278</v>
      </c>
      <c r="F89" s="634" t="s">
        <v>2744</v>
      </c>
      <c r="G89" s="633" t="s">
        <v>3560</v>
      </c>
      <c r="H89" s="635" t="s">
        <v>3667</v>
      </c>
      <c r="I89" s="633" t="s">
        <v>3685</v>
      </c>
      <c r="J89" s="636">
        <v>1</v>
      </c>
      <c r="K89" s="637" t="str">
        <f t="shared" si="4"/>
        <v>18/20</v>
      </c>
      <c r="L89" s="638" t="s">
        <v>3686</v>
      </c>
      <c r="M89" s="639" t="s">
        <v>3606</v>
      </c>
      <c r="N89" s="639" t="s">
        <v>1266</v>
      </c>
      <c r="O89" s="639" t="s">
        <v>3606</v>
      </c>
      <c r="P89" s="647" t="s">
        <v>3678</v>
      </c>
      <c r="Q89" s="639" t="s">
        <v>3606</v>
      </c>
      <c r="R89" s="641" t="s">
        <v>3678</v>
      </c>
      <c r="S89" s="639" t="s">
        <v>3606</v>
      </c>
      <c r="T89" s="640" t="s">
        <v>3678</v>
      </c>
      <c r="U89" s="639" t="s">
        <v>3606</v>
      </c>
      <c r="V89" s="640" t="s">
        <v>3678</v>
      </c>
      <c r="W89" s="639" t="s">
        <v>3606</v>
      </c>
      <c r="X89" s="641" t="s">
        <v>3678</v>
      </c>
      <c r="Y89" s="642" t="s">
        <v>3606</v>
      </c>
      <c r="Z89" s="640" t="s">
        <v>1266</v>
      </c>
      <c r="AA89" s="639" t="s">
        <v>3606</v>
      </c>
      <c r="AB89" s="640" t="s">
        <v>3678</v>
      </c>
      <c r="AC89" s="639" t="s">
        <v>3606</v>
      </c>
      <c r="AD89" s="640" t="s">
        <v>3678</v>
      </c>
      <c r="AE89" s="639" t="s">
        <v>3606</v>
      </c>
      <c r="AF89" s="640" t="s">
        <v>3678</v>
      </c>
      <c r="AG89" s="641" t="s">
        <v>3606</v>
      </c>
      <c r="AH89" s="640" t="s">
        <v>3678</v>
      </c>
      <c r="AI89" s="641" t="s">
        <v>3606</v>
      </c>
      <c r="AJ89" s="640" t="s">
        <v>3678</v>
      </c>
      <c r="AK89" s="641" t="s">
        <v>3606</v>
      </c>
      <c r="AL89" s="640" t="s">
        <v>3678</v>
      </c>
      <c r="AM89" s="639" t="s">
        <v>3606</v>
      </c>
      <c r="AN89" s="640" t="s">
        <v>3678</v>
      </c>
      <c r="AO89" s="639" t="s">
        <v>3606</v>
      </c>
      <c r="AP89" s="640" t="s">
        <v>3678</v>
      </c>
      <c r="AQ89" s="639" t="s">
        <v>3606</v>
      </c>
      <c r="AR89" s="640" t="s">
        <v>3678</v>
      </c>
      <c r="AS89" s="639" t="s">
        <v>3606</v>
      </c>
      <c r="AT89" s="641" t="s">
        <v>3678</v>
      </c>
      <c r="AU89" s="639" t="s">
        <v>3606</v>
      </c>
      <c r="AV89" s="640" t="s">
        <v>3678</v>
      </c>
      <c r="AW89" s="639" t="s">
        <v>3606</v>
      </c>
      <c r="AX89" s="640" t="s">
        <v>3678</v>
      </c>
      <c r="AY89" s="639" t="s">
        <v>3606</v>
      </c>
      <c r="AZ89" s="640" t="s">
        <v>3678</v>
      </c>
      <c r="BA89" s="639" t="s">
        <v>3606</v>
      </c>
      <c r="BB89" s="640" t="s">
        <v>3678</v>
      </c>
      <c r="BC89" s="639" t="s">
        <v>3603</v>
      </c>
      <c r="BD89" s="640" t="s">
        <v>3678</v>
      </c>
      <c r="BE89" s="640" t="s">
        <v>3606</v>
      </c>
      <c r="BF89" s="640" t="s">
        <v>3678</v>
      </c>
      <c r="BG89" s="640" t="s">
        <v>3606</v>
      </c>
      <c r="BH89" s="640" t="s">
        <v>3678</v>
      </c>
      <c r="BI89" s="640" t="s">
        <v>3606</v>
      </c>
      <c r="BJ89" s="640" t="s">
        <v>3678</v>
      </c>
      <c r="BK89" s="640" t="s">
        <v>3606</v>
      </c>
      <c r="BL89" s="640" t="s">
        <v>3678</v>
      </c>
      <c r="BM89" s="640" t="str">
        <f>IF(
  (
   (P89="Ada")+(P89="tidak perlu")+(P89="draft") +
   (R89="Ada")+(R89="tidak perlu")+(R89="draft") +
   (V89="Ada")+(V89="tidak perlu")+(V89="draft") +
   (X89="Ada")+(X89="tidak perlu")+(X89="draft") +
   (AB89="Ada")+(AB89="tidak perlu")+(AB89="draft") +
   (AD89="Ada")+(AD89="tidak perlu")+(AD89="draft") +
   (AF89="Ada")+(AF89="tidak perlu")+(AF89="draft") +
   (AH89="Ada")+(AH89="tidak perlu")+(AH89="draft") +
   (AJ89="Ada")+(AJ89="tidak perlu")+(AJ89="draft") +
   (AL89="Ada")+(AL89="tidak perlu")+(AL89="draft") +
   (AN89="Ada")+(AN89="tidak perlu")+(AN89="draft") +
   (AP89="Ada")+(AP89="tidak perlu")+(AP89="draft") +
   (AR89="Ada")+(AR89="tidak perlu")+(AR89="draft") +
   (AT89="Ada")+(AT89="tidak perlu")+(AT89="draft") +
   (AV89="Ada")+(AV89="tidak perlu")+(AV89="draft") +
   (AX89="Ada")+(AX89="tidak perlu")+(AX89="draft") +
   (AZ89="Ada")+(AZ89="tidak perlu")+(AZ89="draft") +
   (BB89="Ada")+(BB89="tidak perlu")+(BB89="draft") +
   (BD89="Ada")+(BD89="tidak perlu")+(BD89="draft") +
   (BF89="Ada")+(BF89="tidak perlu")+(BF89="draft")
  ) = 20,
 "Lengkap","Belum Lengkap")</f>
        <v>Lengkap</v>
      </c>
      <c r="BN89" s="684" t="s">
        <v>3719</v>
      </c>
      <c r="BO89" s="684"/>
      <c r="BP89" s="684"/>
      <c r="BQ89" s="684"/>
      <c r="BR89" s="684"/>
      <c r="BS89" s="684"/>
      <c r="BT89" s="684"/>
      <c r="BU89" s="679"/>
      <c r="BV89" s="679"/>
      <c r="BW89" s="633" t="s">
        <v>3685</v>
      </c>
      <c r="BX89" s="651" t="str">
        <f t="shared" si="3"/>
        <v>SPAM Karian Serpong Hilir</v>
      </c>
      <c r="BY89" s="651" t="str">
        <f t="shared" si="3"/>
        <v>25ABJ.NINKARS017.3JE</v>
      </c>
      <c r="BZ89" s="658" t="str" cm="1">
        <f t="array" ref="BZ89">_xlfn.IFNA(_xlfn.IFS(N89="Ada","Selesai",N89="Tidak Perlu","Selesai",N89="","Terlambat"),"")</f>
        <v>Selesai</v>
      </c>
      <c r="CA89" s="658" t="str" cm="1">
        <f t="array" ref="CA89">_xlfn.IFNA(_xlfn.IFS(P89="Ada","Selesai",P89="Tidak Perlu","Selesai",P89="","Terlambat"),"")</f>
        <v>Selesai</v>
      </c>
      <c r="CB89" s="658" t="str" cm="1">
        <f t="array" ref="CB89">_xlfn.IFNA(_xlfn.IFS(R89="Ada","Selesai",R89="Tidak Perlu","Selesai",R89="","Terlambat"),"")</f>
        <v>Selesai</v>
      </c>
      <c r="CC89" s="658" t="str" cm="1">
        <f t="array" ref="CC89">_xlfn.IFNA(_xlfn.IFS(T89="Ada","Selesai",T89="Tidak Perlu","Selesai",T89="","Terlambat"),"")</f>
        <v>Selesai</v>
      </c>
      <c r="CD89" s="658" t="str" cm="1">
        <f t="array" ref="CD89">_xlfn.IFNA(_xlfn.IFS(V89="Ada","Selesai",V89="Tidak Perlu","Selesai",V89="","Terlambat"),"")</f>
        <v>Selesai</v>
      </c>
      <c r="CE89" s="658" t="str" cm="1">
        <f t="array" ref="CE89">_xlfn.IFNA(_xlfn.IFS(X89="Ada","Selesai",X89="Tidak Perlu","Selesai",X89="","Terlambat"),"")</f>
        <v>Selesai</v>
      </c>
      <c r="CF89" s="658" t="str" cm="1">
        <f t="array" ref="CF89">_xlfn.IFNA(_xlfn.IFS(Z89="Ada","Selesai",Z89="Tidak Perlu","Selesai",Z89="","Terlambat"),"")</f>
        <v>Selesai</v>
      </c>
      <c r="CG89" s="658" t="str" cm="1">
        <f t="array" ref="CG89">_xlfn.IFNA(_xlfn.IFS(AB89="Ada","Selesai",AB89="Tidak Perlu","Selesai",AB89="","Terlambat"),"")</f>
        <v>Selesai</v>
      </c>
      <c r="CH89" s="658" t="str" cm="1">
        <f t="array" ref="CH89">_xlfn.IFNA(_xlfn.IFS(AD89="Ada","Selesai",AD89="Tidak Perlu","Selesai",AD89="","Terlambat"),"")</f>
        <v>Selesai</v>
      </c>
      <c r="CI89" s="658" t="str" cm="1">
        <f t="array" ref="CI89">_xlfn.IFNA(_xlfn.IFS(AF89="Ada","Selesai",AF89="Tidak Perlu","Selesai",AF89="","Terlambat"),"")</f>
        <v>Selesai</v>
      </c>
      <c r="CJ89" s="658" t="str" cm="1">
        <f t="array" ref="CJ89">_xlfn.IFNA(_xlfn.IFS(AH89="Ada","Selesai",AH89="Tidak Perlu","Selesai",AH89="","Terlambat"),"")</f>
        <v>Selesai</v>
      </c>
      <c r="CK89" s="658" t="str" cm="1">
        <f t="array" ref="CK89">_xlfn.IFNA(_xlfn.IFS(AJ89="Ada","Selesai",AJ89="Tidak Perlu","Selesai",AJ89="","Terlambat"),"")</f>
        <v>Selesai</v>
      </c>
      <c r="CL89" s="658" t="str" cm="1">
        <f t="array" ref="CL89">_xlfn.IFNA(_xlfn.IFS(AL89="Ada","Selesai",AL89="Tidak Perlu","Selesai",AL89="","Terlambat"),"")</f>
        <v>Selesai</v>
      </c>
      <c r="CM89" s="658" t="str" cm="1">
        <f t="array" ref="CM89">_xlfn.IFNA(_xlfn.IFS(AN89="Ada","Selesai",AN89="Tidak Perlu","Selesai",AN89="","Terlambat"),"")</f>
        <v>Selesai</v>
      </c>
      <c r="CN89" s="658" t="str" cm="1">
        <f t="array" ref="CN89">_xlfn.IFNA(_xlfn.IFS(AP89="Ada","Selesai",AP89="Tidak Perlu","Selesai",AP89="","Terlambat"),"")</f>
        <v>Selesai</v>
      </c>
      <c r="CO89" s="658" t="str" cm="1">
        <f t="array" ref="CO89">_xlfn.IFNA(_xlfn.IFS(AR89="Ada","Selesai",AR89="Tidak Perlu","Selesai",AR89="","Terlambat"),"")</f>
        <v>Selesai</v>
      </c>
      <c r="CP89" s="658" t="str" cm="1">
        <f t="array" ref="CP89">_xlfn.IFNA(_xlfn.IFS(AT89="Ada","Selesai",AT89="Tidak Perlu","Selesai",AT89="","Terlambat"),"")</f>
        <v>Selesai</v>
      </c>
      <c r="CQ89" s="658" t="str" cm="1">
        <f t="array" ref="CQ89">_xlfn.IFNA(_xlfn.IFS(AV89="Ada","Selesai",AV89="Tidak Perlu","Selesai",AV89="","Terlambat"),"")</f>
        <v>Selesai</v>
      </c>
      <c r="CR89" s="658" t="str" cm="1">
        <f t="array" ref="CR89">_xlfn.IFNA(_xlfn.IFS(AX89="Ada","Selesai",AX89="Tidak Perlu","Selesai",AX89="","Terlambat"),"")</f>
        <v>Selesai</v>
      </c>
      <c r="CS89" s="658" t="str" cm="1">
        <f t="array" ref="CS89">_xlfn.IFNA(_xlfn.IFS(AZ89="Ada","Selesai",AZ89="Tidak Perlu","Selesai",AZ89="","Terlambat"),"")</f>
        <v>Selesai</v>
      </c>
      <c r="CT89" s="658" t="str" cm="1">
        <f t="array" ref="CT89">_xlfn.IFNA(_xlfn.IFS(BB89="Ada","Selesai",BB89="Tidak Perlu","Selesai",BB89="","Terlambat"),"")</f>
        <v>Selesai</v>
      </c>
      <c r="CU89" s="658" t="str" cm="1">
        <f t="array" ref="CU89">_xlfn.IFNA(_xlfn.IFS(BD89="Ada","Selesai",BD89="Tidak Perlu","Selesai",BD89="","Terlambat"),"")</f>
        <v>Selesai</v>
      </c>
      <c r="CV89" s="658" t="str" cm="1">
        <f t="array" ref="CV89">_xlfn.IFNA(_xlfn.IFS(BF89="Ada","Selesai",BF89="Tidak Perlu","Selesai",BF89="","Terlambat"),"")</f>
        <v>Selesai</v>
      </c>
      <c r="CW89" s="658" t="str" cm="1">
        <f t="array" ref="CW89">_xlfn.IFNA(_xlfn.IFS(BM89="Ada","Selesai",BM89="Tidak Perlu","Selesai",BM89="","Terlambat"),"")</f>
        <v/>
      </c>
    </row>
    <row r="90" spans="2:101" ht="17.25" hidden="1" customHeight="1" x14ac:dyDescent="0.2">
      <c r="B90" s="633">
        <v>83</v>
      </c>
      <c r="C90" s="633" t="s">
        <v>673</v>
      </c>
      <c r="D90" s="634" t="s">
        <v>2752</v>
      </c>
      <c r="E90" s="633" t="s">
        <v>278</v>
      </c>
      <c r="F90" s="634" t="s">
        <v>2753</v>
      </c>
      <c r="G90" s="633" t="s">
        <v>3560</v>
      </c>
      <c r="H90" s="646" t="s">
        <v>3690</v>
      </c>
      <c r="I90" s="633" t="s">
        <v>3685</v>
      </c>
      <c r="J90" s="636">
        <v>1</v>
      </c>
      <c r="K90" s="637" t="str">
        <f t="shared" si="4"/>
        <v>18/20</v>
      </c>
      <c r="L90" s="638" t="s">
        <v>3686</v>
      </c>
      <c r="M90" s="639" t="s">
        <v>3606</v>
      </c>
      <c r="N90" s="639" t="s">
        <v>1266</v>
      </c>
      <c r="O90" s="639" t="s">
        <v>3606</v>
      </c>
      <c r="P90" s="647" t="s">
        <v>3678</v>
      </c>
      <c r="Q90" s="639" t="s">
        <v>3606</v>
      </c>
      <c r="R90" s="641" t="s">
        <v>3678</v>
      </c>
      <c r="S90" s="639" t="s">
        <v>3606</v>
      </c>
      <c r="T90" s="640" t="s">
        <v>3678</v>
      </c>
      <c r="U90" s="639" t="s">
        <v>3606</v>
      </c>
      <c r="V90" s="640" t="s">
        <v>3678</v>
      </c>
      <c r="W90" s="639" t="s">
        <v>3606</v>
      </c>
      <c r="X90" s="641" t="s">
        <v>3678</v>
      </c>
      <c r="Y90" s="642" t="s">
        <v>3606</v>
      </c>
      <c r="Z90" s="640" t="s">
        <v>1266</v>
      </c>
      <c r="AA90" s="639" t="s">
        <v>3606</v>
      </c>
      <c r="AB90" s="640" t="s">
        <v>3678</v>
      </c>
      <c r="AC90" s="639" t="s">
        <v>3606</v>
      </c>
      <c r="AD90" s="640" t="s">
        <v>3678</v>
      </c>
      <c r="AE90" s="639" t="s">
        <v>3606</v>
      </c>
      <c r="AF90" s="640" t="s">
        <v>3678</v>
      </c>
      <c r="AG90" s="641" t="s">
        <v>3606</v>
      </c>
      <c r="AH90" s="640" t="s">
        <v>3678</v>
      </c>
      <c r="AI90" s="641" t="s">
        <v>3606</v>
      </c>
      <c r="AJ90" s="640" t="s">
        <v>3678</v>
      </c>
      <c r="AK90" s="641" t="s">
        <v>3606</v>
      </c>
      <c r="AL90" s="640" t="s">
        <v>3678</v>
      </c>
      <c r="AM90" s="639" t="s">
        <v>3606</v>
      </c>
      <c r="AN90" s="640" t="s">
        <v>3678</v>
      </c>
      <c r="AO90" s="639" t="s">
        <v>3606</v>
      </c>
      <c r="AP90" s="640" t="s">
        <v>3678</v>
      </c>
      <c r="AQ90" s="639" t="s">
        <v>3606</v>
      </c>
      <c r="AR90" s="640" t="s">
        <v>3678</v>
      </c>
      <c r="AS90" s="639" t="s">
        <v>3606</v>
      </c>
      <c r="AT90" s="640" t="s">
        <v>3678</v>
      </c>
      <c r="AU90" s="639" t="s">
        <v>3606</v>
      </c>
      <c r="AV90" s="640" t="s">
        <v>3678</v>
      </c>
      <c r="AW90" s="639" t="s">
        <v>3606</v>
      </c>
      <c r="AX90" s="640" t="s">
        <v>3678</v>
      </c>
      <c r="AY90" s="639" t="s">
        <v>3606</v>
      </c>
      <c r="AZ90" s="640" t="s">
        <v>3678</v>
      </c>
      <c r="BA90" s="639" t="s">
        <v>3606</v>
      </c>
      <c r="BB90" s="640" t="s">
        <v>3678</v>
      </c>
      <c r="BC90" s="639" t="s">
        <v>3603</v>
      </c>
      <c r="BD90" s="640" t="s">
        <v>3678</v>
      </c>
      <c r="BE90" s="640" t="s">
        <v>3606</v>
      </c>
      <c r="BF90" s="640" t="s">
        <v>3678</v>
      </c>
      <c r="BG90" s="640" t="s">
        <v>1266</v>
      </c>
      <c r="BH90" s="640" t="s">
        <v>1266</v>
      </c>
      <c r="BI90" s="640" t="s">
        <v>3606</v>
      </c>
      <c r="BJ90" s="640" t="s">
        <v>3678</v>
      </c>
      <c r="BK90" s="640" t="s">
        <v>3606</v>
      </c>
      <c r="BL90" s="640" t="s">
        <v>3678</v>
      </c>
      <c r="BM90" s="640" t="str">
        <f t="shared" ref="BM90" si="5">IF(
  (
   (P90="Ada")+(P90="tidak perlu")+(P90="draft") +
   (R90="Ada")+(R90="tidak perlu")+(R90="draft") +
   (V90="Ada")+(V90="tidak perlu")+(V90="draft") +
   (X90="Ada")+(X90="tidak perlu")+(X90="draft") +
   (AB90="Ada")+(AB90="tidak perlu")+(AB90="draft") +
   (AD90="Ada")+(AD90="tidak perlu")+(AD90="draft") +
   (AF90="Ada")+(AF90="tidak perlu")+(AF90="draft") +
   (AH90="Ada")+(AH90="tidak perlu")+(AH90="draft") +
   (AJ90="Ada")+(AJ90="tidak perlu")+(AJ90="draft") +
   (AL90="Ada")+(AL90="tidak perlu")+(AL90="draft") +
   (AN90="Ada")+(AN90="tidak perlu")+(AN90="draft") +
   (AP90="Ada")+(AP90="tidak perlu")+(AP90="draft") +
   (AR90="Ada")+(AR90="tidak perlu")+(AR90="draft") +
   (AT90="Ada")+(AT90="tidak perlu")+(AT90="draft") +
   (AV90="Ada")+(AV90="tidak perlu")+(AV90="draft") +
   (AX90="Ada")+(AX90="tidak perlu")+(AX90="draft") +
   (AZ90="Ada")+(AZ90="tidak perlu")+(AZ90="draft") +
   (BB90="Ada")+(BB90="tidak perlu")+(BB90="draft") +
   (BD90="Ada")+(BD90="tidak perlu")+(BD90="draft") +
   (BF90="Ada")+(BF90="tidak perlu")+(BF90="draft")
  ) = 20,
 "Lengkap","Belum Lengkap")</f>
        <v>Lengkap</v>
      </c>
      <c r="BN90" s="637"/>
      <c r="BO90" s="637"/>
      <c r="BP90" s="637"/>
      <c r="BQ90" s="637"/>
      <c r="BR90" s="637"/>
      <c r="BS90" s="637"/>
      <c r="BT90" s="637"/>
      <c r="BU90" s="679"/>
      <c r="BV90" s="679"/>
      <c r="BW90" s="633" t="s">
        <v>3685</v>
      </c>
      <c r="BX90" s="651" t="str">
        <f t="shared" si="3"/>
        <v>SPAM Karian Serpong Hilir</v>
      </c>
      <c r="BY90" s="651" t="str">
        <f t="shared" si="3"/>
        <v>25ABJ.NINKARB014.1JE</v>
      </c>
      <c r="BZ90" s="658" t="str" cm="1">
        <f t="array" ref="BZ90">_xlfn.IFNA(_xlfn.IFS(N90="Ada","Selesai",N90="Tidak Perlu","Selesai",N90="","Terlambat"),"")</f>
        <v>Selesai</v>
      </c>
      <c r="CA90" s="658" t="str" cm="1">
        <f t="array" ref="CA90">_xlfn.IFNA(_xlfn.IFS(P90="Ada","Selesai",P90="Tidak Perlu","Selesai",P90="","Terlambat"),"")</f>
        <v>Selesai</v>
      </c>
      <c r="CB90" s="658" t="str" cm="1">
        <f t="array" ref="CB90">_xlfn.IFNA(_xlfn.IFS(R90="Ada","Selesai",R90="Tidak Perlu","Selesai",R90="","Terlambat"),"")</f>
        <v>Selesai</v>
      </c>
      <c r="CC90" s="658" t="str" cm="1">
        <f t="array" ref="CC90">_xlfn.IFNA(_xlfn.IFS(T90="Ada","Selesai",T90="Tidak Perlu","Selesai",T90="","Terlambat"),"")</f>
        <v>Selesai</v>
      </c>
      <c r="CD90" s="658" t="str" cm="1">
        <f t="array" ref="CD90">_xlfn.IFNA(_xlfn.IFS(V90="Ada","Selesai",V90="Tidak Perlu","Selesai",V90="","Terlambat"),"")</f>
        <v>Selesai</v>
      </c>
      <c r="CE90" s="658" t="str" cm="1">
        <f t="array" ref="CE90">_xlfn.IFNA(_xlfn.IFS(X90="Ada","Selesai",X90="Tidak Perlu","Selesai",X90="","Terlambat"),"")</f>
        <v>Selesai</v>
      </c>
      <c r="CF90" s="658" t="str" cm="1">
        <f t="array" ref="CF90">_xlfn.IFNA(_xlfn.IFS(Z90="Ada","Selesai",Z90="Tidak Perlu","Selesai",Z90="","Terlambat"),"")</f>
        <v>Selesai</v>
      </c>
      <c r="CG90" s="658" t="str" cm="1">
        <f t="array" ref="CG90">_xlfn.IFNA(_xlfn.IFS(AB90="Ada","Selesai",AB90="Tidak Perlu","Selesai",AB90="","Terlambat"),"")</f>
        <v>Selesai</v>
      </c>
      <c r="CH90" s="658" t="str" cm="1">
        <f t="array" ref="CH90">_xlfn.IFNA(_xlfn.IFS(AD90="Ada","Selesai",AD90="Tidak Perlu","Selesai",AD90="","Terlambat"),"")</f>
        <v>Selesai</v>
      </c>
      <c r="CI90" s="658" t="str" cm="1">
        <f t="array" ref="CI90">_xlfn.IFNA(_xlfn.IFS(AF90="Ada","Selesai",AF90="Tidak Perlu","Selesai",AF90="","Terlambat"),"")</f>
        <v>Selesai</v>
      </c>
      <c r="CJ90" s="658" t="str" cm="1">
        <f t="array" ref="CJ90">_xlfn.IFNA(_xlfn.IFS(AH90="Ada","Selesai",AH90="Tidak Perlu","Selesai",AH90="","Terlambat"),"")</f>
        <v>Selesai</v>
      </c>
      <c r="CK90" s="658" t="str" cm="1">
        <f t="array" ref="CK90">_xlfn.IFNA(_xlfn.IFS(AJ90="Ada","Selesai",AJ90="Tidak Perlu","Selesai",AJ90="","Terlambat"),"")</f>
        <v>Selesai</v>
      </c>
      <c r="CL90" s="658" t="str" cm="1">
        <f t="array" ref="CL90">_xlfn.IFNA(_xlfn.IFS(AL90="Ada","Selesai",AL90="Tidak Perlu","Selesai",AL90="","Terlambat"),"")</f>
        <v>Selesai</v>
      </c>
      <c r="CM90" s="658" t="str" cm="1">
        <f t="array" ref="CM90">_xlfn.IFNA(_xlfn.IFS(AN90="Ada","Selesai",AN90="Tidak Perlu","Selesai",AN90="","Terlambat"),"")</f>
        <v>Selesai</v>
      </c>
      <c r="CN90" s="658" t="str" cm="1">
        <f t="array" ref="CN90">_xlfn.IFNA(_xlfn.IFS(AP90="Ada","Selesai",AP90="Tidak Perlu","Selesai",AP90="","Terlambat"),"")</f>
        <v>Selesai</v>
      </c>
      <c r="CO90" s="658" t="str" cm="1">
        <f t="array" ref="CO90">_xlfn.IFNA(_xlfn.IFS(AR90="Ada","Selesai",AR90="Tidak Perlu","Selesai",AR90="","Terlambat"),"")</f>
        <v>Selesai</v>
      </c>
      <c r="CP90" s="658" t="str" cm="1">
        <f t="array" ref="CP90">_xlfn.IFNA(_xlfn.IFS(AT90="Ada","Selesai",AT90="Tidak Perlu","Selesai",AT90="","Terlambat"),"")</f>
        <v>Selesai</v>
      </c>
      <c r="CQ90" s="658" t="str" cm="1">
        <f t="array" ref="CQ90">_xlfn.IFNA(_xlfn.IFS(AV90="Ada","Selesai",AV90="Tidak Perlu","Selesai",AV90="","Terlambat"),"")</f>
        <v>Selesai</v>
      </c>
      <c r="CR90" s="658" t="str" cm="1">
        <f t="array" ref="CR90">_xlfn.IFNA(_xlfn.IFS(AX90="Ada","Selesai",AX90="Tidak Perlu","Selesai",AX90="","Terlambat"),"")</f>
        <v>Selesai</v>
      </c>
      <c r="CS90" s="658" t="str" cm="1">
        <f t="array" ref="CS90">_xlfn.IFNA(_xlfn.IFS(AZ90="Ada","Selesai",AZ90="Tidak Perlu","Selesai",AZ90="","Terlambat"),"")</f>
        <v>Selesai</v>
      </c>
      <c r="CT90" s="658" t="str" cm="1">
        <f t="array" ref="CT90">_xlfn.IFNA(_xlfn.IFS(BB90="Ada","Selesai",BB90="Tidak Perlu","Selesai",BB90="","Terlambat"),"")</f>
        <v>Selesai</v>
      </c>
      <c r="CU90" s="658" t="str" cm="1">
        <f t="array" ref="CU90">_xlfn.IFNA(_xlfn.IFS(BD90="Ada","Selesai",BD90="Tidak Perlu","Selesai",BD90="","Terlambat"),"")</f>
        <v>Selesai</v>
      </c>
      <c r="CV90" s="658" t="str" cm="1">
        <f t="array" ref="CV90">_xlfn.IFNA(_xlfn.IFS(BF90="Ada","Selesai",BF90="Tidak Perlu","Selesai",BF90="","Terlambat"),"")</f>
        <v>Selesai</v>
      </c>
      <c r="CW90" s="658" t="str" cm="1">
        <f t="array" ref="CW90">_xlfn.IFNA(_xlfn.IFS(BM90="Ada","Selesai",BM90="Tidak Perlu","Selesai",BM90="","Terlambat"),"")</f>
        <v/>
      </c>
    </row>
    <row r="91" spans="2:101" ht="17.25" customHeight="1" x14ac:dyDescent="0.2">
      <c r="B91" s="633">
        <v>84</v>
      </c>
      <c r="C91" s="633" t="s">
        <v>673</v>
      </c>
      <c r="D91" s="634" t="s">
        <v>2693</v>
      </c>
      <c r="E91" s="633" t="s">
        <v>278</v>
      </c>
      <c r="F91" s="634" t="s">
        <v>3723</v>
      </c>
      <c r="G91" s="633" t="s">
        <v>3608</v>
      </c>
      <c r="H91" s="646" t="s">
        <v>3724</v>
      </c>
      <c r="I91" s="633" t="s">
        <v>3671</v>
      </c>
      <c r="J91" s="636">
        <v>0</v>
      </c>
      <c r="K91" s="637" t="str">
        <f t="shared" si="4"/>
        <v>0/20</v>
      </c>
      <c r="L91" s="638" t="s">
        <v>3674</v>
      </c>
      <c r="M91" s="639" t="s">
        <v>3606</v>
      </c>
      <c r="N91" s="639"/>
      <c r="O91" s="639" t="s">
        <v>3603</v>
      </c>
      <c r="P91" s="647"/>
      <c r="Q91" s="639" t="s">
        <v>3603</v>
      </c>
      <c r="R91" s="641"/>
      <c r="S91" s="639" t="s">
        <v>3603</v>
      </c>
      <c r="T91" s="639"/>
      <c r="U91" s="639" t="s">
        <v>3603</v>
      </c>
      <c r="V91" s="640"/>
      <c r="W91" s="639" t="s">
        <v>3603</v>
      </c>
      <c r="X91" s="641"/>
      <c r="Y91" s="642" t="s">
        <v>3603</v>
      </c>
      <c r="Z91" s="640" t="s">
        <v>1266</v>
      </c>
      <c r="AA91" s="639" t="s">
        <v>3603</v>
      </c>
      <c r="AB91" s="640"/>
      <c r="AC91" s="639" t="s">
        <v>3603</v>
      </c>
      <c r="AD91" s="640"/>
      <c r="AE91" s="639" t="s">
        <v>3603</v>
      </c>
      <c r="AF91" s="640"/>
      <c r="AG91" s="641" t="s">
        <v>3603</v>
      </c>
      <c r="AH91" s="640"/>
      <c r="AI91" s="641" t="s">
        <v>3603</v>
      </c>
      <c r="AJ91" s="640"/>
      <c r="AK91" s="641" t="s">
        <v>3603</v>
      </c>
      <c r="AL91" s="640"/>
      <c r="AM91" s="639" t="s">
        <v>3603</v>
      </c>
      <c r="AN91" s="640"/>
      <c r="AO91" s="639" t="s">
        <v>3603</v>
      </c>
      <c r="AP91" s="640"/>
      <c r="AQ91" s="639" t="s">
        <v>3603</v>
      </c>
      <c r="AR91" s="640"/>
      <c r="AS91" s="639" t="s">
        <v>3603</v>
      </c>
      <c r="AT91" s="640"/>
      <c r="AU91" s="639" t="s">
        <v>3603</v>
      </c>
      <c r="AV91" s="640"/>
      <c r="AW91" s="639" t="s">
        <v>3603</v>
      </c>
      <c r="AX91" s="640"/>
      <c r="AY91" s="639" t="s">
        <v>3603</v>
      </c>
      <c r="AZ91" s="640"/>
      <c r="BA91" s="639" t="s">
        <v>3603</v>
      </c>
      <c r="BB91" s="640"/>
      <c r="BC91" s="639" t="s">
        <v>3603</v>
      </c>
      <c r="BD91" s="640"/>
      <c r="BE91" s="640" t="s">
        <v>3603</v>
      </c>
      <c r="BF91" s="640"/>
      <c r="BG91" s="640" t="s">
        <v>1266</v>
      </c>
      <c r="BH91" s="640"/>
      <c r="BI91" s="640" t="s">
        <v>3603</v>
      </c>
      <c r="BJ91" s="640"/>
      <c r="BK91" s="640" t="s">
        <v>3603</v>
      </c>
      <c r="BL91" s="640"/>
      <c r="BM91" s="678"/>
      <c r="BN91" s="637"/>
      <c r="BO91" s="637"/>
      <c r="BP91" s="637"/>
      <c r="BQ91" s="637"/>
      <c r="BR91" s="637"/>
      <c r="BS91" s="637"/>
      <c r="BT91" s="637"/>
      <c r="BU91" s="679"/>
      <c r="BV91" s="679"/>
      <c r="BW91" s="633"/>
      <c r="BX91" s="651" t="str">
        <f t="shared" si="3"/>
        <v>SPAM Karian Serpong Hilir</v>
      </c>
      <c r="BY91" s="651" t="str">
        <f t="shared" si="3"/>
        <v>23ABJ.NPPKAR036JE.1</v>
      </c>
      <c r="BZ91" s="658" t="str" cm="1">
        <f t="array" ref="BZ91">_xlfn.IFNA(_xlfn.IFS(N91="Ada","Selesai",N91="Tidak Perlu","Selesai",N91="","Terlambat"),"")</f>
        <v>Terlambat</v>
      </c>
      <c r="CA91" s="658" t="str" cm="1">
        <f t="array" ref="CA91">_xlfn.IFNA(_xlfn.IFS(P91="Ada","Selesai",P91="Tidak Perlu","Selesai",P91="","Terlambat"),"")</f>
        <v>Terlambat</v>
      </c>
      <c r="CB91" s="658" t="str" cm="1">
        <f t="array" ref="CB91">_xlfn.IFNA(_xlfn.IFS(R91="Ada","Selesai",R91="Tidak Perlu","Selesai",R91="","Terlambat"),"")</f>
        <v>Terlambat</v>
      </c>
      <c r="CC91" s="658" t="str" cm="1">
        <f t="array" ref="CC91">_xlfn.IFNA(_xlfn.IFS(T91="Ada","Selesai",T91="Tidak Perlu","Selesai",T91="","Terlambat"),"")</f>
        <v>Terlambat</v>
      </c>
      <c r="CD91" s="658" t="str" cm="1">
        <f t="array" ref="CD91">_xlfn.IFNA(_xlfn.IFS(V91="Ada","Selesai",V91="Tidak Perlu","Selesai",V91="","Terlambat"),"")</f>
        <v>Terlambat</v>
      </c>
      <c r="CE91" s="658" t="str" cm="1">
        <f t="array" ref="CE91">_xlfn.IFNA(_xlfn.IFS(X91="Ada","Selesai",X91="Tidak Perlu","Selesai",X91="","Terlambat"),"")</f>
        <v>Terlambat</v>
      </c>
      <c r="CF91" s="658" t="str" cm="1">
        <f t="array" ref="CF91">_xlfn.IFNA(_xlfn.IFS(Z91="Ada","Selesai",Z91="Tidak Perlu","Selesai",Z91="","Terlambat"),"")</f>
        <v>Selesai</v>
      </c>
      <c r="CG91" s="658" t="str" cm="1">
        <f t="array" ref="CG91">_xlfn.IFNA(_xlfn.IFS(AB91="Ada","Selesai",AB91="Tidak Perlu","Selesai",AB91="","Terlambat"),"")</f>
        <v>Terlambat</v>
      </c>
      <c r="CH91" s="658" t="str" cm="1">
        <f t="array" ref="CH91">_xlfn.IFNA(_xlfn.IFS(AD91="Ada","Selesai",AD91="Tidak Perlu","Selesai",AD91="","Terlambat"),"")</f>
        <v>Terlambat</v>
      </c>
      <c r="CI91" s="658" t="str" cm="1">
        <f t="array" ref="CI91">_xlfn.IFNA(_xlfn.IFS(AF91="Ada","Selesai",AF91="Tidak Perlu","Selesai",AF91="","Terlambat"),"")</f>
        <v>Terlambat</v>
      </c>
      <c r="CJ91" s="658" t="str" cm="1">
        <f t="array" ref="CJ91">_xlfn.IFNA(_xlfn.IFS(AH91="Ada","Selesai",AH91="Tidak Perlu","Selesai",AH91="","Terlambat"),"")</f>
        <v>Terlambat</v>
      </c>
      <c r="CK91" s="658" t="str" cm="1">
        <f t="array" ref="CK91">_xlfn.IFNA(_xlfn.IFS(AJ91="Ada","Selesai",AJ91="Tidak Perlu","Selesai",AJ91="","Terlambat"),"")</f>
        <v>Terlambat</v>
      </c>
      <c r="CL91" s="658" t="str" cm="1">
        <f t="array" ref="CL91">_xlfn.IFNA(_xlfn.IFS(AL91="Ada","Selesai",AL91="Tidak Perlu","Selesai",AL91="","Terlambat"),"")</f>
        <v>Terlambat</v>
      </c>
      <c r="CM91" s="658" t="str" cm="1">
        <f t="array" ref="CM91">_xlfn.IFNA(_xlfn.IFS(AN91="Ada","Selesai",AN91="Tidak Perlu","Selesai",AN91="","Terlambat"),"")</f>
        <v>Terlambat</v>
      </c>
      <c r="CN91" s="658" t="str" cm="1">
        <f t="array" ref="CN91">_xlfn.IFNA(_xlfn.IFS(AP91="Ada","Selesai",AP91="Tidak Perlu","Selesai",AP91="","Terlambat"),"")</f>
        <v>Terlambat</v>
      </c>
      <c r="CO91" s="658" t="str" cm="1">
        <f t="array" ref="CO91">_xlfn.IFNA(_xlfn.IFS(AR91="Ada","Selesai",AR91="Tidak Perlu","Selesai",AR91="","Terlambat"),"")</f>
        <v>Terlambat</v>
      </c>
      <c r="CP91" s="658" t="str" cm="1">
        <f t="array" ref="CP91">_xlfn.IFNA(_xlfn.IFS(AT91="Ada","Selesai",AT91="Tidak Perlu","Selesai",AT91="","Terlambat"),"")</f>
        <v>Terlambat</v>
      </c>
      <c r="CQ91" s="658" t="str" cm="1">
        <f t="array" ref="CQ91">_xlfn.IFNA(_xlfn.IFS(AV91="Ada","Selesai",AV91="Tidak Perlu","Selesai",AV91="","Terlambat"),"")</f>
        <v>Terlambat</v>
      </c>
      <c r="CR91" s="658" t="str" cm="1">
        <f t="array" ref="CR91">_xlfn.IFNA(_xlfn.IFS(AX91="Ada","Selesai",AX91="Tidak Perlu","Selesai",AX91="","Terlambat"),"")</f>
        <v>Terlambat</v>
      </c>
      <c r="CS91" s="658" t="str" cm="1">
        <f t="array" ref="CS91">_xlfn.IFNA(_xlfn.IFS(AZ91="Ada","Selesai",AZ91="Tidak Perlu","Selesai",AZ91="","Terlambat"),"")</f>
        <v>Terlambat</v>
      </c>
      <c r="CT91" s="658" t="str" cm="1">
        <f t="array" ref="CT91">_xlfn.IFNA(_xlfn.IFS(BB91="Ada","Selesai",BB91="Tidak Perlu","Selesai",BB91="","Terlambat"),"")</f>
        <v>Terlambat</v>
      </c>
      <c r="CU91" s="658" t="str" cm="1">
        <f t="array" ref="CU91">_xlfn.IFNA(_xlfn.IFS(BD91="Ada","Selesai",BD91="Tidak Perlu","Selesai",BD91="","Terlambat"),"")</f>
        <v>Terlambat</v>
      </c>
      <c r="CV91" s="658" t="str" cm="1">
        <f t="array" ref="CV91">_xlfn.IFNA(_xlfn.IFS(BF91="Ada","Selesai",BF91="Tidak Perlu","Selesai",BF91="","Terlambat"),"")</f>
        <v>Terlambat</v>
      </c>
      <c r="CW91" s="658" t="str" cm="1">
        <f t="array" ref="CW91">_xlfn.IFNA(_xlfn.IFS(BM91="Ada","Selesai",BM91="Tidak Perlu","Selesai",BM91="","Terlambat"),"")</f>
        <v>Terlambat</v>
      </c>
    </row>
    <row r="92" spans="2:101" ht="17.25" hidden="1" customHeight="1" x14ac:dyDescent="0.2">
      <c r="B92" s="633">
        <v>85</v>
      </c>
      <c r="C92" s="633" t="s">
        <v>629</v>
      </c>
      <c r="D92" s="634" t="s">
        <v>1816</v>
      </c>
      <c r="E92" s="633" t="s">
        <v>248</v>
      </c>
      <c r="F92" s="634" t="s">
        <v>1817</v>
      </c>
      <c r="G92" s="633" t="s">
        <v>3608</v>
      </c>
      <c r="H92" s="646" t="s">
        <v>3690</v>
      </c>
      <c r="I92" s="633" t="s">
        <v>3687</v>
      </c>
      <c r="J92" s="636">
        <v>0.80449999999999999</v>
      </c>
      <c r="K92" s="637" t="str">
        <f t="shared" si="4"/>
        <v>14/20</v>
      </c>
      <c r="L92" s="638" t="s">
        <v>3669</v>
      </c>
      <c r="M92" s="639" t="s">
        <v>3606</v>
      </c>
      <c r="N92" s="639"/>
      <c r="O92" s="639" t="s">
        <v>3606</v>
      </c>
      <c r="P92" s="647"/>
      <c r="Q92" s="639" t="s">
        <v>3606</v>
      </c>
      <c r="R92" s="647"/>
      <c r="S92" s="639" t="s">
        <v>3606</v>
      </c>
      <c r="T92" s="639"/>
      <c r="U92" s="639" t="s">
        <v>3604</v>
      </c>
      <c r="V92" s="640"/>
      <c r="W92" s="639" t="s">
        <v>3603</v>
      </c>
      <c r="X92" s="640"/>
      <c r="Y92" s="642" t="s">
        <v>3603</v>
      </c>
      <c r="Z92" s="640" t="s">
        <v>1266</v>
      </c>
      <c r="AA92" s="639" t="s">
        <v>3603</v>
      </c>
      <c r="AB92" s="640"/>
      <c r="AC92" s="639" t="s">
        <v>3606</v>
      </c>
      <c r="AD92" s="640"/>
      <c r="AE92" s="639" t="s">
        <v>3606</v>
      </c>
      <c r="AF92" s="641" t="s">
        <v>3678</v>
      </c>
      <c r="AG92" s="641" t="s">
        <v>3603</v>
      </c>
      <c r="AH92" s="640"/>
      <c r="AI92" s="641" t="s">
        <v>3603</v>
      </c>
      <c r="AJ92" s="640"/>
      <c r="AK92" s="641" t="s">
        <v>3606</v>
      </c>
      <c r="AL92" s="640"/>
      <c r="AM92" s="639" t="s">
        <v>3606</v>
      </c>
      <c r="AN92" s="640"/>
      <c r="AO92" s="639" t="s">
        <v>3606</v>
      </c>
      <c r="AP92" s="640"/>
      <c r="AQ92" s="639" t="s">
        <v>3606</v>
      </c>
      <c r="AR92" s="640"/>
      <c r="AS92" s="639" t="s">
        <v>3606</v>
      </c>
      <c r="AT92" s="640"/>
      <c r="AU92" s="639" t="s">
        <v>3606</v>
      </c>
      <c r="AV92" s="640"/>
      <c r="AW92" s="639" t="s">
        <v>3606</v>
      </c>
      <c r="AX92" s="640"/>
      <c r="AY92" s="639" t="s">
        <v>3603</v>
      </c>
      <c r="AZ92" s="640"/>
      <c r="BA92" s="639" t="s">
        <v>3606</v>
      </c>
      <c r="BB92" s="640"/>
      <c r="BC92" s="639" t="s">
        <v>3606</v>
      </c>
      <c r="BD92" s="640"/>
      <c r="BE92" s="640" t="s">
        <v>3604</v>
      </c>
      <c r="BF92" s="640"/>
      <c r="BG92" s="640" t="s">
        <v>3606</v>
      </c>
      <c r="BH92" s="640"/>
      <c r="BI92" s="640" t="s">
        <v>3603</v>
      </c>
      <c r="BJ92" s="640"/>
      <c r="BK92" s="640" t="s">
        <v>3603</v>
      </c>
      <c r="BL92" s="640"/>
      <c r="BM92" s="678" t="s">
        <v>3679</v>
      </c>
      <c r="BN92" s="684"/>
      <c r="BO92" s="684"/>
      <c r="BP92" s="684"/>
      <c r="BQ92" s="684"/>
      <c r="BR92" s="684"/>
      <c r="BS92" s="684"/>
      <c r="BT92" s="684"/>
      <c r="BU92" s="679"/>
      <c r="BV92" s="679"/>
      <c r="BW92" s="633" t="s">
        <v>3668</v>
      </c>
      <c r="BX92" s="651" t="str">
        <f t="shared" si="3"/>
        <v>SPAM Buaran 3 Hilir</v>
      </c>
      <c r="BY92" s="651" t="str">
        <f t="shared" si="3"/>
        <v>NPP23BURP01A</v>
      </c>
      <c r="BZ92" s="658" t="str" cm="1">
        <f t="array" ref="BZ92">_xlfn.IFNA(_xlfn.IFS(N92="Ada","Selesai",N92="Tidak Perlu","Selesai",N92="","Terlambat"),"")</f>
        <v>Terlambat</v>
      </c>
      <c r="CA92" s="658" t="str" cm="1">
        <f t="array" ref="CA92">_xlfn.IFNA(_xlfn.IFS(P92="Ada","Selesai",P92="Tidak Perlu","Selesai",P92="","Terlambat"),"")</f>
        <v>Terlambat</v>
      </c>
      <c r="CB92" s="658" t="str" cm="1">
        <f t="array" ref="CB92">_xlfn.IFNA(_xlfn.IFS(R92="Ada","Selesai",R92="Tidak Perlu","Selesai",R92="","Terlambat"),"")</f>
        <v>Terlambat</v>
      </c>
      <c r="CC92" s="658" t="str" cm="1">
        <f t="array" ref="CC92">_xlfn.IFNA(_xlfn.IFS(T92="Ada","Selesai",T92="Tidak Perlu","Selesai",T92="","Terlambat"),"")</f>
        <v>Terlambat</v>
      </c>
      <c r="CD92" s="658" t="str" cm="1">
        <f t="array" ref="CD92">_xlfn.IFNA(_xlfn.IFS(V92="Ada","Selesai",V92="Tidak Perlu","Selesai",V92="","Terlambat"),"")</f>
        <v>Terlambat</v>
      </c>
      <c r="CE92" s="658" t="str" cm="1">
        <f t="array" ref="CE92">_xlfn.IFNA(_xlfn.IFS(X92="Ada","Selesai",X92="Tidak Perlu","Selesai",X92="","Terlambat"),"")</f>
        <v>Terlambat</v>
      </c>
      <c r="CF92" s="658" t="str" cm="1">
        <f t="array" ref="CF92">_xlfn.IFNA(_xlfn.IFS(Z92="Ada","Selesai",Z92="Tidak Perlu","Selesai",Z92="","Terlambat"),"")</f>
        <v>Selesai</v>
      </c>
      <c r="CG92" s="658" t="str" cm="1">
        <f t="array" ref="CG92">_xlfn.IFNA(_xlfn.IFS(AB92="Ada","Selesai",AB92="Tidak Perlu","Selesai",AB92="","Terlambat"),"")</f>
        <v>Terlambat</v>
      </c>
      <c r="CH92" s="658" t="str" cm="1">
        <f t="array" ref="CH92">_xlfn.IFNA(_xlfn.IFS(AD92="Ada","Selesai",AD92="Tidak Perlu","Selesai",AD92="","Terlambat"),"")</f>
        <v>Terlambat</v>
      </c>
      <c r="CI92" s="658" t="str" cm="1">
        <f t="array" ref="CI92">_xlfn.IFNA(_xlfn.IFS(AF92="Ada","Selesai",AF92="Tidak Perlu","Selesai",AF92="","Terlambat"),"")</f>
        <v>Selesai</v>
      </c>
      <c r="CJ92" s="658" t="str" cm="1">
        <f t="array" ref="CJ92">_xlfn.IFNA(_xlfn.IFS(AH92="Ada","Selesai",AH92="Tidak Perlu","Selesai",AH92="","Terlambat"),"")</f>
        <v>Terlambat</v>
      </c>
      <c r="CK92" s="658" t="str" cm="1">
        <f t="array" ref="CK92">_xlfn.IFNA(_xlfn.IFS(AJ92="Ada","Selesai",AJ92="Tidak Perlu","Selesai",AJ92="","Terlambat"),"")</f>
        <v>Terlambat</v>
      </c>
      <c r="CL92" s="658" t="str" cm="1">
        <f t="array" ref="CL92">_xlfn.IFNA(_xlfn.IFS(AL92="Ada","Selesai",AL92="Tidak Perlu","Selesai",AL92="","Terlambat"),"")</f>
        <v>Terlambat</v>
      </c>
      <c r="CM92" s="658" t="str" cm="1">
        <f t="array" ref="CM92">_xlfn.IFNA(_xlfn.IFS(AN92="Ada","Selesai",AN92="Tidak Perlu","Selesai",AN92="","Terlambat"),"")</f>
        <v>Terlambat</v>
      </c>
      <c r="CN92" s="658" t="str" cm="1">
        <f t="array" ref="CN92">_xlfn.IFNA(_xlfn.IFS(AP92="Ada","Selesai",AP92="Tidak Perlu","Selesai",AP92="","Terlambat"),"")</f>
        <v>Terlambat</v>
      </c>
      <c r="CO92" s="658" t="str" cm="1">
        <f t="array" ref="CO92">_xlfn.IFNA(_xlfn.IFS(AR92="Ada","Selesai",AR92="Tidak Perlu","Selesai",AR92="","Terlambat"),"")</f>
        <v>Terlambat</v>
      </c>
      <c r="CP92" s="658" t="str" cm="1">
        <f t="array" ref="CP92">_xlfn.IFNA(_xlfn.IFS(AT92="Ada","Selesai",AT92="Tidak Perlu","Selesai",AT92="","Terlambat"),"")</f>
        <v>Terlambat</v>
      </c>
      <c r="CQ92" s="658" t="str" cm="1">
        <f t="array" ref="CQ92">_xlfn.IFNA(_xlfn.IFS(AV92="Ada","Selesai",AV92="Tidak Perlu","Selesai",AV92="","Terlambat"),"")</f>
        <v>Terlambat</v>
      </c>
      <c r="CR92" s="658" t="str" cm="1">
        <f t="array" ref="CR92">_xlfn.IFNA(_xlfn.IFS(AX92="Ada","Selesai",AX92="Tidak Perlu","Selesai",AX92="","Terlambat"),"")</f>
        <v>Terlambat</v>
      </c>
      <c r="CS92" s="658" t="str" cm="1">
        <f t="array" ref="CS92">_xlfn.IFNA(_xlfn.IFS(AZ92="Ada","Selesai",AZ92="Tidak Perlu","Selesai",AZ92="","Terlambat"),"")</f>
        <v>Terlambat</v>
      </c>
      <c r="CT92" s="658" t="str" cm="1">
        <f t="array" ref="CT92">_xlfn.IFNA(_xlfn.IFS(BB92="Ada","Selesai",BB92="Tidak Perlu","Selesai",BB92="","Terlambat"),"")</f>
        <v>Terlambat</v>
      </c>
      <c r="CU92" s="658" t="str" cm="1">
        <f t="array" ref="CU92">_xlfn.IFNA(_xlfn.IFS(BD92="Ada","Selesai",BD92="Tidak Perlu","Selesai",BD92="","Terlambat"),"")</f>
        <v>Terlambat</v>
      </c>
      <c r="CV92" s="658" t="str" cm="1">
        <f t="array" ref="CV92">_xlfn.IFNA(_xlfn.IFS(BF92="Ada","Selesai",BF92="Tidak Perlu","Selesai",BF92="","Terlambat"),"")</f>
        <v>Terlambat</v>
      </c>
      <c r="CW92" s="658" t="str" cm="1">
        <f t="array" ref="CW92">_xlfn.IFNA(_xlfn.IFS(BM92="Ada","Selesai",BM92="Tidak Perlu","Selesai",BM92="","Terlambat"),"")</f>
        <v/>
      </c>
    </row>
    <row r="93" spans="2:101" ht="17.25" hidden="1" customHeight="1" x14ac:dyDescent="0.2">
      <c r="B93" s="633">
        <v>86</v>
      </c>
      <c r="C93" s="633" t="s">
        <v>629</v>
      </c>
      <c r="D93" s="634" t="s">
        <v>1828</v>
      </c>
      <c r="E93" s="633" t="s">
        <v>248</v>
      </c>
      <c r="F93" s="634" t="s">
        <v>1829</v>
      </c>
      <c r="G93" s="633" t="s">
        <v>3560</v>
      </c>
      <c r="H93" s="646" t="s">
        <v>3690</v>
      </c>
      <c r="I93" s="633" t="s">
        <v>3685</v>
      </c>
      <c r="J93" s="636">
        <v>1</v>
      </c>
      <c r="K93" s="637" t="str">
        <f t="shared" si="4"/>
        <v>18/20</v>
      </c>
      <c r="L93" s="638" t="s">
        <v>3686</v>
      </c>
      <c r="M93" s="639" t="s">
        <v>3606</v>
      </c>
      <c r="N93" s="639" t="s">
        <v>1266</v>
      </c>
      <c r="O93" s="639" t="s">
        <v>3606</v>
      </c>
      <c r="P93" s="641" t="s">
        <v>3678</v>
      </c>
      <c r="Q93" s="639" t="s">
        <v>3606</v>
      </c>
      <c r="R93" s="640" t="s">
        <v>3678</v>
      </c>
      <c r="S93" s="639" t="s">
        <v>3606</v>
      </c>
      <c r="T93" s="640" t="s">
        <v>3678</v>
      </c>
      <c r="U93" s="639" t="s">
        <v>3606</v>
      </c>
      <c r="V93" s="640" t="s">
        <v>3678</v>
      </c>
      <c r="W93" s="639" t="s">
        <v>3606</v>
      </c>
      <c r="X93" s="640" t="s">
        <v>3678</v>
      </c>
      <c r="Y93" s="642" t="s">
        <v>3606</v>
      </c>
      <c r="Z93" s="640" t="s">
        <v>1266</v>
      </c>
      <c r="AA93" s="639" t="s">
        <v>3606</v>
      </c>
      <c r="AB93" s="640" t="s">
        <v>3678</v>
      </c>
      <c r="AC93" s="639" t="s">
        <v>3606</v>
      </c>
      <c r="AD93" s="640" t="s">
        <v>3678</v>
      </c>
      <c r="AE93" s="639" t="s">
        <v>3606</v>
      </c>
      <c r="AF93" s="641" t="s">
        <v>3678</v>
      </c>
      <c r="AG93" s="641" t="s">
        <v>3606</v>
      </c>
      <c r="AH93" s="640" t="s">
        <v>3678</v>
      </c>
      <c r="AI93" s="641" t="s">
        <v>3606</v>
      </c>
      <c r="AJ93" s="640" t="s">
        <v>3678</v>
      </c>
      <c r="AK93" s="641" t="s">
        <v>3606</v>
      </c>
      <c r="AL93" s="640" t="s">
        <v>3678</v>
      </c>
      <c r="AM93" s="639" t="s">
        <v>3606</v>
      </c>
      <c r="AN93" s="641" t="s">
        <v>3678</v>
      </c>
      <c r="AO93" s="639" t="s">
        <v>3606</v>
      </c>
      <c r="AP93" s="641" t="s">
        <v>3678</v>
      </c>
      <c r="AQ93" s="639" t="s">
        <v>1266</v>
      </c>
      <c r="AR93" s="640" t="s">
        <v>1266</v>
      </c>
      <c r="AS93" s="639" t="s">
        <v>3606</v>
      </c>
      <c r="AT93" s="640" t="s">
        <v>3678</v>
      </c>
      <c r="AU93" s="639" t="s">
        <v>3606</v>
      </c>
      <c r="AV93" s="640" t="s">
        <v>3678</v>
      </c>
      <c r="AW93" s="639" t="s">
        <v>3606</v>
      </c>
      <c r="AX93" s="640" t="s">
        <v>3678</v>
      </c>
      <c r="AY93" s="639" t="s">
        <v>3606</v>
      </c>
      <c r="AZ93" s="640" t="s">
        <v>3678</v>
      </c>
      <c r="BA93" s="639" t="s">
        <v>3606</v>
      </c>
      <c r="BB93" s="640" t="s">
        <v>3678</v>
      </c>
      <c r="BC93" s="639" t="s">
        <v>3606</v>
      </c>
      <c r="BD93" s="640" t="s">
        <v>3678</v>
      </c>
      <c r="BE93" s="640" t="s">
        <v>3606</v>
      </c>
      <c r="BF93" s="640" t="s">
        <v>3678</v>
      </c>
      <c r="BG93" s="640" t="s">
        <v>3606</v>
      </c>
      <c r="BH93" s="640" t="s">
        <v>3678</v>
      </c>
      <c r="BI93" s="640" t="s">
        <v>3606</v>
      </c>
      <c r="BJ93" s="640" t="s">
        <v>3678</v>
      </c>
      <c r="BK93" s="640" t="s">
        <v>3606</v>
      </c>
      <c r="BL93" s="640" t="s">
        <v>3678</v>
      </c>
      <c r="BM93" s="678" t="s">
        <v>3679</v>
      </c>
      <c r="BN93" s="637"/>
      <c r="BO93" s="637" t="s">
        <v>3725</v>
      </c>
      <c r="BP93" s="637" t="s">
        <v>3726</v>
      </c>
      <c r="BQ93" s="637" t="s">
        <v>3710</v>
      </c>
      <c r="BR93" s="637"/>
      <c r="BS93" s="637" t="s">
        <v>3727</v>
      </c>
      <c r="BT93" s="637" t="s">
        <v>3711</v>
      </c>
      <c r="BU93" s="679"/>
      <c r="BV93" s="679"/>
      <c r="BW93" s="633" t="s">
        <v>3668</v>
      </c>
      <c r="BX93" s="651" t="str">
        <f t="shared" si="3"/>
        <v>SPAM Buaran 3 Hilir</v>
      </c>
      <c r="BY93" s="651" t="str">
        <f t="shared" si="3"/>
        <v>NPP23BURP06</v>
      </c>
      <c r="BZ93" s="658" t="str" cm="1">
        <f t="array" ref="BZ93">_xlfn.IFNA(_xlfn.IFS(N93="Ada","Selesai",N93="Tidak Perlu","Selesai",N93="","Terlambat"),"")</f>
        <v>Selesai</v>
      </c>
      <c r="CA93" s="658" t="str" cm="1">
        <f t="array" ref="CA93">_xlfn.IFNA(_xlfn.IFS(P93="Ada","Selesai",P93="Tidak Perlu","Selesai",P93="","Terlambat"),"")</f>
        <v>Selesai</v>
      </c>
      <c r="CB93" s="658" t="str" cm="1">
        <f t="array" ref="CB93">_xlfn.IFNA(_xlfn.IFS(R93="Ada","Selesai",R93="Tidak Perlu","Selesai",R93="","Terlambat"),"")</f>
        <v>Selesai</v>
      </c>
      <c r="CC93" s="658" t="str" cm="1">
        <f t="array" ref="CC93">_xlfn.IFNA(_xlfn.IFS(T93="Ada","Selesai",T93="Tidak Perlu","Selesai",T93="","Terlambat"),"")</f>
        <v>Selesai</v>
      </c>
      <c r="CD93" s="658" t="str" cm="1">
        <f t="array" ref="CD93">_xlfn.IFNA(_xlfn.IFS(V93="Ada","Selesai",V93="Tidak Perlu","Selesai",V93="","Terlambat"),"")</f>
        <v>Selesai</v>
      </c>
      <c r="CE93" s="658" t="str" cm="1">
        <f t="array" ref="CE93">_xlfn.IFNA(_xlfn.IFS(X93="Ada","Selesai",X93="Tidak Perlu","Selesai",X93="","Terlambat"),"")</f>
        <v>Selesai</v>
      </c>
      <c r="CF93" s="658" t="str" cm="1">
        <f t="array" ref="CF93">_xlfn.IFNA(_xlfn.IFS(Z93="Ada","Selesai",Z93="Tidak Perlu","Selesai",Z93="","Terlambat"),"")</f>
        <v>Selesai</v>
      </c>
      <c r="CG93" s="658" t="str" cm="1">
        <f t="array" ref="CG93">_xlfn.IFNA(_xlfn.IFS(AB93="Ada","Selesai",AB93="Tidak Perlu","Selesai",AB93="","Terlambat"),"")</f>
        <v>Selesai</v>
      </c>
      <c r="CH93" s="658" t="str" cm="1">
        <f t="array" ref="CH93">_xlfn.IFNA(_xlfn.IFS(AD93="Ada","Selesai",AD93="Tidak Perlu","Selesai",AD93="","Terlambat"),"")</f>
        <v>Selesai</v>
      </c>
      <c r="CI93" s="658" t="str" cm="1">
        <f t="array" ref="CI93">_xlfn.IFNA(_xlfn.IFS(AF93="Ada","Selesai",AF93="Tidak Perlu","Selesai",AF93="","Terlambat"),"")</f>
        <v>Selesai</v>
      </c>
      <c r="CJ93" s="658" t="str" cm="1">
        <f t="array" ref="CJ93">_xlfn.IFNA(_xlfn.IFS(AH93="Ada","Selesai",AH93="Tidak Perlu","Selesai",AH93="","Terlambat"),"")</f>
        <v>Selesai</v>
      </c>
      <c r="CK93" s="658" t="str" cm="1">
        <f t="array" ref="CK93">_xlfn.IFNA(_xlfn.IFS(AJ93="Ada","Selesai",AJ93="Tidak Perlu","Selesai",AJ93="","Terlambat"),"")</f>
        <v>Selesai</v>
      </c>
      <c r="CL93" s="658" t="str" cm="1">
        <f t="array" ref="CL93">_xlfn.IFNA(_xlfn.IFS(AL93="Ada","Selesai",AL93="Tidak Perlu","Selesai",AL93="","Terlambat"),"")</f>
        <v>Selesai</v>
      </c>
      <c r="CM93" s="658" t="str" cm="1">
        <f t="array" ref="CM93">_xlfn.IFNA(_xlfn.IFS(AN93="Ada","Selesai",AN93="Tidak Perlu","Selesai",AN93="","Terlambat"),"")</f>
        <v>Selesai</v>
      </c>
      <c r="CN93" s="658" t="str" cm="1">
        <f t="array" ref="CN93">_xlfn.IFNA(_xlfn.IFS(AP93="Ada","Selesai",AP93="Tidak Perlu","Selesai",AP93="","Terlambat"),"")</f>
        <v>Selesai</v>
      </c>
      <c r="CO93" s="658" t="str" cm="1">
        <f t="array" ref="CO93">_xlfn.IFNA(_xlfn.IFS(AR93="Ada","Selesai",AR93="Tidak Perlu","Selesai",AR93="","Terlambat"),"")</f>
        <v>Selesai</v>
      </c>
      <c r="CP93" s="658" t="str" cm="1">
        <f t="array" ref="CP93">_xlfn.IFNA(_xlfn.IFS(AT93="Ada","Selesai",AT93="Tidak Perlu","Selesai",AT93="","Terlambat"),"")</f>
        <v>Selesai</v>
      </c>
      <c r="CQ93" s="658" t="str" cm="1">
        <f t="array" ref="CQ93">_xlfn.IFNA(_xlfn.IFS(AV93="Ada","Selesai",AV93="Tidak Perlu","Selesai",AV93="","Terlambat"),"")</f>
        <v>Selesai</v>
      </c>
      <c r="CR93" s="658" t="str" cm="1">
        <f t="array" ref="CR93">_xlfn.IFNA(_xlfn.IFS(AX93="Ada","Selesai",AX93="Tidak Perlu","Selesai",AX93="","Terlambat"),"")</f>
        <v>Selesai</v>
      </c>
      <c r="CS93" s="658" t="str" cm="1">
        <f t="array" ref="CS93">_xlfn.IFNA(_xlfn.IFS(AZ93="Ada","Selesai",AZ93="Tidak Perlu","Selesai",AZ93="","Terlambat"),"")</f>
        <v>Selesai</v>
      </c>
      <c r="CT93" s="658" t="str" cm="1">
        <f t="array" ref="CT93">_xlfn.IFNA(_xlfn.IFS(BB93="Ada","Selesai",BB93="Tidak Perlu","Selesai",BB93="","Terlambat"),"")</f>
        <v>Selesai</v>
      </c>
      <c r="CU93" s="658" t="str" cm="1">
        <f t="array" ref="CU93">_xlfn.IFNA(_xlfn.IFS(BD93="Ada","Selesai",BD93="Tidak Perlu","Selesai",BD93="","Terlambat"),"")</f>
        <v>Selesai</v>
      </c>
      <c r="CV93" s="658" t="str" cm="1">
        <f t="array" ref="CV93">_xlfn.IFNA(_xlfn.IFS(BF93="Ada","Selesai",BF93="Tidak Perlu","Selesai",BF93="","Terlambat"),"")</f>
        <v>Selesai</v>
      </c>
      <c r="CW93" s="658" t="str" cm="1">
        <f t="array" ref="CW93">_xlfn.IFNA(_xlfn.IFS(BM93="Ada","Selesai",BM93="Tidak Perlu","Selesai",BM93="","Terlambat"),"")</f>
        <v/>
      </c>
    </row>
    <row r="94" spans="2:101" ht="17.25" hidden="1" customHeight="1" x14ac:dyDescent="0.2">
      <c r="B94" s="633">
        <v>87</v>
      </c>
      <c r="C94" s="633" t="s">
        <v>629</v>
      </c>
      <c r="D94" s="634" t="s">
        <v>1839</v>
      </c>
      <c r="E94" s="633" t="s">
        <v>248</v>
      </c>
      <c r="F94" s="634" t="s">
        <v>1840</v>
      </c>
      <c r="G94" s="633" t="s">
        <v>3560</v>
      </c>
      <c r="H94" s="646" t="s">
        <v>3690</v>
      </c>
      <c r="I94" s="633" t="s">
        <v>3685</v>
      </c>
      <c r="J94" s="636">
        <v>1</v>
      </c>
      <c r="K94" s="637" t="str">
        <f t="shared" si="4"/>
        <v>18/20</v>
      </c>
      <c r="L94" s="638" t="s">
        <v>3686</v>
      </c>
      <c r="M94" s="639" t="s">
        <v>3606</v>
      </c>
      <c r="N94" s="639" t="s">
        <v>1266</v>
      </c>
      <c r="O94" s="639" t="s">
        <v>3606</v>
      </c>
      <c r="P94" s="647" t="s">
        <v>3678</v>
      </c>
      <c r="Q94" s="639" t="s">
        <v>3606</v>
      </c>
      <c r="R94" s="640" t="s">
        <v>3678</v>
      </c>
      <c r="S94" s="639" t="s">
        <v>3606</v>
      </c>
      <c r="T94" s="640" t="s">
        <v>3678</v>
      </c>
      <c r="U94" s="639" t="s">
        <v>3606</v>
      </c>
      <c r="V94" s="640" t="s">
        <v>3678</v>
      </c>
      <c r="W94" s="639" t="s">
        <v>3606</v>
      </c>
      <c r="X94" s="640" t="s">
        <v>3678</v>
      </c>
      <c r="Y94" s="642" t="s">
        <v>3606</v>
      </c>
      <c r="Z94" s="640" t="s">
        <v>1266</v>
      </c>
      <c r="AA94" s="639" t="s">
        <v>3606</v>
      </c>
      <c r="AB94" s="640" t="s">
        <v>3678</v>
      </c>
      <c r="AC94" s="639" t="s">
        <v>3606</v>
      </c>
      <c r="AD94" s="640" t="s">
        <v>3678</v>
      </c>
      <c r="AE94" s="639" t="s">
        <v>3606</v>
      </c>
      <c r="AF94" s="641" t="s">
        <v>3678</v>
      </c>
      <c r="AG94" s="641" t="s">
        <v>3606</v>
      </c>
      <c r="AH94" s="640" t="s">
        <v>3678</v>
      </c>
      <c r="AI94" s="641" t="s">
        <v>3606</v>
      </c>
      <c r="AJ94" s="640" t="s">
        <v>3678</v>
      </c>
      <c r="AK94" s="641" t="s">
        <v>3606</v>
      </c>
      <c r="AL94" s="640" t="s">
        <v>3678</v>
      </c>
      <c r="AM94" s="639" t="s">
        <v>3606</v>
      </c>
      <c r="AN94" s="641" t="s">
        <v>3678</v>
      </c>
      <c r="AO94" s="639" t="s">
        <v>3606</v>
      </c>
      <c r="AP94" s="641" t="s">
        <v>3678</v>
      </c>
      <c r="AQ94" s="639" t="s">
        <v>1266</v>
      </c>
      <c r="AR94" s="640" t="s">
        <v>1266</v>
      </c>
      <c r="AS94" s="639" t="s">
        <v>3606</v>
      </c>
      <c r="AT94" s="640" t="s">
        <v>3678</v>
      </c>
      <c r="AU94" s="639" t="s">
        <v>3606</v>
      </c>
      <c r="AV94" s="640" t="s">
        <v>3678</v>
      </c>
      <c r="AW94" s="639" t="s">
        <v>3606</v>
      </c>
      <c r="AX94" s="640" t="s">
        <v>3678</v>
      </c>
      <c r="AY94" s="639" t="s">
        <v>3606</v>
      </c>
      <c r="AZ94" s="640" t="s">
        <v>3678</v>
      </c>
      <c r="BA94" s="639" t="s">
        <v>3606</v>
      </c>
      <c r="BB94" s="640" t="s">
        <v>3678</v>
      </c>
      <c r="BC94" s="639" t="s">
        <v>3606</v>
      </c>
      <c r="BD94" s="640" t="s">
        <v>3678</v>
      </c>
      <c r="BE94" s="640" t="s">
        <v>3606</v>
      </c>
      <c r="BF94" s="640" t="s">
        <v>3678</v>
      </c>
      <c r="BG94" s="640" t="s">
        <v>3606</v>
      </c>
      <c r="BH94" s="640" t="s">
        <v>3678</v>
      </c>
      <c r="BI94" s="640" t="s">
        <v>3606</v>
      </c>
      <c r="BJ94" s="640" t="s">
        <v>3678</v>
      </c>
      <c r="BK94" s="640" t="s">
        <v>3606</v>
      </c>
      <c r="BL94" s="640" t="s">
        <v>3678</v>
      </c>
      <c r="BM94" s="678" t="s">
        <v>3679</v>
      </c>
      <c r="BN94" s="684" t="s">
        <v>3719</v>
      </c>
      <c r="BO94" s="684"/>
      <c r="BP94" s="684"/>
      <c r="BQ94" s="684"/>
      <c r="BR94" s="684"/>
      <c r="BS94" s="684"/>
      <c r="BT94" s="684"/>
      <c r="BU94" s="679"/>
      <c r="BV94" s="679"/>
      <c r="BW94" s="633" t="s">
        <v>3668</v>
      </c>
      <c r="BX94" s="651" t="str">
        <f t="shared" si="3"/>
        <v>SPAM Buaran 3 Hilir</v>
      </c>
      <c r="BY94" s="651" t="str">
        <f t="shared" si="3"/>
        <v>NPP23BURP11</v>
      </c>
      <c r="BZ94" s="658" t="str" cm="1">
        <f t="array" ref="BZ94">_xlfn.IFNA(_xlfn.IFS(N94="Ada","Selesai",N94="Tidak Perlu","Selesai",N94="","Terlambat"),"")</f>
        <v>Selesai</v>
      </c>
      <c r="CA94" s="658" t="str" cm="1">
        <f t="array" ref="CA94">_xlfn.IFNA(_xlfn.IFS(P94="Ada","Selesai",P94="Tidak Perlu","Selesai",P94="","Terlambat"),"")</f>
        <v>Selesai</v>
      </c>
      <c r="CB94" s="658" t="str" cm="1">
        <f t="array" ref="CB94">_xlfn.IFNA(_xlfn.IFS(R94="Ada","Selesai",R94="Tidak Perlu","Selesai",R94="","Terlambat"),"")</f>
        <v>Selesai</v>
      </c>
      <c r="CC94" s="658" t="str" cm="1">
        <f t="array" ref="CC94">_xlfn.IFNA(_xlfn.IFS(T94="Ada","Selesai",T94="Tidak Perlu","Selesai",T94="","Terlambat"),"")</f>
        <v>Selesai</v>
      </c>
      <c r="CD94" s="658" t="str" cm="1">
        <f t="array" ref="CD94">_xlfn.IFNA(_xlfn.IFS(V94="Ada","Selesai",V94="Tidak Perlu","Selesai",V94="","Terlambat"),"")</f>
        <v>Selesai</v>
      </c>
      <c r="CE94" s="658" t="str" cm="1">
        <f t="array" ref="CE94">_xlfn.IFNA(_xlfn.IFS(X94="Ada","Selesai",X94="Tidak Perlu","Selesai",X94="","Terlambat"),"")</f>
        <v>Selesai</v>
      </c>
      <c r="CF94" s="658" t="str" cm="1">
        <f t="array" ref="CF94">_xlfn.IFNA(_xlfn.IFS(Z94="Ada","Selesai",Z94="Tidak Perlu","Selesai",Z94="","Terlambat"),"")</f>
        <v>Selesai</v>
      </c>
      <c r="CG94" s="658" t="str" cm="1">
        <f t="array" ref="CG94">_xlfn.IFNA(_xlfn.IFS(AB94="Ada","Selesai",AB94="Tidak Perlu","Selesai",AB94="","Terlambat"),"")</f>
        <v>Selesai</v>
      </c>
      <c r="CH94" s="658" t="str" cm="1">
        <f t="array" ref="CH94">_xlfn.IFNA(_xlfn.IFS(AD94="Ada","Selesai",AD94="Tidak Perlu","Selesai",AD94="","Terlambat"),"")</f>
        <v>Selesai</v>
      </c>
      <c r="CI94" s="658" t="str" cm="1">
        <f t="array" ref="CI94">_xlfn.IFNA(_xlfn.IFS(AF94="Ada","Selesai",AF94="Tidak Perlu","Selesai",AF94="","Terlambat"),"")</f>
        <v>Selesai</v>
      </c>
      <c r="CJ94" s="658" t="str" cm="1">
        <f t="array" ref="CJ94">_xlfn.IFNA(_xlfn.IFS(AH94="Ada","Selesai",AH94="Tidak Perlu","Selesai",AH94="","Terlambat"),"")</f>
        <v>Selesai</v>
      </c>
      <c r="CK94" s="658" t="str" cm="1">
        <f t="array" ref="CK94">_xlfn.IFNA(_xlfn.IFS(AJ94="Ada","Selesai",AJ94="Tidak Perlu","Selesai",AJ94="","Terlambat"),"")</f>
        <v>Selesai</v>
      </c>
      <c r="CL94" s="658" t="str" cm="1">
        <f t="array" ref="CL94">_xlfn.IFNA(_xlfn.IFS(AL94="Ada","Selesai",AL94="Tidak Perlu","Selesai",AL94="","Terlambat"),"")</f>
        <v>Selesai</v>
      </c>
      <c r="CM94" s="658" t="str" cm="1">
        <f t="array" ref="CM94">_xlfn.IFNA(_xlfn.IFS(AN94="Ada","Selesai",AN94="Tidak Perlu","Selesai",AN94="","Terlambat"),"")</f>
        <v>Selesai</v>
      </c>
      <c r="CN94" s="658" t="str" cm="1">
        <f t="array" ref="CN94">_xlfn.IFNA(_xlfn.IFS(AP94="Ada","Selesai",AP94="Tidak Perlu","Selesai",AP94="","Terlambat"),"")</f>
        <v>Selesai</v>
      </c>
      <c r="CO94" s="658" t="str" cm="1">
        <f t="array" ref="CO94">_xlfn.IFNA(_xlfn.IFS(AR94="Ada","Selesai",AR94="Tidak Perlu","Selesai",AR94="","Terlambat"),"")</f>
        <v>Selesai</v>
      </c>
      <c r="CP94" s="658" t="str" cm="1">
        <f t="array" ref="CP94">_xlfn.IFNA(_xlfn.IFS(AT94="Ada","Selesai",AT94="Tidak Perlu","Selesai",AT94="","Terlambat"),"")</f>
        <v>Selesai</v>
      </c>
      <c r="CQ94" s="658" t="str" cm="1">
        <f t="array" ref="CQ94">_xlfn.IFNA(_xlfn.IFS(AV94="Ada","Selesai",AV94="Tidak Perlu","Selesai",AV94="","Terlambat"),"")</f>
        <v>Selesai</v>
      </c>
      <c r="CR94" s="658" t="str" cm="1">
        <f t="array" ref="CR94">_xlfn.IFNA(_xlfn.IFS(AX94="Ada","Selesai",AX94="Tidak Perlu","Selesai",AX94="","Terlambat"),"")</f>
        <v>Selesai</v>
      </c>
      <c r="CS94" s="658" t="str" cm="1">
        <f t="array" ref="CS94">_xlfn.IFNA(_xlfn.IFS(AZ94="Ada","Selesai",AZ94="Tidak Perlu","Selesai",AZ94="","Terlambat"),"")</f>
        <v>Selesai</v>
      </c>
      <c r="CT94" s="658" t="str" cm="1">
        <f t="array" ref="CT94">_xlfn.IFNA(_xlfn.IFS(BB94="Ada","Selesai",BB94="Tidak Perlu","Selesai",BB94="","Terlambat"),"")</f>
        <v>Selesai</v>
      </c>
      <c r="CU94" s="658" t="str" cm="1">
        <f t="array" ref="CU94">_xlfn.IFNA(_xlfn.IFS(BD94="Ada","Selesai",BD94="Tidak Perlu","Selesai",BD94="","Terlambat"),"")</f>
        <v>Selesai</v>
      </c>
      <c r="CV94" s="658" t="str" cm="1">
        <f t="array" ref="CV94">_xlfn.IFNA(_xlfn.IFS(BF94="Ada","Selesai",BF94="Tidak Perlu","Selesai",BF94="","Terlambat"),"")</f>
        <v>Selesai</v>
      </c>
      <c r="CW94" s="658" t="str" cm="1">
        <f t="array" ref="CW94">_xlfn.IFNA(_xlfn.IFS(BM94="Ada","Selesai",BM94="Tidak Perlu","Selesai",BM94="","Terlambat"),"")</f>
        <v/>
      </c>
    </row>
    <row r="95" spans="2:101" ht="17.25" hidden="1" customHeight="1" x14ac:dyDescent="0.2">
      <c r="B95" s="633">
        <v>88</v>
      </c>
      <c r="C95" s="633" t="s">
        <v>629</v>
      </c>
      <c r="D95" s="634" t="s">
        <v>1848</v>
      </c>
      <c r="E95" s="633" t="s">
        <v>248</v>
      </c>
      <c r="F95" s="634" t="s">
        <v>1849</v>
      </c>
      <c r="G95" s="633" t="s">
        <v>3608</v>
      </c>
      <c r="H95" s="646" t="s">
        <v>3690</v>
      </c>
      <c r="I95" s="633" t="s">
        <v>3668</v>
      </c>
      <c r="J95" s="636">
        <v>0.7893</v>
      </c>
      <c r="K95" s="637" t="str">
        <f t="shared" si="4"/>
        <v>7/20</v>
      </c>
      <c r="L95" s="638" t="s">
        <v>3669</v>
      </c>
      <c r="M95" s="639" t="s">
        <v>3606</v>
      </c>
      <c r="N95" s="639"/>
      <c r="O95" s="639" t="s">
        <v>3603</v>
      </c>
      <c r="P95" s="647"/>
      <c r="Q95" s="639" t="s">
        <v>3603</v>
      </c>
      <c r="R95" s="647"/>
      <c r="S95" s="639" t="s">
        <v>3606</v>
      </c>
      <c r="T95" s="639"/>
      <c r="U95" s="639" t="s">
        <v>3606</v>
      </c>
      <c r="V95" s="640"/>
      <c r="W95" s="639" t="s">
        <v>3603</v>
      </c>
      <c r="X95" s="640"/>
      <c r="Y95" s="642" t="s">
        <v>3603</v>
      </c>
      <c r="Z95" s="640" t="s">
        <v>1266</v>
      </c>
      <c r="AA95" s="639" t="s">
        <v>3603</v>
      </c>
      <c r="AB95" s="640"/>
      <c r="AC95" s="639" t="s">
        <v>3603</v>
      </c>
      <c r="AD95" s="640"/>
      <c r="AE95" s="639" t="s">
        <v>3606</v>
      </c>
      <c r="AF95" s="641" t="s">
        <v>3678</v>
      </c>
      <c r="AG95" s="641" t="s">
        <v>3603</v>
      </c>
      <c r="AH95" s="640"/>
      <c r="AI95" s="641" t="s">
        <v>3603</v>
      </c>
      <c r="AJ95" s="640"/>
      <c r="AK95" s="641" t="s">
        <v>3603</v>
      </c>
      <c r="AL95" s="640"/>
      <c r="AM95" s="639" t="s">
        <v>3606</v>
      </c>
      <c r="AN95" s="640"/>
      <c r="AO95" s="639" t="s">
        <v>3603</v>
      </c>
      <c r="AP95" s="640"/>
      <c r="AQ95" s="639" t="s">
        <v>3603</v>
      </c>
      <c r="AR95" s="640"/>
      <c r="AS95" s="639" t="s">
        <v>3603</v>
      </c>
      <c r="AT95" s="640"/>
      <c r="AU95" s="639" t="s">
        <v>3603</v>
      </c>
      <c r="AV95" s="640"/>
      <c r="AW95" s="639" t="s">
        <v>3606</v>
      </c>
      <c r="AX95" s="640"/>
      <c r="AY95" s="639" t="s">
        <v>3603</v>
      </c>
      <c r="AZ95" s="640"/>
      <c r="BA95" s="639" t="s">
        <v>3606</v>
      </c>
      <c r="BB95" s="640"/>
      <c r="BC95" s="639" t="s">
        <v>3606</v>
      </c>
      <c r="BD95" s="640"/>
      <c r="BE95" s="640" t="s">
        <v>3604</v>
      </c>
      <c r="BF95" s="640"/>
      <c r="BG95" s="640" t="s">
        <v>3603</v>
      </c>
      <c r="BH95" s="640"/>
      <c r="BI95" s="640" t="s">
        <v>3603</v>
      </c>
      <c r="BJ95" s="640"/>
      <c r="BK95" s="640" t="s">
        <v>3603</v>
      </c>
      <c r="BL95" s="640"/>
      <c r="BM95" s="678"/>
      <c r="BN95" s="684" t="s">
        <v>3719</v>
      </c>
      <c r="BO95" s="684"/>
      <c r="BP95" s="684"/>
      <c r="BQ95" s="684"/>
      <c r="BR95" s="684"/>
      <c r="BS95" s="684"/>
      <c r="BT95" s="684"/>
      <c r="BU95" s="679"/>
      <c r="BV95" s="679"/>
      <c r="BW95" s="633" t="s">
        <v>3668</v>
      </c>
      <c r="BX95" s="651" t="str">
        <f t="shared" ref="BX95:BY113" si="6">C95</f>
        <v>SPAM Buaran 3 Hilir</v>
      </c>
      <c r="BY95" s="651" t="str">
        <f t="shared" si="6"/>
        <v>NPP23BURP12</v>
      </c>
      <c r="BZ95" s="658" t="str" cm="1">
        <f t="array" ref="BZ95">_xlfn.IFNA(_xlfn.IFS(N95="Ada","Selesai",N95="Tidak Perlu","Selesai",N95="","Terlambat"),"")</f>
        <v>Terlambat</v>
      </c>
      <c r="CA95" s="658" t="str" cm="1">
        <f t="array" ref="CA95">_xlfn.IFNA(_xlfn.IFS(P95="Ada","Selesai",P95="Tidak Perlu","Selesai",P95="","Terlambat"),"")</f>
        <v>Terlambat</v>
      </c>
      <c r="CB95" s="658" t="str" cm="1">
        <f t="array" ref="CB95">_xlfn.IFNA(_xlfn.IFS(R95="Ada","Selesai",R95="Tidak Perlu","Selesai",R95="","Terlambat"),"")</f>
        <v>Terlambat</v>
      </c>
      <c r="CC95" s="658" t="str" cm="1">
        <f t="array" ref="CC95">_xlfn.IFNA(_xlfn.IFS(T95="Ada","Selesai",T95="Tidak Perlu","Selesai",T95="","Terlambat"),"")</f>
        <v>Terlambat</v>
      </c>
      <c r="CD95" s="658" t="str" cm="1">
        <f t="array" ref="CD95">_xlfn.IFNA(_xlfn.IFS(V95="Ada","Selesai",V95="Tidak Perlu","Selesai",V95="","Terlambat"),"")</f>
        <v>Terlambat</v>
      </c>
      <c r="CE95" s="658" t="str" cm="1">
        <f t="array" ref="CE95">_xlfn.IFNA(_xlfn.IFS(X95="Ada","Selesai",X95="Tidak Perlu","Selesai",X95="","Terlambat"),"")</f>
        <v>Terlambat</v>
      </c>
      <c r="CF95" s="658" t="str" cm="1">
        <f t="array" ref="CF95">_xlfn.IFNA(_xlfn.IFS(Z95="Ada","Selesai",Z95="Tidak Perlu","Selesai",Z95="","Terlambat"),"")</f>
        <v>Selesai</v>
      </c>
      <c r="CG95" s="658" t="str" cm="1">
        <f t="array" ref="CG95">_xlfn.IFNA(_xlfn.IFS(AB95="Ada","Selesai",AB95="Tidak Perlu","Selesai",AB95="","Terlambat"),"")</f>
        <v>Terlambat</v>
      </c>
      <c r="CH95" s="658" t="str" cm="1">
        <f t="array" ref="CH95">_xlfn.IFNA(_xlfn.IFS(AD95="Ada","Selesai",AD95="Tidak Perlu","Selesai",AD95="","Terlambat"),"")</f>
        <v>Terlambat</v>
      </c>
      <c r="CI95" s="658" t="str" cm="1">
        <f t="array" ref="CI95">_xlfn.IFNA(_xlfn.IFS(AF95="Ada","Selesai",AF95="Tidak Perlu","Selesai",AF95="","Terlambat"),"")</f>
        <v>Selesai</v>
      </c>
      <c r="CJ95" s="658" t="str" cm="1">
        <f t="array" ref="CJ95">_xlfn.IFNA(_xlfn.IFS(AH95="Ada","Selesai",AH95="Tidak Perlu","Selesai",AH95="","Terlambat"),"")</f>
        <v>Terlambat</v>
      </c>
      <c r="CK95" s="658" t="str" cm="1">
        <f t="array" ref="CK95">_xlfn.IFNA(_xlfn.IFS(AJ95="Ada","Selesai",AJ95="Tidak Perlu","Selesai",AJ95="","Terlambat"),"")</f>
        <v>Terlambat</v>
      </c>
      <c r="CL95" s="658" t="str" cm="1">
        <f t="array" ref="CL95">_xlfn.IFNA(_xlfn.IFS(AL95="Ada","Selesai",AL95="Tidak Perlu","Selesai",AL95="","Terlambat"),"")</f>
        <v>Terlambat</v>
      </c>
      <c r="CM95" s="658" t="str" cm="1">
        <f t="array" ref="CM95">_xlfn.IFNA(_xlfn.IFS(AN95="Ada","Selesai",AN95="Tidak Perlu","Selesai",AN95="","Terlambat"),"")</f>
        <v>Terlambat</v>
      </c>
      <c r="CN95" s="658" t="str" cm="1">
        <f t="array" ref="CN95">_xlfn.IFNA(_xlfn.IFS(AP95="Ada","Selesai",AP95="Tidak Perlu","Selesai",AP95="","Terlambat"),"")</f>
        <v>Terlambat</v>
      </c>
      <c r="CO95" s="658" t="str" cm="1">
        <f t="array" ref="CO95">_xlfn.IFNA(_xlfn.IFS(AR95="Ada","Selesai",AR95="Tidak Perlu","Selesai",AR95="","Terlambat"),"")</f>
        <v>Terlambat</v>
      </c>
      <c r="CP95" s="658" t="str" cm="1">
        <f t="array" ref="CP95">_xlfn.IFNA(_xlfn.IFS(AT95="Ada","Selesai",AT95="Tidak Perlu","Selesai",AT95="","Terlambat"),"")</f>
        <v>Terlambat</v>
      </c>
      <c r="CQ95" s="658" t="str" cm="1">
        <f t="array" ref="CQ95">_xlfn.IFNA(_xlfn.IFS(AV95="Ada","Selesai",AV95="Tidak Perlu","Selesai",AV95="","Terlambat"),"")</f>
        <v>Terlambat</v>
      </c>
      <c r="CR95" s="658" t="str" cm="1">
        <f t="array" ref="CR95">_xlfn.IFNA(_xlfn.IFS(AX95="Ada","Selesai",AX95="Tidak Perlu","Selesai",AX95="","Terlambat"),"")</f>
        <v>Terlambat</v>
      </c>
      <c r="CS95" s="658" t="str" cm="1">
        <f t="array" ref="CS95">_xlfn.IFNA(_xlfn.IFS(AZ95="Ada","Selesai",AZ95="Tidak Perlu","Selesai",AZ95="","Terlambat"),"")</f>
        <v>Terlambat</v>
      </c>
      <c r="CT95" s="658" t="str" cm="1">
        <f t="array" ref="CT95">_xlfn.IFNA(_xlfn.IFS(BB95="Ada","Selesai",BB95="Tidak Perlu","Selesai",BB95="","Terlambat"),"")</f>
        <v>Terlambat</v>
      </c>
      <c r="CU95" s="658" t="str" cm="1">
        <f t="array" ref="CU95">_xlfn.IFNA(_xlfn.IFS(BD95="Ada","Selesai",BD95="Tidak Perlu","Selesai",BD95="","Terlambat"),"")</f>
        <v>Terlambat</v>
      </c>
      <c r="CV95" s="658" t="str" cm="1">
        <f t="array" ref="CV95">_xlfn.IFNA(_xlfn.IFS(BF95="Ada","Selesai",BF95="Tidak Perlu","Selesai",BF95="","Terlambat"),"")</f>
        <v>Terlambat</v>
      </c>
      <c r="CW95" s="658" t="str" cm="1">
        <f t="array" ref="CW95">_xlfn.IFNA(_xlfn.IFS(BM95="Ada","Selesai",BM95="Tidak Perlu","Selesai",BM95="","Terlambat"),"")</f>
        <v>Terlambat</v>
      </c>
    </row>
    <row r="96" spans="2:101" ht="17.25" hidden="1" customHeight="1" x14ac:dyDescent="0.2">
      <c r="B96" s="633">
        <v>89</v>
      </c>
      <c r="C96" s="633" t="s">
        <v>629</v>
      </c>
      <c r="D96" s="634" t="s">
        <v>1983</v>
      </c>
      <c r="E96" s="633" t="s">
        <v>278</v>
      </c>
      <c r="F96" s="634" t="s">
        <v>1984</v>
      </c>
      <c r="G96" s="633" t="s">
        <v>3560</v>
      </c>
      <c r="H96" s="635" t="s">
        <v>3667</v>
      </c>
      <c r="I96" s="633" t="s">
        <v>3685</v>
      </c>
      <c r="J96" s="636">
        <v>1</v>
      </c>
      <c r="K96" s="637" t="str">
        <f t="shared" si="4"/>
        <v>19/20</v>
      </c>
      <c r="L96" s="638" t="s">
        <v>3686</v>
      </c>
      <c r="M96" s="639" t="s">
        <v>3606</v>
      </c>
      <c r="N96" s="639" t="s">
        <v>1266</v>
      </c>
      <c r="O96" s="639" t="s">
        <v>3606</v>
      </c>
      <c r="P96" s="641" t="s">
        <v>3678</v>
      </c>
      <c r="Q96" s="639" t="s">
        <v>3606</v>
      </c>
      <c r="R96" s="641" t="s">
        <v>3678</v>
      </c>
      <c r="S96" s="639" t="s">
        <v>3606</v>
      </c>
      <c r="T96" s="640" t="s">
        <v>3678</v>
      </c>
      <c r="U96" s="639" t="s">
        <v>3606</v>
      </c>
      <c r="V96" s="641" t="s">
        <v>3678</v>
      </c>
      <c r="W96" s="639" t="s">
        <v>3606</v>
      </c>
      <c r="X96" s="641" t="s">
        <v>3678</v>
      </c>
      <c r="Y96" s="642" t="s">
        <v>3606</v>
      </c>
      <c r="Z96" s="640" t="s">
        <v>1266</v>
      </c>
      <c r="AA96" s="639" t="s">
        <v>3606</v>
      </c>
      <c r="AB96" s="641" t="s">
        <v>3706</v>
      </c>
      <c r="AC96" s="639" t="s">
        <v>3606</v>
      </c>
      <c r="AD96" s="641" t="s">
        <v>3678</v>
      </c>
      <c r="AE96" s="639" t="s">
        <v>3606</v>
      </c>
      <c r="AF96" s="641" t="s">
        <v>3678</v>
      </c>
      <c r="AG96" s="641" t="s">
        <v>3606</v>
      </c>
      <c r="AH96" s="641" t="s">
        <v>3678</v>
      </c>
      <c r="AI96" s="641" t="s">
        <v>3606</v>
      </c>
      <c r="AJ96" s="641" t="s">
        <v>3678</v>
      </c>
      <c r="AK96" s="641" t="s">
        <v>3606</v>
      </c>
      <c r="AL96" s="641" t="s">
        <v>3678</v>
      </c>
      <c r="AM96" s="639" t="s">
        <v>3606</v>
      </c>
      <c r="AN96" s="641" t="s">
        <v>3678</v>
      </c>
      <c r="AO96" s="639" t="s">
        <v>3606</v>
      </c>
      <c r="AP96" s="641" t="s">
        <v>3678</v>
      </c>
      <c r="AQ96" s="639" t="s">
        <v>3606</v>
      </c>
      <c r="AR96" s="640" t="s">
        <v>3678</v>
      </c>
      <c r="AS96" s="639" t="s">
        <v>3606</v>
      </c>
      <c r="AT96" s="640" t="s">
        <v>3678</v>
      </c>
      <c r="AU96" s="639" t="s">
        <v>3606</v>
      </c>
      <c r="AV96" s="641" t="s">
        <v>3678</v>
      </c>
      <c r="AW96" s="639" t="s">
        <v>3606</v>
      </c>
      <c r="AX96" s="640" t="s">
        <v>3678</v>
      </c>
      <c r="AY96" s="639" t="s">
        <v>3606</v>
      </c>
      <c r="AZ96" s="640" t="s">
        <v>3678</v>
      </c>
      <c r="BA96" s="639" t="s">
        <v>3606</v>
      </c>
      <c r="BB96" s="640" t="s">
        <v>3678</v>
      </c>
      <c r="BC96" s="639" t="s">
        <v>3606</v>
      </c>
      <c r="BD96" s="640" t="s">
        <v>3678</v>
      </c>
      <c r="BE96" s="640" t="s">
        <v>3606</v>
      </c>
      <c r="BF96" s="640" t="s">
        <v>3678</v>
      </c>
      <c r="BG96" s="640" t="s">
        <v>3606</v>
      </c>
      <c r="BH96" s="640" t="s">
        <v>3678</v>
      </c>
      <c r="BI96" s="640" t="s">
        <v>3606</v>
      </c>
      <c r="BJ96" s="640" t="s">
        <v>3678</v>
      </c>
      <c r="BK96" s="640" t="s">
        <v>3606</v>
      </c>
      <c r="BL96" s="640" t="s">
        <v>3678</v>
      </c>
      <c r="BM96" s="640"/>
      <c r="BN96" s="637"/>
      <c r="BO96" s="637"/>
      <c r="BP96" s="637"/>
      <c r="BQ96" s="637"/>
      <c r="BR96" s="637"/>
      <c r="BS96" s="637"/>
      <c r="BT96" s="637"/>
      <c r="BU96" s="679"/>
      <c r="BV96" s="679"/>
      <c r="BW96" s="633" t="s">
        <v>3685</v>
      </c>
      <c r="BX96" s="651" t="str">
        <f t="shared" si="6"/>
        <v>SPAM Buaran 3 Hilir</v>
      </c>
      <c r="BY96" s="651" t="str">
        <f t="shared" si="6"/>
        <v>24ABJ.NINBUR162.2JP</v>
      </c>
      <c r="BZ96" s="658" t="str" cm="1">
        <f t="array" ref="BZ96">_xlfn.IFNA(_xlfn.IFS(N96="Ada","Selesai",N96="Tidak Perlu","Selesai",N96="","Terlambat"),"")</f>
        <v>Selesai</v>
      </c>
      <c r="CA96" s="658" t="str" cm="1">
        <f t="array" ref="CA96">_xlfn.IFNA(_xlfn.IFS(P96="Ada","Selesai",P96="Tidak Perlu","Selesai",P96="","Terlambat"),"")</f>
        <v>Selesai</v>
      </c>
      <c r="CB96" s="658" t="str" cm="1">
        <f t="array" ref="CB96">_xlfn.IFNA(_xlfn.IFS(R96="Ada","Selesai",R96="Tidak Perlu","Selesai",R96="","Terlambat"),"")</f>
        <v>Selesai</v>
      </c>
      <c r="CC96" s="658" t="str" cm="1">
        <f t="array" ref="CC96">_xlfn.IFNA(_xlfn.IFS(T96="Ada","Selesai",T96="Tidak Perlu","Selesai",T96="","Terlambat"),"")</f>
        <v>Selesai</v>
      </c>
      <c r="CD96" s="658" t="str" cm="1">
        <f t="array" ref="CD96">_xlfn.IFNA(_xlfn.IFS(V96="Ada","Selesai",V96="Tidak Perlu","Selesai",V96="","Terlambat"),"")</f>
        <v>Selesai</v>
      </c>
      <c r="CE96" s="658" t="str" cm="1">
        <f t="array" ref="CE96">_xlfn.IFNA(_xlfn.IFS(X96="Ada","Selesai",X96="Tidak Perlu","Selesai",X96="","Terlambat"),"")</f>
        <v>Selesai</v>
      </c>
      <c r="CF96" s="658" t="str" cm="1">
        <f t="array" ref="CF96">_xlfn.IFNA(_xlfn.IFS(Z96="Ada","Selesai",Z96="Tidak Perlu","Selesai",Z96="","Terlambat"),"")</f>
        <v>Selesai</v>
      </c>
      <c r="CG96" s="658" t="str" cm="1">
        <f t="array" ref="CG96">_xlfn.IFNA(_xlfn.IFS(AB96="Ada","Selesai",AB96="Tidak Perlu","Selesai",AB96="","Terlambat"),"")</f>
        <v>Selesai</v>
      </c>
      <c r="CH96" s="658" t="str" cm="1">
        <f t="array" ref="CH96">_xlfn.IFNA(_xlfn.IFS(AD96="Ada","Selesai",AD96="Tidak Perlu","Selesai",AD96="","Terlambat"),"")</f>
        <v>Selesai</v>
      </c>
      <c r="CI96" s="658" t="str" cm="1">
        <f t="array" ref="CI96">_xlfn.IFNA(_xlfn.IFS(AF96="Ada","Selesai",AF96="Tidak Perlu","Selesai",AF96="","Terlambat"),"")</f>
        <v>Selesai</v>
      </c>
      <c r="CJ96" s="658" t="str" cm="1">
        <f t="array" ref="CJ96">_xlfn.IFNA(_xlfn.IFS(AH96="Ada","Selesai",AH96="Tidak Perlu","Selesai",AH96="","Terlambat"),"")</f>
        <v>Selesai</v>
      </c>
      <c r="CK96" s="658" t="str" cm="1">
        <f t="array" ref="CK96">_xlfn.IFNA(_xlfn.IFS(AJ96="Ada","Selesai",AJ96="Tidak Perlu","Selesai",AJ96="","Terlambat"),"")</f>
        <v>Selesai</v>
      </c>
      <c r="CL96" s="658" t="str" cm="1">
        <f t="array" ref="CL96">_xlfn.IFNA(_xlfn.IFS(AL96="Ada","Selesai",AL96="Tidak Perlu","Selesai",AL96="","Terlambat"),"")</f>
        <v>Selesai</v>
      </c>
      <c r="CM96" s="658" t="str" cm="1">
        <f t="array" ref="CM96">_xlfn.IFNA(_xlfn.IFS(AN96="Ada","Selesai",AN96="Tidak Perlu","Selesai",AN96="","Terlambat"),"")</f>
        <v>Selesai</v>
      </c>
      <c r="CN96" s="658" t="str" cm="1">
        <f t="array" ref="CN96">_xlfn.IFNA(_xlfn.IFS(AP96="Ada","Selesai",AP96="Tidak Perlu","Selesai",AP96="","Terlambat"),"")</f>
        <v>Selesai</v>
      </c>
      <c r="CO96" s="658" t="str" cm="1">
        <f t="array" ref="CO96">_xlfn.IFNA(_xlfn.IFS(AR96="Ada","Selesai",AR96="Tidak Perlu","Selesai",AR96="","Terlambat"),"")</f>
        <v>Selesai</v>
      </c>
      <c r="CP96" s="658" t="str" cm="1">
        <f t="array" ref="CP96">_xlfn.IFNA(_xlfn.IFS(AT96="Ada","Selesai",AT96="Tidak Perlu","Selesai",AT96="","Terlambat"),"")</f>
        <v>Selesai</v>
      </c>
      <c r="CQ96" s="658" t="str" cm="1">
        <f t="array" ref="CQ96">_xlfn.IFNA(_xlfn.IFS(AV96="Ada","Selesai",AV96="Tidak Perlu","Selesai",AV96="","Terlambat"),"")</f>
        <v>Selesai</v>
      </c>
      <c r="CR96" s="658" t="str" cm="1">
        <f t="array" ref="CR96">_xlfn.IFNA(_xlfn.IFS(AX96="Ada","Selesai",AX96="Tidak Perlu","Selesai",AX96="","Terlambat"),"")</f>
        <v>Selesai</v>
      </c>
      <c r="CS96" s="658" t="str" cm="1">
        <f t="array" ref="CS96">_xlfn.IFNA(_xlfn.IFS(AZ96="Ada","Selesai",AZ96="Tidak Perlu","Selesai",AZ96="","Terlambat"),"")</f>
        <v>Selesai</v>
      </c>
      <c r="CT96" s="658" t="str" cm="1">
        <f t="array" ref="CT96">_xlfn.IFNA(_xlfn.IFS(BB96="Ada","Selesai",BB96="Tidak Perlu","Selesai",BB96="","Terlambat"),"")</f>
        <v>Selesai</v>
      </c>
      <c r="CU96" s="658" t="str" cm="1">
        <f t="array" ref="CU96">_xlfn.IFNA(_xlfn.IFS(BD96="Ada","Selesai",BD96="Tidak Perlu","Selesai",BD96="","Terlambat"),"")</f>
        <v>Selesai</v>
      </c>
      <c r="CV96" s="658" t="str" cm="1">
        <f t="array" ref="CV96">_xlfn.IFNA(_xlfn.IFS(BF96="Ada","Selesai",BF96="Tidak Perlu","Selesai",BF96="","Terlambat"),"")</f>
        <v>Selesai</v>
      </c>
      <c r="CW96" s="658" t="str" cm="1">
        <f t="array" ref="CW96">_xlfn.IFNA(_xlfn.IFS(BM96="Ada","Selesai",BM96="Tidak Perlu","Selesai",BM96="","Terlambat"),"")</f>
        <v>Terlambat</v>
      </c>
    </row>
    <row r="97" spans="2:101" ht="17.25" hidden="1" customHeight="1" x14ac:dyDescent="0.2">
      <c r="B97" s="633">
        <v>90</v>
      </c>
      <c r="C97" s="633" t="s">
        <v>629</v>
      </c>
      <c r="D97" s="634" t="s">
        <v>1992</v>
      </c>
      <c r="E97" s="633" t="s">
        <v>278</v>
      </c>
      <c r="F97" s="681" t="s">
        <v>1993</v>
      </c>
      <c r="G97" s="633" t="s">
        <v>3560</v>
      </c>
      <c r="H97" s="635" t="s">
        <v>3667</v>
      </c>
      <c r="I97" s="633" t="s">
        <v>3685</v>
      </c>
      <c r="J97" s="636">
        <v>1</v>
      </c>
      <c r="K97" s="637" t="str">
        <f t="shared" si="4"/>
        <v>19/20</v>
      </c>
      <c r="L97" s="638" t="s">
        <v>3686</v>
      </c>
      <c r="M97" s="639" t="s">
        <v>3606</v>
      </c>
      <c r="N97" s="639" t="s">
        <v>1266</v>
      </c>
      <c r="O97" s="639" t="s">
        <v>3606</v>
      </c>
      <c r="P97" s="641" t="s">
        <v>3678</v>
      </c>
      <c r="Q97" s="639" t="s">
        <v>3606</v>
      </c>
      <c r="R97" s="641" t="s">
        <v>3678</v>
      </c>
      <c r="S97" s="639" t="s">
        <v>3606</v>
      </c>
      <c r="T97" s="640" t="s">
        <v>3678</v>
      </c>
      <c r="U97" s="639" t="s">
        <v>3606</v>
      </c>
      <c r="V97" s="640" t="s">
        <v>3678</v>
      </c>
      <c r="W97" s="639" t="s">
        <v>3606</v>
      </c>
      <c r="X97" s="640" t="s">
        <v>3678</v>
      </c>
      <c r="Y97" s="642" t="s">
        <v>3606</v>
      </c>
      <c r="Z97" s="640" t="s">
        <v>1266</v>
      </c>
      <c r="AA97" s="639" t="s">
        <v>3606</v>
      </c>
      <c r="AB97" s="640" t="s">
        <v>3678</v>
      </c>
      <c r="AC97" s="639" t="s">
        <v>3606</v>
      </c>
      <c r="AD97" s="640" t="s">
        <v>3678</v>
      </c>
      <c r="AE97" s="639" t="s">
        <v>3606</v>
      </c>
      <c r="AF97" s="640" t="s">
        <v>3678</v>
      </c>
      <c r="AG97" s="641" t="s">
        <v>3606</v>
      </c>
      <c r="AH97" s="640" t="s">
        <v>3678</v>
      </c>
      <c r="AI97" s="641" t="s">
        <v>3606</v>
      </c>
      <c r="AJ97" s="640" t="s">
        <v>3678</v>
      </c>
      <c r="AK97" s="641" t="s">
        <v>3606</v>
      </c>
      <c r="AL97" s="640" t="s">
        <v>3678</v>
      </c>
      <c r="AM97" s="639" t="s">
        <v>3606</v>
      </c>
      <c r="AN97" s="640" t="s">
        <v>3678</v>
      </c>
      <c r="AO97" s="639" t="s">
        <v>3606</v>
      </c>
      <c r="AP97" s="640" t="s">
        <v>3678</v>
      </c>
      <c r="AQ97" s="639" t="s">
        <v>3606</v>
      </c>
      <c r="AR97" s="640" t="s">
        <v>3678</v>
      </c>
      <c r="AS97" s="639" t="s">
        <v>3606</v>
      </c>
      <c r="AT97" s="640" t="s">
        <v>3678</v>
      </c>
      <c r="AU97" s="639" t="s">
        <v>3606</v>
      </c>
      <c r="AV97" s="640" t="s">
        <v>3678</v>
      </c>
      <c r="AW97" s="639" t="s">
        <v>3606</v>
      </c>
      <c r="AX97" s="640" t="s">
        <v>3678</v>
      </c>
      <c r="AY97" s="639" t="s">
        <v>3606</v>
      </c>
      <c r="AZ97" s="640" t="s">
        <v>3678</v>
      </c>
      <c r="BA97" s="639" t="s">
        <v>3606</v>
      </c>
      <c r="BB97" s="640" t="s">
        <v>3678</v>
      </c>
      <c r="BC97" s="639" t="s">
        <v>3606</v>
      </c>
      <c r="BD97" s="640" t="s">
        <v>3678</v>
      </c>
      <c r="BE97" s="640" t="s">
        <v>3606</v>
      </c>
      <c r="BF97" s="640" t="s">
        <v>3678</v>
      </c>
      <c r="BG97" s="640" t="s">
        <v>1266</v>
      </c>
      <c r="BH97" s="640" t="s">
        <v>1266</v>
      </c>
      <c r="BI97" s="640" t="s">
        <v>3606</v>
      </c>
      <c r="BJ97" s="640" t="s">
        <v>3678</v>
      </c>
      <c r="BK97" s="640" t="s">
        <v>3606</v>
      </c>
      <c r="BL97" s="640" t="s">
        <v>3678</v>
      </c>
      <c r="BM97" s="640"/>
      <c r="BN97" s="637"/>
      <c r="BO97" s="637"/>
      <c r="BP97" s="637"/>
      <c r="BQ97" s="637"/>
      <c r="BR97" s="637"/>
      <c r="BS97" s="637"/>
      <c r="BT97" s="637"/>
      <c r="BU97" s="679"/>
      <c r="BV97" s="679"/>
      <c r="BW97" s="633" t="s">
        <v>3687</v>
      </c>
      <c r="BX97" s="651" t="str">
        <f t="shared" si="6"/>
        <v>SPAM Buaran 3 Hilir</v>
      </c>
      <c r="BY97" s="651" t="str">
        <f t="shared" si="6"/>
        <v>24ABJ.NINBUR162.3JP</v>
      </c>
      <c r="BZ97" s="658" t="str" cm="1">
        <f t="array" ref="BZ97">_xlfn.IFNA(_xlfn.IFS(N97="Ada","Selesai",N97="Tidak Perlu","Selesai",N97="","Terlambat"),"")</f>
        <v>Selesai</v>
      </c>
      <c r="CA97" s="658" t="str" cm="1">
        <f t="array" ref="CA97">_xlfn.IFNA(_xlfn.IFS(P97="Ada","Selesai",P97="Tidak Perlu","Selesai",P97="","Terlambat"),"")</f>
        <v>Selesai</v>
      </c>
      <c r="CB97" s="658" t="str" cm="1">
        <f t="array" ref="CB97">_xlfn.IFNA(_xlfn.IFS(R97="Ada","Selesai",R97="Tidak Perlu","Selesai",R97="","Terlambat"),"")</f>
        <v>Selesai</v>
      </c>
      <c r="CC97" s="658" t="str" cm="1">
        <f t="array" ref="CC97">_xlfn.IFNA(_xlfn.IFS(T97="Ada","Selesai",T97="Tidak Perlu","Selesai",T97="","Terlambat"),"")</f>
        <v>Selesai</v>
      </c>
      <c r="CD97" s="658" t="str" cm="1">
        <f t="array" ref="CD97">_xlfn.IFNA(_xlfn.IFS(V97="Ada","Selesai",V97="Tidak Perlu","Selesai",V97="","Terlambat"),"")</f>
        <v>Selesai</v>
      </c>
      <c r="CE97" s="658" t="str" cm="1">
        <f t="array" ref="CE97">_xlfn.IFNA(_xlfn.IFS(X97="Ada","Selesai",X97="Tidak Perlu","Selesai",X97="","Terlambat"),"")</f>
        <v>Selesai</v>
      </c>
      <c r="CF97" s="658" t="str" cm="1">
        <f t="array" ref="CF97">_xlfn.IFNA(_xlfn.IFS(Z97="Ada","Selesai",Z97="Tidak Perlu","Selesai",Z97="","Terlambat"),"")</f>
        <v>Selesai</v>
      </c>
      <c r="CG97" s="658" t="str" cm="1">
        <f t="array" ref="CG97">_xlfn.IFNA(_xlfn.IFS(AB97="Ada","Selesai",AB97="Tidak Perlu","Selesai",AB97="","Terlambat"),"")</f>
        <v>Selesai</v>
      </c>
      <c r="CH97" s="658" t="str" cm="1">
        <f t="array" ref="CH97">_xlfn.IFNA(_xlfn.IFS(AD97="Ada","Selesai",AD97="Tidak Perlu","Selesai",AD97="","Terlambat"),"")</f>
        <v>Selesai</v>
      </c>
      <c r="CI97" s="658" t="str" cm="1">
        <f t="array" ref="CI97">_xlfn.IFNA(_xlfn.IFS(AF97="Ada","Selesai",AF97="Tidak Perlu","Selesai",AF97="","Terlambat"),"")</f>
        <v>Selesai</v>
      </c>
      <c r="CJ97" s="658" t="str" cm="1">
        <f t="array" ref="CJ97">_xlfn.IFNA(_xlfn.IFS(AH97="Ada","Selesai",AH97="Tidak Perlu","Selesai",AH97="","Terlambat"),"")</f>
        <v>Selesai</v>
      </c>
      <c r="CK97" s="658" t="str" cm="1">
        <f t="array" ref="CK97">_xlfn.IFNA(_xlfn.IFS(AJ97="Ada","Selesai",AJ97="Tidak Perlu","Selesai",AJ97="","Terlambat"),"")</f>
        <v>Selesai</v>
      </c>
      <c r="CL97" s="658" t="str" cm="1">
        <f t="array" ref="CL97">_xlfn.IFNA(_xlfn.IFS(AL97="Ada","Selesai",AL97="Tidak Perlu","Selesai",AL97="","Terlambat"),"")</f>
        <v>Selesai</v>
      </c>
      <c r="CM97" s="658" t="str" cm="1">
        <f t="array" ref="CM97">_xlfn.IFNA(_xlfn.IFS(AN97="Ada","Selesai",AN97="Tidak Perlu","Selesai",AN97="","Terlambat"),"")</f>
        <v>Selesai</v>
      </c>
      <c r="CN97" s="658" t="str" cm="1">
        <f t="array" ref="CN97">_xlfn.IFNA(_xlfn.IFS(AP97="Ada","Selesai",AP97="Tidak Perlu","Selesai",AP97="","Terlambat"),"")</f>
        <v>Selesai</v>
      </c>
      <c r="CO97" s="658" t="str" cm="1">
        <f t="array" ref="CO97">_xlfn.IFNA(_xlfn.IFS(AR97="Ada","Selesai",AR97="Tidak Perlu","Selesai",AR97="","Terlambat"),"")</f>
        <v>Selesai</v>
      </c>
      <c r="CP97" s="658" t="str" cm="1">
        <f t="array" ref="CP97">_xlfn.IFNA(_xlfn.IFS(AT97="Ada","Selesai",AT97="Tidak Perlu","Selesai",AT97="","Terlambat"),"")</f>
        <v>Selesai</v>
      </c>
      <c r="CQ97" s="658" t="str" cm="1">
        <f t="array" ref="CQ97">_xlfn.IFNA(_xlfn.IFS(AV97="Ada","Selesai",AV97="Tidak Perlu","Selesai",AV97="","Terlambat"),"")</f>
        <v>Selesai</v>
      </c>
      <c r="CR97" s="658" t="str" cm="1">
        <f t="array" ref="CR97">_xlfn.IFNA(_xlfn.IFS(AX97="Ada","Selesai",AX97="Tidak Perlu","Selesai",AX97="","Terlambat"),"")</f>
        <v>Selesai</v>
      </c>
      <c r="CS97" s="658" t="str" cm="1">
        <f t="array" ref="CS97">_xlfn.IFNA(_xlfn.IFS(AZ97="Ada","Selesai",AZ97="Tidak Perlu","Selesai",AZ97="","Terlambat"),"")</f>
        <v>Selesai</v>
      </c>
      <c r="CT97" s="658" t="str" cm="1">
        <f t="array" ref="CT97">_xlfn.IFNA(_xlfn.IFS(BB97="Ada","Selesai",BB97="Tidak Perlu","Selesai",BB97="","Terlambat"),"")</f>
        <v>Selesai</v>
      </c>
      <c r="CU97" s="658" t="str" cm="1">
        <f t="array" ref="CU97">_xlfn.IFNA(_xlfn.IFS(BD97="Ada","Selesai",BD97="Tidak Perlu","Selesai",BD97="","Terlambat"),"")</f>
        <v>Selesai</v>
      </c>
      <c r="CV97" s="658" t="str" cm="1">
        <f t="array" ref="CV97">_xlfn.IFNA(_xlfn.IFS(BF97="Ada","Selesai",BF97="Tidak Perlu","Selesai",BF97="","Terlambat"),"")</f>
        <v>Selesai</v>
      </c>
      <c r="CW97" s="658" t="str" cm="1">
        <f t="array" ref="CW97">_xlfn.IFNA(_xlfn.IFS(BM97="Ada","Selesai",BM97="Tidak Perlu","Selesai",BM97="","Terlambat"),"")</f>
        <v>Terlambat</v>
      </c>
    </row>
    <row r="98" spans="2:101" ht="17.25" hidden="1" customHeight="1" x14ac:dyDescent="0.2">
      <c r="B98" s="633">
        <v>91</v>
      </c>
      <c r="C98" s="633" t="s">
        <v>629</v>
      </c>
      <c r="D98" s="634" t="s">
        <v>2001</v>
      </c>
      <c r="E98" s="633" t="s">
        <v>278</v>
      </c>
      <c r="F98" s="634" t="s">
        <v>2002</v>
      </c>
      <c r="G98" s="633" t="s">
        <v>3560</v>
      </c>
      <c r="H98" s="635" t="s">
        <v>3667</v>
      </c>
      <c r="I98" s="633" t="s">
        <v>3685</v>
      </c>
      <c r="J98" s="636">
        <v>1</v>
      </c>
      <c r="K98" s="637" t="str">
        <f t="shared" si="4"/>
        <v>19/20</v>
      </c>
      <c r="L98" s="638" t="s">
        <v>3686</v>
      </c>
      <c r="M98" s="639" t="s">
        <v>3606</v>
      </c>
      <c r="N98" s="639" t="s">
        <v>1266</v>
      </c>
      <c r="O98" s="639" t="s">
        <v>3606</v>
      </c>
      <c r="P98" s="641" t="s">
        <v>3678</v>
      </c>
      <c r="Q98" s="639" t="s">
        <v>3606</v>
      </c>
      <c r="R98" s="641" t="s">
        <v>3678</v>
      </c>
      <c r="S98" s="639" t="s">
        <v>3606</v>
      </c>
      <c r="T98" s="640" t="s">
        <v>3678</v>
      </c>
      <c r="U98" s="639" t="s">
        <v>3606</v>
      </c>
      <c r="V98" s="641" t="s">
        <v>3678</v>
      </c>
      <c r="W98" s="639" t="s">
        <v>3606</v>
      </c>
      <c r="X98" s="641" t="s">
        <v>3678</v>
      </c>
      <c r="Y98" s="642" t="s">
        <v>3606</v>
      </c>
      <c r="Z98" s="640" t="s">
        <v>1266</v>
      </c>
      <c r="AA98" s="639" t="s">
        <v>3606</v>
      </c>
      <c r="AB98" s="641" t="s">
        <v>3678</v>
      </c>
      <c r="AC98" s="639" t="s">
        <v>3606</v>
      </c>
      <c r="AD98" s="641" t="s">
        <v>3678</v>
      </c>
      <c r="AE98" s="639" t="s">
        <v>3606</v>
      </c>
      <c r="AF98" s="641" t="s">
        <v>3678</v>
      </c>
      <c r="AG98" s="641" t="s">
        <v>3606</v>
      </c>
      <c r="AH98" s="641" t="s">
        <v>3678</v>
      </c>
      <c r="AI98" s="641" t="s">
        <v>3606</v>
      </c>
      <c r="AJ98" s="641" t="s">
        <v>3678</v>
      </c>
      <c r="AK98" s="641" t="s">
        <v>3606</v>
      </c>
      <c r="AL98" s="641" t="s">
        <v>3678</v>
      </c>
      <c r="AM98" s="639" t="s">
        <v>3606</v>
      </c>
      <c r="AN98" s="640" t="s">
        <v>3678</v>
      </c>
      <c r="AO98" s="639" t="s">
        <v>3606</v>
      </c>
      <c r="AP98" s="640" t="s">
        <v>3678</v>
      </c>
      <c r="AQ98" s="639" t="s">
        <v>3606</v>
      </c>
      <c r="AR98" s="640" t="s">
        <v>3678</v>
      </c>
      <c r="AS98" s="639" t="s">
        <v>3606</v>
      </c>
      <c r="AT98" s="640" t="s">
        <v>3678</v>
      </c>
      <c r="AU98" s="639" t="s">
        <v>3606</v>
      </c>
      <c r="AV98" s="640" t="s">
        <v>3678</v>
      </c>
      <c r="AW98" s="639" t="s">
        <v>3606</v>
      </c>
      <c r="AX98" s="640" t="s">
        <v>3678</v>
      </c>
      <c r="AY98" s="639" t="s">
        <v>3606</v>
      </c>
      <c r="AZ98" s="640" t="s">
        <v>3678</v>
      </c>
      <c r="BA98" s="639" t="s">
        <v>3606</v>
      </c>
      <c r="BB98" s="640" t="s">
        <v>3678</v>
      </c>
      <c r="BC98" s="639" t="s">
        <v>3606</v>
      </c>
      <c r="BD98" s="640" t="s">
        <v>3678</v>
      </c>
      <c r="BE98" s="640" t="s">
        <v>3606</v>
      </c>
      <c r="BF98" s="640" t="s">
        <v>3678</v>
      </c>
      <c r="BG98" s="640" t="s">
        <v>3606</v>
      </c>
      <c r="BH98" s="640" t="s">
        <v>3678</v>
      </c>
      <c r="BI98" s="640" t="s">
        <v>3606</v>
      </c>
      <c r="BJ98" s="640" t="s">
        <v>3678</v>
      </c>
      <c r="BK98" s="640" t="s">
        <v>3606</v>
      </c>
      <c r="BL98" s="640" t="s">
        <v>3678</v>
      </c>
      <c r="BM98" s="640"/>
      <c r="BN98" s="637"/>
      <c r="BO98" s="637"/>
      <c r="BP98" s="637"/>
      <c r="BQ98" s="637"/>
      <c r="BR98" s="637"/>
      <c r="BS98" s="637"/>
      <c r="BT98" s="637"/>
      <c r="BU98" s="679"/>
      <c r="BV98" s="679"/>
      <c r="BW98" s="633" t="s">
        <v>3685</v>
      </c>
      <c r="BX98" s="651" t="str">
        <f t="shared" si="6"/>
        <v>SPAM Buaran 3 Hilir</v>
      </c>
      <c r="BY98" s="651" t="str">
        <f t="shared" si="6"/>
        <v>25ABJ.NINBUR163.1JR</v>
      </c>
      <c r="BZ98" s="658" t="str" cm="1">
        <f t="array" ref="BZ98">_xlfn.IFNA(_xlfn.IFS(N98="Ada","Selesai",N98="Tidak Perlu","Selesai",N98="","Terlambat"),"")</f>
        <v>Selesai</v>
      </c>
      <c r="CA98" s="658" t="str" cm="1">
        <f t="array" ref="CA98">_xlfn.IFNA(_xlfn.IFS(P98="Ada","Selesai",P98="Tidak Perlu","Selesai",P98="","Terlambat"),"")</f>
        <v>Selesai</v>
      </c>
      <c r="CB98" s="658" t="str" cm="1">
        <f t="array" ref="CB98">_xlfn.IFNA(_xlfn.IFS(R98="Ada","Selesai",R98="Tidak Perlu","Selesai",R98="","Terlambat"),"")</f>
        <v>Selesai</v>
      </c>
      <c r="CC98" s="658" t="str" cm="1">
        <f t="array" ref="CC98">_xlfn.IFNA(_xlfn.IFS(T98="Ada","Selesai",T98="Tidak Perlu","Selesai",T98="","Terlambat"),"")</f>
        <v>Selesai</v>
      </c>
      <c r="CD98" s="658" t="str" cm="1">
        <f t="array" ref="CD98">_xlfn.IFNA(_xlfn.IFS(V98="Ada","Selesai",V98="Tidak Perlu","Selesai",V98="","Terlambat"),"")</f>
        <v>Selesai</v>
      </c>
      <c r="CE98" s="658" t="str" cm="1">
        <f t="array" ref="CE98">_xlfn.IFNA(_xlfn.IFS(X98="Ada","Selesai",X98="Tidak Perlu","Selesai",X98="","Terlambat"),"")</f>
        <v>Selesai</v>
      </c>
      <c r="CF98" s="658" t="str" cm="1">
        <f t="array" ref="CF98">_xlfn.IFNA(_xlfn.IFS(Z98="Ada","Selesai",Z98="Tidak Perlu","Selesai",Z98="","Terlambat"),"")</f>
        <v>Selesai</v>
      </c>
      <c r="CG98" s="658" t="str" cm="1">
        <f t="array" ref="CG98">_xlfn.IFNA(_xlfn.IFS(AB98="Ada","Selesai",AB98="Tidak Perlu","Selesai",AB98="","Terlambat"),"")</f>
        <v>Selesai</v>
      </c>
      <c r="CH98" s="658" t="str" cm="1">
        <f t="array" ref="CH98">_xlfn.IFNA(_xlfn.IFS(AD98="Ada","Selesai",AD98="Tidak Perlu","Selesai",AD98="","Terlambat"),"")</f>
        <v>Selesai</v>
      </c>
      <c r="CI98" s="658" t="str" cm="1">
        <f t="array" ref="CI98">_xlfn.IFNA(_xlfn.IFS(AF98="Ada","Selesai",AF98="Tidak Perlu","Selesai",AF98="","Terlambat"),"")</f>
        <v>Selesai</v>
      </c>
      <c r="CJ98" s="658" t="str" cm="1">
        <f t="array" ref="CJ98">_xlfn.IFNA(_xlfn.IFS(AH98="Ada","Selesai",AH98="Tidak Perlu","Selesai",AH98="","Terlambat"),"")</f>
        <v>Selesai</v>
      </c>
      <c r="CK98" s="658" t="str" cm="1">
        <f t="array" ref="CK98">_xlfn.IFNA(_xlfn.IFS(AJ98="Ada","Selesai",AJ98="Tidak Perlu","Selesai",AJ98="","Terlambat"),"")</f>
        <v>Selesai</v>
      </c>
      <c r="CL98" s="658" t="str" cm="1">
        <f t="array" ref="CL98">_xlfn.IFNA(_xlfn.IFS(AL98="Ada","Selesai",AL98="Tidak Perlu","Selesai",AL98="","Terlambat"),"")</f>
        <v>Selesai</v>
      </c>
      <c r="CM98" s="658" t="str" cm="1">
        <f t="array" ref="CM98">_xlfn.IFNA(_xlfn.IFS(AN98="Ada","Selesai",AN98="Tidak Perlu","Selesai",AN98="","Terlambat"),"")</f>
        <v>Selesai</v>
      </c>
      <c r="CN98" s="658" t="str" cm="1">
        <f t="array" ref="CN98">_xlfn.IFNA(_xlfn.IFS(AP98="Ada","Selesai",AP98="Tidak Perlu","Selesai",AP98="","Terlambat"),"")</f>
        <v>Selesai</v>
      </c>
      <c r="CO98" s="658" t="str" cm="1">
        <f t="array" ref="CO98">_xlfn.IFNA(_xlfn.IFS(AR98="Ada","Selesai",AR98="Tidak Perlu","Selesai",AR98="","Terlambat"),"")</f>
        <v>Selesai</v>
      </c>
      <c r="CP98" s="658" t="str" cm="1">
        <f t="array" ref="CP98">_xlfn.IFNA(_xlfn.IFS(AT98="Ada","Selesai",AT98="Tidak Perlu","Selesai",AT98="","Terlambat"),"")</f>
        <v>Selesai</v>
      </c>
      <c r="CQ98" s="658" t="str" cm="1">
        <f t="array" ref="CQ98">_xlfn.IFNA(_xlfn.IFS(AV98="Ada","Selesai",AV98="Tidak Perlu","Selesai",AV98="","Terlambat"),"")</f>
        <v>Selesai</v>
      </c>
      <c r="CR98" s="658" t="str" cm="1">
        <f t="array" ref="CR98">_xlfn.IFNA(_xlfn.IFS(AX98="Ada","Selesai",AX98="Tidak Perlu","Selesai",AX98="","Terlambat"),"")</f>
        <v>Selesai</v>
      </c>
      <c r="CS98" s="658" t="str" cm="1">
        <f t="array" ref="CS98">_xlfn.IFNA(_xlfn.IFS(AZ98="Ada","Selesai",AZ98="Tidak Perlu","Selesai",AZ98="","Terlambat"),"")</f>
        <v>Selesai</v>
      </c>
      <c r="CT98" s="658" t="str" cm="1">
        <f t="array" ref="CT98">_xlfn.IFNA(_xlfn.IFS(BB98="Ada","Selesai",BB98="Tidak Perlu","Selesai",BB98="","Terlambat"),"")</f>
        <v>Selesai</v>
      </c>
      <c r="CU98" s="658" t="str" cm="1">
        <f t="array" ref="CU98">_xlfn.IFNA(_xlfn.IFS(BD98="Ada","Selesai",BD98="Tidak Perlu","Selesai",BD98="","Terlambat"),"")</f>
        <v>Selesai</v>
      </c>
      <c r="CV98" s="658" t="str" cm="1">
        <f t="array" ref="CV98">_xlfn.IFNA(_xlfn.IFS(BF98="Ada","Selesai",BF98="Tidak Perlu","Selesai",BF98="","Terlambat"),"")</f>
        <v>Selesai</v>
      </c>
      <c r="CW98" s="658" t="str" cm="1">
        <f t="array" ref="CW98">_xlfn.IFNA(_xlfn.IFS(BM98="Ada","Selesai",BM98="Tidak Perlu","Selesai",BM98="","Terlambat"),"")</f>
        <v>Terlambat</v>
      </c>
    </row>
    <row r="99" spans="2:101" ht="17.25" hidden="1" customHeight="1" x14ac:dyDescent="0.2">
      <c r="B99" s="633">
        <v>92</v>
      </c>
      <c r="C99" s="633" t="s">
        <v>629</v>
      </c>
      <c r="D99" s="634" t="s">
        <v>2010</v>
      </c>
      <c r="E99" s="633" t="s">
        <v>278</v>
      </c>
      <c r="F99" s="634" t="s">
        <v>2011</v>
      </c>
      <c r="G99" s="633" t="s">
        <v>3608</v>
      </c>
      <c r="H99" s="635" t="s">
        <v>3667</v>
      </c>
      <c r="I99" s="633" t="s">
        <v>3668</v>
      </c>
      <c r="J99" s="636">
        <v>0.61660000000000004</v>
      </c>
      <c r="K99" s="637" t="str">
        <f t="shared" si="4"/>
        <v>2/20</v>
      </c>
      <c r="L99" s="638" t="s">
        <v>3669</v>
      </c>
      <c r="M99" s="639" t="s">
        <v>3606</v>
      </c>
      <c r="N99" s="639"/>
      <c r="O99" s="639" t="s">
        <v>3603</v>
      </c>
      <c r="P99" s="641"/>
      <c r="Q99" s="639" t="s">
        <v>3603</v>
      </c>
      <c r="R99" s="641"/>
      <c r="S99" s="639" t="s">
        <v>3606</v>
      </c>
      <c r="T99" s="639"/>
      <c r="U99" s="639" t="s">
        <v>3603</v>
      </c>
      <c r="V99" s="640"/>
      <c r="W99" s="639" t="s">
        <v>3603</v>
      </c>
      <c r="X99" s="640"/>
      <c r="Y99" s="642" t="s">
        <v>3603</v>
      </c>
      <c r="Z99" s="640" t="s">
        <v>1266</v>
      </c>
      <c r="AA99" s="639" t="s">
        <v>3603</v>
      </c>
      <c r="AB99" s="640"/>
      <c r="AC99" s="639" t="s">
        <v>3603</v>
      </c>
      <c r="AD99" s="640"/>
      <c r="AE99" s="639" t="s">
        <v>3606</v>
      </c>
      <c r="AF99" s="641" t="s">
        <v>3678</v>
      </c>
      <c r="AG99" s="641" t="s">
        <v>3603</v>
      </c>
      <c r="AH99" s="640"/>
      <c r="AI99" s="641" t="s">
        <v>3603</v>
      </c>
      <c r="AJ99" s="640"/>
      <c r="AK99" s="641" t="s">
        <v>3603</v>
      </c>
      <c r="AL99" s="640"/>
      <c r="AM99" s="639" t="s">
        <v>3603</v>
      </c>
      <c r="AN99" s="640"/>
      <c r="AO99" s="639" t="s">
        <v>3603</v>
      </c>
      <c r="AP99" s="640"/>
      <c r="AQ99" s="639" t="s">
        <v>3603</v>
      </c>
      <c r="AR99" s="640"/>
      <c r="AS99" s="639" t="s">
        <v>3603</v>
      </c>
      <c r="AT99" s="640"/>
      <c r="AU99" s="639" t="s">
        <v>3603</v>
      </c>
      <c r="AV99" s="640"/>
      <c r="AW99" s="639" t="s">
        <v>3603</v>
      </c>
      <c r="AX99" s="640"/>
      <c r="AY99" s="639" t="s">
        <v>3603</v>
      </c>
      <c r="AZ99" s="640"/>
      <c r="BA99" s="639" t="s">
        <v>3603</v>
      </c>
      <c r="BB99" s="640"/>
      <c r="BC99" s="639" t="s">
        <v>3603</v>
      </c>
      <c r="BD99" s="640"/>
      <c r="BE99" s="640" t="s">
        <v>3604</v>
      </c>
      <c r="BF99" s="640"/>
      <c r="BG99" s="640" t="s">
        <v>3603</v>
      </c>
      <c r="BH99" s="640"/>
      <c r="BI99" s="640" t="s">
        <v>3603</v>
      </c>
      <c r="BJ99" s="640"/>
      <c r="BK99" s="640" t="s">
        <v>3603</v>
      </c>
      <c r="BL99" s="640"/>
      <c r="BM99" s="678"/>
      <c r="BN99" s="637"/>
      <c r="BO99" s="637"/>
      <c r="BP99" s="637"/>
      <c r="BQ99" s="637"/>
      <c r="BR99" s="637"/>
      <c r="BS99" s="637"/>
      <c r="BT99" s="637"/>
      <c r="BU99" s="679"/>
      <c r="BV99" s="679"/>
      <c r="BW99" s="633" t="s">
        <v>3668</v>
      </c>
      <c r="BX99" s="651" t="str">
        <f t="shared" si="6"/>
        <v>SPAM Buaran 3 Hilir</v>
      </c>
      <c r="BY99" s="651" t="str">
        <f t="shared" si="6"/>
        <v>23ABJ.NINBUR163.2JP</v>
      </c>
      <c r="BZ99" s="658" t="str" cm="1">
        <f t="array" ref="BZ99">_xlfn.IFNA(_xlfn.IFS(N99="Ada","Selesai",N99="Tidak Perlu","Selesai",N99="","Terlambat"),"")</f>
        <v>Terlambat</v>
      </c>
      <c r="CA99" s="658" t="str" cm="1">
        <f t="array" ref="CA99">_xlfn.IFNA(_xlfn.IFS(P99="Ada","Selesai",P99="Tidak Perlu","Selesai",P99="","Terlambat"),"")</f>
        <v>Terlambat</v>
      </c>
      <c r="CB99" s="658" t="str" cm="1">
        <f t="array" ref="CB99">_xlfn.IFNA(_xlfn.IFS(R99="Ada","Selesai",R99="Tidak Perlu","Selesai",R99="","Terlambat"),"")</f>
        <v>Terlambat</v>
      </c>
      <c r="CC99" s="658" t="str" cm="1">
        <f t="array" ref="CC99">_xlfn.IFNA(_xlfn.IFS(T99="Ada","Selesai",T99="Tidak Perlu","Selesai",T99="","Terlambat"),"")</f>
        <v>Terlambat</v>
      </c>
      <c r="CD99" s="658" t="str" cm="1">
        <f t="array" ref="CD99">_xlfn.IFNA(_xlfn.IFS(V99="Ada","Selesai",V99="Tidak Perlu","Selesai",V99="","Terlambat"),"")</f>
        <v>Terlambat</v>
      </c>
      <c r="CE99" s="658" t="str" cm="1">
        <f t="array" ref="CE99">_xlfn.IFNA(_xlfn.IFS(X99="Ada","Selesai",X99="Tidak Perlu","Selesai",X99="","Terlambat"),"")</f>
        <v>Terlambat</v>
      </c>
      <c r="CF99" s="658" t="str" cm="1">
        <f t="array" ref="CF99">_xlfn.IFNA(_xlfn.IFS(Z99="Ada","Selesai",Z99="Tidak Perlu","Selesai",Z99="","Terlambat"),"")</f>
        <v>Selesai</v>
      </c>
      <c r="CG99" s="658" t="str" cm="1">
        <f t="array" ref="CG99">_xlfn.IFNA(_xlfn.IFS(AB99="Ada","Selesai",AB99="Tidak Perlu","Selesai",AB99="","Terlambat"),"")</f>
        <v>Terlambat</v>
      </c>
      <c r="CH99" s="658" t="str" cm="1">
        <f t="array" ref="CH99">_xlfn.IFNA(_xlfn.IFS(AD99="Ada","Selesai",AD99="Tidak Perlu","Selesai",AD99="","Terlambat"),"")</f>
        <v>Terlambat</v>
      </c>
      <c r="CI99" s="658" t="str" cm="1">
        <f t="array" ref="CI99">_xlfn.IFNA(_xlfn.IFS(AF99="Ada","Selesai",AF99="Tidak Perlu","Selesai",AF99="","Terlambat"),"")</f>
        <v>Selesai</v>
      </c>
      <c r="CJ99" s="658" t="str" cm="1">
        <f t="array" ref="CJ99">_xlfn.IFNA(_xlfn.IFS(AH99="Ada","Selesai",AH99="Tidak Perlu","Selesai",AH99="","Terlambat"),"")</f>
        <v>Terlambat</v>
      </c>
      <c r="CK99" s="658" t="str" cm="1">
        <f t="array" ref="CK99">_xlfn.IFNA(_xlfn.IFS(AJ99="Ada","Selesai",AJ99="Tidak Perlu","Selesai",AJ99="","Terlambat"),"")</f>
        <v>Terlambat</v>
      </c>
      <c r="CL99" s="658" t="str" cm="1">
        <f t="array" ref="CL99">_xlfn.IFNA(_xlfn.IFS(AL99="Ada","Selesai",AL99="Tidak Perlu","Selesai",AL99="","Terlambat"),"")</f>
        <v>Terlambat</v>
      </c>
      <c r="CM99" s="658" t="str" cm="1">
        <f t="array" ref="CM99">_xlfn.IFNA(_xlfn.IFS(AN99="Ada","Selesai",AN99="Tidak Perlu","Selesai",AN99="","Terlambat"),"")</f>
        <v>Terlambat</v>
      </c>
      <c r="CN99" s="658" t="str" cm="1">
        <f t="array" ref="CN99">_xlfn.IFNA(_xlfn.IFS(AP99="Ada","Selesai",AP99="Tidak Perlu","Selesai",AP99="","Terlambat"),"")</f>
        <v>Terlambat</v>
      </c>
      <c r="CO99" s="658" t="str" cm="1">
        <f t="array" ref="CO99">_xlfn.IFNA(_xlfn.IFS(AR99="Ada","Selesai",AR99="Tidak Perlu","Selesai",AR99="","Terlambat"),"")</f>
        <v>Terlambat</v>
      </c>
      <c r="CP99" s="658" t="str" cm="1">
        <f t="array" ref="CP99">_xlfn.IFNA(_xlfn.IFS(AT99="Ada","Selesai",AT99="Tidak Perlu","Selesai",AT99="","Terlambat"),"")</f>
        <v>Terlambat</v>
      </c>
      <c r="CQ99" s="658" t="str" cm="1">
        <f t="array" ref="CQ99">_xlfn.IFNA(_xlfn.IFS(AV99="Ada","Selesai",AV99="Tidak Perlu","Selesai",AV99="","Terlambat"),"")</f>
        <v>Terlambat</v>
      </c>
      <c r="CR99" s="658" t="str" cm="1">
        <f t="array" ref="CR99">_xlfn.IFNA(_xlfn.IFS(AX99="Ada","Selesai",AX99="Tidak Perlu","Selesai",AX99="","Terlambat"),"")</f>
        <v>Terlambat</v>
      </c>
      <c r="CS99" s="658" t="str" cm="1">
        <f t="array" ref="CS99">_xlfn.IFNA(_xlfn.IFS(AZ99="Ada","Selesai",AZ99="Tidak Perlu","Selesai",AZ99="","Terlambat"),"")</f>
        <v>Terlambat</v>
      </c>
      <c r="CT99" s="658" t="str" cm="1">
        <f t="array" ref="CT99">_xlfn.IFNA(_xlfn.IFS(BB99="Ada","Selesai",BB99="Tidak Perlu","Selesai",BB99="","Terlambat"),"")</f>
        <v>Terlambat</v>
      </c>
      <c r="CU99" s="658" t="str" cm="1">
        <f t="array" ref="CU99">_xlfn.IFNA(_xlfn.IFS(BD99="Ada","Selesai",BD99="Tidak Perlu","Selesai",BD99="","Terlambat"),"")</f>
        <v>Terlambat</v>
      </c>
      <c r="CV99" s="658" t="str" cm="1">
        <f t="array" ref="CV99">_xlfn.IFNA(_xlfn.IFS(BF99="Ada","Selesai",BF99="Tidak Perlu","Selesai",BF99="","Terlambat"),"")</f>
        <v>Terlambat</v>
      </c>
      <c r="CW99" s="658" t="str" cm="1">
        <f t="array" ref="CW99">_xlfn.IFNA(_xlfn.IFS(BM99="Ada","Selesai",BM99="Tidak Perlu","Selesai",BM99="","Terlambat"),"")</f>
        <v>Terlambat</v>
      </c>
    </row>
    <row r="100" spans="2:101" ht="17.25" hidden="1" customHeight="1" x14ac:dyDescent="0.2">
      <c r="B100" s="633">
        <v>93</v>
      </c>
      <c r="C100" s="633" t="s">
        <v>629</v>
      </c>
      <c r="D100" s="634" t="s">
        <v>1856</v>
      </c>
      <c r="E100" s="633" t="s">
        <v>248</v>
      </c>
      <c r="F100" s="634" t="s">
        <v>1857</v>
      </c>
      <c r="G100" s="633" t="s">
        <v>3608</v>
      </c>
      <c r="H100" s="646" t="s">
        <v>3690</v>
      </c>
      <c r="I100" s="633" t="s">
        <v>3687</v>
      </c>
      <c r="J100" s="636">
        <v>0.95</v>
      </c>
      <c r="K100" s="637" t="str">
        <f t="shared" si="4"/>
        <v>12/20</v>
      </c>
      <c r="L100" s="638" t="s">
        <v>3669</v>
      </c>
      <c r="M100" s="639" t="s">
        <v>3606</v>
      </c>
      <c r="N100" s="639"/>
      <c r="O100" s="639" t="s">
        <v>3606</v>
      </c>
      <c r="P100" s="641"/>
      <c r="Q100" s="639" t="s">
        <v>3605</v>
      </c>
      <c r="R100" s="641"/>
      <c r="S100" s="639" t="s">
        <v>3606</v>
      </c>
      <c r="T100" s="639"/>
      <c r="U100" s="639" t="s">
        <v>3606</v>
      </c>
      <c r="V100" s="640"/>
      <c r="W100" s="639" t="s">
        <v>3603</v>
      </c>
      <c r="X100" s="640"/>
      <c r="Y100" s="642" t="s">
        <v>3603</v>
      </c>
      <c r="Z100" s="640" t="s">
        <v>1266</v>
      </c>
      <c r="AA100" s="639" t="s">
        <v>3603</v>
      </c>
      <c r="AB100" s="640"/>
      <c r="AC100" s="639" t="s">
        <v>3606</v>
      </c>
      <c r="AD100" s="640"/>
      <c r="AE100" s="639" t="s">
        <v>3606</v>
      </c>
      <c r="AF100" s="641" t="s">
        <v>3678</v>
      </c>
      <c r="AG100" s="641" t="s">
        <v>3603</v>
      </c>
      <c r="AH100" s="640"/>
      <c r="AI100" s="641" t="s">
        <v>3603</v>
      </c>
      <c r="AJ100" s="640"/>
      <c r="AK100" s="641" t="s">
        <v>3606</v>
      </c>
      <c r="AL100" s="640"/>
      <c r="AM100" s="639" t="s">
        <v>3606</v>
      </c>
      <c r="AN100" s="640"/>
      <c r="AO100" s="639" t="s">
        <v>3606</v>
      </c>
      <c r="AP100" s="640"/>
      <c r="AQ100" s="639" t="s">
        <v>3603</v>
      </c>
      <c r="AR100" s="640"/>
      <c r="AS100" s="639" t="s">
        <v>3606</v>
      </c>
      <c r="AT100" s="640"/>
      <c r="AU100" s="639" t="s">
        <v>3603</v>
      </c>
      <c r="AV100" s="640"/>
      <c r="AW100" s="639" t="s">
        <v>3606</v>
      </c>
      <c r="AX100" s="640"/>
      <c r="AY100" s="639" t="s">
        <v>3606</v>
      </c>
      <c r="AZ100" s="640"/>
      <c r="BA100" s="639" t="s">
        <v>3606</v>
      </c>
      <c r="BB100" s="640"/>
      <c r="BC100" s="639" t="s">
        <v>3603</v>
      </c>
      <c r="BD100" s="640"/>
      <c r="BE100" s="640" t="s">
        <v>3604</v>
      </c>
      <c r="BF100" s="640" t="s">
        <v>3678</v>
      </c>
      <c r="BG100" s="640" t="s">
        <v>3603</v>
      </c>
      <c r="BH100" s="640" t="s">
        <v>1266</v>
      </c>
      <c r="BI100" s="640" t="s">
        <v>3605</v>
      </c>
      <c r="BJ100" s="640"/>
      <c r="BK100" s="640" t="s">
        <v>3605</v>
      </c>
      <c r="BL100" s="640"/>
      <c r="BM100" s="678" t="s">
        <v>3689</v>
      </c>
      <c r="BN100" s="637"/>
      <c r="BO100" s="637"/>
      <c r="BP100" s="637"/>
      <c r="BQ100" s="637"/>
      <c r="BR100" s="637"/>
      <c r="BS100" s="637"/>
      <c r="BT100" s="637"/>
      <c r="BU100" s="679"/>
      <c r="BV100" s="679"/>
      <c r="BW100" s="633" t="s">
        <v>3668</v>
      </c>
      <c r="BX100" s="651" t="str">
        <f t="shared" si="6"/>
        <v>SPAM Buaran 3 Hilir</v>
      </c>
      <c r="BY100" s="651" t="str">
        <f t="shared" si="6"/>
        <v>NPP23BURS02</v>
      </c>
      <c r="BZ100" s="658" t="str" cm="1">
        <f t="array" ref="BZ100">_xlfn.IFNA(_xlfn.IFS(N100="Ada","Selesai",N100="Tidak Perlu","Selesai",N100="","Terlambat"),"")</f>
        <v>Terlambat</v>
      </c>
      <c r="CA100" s="658" t="str" cm="1">
        <f t="array" ref="CA100">_xlfn.IFNA(_xlfn.IFS(P100="Ada","Selesai",P100="Tidak Perlu","Selesai",P100="","Terlambat"),"")</f>
        <v>Terlambat</v>
      </c>
      <c r="CB100" s="658" t="str" cm="1">
        <f t="array" ref="CB100">_xlfn.IFNA(_xlfn.IFS(R100="Ada","Selesai",R100="Tidak Perlu","Selesai",R100="","Terlambat"),"")</f>
        <v>Terlambat</v>
      </c>
      <c r="CC100" s="658" t="str" cm="1">
        <f t="array" ref="CC100">_xlfn.IFNA(_xlfn.IFS(T100="Ada","Selesai",T100="Tidak Perlu","Selesai",T100="","Terlambat"),"")</f>
        <v>Terlambat</v>
      </c>
      <c r="CD100" s="658" t="str" cm="1">
        <f t="array" ref="CD100">_xlfn.IFNA(_xlfn.IFS(V100="Ada","Selesai",V100="Tidak Perlu","Selesai",V100="","Terlambat"),"")</f>
        <v>Terlambat</v>
      </c>
      <c r="CE100" s="658" t="str" cm="1">
        <f t="array" ref="CE100">_xlfn.IFNA(_xlfn.IFS(X100="Ada","Selesai",X100="Tidak Perlu","Selesai",X100="","Terlambat"),"")</f>
        <v>Terlambat</v>
      </c>
      <c r="CF100" s="658" t="str" cm="1">
        <f t="array" ref="CF100">_xlfn.IFNA(_xlfn.IFS(Z100="Ada","Selesai",Z100="Tidak Perlu","Selesai",Z100="","Terlambat"),"")</f>
        <v>Selesai</v>
      </c>
      <c r="CG100" s="658" t="str" cm="1">
        <f t="array" ref="CG100">_xlfn.IFNA(_xlfn.IFS(AB100="Ada","Selesai",AB100="Tidak Perlu","Selesai",AB100="","Terlambat"),"")</f>
        <v>Terlambat</v>
      </c>
      <c r="CH100" s="658" t="str" cm="1">
        <f t="array" ref="CH100">_xlfn.IFNA(_xlfn.IFS(AD100="Ada","Selesai",AD100="Tidak Perlu","Selesai",AD100="","Terlambat"),"")</f>
        <v>Terlambat</v>
      </c>
      <c r="CI100" s="658" t="str" cm="1">
        <f t="array" ref="CI100">_xlfn.IFNA(_xlfn.IFS(AF100="Ada","Selesai",AF100="Tidak Perlu","Selesai",AF100="","Terlambat"),"")</f>
        <v>Selesai</v>
      </c>
      <c r="CJ100" s="658" t="str" cm="1">
        <f t="array" ref="CJ100">_xlfn.IFNA(_xlfn.IFS(AH100="Ada","Selesai",AH100="Tidak Perlu","Selesai",AH100="","Terlambat"),"")</f>
        <v>Terlambat</v>
      </c>
      <c r="CK100" s="658" t="str" cm="1">
        <f t="array" ref="CK100">_xlfn.IFNA(_xlfn.IFS(AJ100="Ada","Selesai",AJ100="Tidak Perlu","Selesai",AJ100="","Terlambat"),"")</f>
        <v>Terlambat</v>
      </c>
      <c r="CL100" s="658" t="str" cm="1">
        <f t="array" ref="CL100">_xlfn.IFNA(_xlfn.IFS(AL100="Ada","Selesai",AL100="Tidak Perlu","Selesai",AL100="","Terlambat"),"")</f>
        <v>Terlambat</v>
      </c>
      <c r="CM100" s="658" t="str" cm="1">
        <f t="array" ref="CM100">_xlfn.IFNA(_xlfn.IFS(AN100="Ada","Selesai",AN100="Tidak Perlu","Selesai",AN100="","Terlambat"),"")</f>
        <v>Terlambat</v>
      </c>
      <c r="CN100" s="658" t="str" cm="1">
        <f t="array" ref="CN100">_xlfn.IFNA(_xlfn.IFS(AP100="Ada","Selesai",AP100="Tidak Perlu","Selesai",AP100="","Terlambat"),"")</f>
        <v>Terlambat</v>
      </c>
      <c r="CO100" s="658" t="str" cm="1">
        <f t="array" ref="CO100">_xlfn.IFNA(_xlfn.IFS(AR100="Ada","Selesai",AR100="Tidak Perlu","Selesai",AR100="","Terlambat"),"")</f>
        <v>Terlambat</v>
      </c>
      <c r="CP100" s="658" t="str" cm="1">
        <f t="array" ref="CP100">_xlfn.IFNA(_xlfn.IFS(AT100="Ada","Selesai",AT100="Tidak Perlu","Selesai",AT100="","Terlambat"),"")</f>
        <v>Terlambat</v>
      </c>
      <c r="CQ100" s="658" t="str" cm="1">
        <f t="array" ref="CQ100">_xlfn.IFNA(_xlfn.IFS(AV100="Ada","Selesai",AV100="Tidak Perlu","Selesai",AV100="","Terlambat"),"")</f>
        <v>Terlambat</v>
      </c>
      <c r="CR100" s="658" t="str" cm="1">
        <f t="array" ref="CR100">_xlfn.IFNA(_xlfn.IFS(AX100="Ada","Selesai",AX100="Tidak Perlu","Selesai",AX100="","Terlambat"),"")</f>
        <v>Terlambat</v>
      </c>
      <c r="CS100" s="658" t="str" cm="1">
        <f t="array" ref="CS100">_xlfn.IFNA(_xlfn.IFS(AZ100="Ada","Selesai",AZ100="Tidak Perlu","Selesai",AZ100="","Terlambat"),"")</f>
        <v>Terlambat</v>
      </c>
      <c r="CT100" s="658" t="str" cm="1">
        <f t="array" ref="CT100">_xlfn.IFNA(_xlfn.IFS(BB100="Ada","Selesai",BB100="Tidak Perlu","Selesai",BB100="","Terlambat"),"")</f>
        <v>Terlambat</v>
      </c>
      <c r="CU100" s="658" t="str" cm="1">
        <f t="array" ref="CU100">_xlfn.IFNA(_xlfn.IFS(BD100="Ada","Selesai",BD100="Tidak Perlu","Selesai",BD100="","Terlambat"),"")</f>
        <v>Terlambat</v>
      </c>
      <c r="CV100" s="658" t="str" cm="1">
        <f t="array" ref="CV100">_xlfn.IFNA(_xlfn.IFS(BF100="Ada","Selesai",BF100="Tidak Perlu","Selesai",BF100="","Terlambat"),"")</f>
        <v>Selesai</v>
      </c>
      <c r="CW100" s="658" t="str" cm="1">
        <f t="array" ref="CW100">_xlfn.IFNA(_xlfn.IFS(BM100="Ada","Selesai",BM100="Tidak Perlu","Selesai",BM100="","Terlambat"),"")</f>
        <v/>
      </c>
    </row>
    <row r="101" spans="2:101" ht="17.25" hidden="1" customHeight="1" x14ac:dyDescent="0.2">
      <c r="B101" s="633">
        <v>94</v>
      </c>
      <c r="C101" s="633" t="s">
        <v>629</v>
      </c>
      <c r="D101" s="634" t="s">
        <v>1884</v>
      </c>
      <c r="E101" s="633" t="s">
        <v>278</v>
      </c>
      <c r="F101" s="634" t="s">
        <v>3728</v>
      </c>
      <c r="G101" s="633" t="s">
        <v>3608</v>
      </c>
      <c r="H101" s="646" t="s">
        <v>3690</v>
      </c>
      <c r="I101" s="633" t="s">
        <v>3687</v>
      </c>
      <c r="J101" s="636">
        <v>0.46920000000000001</v>
      </c>
      <c r="K101" s="637" t="str">
        <f t="shared" si="4"/>
        <v>12/20</v>
      </c>
      <c r="L101" s="638" t="s">
        <v>3669</v>
      </c>
      <c r="M101" s="639" t="s">
        <v>3606</v>
      </c>
      <c r="N101" s="639" t="s">
        <v>1266</v>
      </c>
      <c r="O101" s="639" t="s">
        <v>3603</v>
      </c>
      <c r="P101" s="641"/>
      <c r="Q101" s="639" t="s">
        <v>3605</v>
      </c>
      <c r="R101" s="641"/>
      <c r="S101" s="639" t="s">
        <v>3606</v>
      </c>
      <c r="T101" s="639"/>
      <c r="U101" s="639" t="s">
        <v>3603</v>
      </c>
      <c r="V101" s="640"/>
      <c r="W101" s="639" t="s">
        <v>3603</v>
      </c>
      <c r="X101" s="640"/>
      <c r="Y101" s="642" t="s">
        <v>3603</v>
      </c>
      <c r="Z101" s="640" t="s">
        <v>1266</v>
      </c>
      <c r="AA101" s="639" t="s">
        <v>3603</v>
      </c>
      <c r="AB101" s="640"/>
      <c r="AC101" s="639" t="s">
        <v>3606</v>
      </c>
      <c r="AD101" s="640"/>
      <c r="AE101" s="639" t="s">
        <v>3606</v>
      </c>
      <c r="AF101" s="641" t="s">
        <v>3678</v>
      </c>
      <c r="AG101" s="641" t="s">
        <v>3603</v>
      </c>
      <c r="AH101" s="640"/>
      <c r="AI101" s="641" t="s">
        <v>3606</v>
      </c>
      <c r="AJ101" s="640"/>
      <c r="AK101" s="641" t="s">
        <v>3606</v>
      </c>
      <c r="AL101" s="640"/>
      <c r="AM101" s="639" t="s">
        <v>3606</v>
      </c>
      <c r="AN101" s="640"/>
      <c r="AO101" s="639" t="s">
        <v>3606</v>
      </c>
      <c r="AP101" s="640"/>
      <c r="AQ101" s="639" t="s">
        <v>3606</v>
      </c>
      <c r="AR101" s="640"/>
      <c r="AS101" s="639" t="s">
        <v>3603</v>
      </c>
      <c r="AT101" s="640"/>
      <c r="AU101" s="639" t="s">
        <v>3603</v>
      </c>
      <c r="AV101" s="640"/>
      <c r="AW101" s="639" t="s">
        <v>3606</v>
      </c>
      <c r="AX101" s="640"/>
      <c r="AY101" s="639" t="s">
        <v>3603</v>
      </c>
      <c r="AZ101" s="640"/>
      <c r="BA101" s="639" t="s">
        <v>3606</v>
      </c>
      <c r="BB101" s="640"/>
      <c r="BC101" s="639" t="s">
        <v>3606</v>
      </c>
      <c r="BD101" s="640"/>
      <c r="BE101" s="640" t="s">
        <v>3604</v>
      </c>
      <c r="BF101" s="640" t="s">
        <v>3678</v>
      </c>
      <c r="BG101" s="640" t="s">
        <v>3603</v>
      </c>
      <c r="BH101" s="640"/>
      <c r="BI101" s="640" t="s">
        <v>3603</v>
      </c>
      <c r="BJ101" s="640"/>
      <c r="BK101" s="640" t="s">
        <v>3603</v>
      </c>
      <c r="BL101" s="640"/>
      <c r="BM101" s="678" t="s">
        <v>3689</v>
      </c>
      <c r="BN101" s="682"/>
      <c r="BO101" s="637"/>
      <c r="BP101" s="637"/>
      <c r="BQ101" s="637"/>
      <c r="BR101" s="637"/>
      <c r="BS101" s="637"/>
      <c r="BT101" s="637"/>
      <c r="BU101" s="679"/>
      <c r="BV101" s="679"/>
      <c r="BW101" s="633" t="s">
        <v>3668</v>
      </c>
      <c r="BX101" s="651" t="str">
        <f t="shared" si="6"/>
        <v>SPAM Buaran 3 Hilir</v>
      </c>
      <c r="BY101" s="651" t="str">
        <f t="shared" si="6"/>
        <v>24ABJ.NINBUR161JPEZ1</v>
      </c>
      <c r="BZ101" s="658" t="str" cm="1">
        <f t="array" ref="BZ101">_xlfn.IFNA(_xlfn.IFS(N101="Ada","Selesai",N101="Tidak Perlu","Selesai",N101="","Terlambat"),"")</f>
        <v>Selesai</v>
      </c>
      <c r="CA101" s="658" t="str" cm="1">
        <f t="array" ref="CA101">_xlfn.IFNA(_xlfn.IFS(P101="Ada","Selesai",P101="Tidak Perlu","Selesai",P101="","Terlambat"),"")</f>
        <v>Terlambat</v>
      </c>
      <c r="CB101" s="658" t="str" cm="1">
        <f t="array" ref="CB101">_xlfn.IFNA(_xlfn.IFS(R101="Ada","Selesai",R101="Tidak Perlu","Selesai",R101="","Terlambat"),"")</f>
        <v>Terlambat</v>
      </c>
      <c r="CC101" s="658" t="str" cm="1">
        <f t="array" ref="CC101">_xlfn.IFNA(_xlfn.IFS(T101="Ada","Selesai",T101="Tidak Perlu","Selesai",T101="","Terlambat"),"")</f>
        <v>Terlambat</v>
      </c>
      <c r="CD101" s="658" t="str" cm="1">
        <f t="array" ref="CD101">_xlfn.IFNA(_xlfn.IFS(V101="Ada","Selesai",V101="Tidak Perlu","Selesai",V101="","Terlambat"),"")</f>
        <v>Terlambat</v>
      </c>
      <c r="CE101" s="658" t="str" cm="1">
        <f t="array" ref="CE101">_xlfn.IFNA(_xlfn.IFS(X101="Ada","Selesai",X101="Tidak Perlu","Selesai",X101="","Terlambat"),"")</f>
        <v>Terlambat</v>
      </c>
      <c r="CF101" s="658" t="str" cm="1">
        <f t="array" ref="CF101">_xlfn.IFNA(_xlfn.IFS(Z101="Ada","Selesai",Z101="Tidak Perlu","Selesai",Z101="","Terlambat"),"")</f>
        <v>Selesai</v>
      </c>
      <c r="CG101" s="658" t="str" cm="1">
        <f t="array" ref="CG101">_xlfn.IFNA(_xlfn.IFS(AB101="Ada","Selesai",AB101="Tidak Perlu","Selesai",AB101="","Terlambat"),"")</f>
        <v>Terlambat</v>
      </c>
      <c r="CH101" s="658" t="str" cm="1">
        <f t="array" ref="CH101">_xlfn.IFNA(_xlfn.IFS(AD101="Ada","Selesai",AD101="Tidak Perlu","Selesai",AD101="","Terlambat"),"")</f>
        <v>Terlambat</v>
      </c>
      <c r="CI101" s="658" t="str" cm="1">
        <f t="array" ref="CI101">_xlfn.IFNA(_xlfn.IFS(AF101="Ada","Selesai",AF101="Tidak Perlu","Selesai",AF101="","Terlambat"),"")</f>
        <v>Selesai</v>
      </c>
      <c r="CJ101" s="658" t="str" cm="1">
        <f t="array" ref="CJ101">_xlfn.IFNA(_xlfn.IFS(AH101="Ada","Selesai",AH101="Tidak Perlu","Selesai",AH101="","Terlambat"),"")</f>
        <v>Terlambat</v>
      </c>
      <c r="CK101" s="658" t="str" cm="1">
        <f t="array" ref="CK101">_xlfn.IFNA(_xlfn.IFS(AJ101="Ada","Selesai",AJ101="Tidak Perlu","Selesai",AJ101="","Terlambat"),"")</f>
        <v>Terlambat</v>
      </c>
      <c r="CL101" s="658" t="str" cm="1">
        <f t="array" ref="CL101">_xlfn.IFNA(_xlfn.IFS(AL101="Ada","Selesai",AL101="Tidak Perlu","Selesai",AL101="","Terlambat"),"")</f>
        <v>Terlambat</v>
      </c>
      <c r="CM101" s="658" t="str" cm="1">
        <f t="array" ref="CM101">_xlfn.IFNA(_xlfn.IFS(AN101="Ada","Selesai",AN101="Tidak Perlu","Selesai",AN101="","Terlambat"),"")</f>
        <v>Terlambat</v>
      </c>
      <c r="CN101" s="658" t="str" cm="1">
        <f t="array" ref="CN101">_xlfn.IFNA(_xlfn.IFS(AP101="Ada","Selesai",AP101="Tidak Perlu","Selesai",AP101="","Terlambat"),"")</f>
        <v>Terlambat</v>
      </c>
      <c r="CO101" s="658" t="str" cm="1">
        <f t="array" ref="CO101">_xlfn.IFNA(_xlfn.IFS(AR101="Ada","Selesai",AR101="Tidak Perlu","Selesai",AR101="","Terlambat"),"")</f>
        <v>Terlambat</v>
      </c>
      <c r="CP101" s="658" t="str" cm="1">
        <f t="array" ref="CP101">_xlfn.IFNA(_xlfn.IFS(AT101="Ada","Selesai",AT101="Tidak Perlu","Selesai",AT101="","Terlambat"),"")</f>
        <v>Terlambat</v>
      </c>
      <c r="CQ101" s="658" t="str" cm="1">
        <f t="array" ref="CQ101">_xlfn.IFNA(_xlfn.IFS(AV101="Ada","Selesai",AV101="Tidak Perlu","Selesai",AV101="","Terlambat"),"")</f>
        <v>Terlambat</v>
      </c>
      <c r="CR101" s="658" t="str" cm="1">
        <f t="array" ref="CR101">_xlfn.IFNA(_xlfn.IFS(AX101="Ada","Selesai",AX101="Tidak Perlu","Selesai",AX101="","Terlambat"),"")</f>
        <v>Terlambat</v>
      </c>
      <c r="CS101" s="658" t="str" cm="1">
        <f t="array" ref="CS101">_xlfn.IFNA(_xlfn.IFS(AZ101="Ada","Selesai",AZ101="Tidak Perlu","Selesai",AZ101="","Terlambat"),"")</f>
        <v>Terlambat</v>
      </c>
      <c r="CT101" s="658" t="str" cm="1">
        <f t="array" ref="CT101">_xlfn.IFNA(_xlfn.IFS(BB101="Ada","Selesai",BB101="Tidak Perlu","Selesai",BB101="","Terlambat"),"")</f>
        <v>Terlambat</v>
      </c>
      <c r="CU101" s="658" t="str" cm="1">
        <f t="array" ref="CU101">_xlfn.IFNA(_xlfn.IFS(BD101="Ada","Selesai",BD101="Tidak Perlu","Selesai",BD101="","Terlambat"),"")</f>
        <v>Terlambat</v>
      </c>
      <c r="CV101" s="658" t="str" cm="1">
        <f t="array" ref="CV101">_xlfn.IFNA(_xlfn.IFS(BF101="Ada","Selesai",BF101="Tidak Perlu","Selesai",BF101="","Terlambat"),"")</f>
        <v>Selesai</v>
      </c>
      <c r="CW101" s="658" t="str" cm="1">
        <f t="array" ref="CW101">_xlfn.IFNA(_xlfn.IFS(BM101="Ada","Selesai",BM101="Tidak Perlu","Selesai",BM101="","Terlambat"),"")</f>
        <v/>
      </c>
    </row>
    <row r="102" spans="2:101" ht="17.25" hidden="1" customHeight="1" x14ac:dyDescent="0.2">
      <c r="B102" s="633">
        <v>95</v>
      </c>
      <c r="C102" s="633" t="s">
        <v>629</v>
      </c>
      <c r="D102" s="634" t="s">
        <v>1895</v>
      </c>
      <c r="E102" s="633" t="s">
        <v>278</v>
      </c>
      <c r="F102" s="634" t="s">
        <v>1896</v>
      </c>
      <c r="G102" s="633" t="s">
        <v>3608</v>
      </c>
      <c r="H102" s="646" t="s">
        <v>3690</v>
      </c>
      <c r="I102" s="633" t="s">
        <v>3668</v>
      </c>
      <c r="J102" s="636">
        <v>0.63</v>
      </c>
      <c r="K102" s="637" t="str">
        <f t="shared" si="4"/>
        <v>5/20</v>
      </c>
      <c r="L102" s="638" t="s">
        <v>3669</v>
      </c>
      <c r="M102" s="639" t="s">
        <v>3606</v>
      </c>
      <c r="N102" s="639"/>
      <c r="O102" s="639" t="s">
        <v>3603</v>
      </c>
      <c r="P102" s="641"/>
      <c r="Q102" s="639" t="s">
        <v>3603</v>
      </c>
      <c r="R102" s="641"/>
      <c r="S102" s="639" t="s">
        <v>3606</v>
      </c>
      <c r="T102" s="639"/>
      <c r="U102" s="639" t="s">
        <v>3603</v>
      </c>
      <c r="V102" s="640"/>
      <c r="W102" s="639" t="s">
        <v>3603</v>
      </c>
      <c r="X102" s="640"/>
      <c r="Y102" s="642" t="s">
        <v>3603</v>
      </c>
      <c r="Z102" s="640" t="s">
        <v>1266</v>
      </c>
      <c r="AA102" s="639" t="s">
        <v>3603</v>
      </c>
      <c r="AB102" s="640"/>
      <c r="AC102" s="639" t="s">
        <v>3603</v>
      </c>
      <c r="AD102" s="640"/>
      <c r="AE102" s="639" t="s">
        <v>3606</v>
      </c>
      <c r="AF102" s="641" t="s">
        <v>3678</v>
      </c>
      <c r="AG102" s="641" t="s">
        <v>3603</v>
      </c>
      <c r="AH102" s="640"/>
      <c r="AI102" s="641" t="s">
        <v>3603</v>
      </c>
      <c r="AJ102" s="640"/>
      <c r="AK102" s="641" t="s">
        <v>3603</v>
      </c>
      <c r="AL102" s="640"/>
      <c r="AM102" s="639" t="s">
        <v>3606</v>
      </c>
      <c r="AN102" s="640"/>
      <c r="AO102" s="639" t="s">
        <v>3603</v>
      </c>
      <c r="AP102" s="640"/>
      <c r="AQ102" s="639" t="s">
        <v>3603</v>
      </c>
      <c r="AR102" s="640"/>
      <c r="AS102" s="639" t="s">
        <v>3603</v>
      </c>
      <c r="AT102" s="640"/>
      <c r="AU102" s="639" t="s">
        <v>3603</v>
      </c>
      <c r="AV102" s="640"/>
      <c r="AW102" s="639" t="s">
        <v>3606</v>
      </c>
      <c r="AX102" s="640"/>
      <c r="AY102" s="639" t="s">
        <v>3603</v>
      </c>
      <c r="AZ102" s="640"/>
      <c r="BA102" s="639" t="s">
        <v>3606</v>
      </c>
      <c r="BB102" s="640"/>
      <c r="BC102" s="639" t="s">
        <v>3603</v>
      </c>
      <c r="BD102" s="640"/>
      <c r="BE102" s="640" t="s">
        <v>3604</v>
      </c>
      <c r="BF102" s="640"/>
      <c r="BG102" s="640" t="s">
        <v>3603</v>
      </c>
      <c r="BH102" s="640"/>
      <c r="BI102" s="640" t="s">
        <v>3603</v>
      </c>
      <c r="BJ102" s="640"/>
      <c r="BK102" s="640" t="s">
        <v>3603</v>
      </c>
      <c r="BL102" s="640"/>
      <c r="BM102" s="678"/>
      <c r="BN102" s="637"/>
      <c r="BO102" s="637"/>
      <c r="BP102" s="637"/>
      <c r="BQ102" s="637"/>
      <c r="BR102" s="637"/>
      <c r="BS102" s="637"/>
      <c r="BT102" s="637"/>
      <c r="BU102" s="679"/>
      <c r="BV102" s="679"/>
      <c r="BW102" s="633" t="s">
        <v>3668</v>
      </c>
      <c r="BX102" s="651" t="str">
        <f t="shared" si="6"/>
        <v>SPAM Buaran 3 Hilir</v>
      </c>
      <c r="BY102" s="651" t="str">
        <f t="shared" si="6"/>
        <v>24ABJ.NINBUR161JPEZ2</v>
      </c>
      <c r="BZ102" s="658" t="str" cm="1">
        <f t="array" ref="BZ102">_xlfn.IFNA(_xlfn.IFS(N102="Ada","Selesai",N102="Tidak Perlu","Selesai",N102="","Terlambat"),"")</f>
        <v>Terlambat</v>
      </c>
      <c r="CA102" s="658" t="str" cm="1">
        <f t="array" ref="CA102">_xlfn.IFNA(_xlfn.IFS(P102="Ada","Selesai",P102="Tidak Perlu","Selesai",P102="","Terlambat"),"")</f>
        <v>Terlambat</v>
      </c>
      <c r="CB102" s="658" t="str" cm="1">
        <f t="array" ref="CB102">_xlfn.IFNA(_xlfn.IFS(R102="Ada","Selesai",R102="Tidak Perlu","Selesai",R102="","Terlambat"),"")</f>
        <v>Terlambat</v>
      </c>
      <c r="CC102" s="658" t="str" cm="1">
        <f t="array" ref="CC102">_xlfn.IFNA(_xlfn.IFS(T102="Ada","Selesai",T102="Tidak Perlu","Selesai",T102="","Terlambat"),"")</f>
        <v>Terlambat</v>
      </c>
      <c r="CD102" s="658" t="str" cm="1">
        <f t="array" ref="CD102">_xlfn.IFNA(_xlfn.IFS(V102="Ada","Selesai",V102="Tidak Perlu","Selesai",V102="","Terlambat"),"")</f>
        <v>Terlambat</v>
      </c>
      <c r="CE102" s="658" t="str" cm="1">
        <f t="array" ref="CE102">_xlfn.IFNA(_xlfn.IFS(X102="Ada","Selesai",X102="Tidak Perlu","Selesai",X102="","Terlambat"),"")</f>
        <v>Terlambat</v>
      </c>
      <c r="CF102" s="658" t="str" cm="1">
        <f t="array" ref="CF102">_xlfn.IFNA(_xlfn.IFS(Z102="Ada","Selesai",Z102="Tidak Perlu","Selesai",Z102="","Terlambat"),"")</f>
        <v>Selesai</v>
      </c>
      <c r="CG102" s="658" t="str" cm="1">
        <f t="array" ref="CG102">_xlfn.IFNA(_xlfn.IFS(AB102="Ada","Selesai",AB102="Tidak Perlu","Selesai",AB102="","Terlambat"),"")</f>
        <v>Terlambat</v>
      </c>
      <c r="CH102" s="658" t="str" cm="1">
        <f t="array" ref="CH102">_xlfn.IFNA(_xlfn.IFS(AD102="Ada","Selesai",AD102="Tidak Perlu","Selesai",AD102="","Terlambat"),"")</f>
        <v>Terlambat</v>
      </c>
      <c r="CI102" s="658" t="str" cm="1">
        <f t="array" ref="CI102">_xlfn.IFNA(_xlfn.IFS(AF102="Ada","Selesai",AF102="Tidak Perlu","Selesai",AF102="","Terlambat"),"")</f>
        <v>Selesai</v>
      </c>
      <c r="CJ102" s="658" t="str" cm="1">
        <f t="array" ref="CJ102">_xlfn.IFNA(_xlfn.IFS(AH102="Ada","Selesai",AH102="Tidak Perlu","Selesai",AH102="","Terlambat"),"")</f>
        <v>Terlambat</v>
      </c>
      <c r="CK102" s="658" t="str" cm="1">
        <f t="array" ref="CK102">_xlfn.IFNA(_xlfn.IFS(AJ102="Ada","Selesai",AJ102="Tidak Perlu","Selesai",AJ102="","Terlambat"),"")</f>
        <v>Terlambat</v>
      </c>
      <c r="CL102" s="658" t="str" cm="1">
        <f t="array" ref="CL102">_xlfn.IFNA(_xlfn.IFS(AL102="Ada","Selesai",AL102="Tidak Perlu","Selesai",AL102="","Terlambat"),"")</f>
        <v>Terlambat</v>
      </c>
      <c r="CM102" s="658" t="str" cm="1">
        <f t="array" ref="CM102">_xlfn.IFNA(_xlfn.IFS(AN102="Ada","Selesai",AN102="Tidak Perlu","Selesai",AN102="","Terlambat"),"")</f>
        <v>Terlambat</v>
      </c>
      <c r="CN102" s="658" t="str" cm="1">
        <f t="array" ref="CN102">_xlfn.IFNA(_xlfn.IFS(AP102="Ada","Selesai",AP102="Tidak Perlu","Selesai",AP102="","Terlambat"),"")</f>
        <v>Terlambat</v>
      </c>
      <c r="CO102" s="658" t="str" cm="1">
        <f t="array" ref="CO102">_xlfn.IFNA(_xlfn.IFS(AR102="Ada","Selesai",AR102="Tidak Perlu","Selesai",AR102="","Terlambat"),"")</f>
        <v>Terlambat</v>
      </c>
      <c r="CP102" s="658" t="str" cm="1">
        <f t="array" ref="CP102">_xlfn.IFNA(_xlfn.IFS(AT102="Ada","Selesai",AT102="Tidak Perlu","Selesai",AT102="","Terlambat"),"")</f>
        <v>Terlambat</v>
      </c>
      <c r="CQ102" s="658" t="str" cm="1">
        <f t="array" ref="CQ102">_xlfn.IFNA(_xlfn.IFS(AV102="Ada","Selesai",AV102="Tidak Perlu","Selesai",AV102="","Terlambat"),"")</f>
        <v>Terlambat</v>
      </c>
      <c r="CR102" s="658" t="str" cm="1">
        <f t="array" ref="CR102">_xlfn.IFNA(_xlfn.IFS(AX102="Ada","Selesai",AX102="Tidak Perlu","Selesai",AX102="","Terlambat"),"")</f>
        <v>Terlambat</v>
      </c>
      <c r="CS102" s="658" t="str" cm="1">
        <f t="array" ref="CS102">_xlfn.IFNA(_xlfn.IFS(AZ102="Ada","Selesai",AZ102="Tidak Perlu","Selesai",AZ102="","Terlambat"),"")</f>
        <v>Terlambat</v>
      </c>
      <c r="CT102" s="658" t="str" cm="1">
        <f t="array" ref="CT102">_xlfn.IFNA(_xlfn.IFS(BB102="Ada","Selesai",BB102="Tidak Perlu","Selesai",BB102="","Terlambat"),"")</f>
        <v>Terlambat</v>
      </c>
      <c r="CU102" s="658" t="str" cm="1">
        <f t="array" ref="CU102">_xlfn.IFNA(_xlfn.IFS(BD102="Ada","Selesai",BD102="Tidak Perlu","Selesai",BD102="","Terlambat"),"")</f>
        <v>Terlambat</v>
      </c>
      <c r="CV102" s="658" t="str" cm="1">
        <f t="array" ref="CV102">_xlfn.IFNA(_xlfn.IFS(BF102="Ada","Selesai",BF102="Tidak Perlu","Selesai",BF102="","Terlambat"),"")</f>
        <v>Terlambat</v>
      </c>
      <c r="CW102" s="658" t="str" cm="1">
        <f t="array" ref="CW102">_xlfn.IFNA(_xlfn.IFS(BM102="Ada","Selesai",BM102="Tidak Perlu","Selesai",BM102="","Terlambat"),"")</f>
        <v>Terlambat</v>
      </c>
    </row>
    <row r="103" spans="2:101" ht="17.25" hidden="1" customHeight="1" x14ac:dyDescent="0.2">
      <c r="B103" s="633">
        <v>96</v>
      </c>
      <c r="C103" s="633" t="s">
        <v>629</v>
      </c>
      <c r="D103" s="634" t="s">
        <v>1903</v>
      </c>
      <c r="E103" s="633" t="s">
        <v>278</v>
      </c>
      <c r="F103" s="634" t="s">
        <v>3729</v>
      </c>
      <c r="G103" s="633" t="s">
        <v>3608</v>
      </c>
      <c r="H103" s="646" t="s">
        <v>3690</v>
      </c>
      <c r="I103" s="633" t="s">
        <v>3668</v>
      </c>
      <c r="J103" s="636">
        <v>0.52549999999999997</v>
      </c>
      <c r="K103" s="637" t="str">
        <f t="shared" si="4"/>
        <v>1/20</v>
      </c>
      <c r="L103" s="638" t="s">
        <v>3669</v>
      </c>
      <c r="M103" s="639" t="s">
        <v>3606</v>
      </c>
      <c r="N103" s="639"/>
      <c r="O103" s="639" t="s">
        <v>3603</v>
      </c>
      <c r="P103" s="641"/>
      <c r="Q103" s="639" t="s">
        <v>3603</v>
      </c>
      <c r="R103" s="641"/>
      <c r="S103" s="639" t="s">
        <v>3606</v>
      </c>
      <c r="T103" s="639"/>
      <c r="U103" s="639" t="s">
        <v>3603</v>
      </c>
      <c r="V103" s="640"/>
      <c r="W103" s="639" t="s">
        <v>3603</v>
      </c>
      <c r="X103" s="640"/>
      <c r="Y103" s="642" t="s">
        <v>3603</v>
      </c>
      <c r="Z103" s="640" t="s">
        <v>1266</v>
      </c>
      <c r="AA103" s="639" t="s">
        <v>3603</v>
      </c>
      <c r="AB103" s="640"/>
      <c r="AC103" s="639" t="s">
        <v>3603</v>
      </c>
      <c r="AD103" s="640"/>
      <c r="AE103" s="639" t="s">
        <v>3606</v>
      </c>
      <c r="AF103" s="641" t="s">
        <v>3678</v>
      </c>
      <c r="AG103" s="641" t="s">
        <v>3603</v>
      </c>
      <c r="AH103" s="640"/>
      <c r="AI103" s="641" t="s">
        <v>3603</v>
      </c>
      <c r="AJ103" s="640"/>
      <c r="AK103" s="641" t="s">
        <v>3603</v>
      </c>
      <c r="AL103" s="640"/>
      <c r="AM103" s="639" t="s">
        <v>3603</v>
      </c>
      <c r="AN103" s="640"/>
      <c r="AO103" s="639" t="s">
        <v>3603</v>
      </c>
      <c r="AP103" s="640"/>
      <c r="AQ103" s="639" t="s">
        <v>3603</v>
      </c>
      <c r="AR103" s="640"/>
      <c r="AS103" s="639" t="s">
        <v>3603</v>
      </c>
      <c r="AT103" s="640"/>
      <c r="AU103" s="639" t="s">
        <v>3603</v>
      </c>
      <c r="AV103" s="640"/>
      <c r="AW103" s="639" t="s">
        <v>3603</v>
      </c>
      <c r="AX103" s="640"/>
      <c r="AY103" s="639" t="s">
        <v>3603</v>
      </c>
      <c r="AZ103" s="640"/>
      <c r="BA103" s="639" t="s">
        <v>3603</v>
      </c>
      <c r="BB103" s="640"/>
      <c r="BC103" s="639" t="s">
        <v>3603</v>
      </c>
      <c r="BD103" s="640"/>
      <c r="BE103" s="640" t="s">
        <v>3603</v>
      </c>
      <c r="BF103" s="640"/>
      <c r="BG103" s="640" t="s">
        <v>3603</v>
      </c>
      <c r="BH103" s="640"/>
      <c r="BI103" s="640" t="s">
        <v>3603</v>
      </c>
      <c r="BJ103" s="640"/>
      <c r="BK103" s="640" t="s">
        <v>3603</v>
      </c>
      <c r="BL103" s="640"/>
      <c r="BM103" s="678"/>
      <c r="BN103" s="637"/>
      <c r="BO103" s="637"/>
      <c r="BP103" s="637"/>
      <c r="BQ103" s="637"/>
      <c r="BR103" s="637"/>
      <c r="BS103" s="637"/>
      <c r="BT103" s="637"/>
      <c r="BU103" s="679"/>
      <c r="BV103" s="679"/>
      <c r="BW103" s="633" t="s">
        <v>3668</v>
      </c>
      <c r="BX103" s="651" t="str">
        <f t="shared" si="6"/>
        <v>SPAM Buaran 3 Hilir</v>
      </c>
      <c r="BY103" s="651" t="str">
        <f t="shared" si="6"/>
        <v>24ABJ.NINBUR161JPEZ3</v>
      </c>
      <c r="BZ103" s="658" t="str" cm="1">
        <f t="array" ref="BZ103">_xlfn.IFNA(_xlfn.IFS(N103="Ada","Selesai",N103="Tidak Perlu","Selesai",N103="","Terlambat"),"")</f>
        <v>Terlambat</v>
      </c>
      <c r="CA103" s="658" t="str" cm="1">
        <f t="array" ref="CA103">_xlfn.IFNA(_xlfn.IFS(P103="Ada","Selesai",P103="Tidak Perlu","Selesai",P103="","Terlambat"),"")</f>
        <v>Terlambat</v>
      </c>
      <c r="CB103" s="658" t="str" cm="1">
        <f t="array" ref="CB103">_xlfn.IFNA(_xlfn.IFS(R103="Ada","Selesai",R103="Tidak Perlu","Selesai",R103="","Terlambat"),"")</f>
        <v>Terlambat</v>
      </c>
      <c r="CC103" s="658" t="str" cm="1">
        <f t="array" ref="CC103">_xlfn.IFNA(_xlfn.IFS(T103="Ada","Selesai",T103="Tidak Perlu","Selesai",T103="","Terlambat"),"")</f>
        <v>Terlambat</v>
      </c>
      <c r="CD103" s="658" t="str" cm="1">
        <f t="array" ref="CD103">_xlfn.IFNA(_xlfn.IFS(V103="Ada","Selesai",V103="Tidak Perlu","Selesai",V103="","Terlambat"),"")</f>
        <v>Terlambat</v>
      </c>
      <c r="CE103" s="658" t="str" cm="1">
        <f t="array" ref="CE103">_xlfn.IFNA(_xlfn.IFS(X103="Ada","Selesai",X103="Tidak Perlu","Selesai",X103="","Terlambat"),"")</f>
        <v>Terlambat</v>
      </c>
      <c r="CF103" s="658" t="str" cm="1">
        <f t="array" ref="CF103">_xlfn.IFNA(_xlfn.IFS(Z103="Ada","Selesai",Z103="Tidak Perlu","Selesai",Z103="","Terlambat"),"")</f>
        <v>Selesai</v>
      </c>
      <c r="CG103" s="658" t="str" cm="1">
        <f t="array" ref="CG103">_xlfn.IFNA(_xlfn.IFS(AB103="Ada","Selesai",AB103="Tidak Perlu","Selesai",AB103="","Terlambat"),"")</f>
        <v>Terlambat</v>
      </c>
      <c r="CH103" s="658" t="str" cm="1">
        <f t="array" ref="CH103">_xlfn.IFNA(_xlfn.IFS(AD103="Ada","Selesai",AD103="Tidak Perlu","Selesai",AD103="","Terlambat"),"")</f>
        <v>Terlambat</v>
      </c>
      <c r="CI103" s="658" t="str" cm="1">
        <f t="array" ref="CI103">_xlfn.IFNA(_xlfn.IFS(AF103="Ada","Selesai",AF103="Tidak Perlu","Selesai",AF103="","Terlambat"),"")</f>
        <v>Selesai</v>
      </c>
      <c r="CJ103" s="658" t="str" cm="1">
        <f t="array" ref="CJ103">_xlfn.IFNA(_xlfn.IFS(AH103="Ada","Selesai",AH103="Tidak Perlu","Selesai",AH103="","Terlambat"),"")</f>
        <v>Terlambat</v>
      </c>
      <c r="CK103" s="658" t="str" cm="1">
        <f t="array" ref="CK103">_xlfn.IFNA(_xlfn.IFS(AJ103="Ada","Selesai",AJ103="Tidak Perlu","Selesai",AJ103="","Terlambat"),"")</f>
        <v>Terlambat</v>
      </c>
      <c r="CL103" s="658" t="str" cm="1">
        <f t="array" ref="CL103">_xlfn.IFNA(_xlfn.IFS(AL103="Ada","Selesai",AL103="Tidak Perlu","Selesai",AL103="","Terlambat"),"")</f>
        <v>Terlambat</v>
      </c>
      <c r="CM103" s="658" t="str" cm="1">
        <f t="array" ref="CM103">_xlfn.IFNA(_xlfn.IFS(AN103="Ada","Selesai",AN103="Tidak Perlu","Selesai",AN103="","Terlambat"),"")</f>
        <v>Terlambat</v>
      </c>
      <c r="CN103" s="658" t="str" cm="1">
        <f t="array" ref="CN103">_xlfn.IFNA(_xlfn.IFS(AP103="Ada","Selesai",AP103="Tidak Perlu","Selesai",AP103="","Terlambat"),"")</f>
        <v>Terlambat</v>
      </c>
      <c r="CO103" s="658" t="str" cm="1">
        <f t="array" ref="CO103">_xlfn.IFNA(_xlfn.IFS(AR103="Ada","Selesai",AR103="Tidak Perlu","Selesai",AR103="","Terlambat"),"")</f>
        <v>Terlambat</v>
      </c>
      <c r="CP103" s="658" t="str" cm="1">
        <f t="array" ref="CP103">_xlfn.IFNA(_xlfn.IFS(AT103="Ada","Selesai",AT103="Tidak Perlu","Selesai",AT103="","Terlambat"),"")</f>
        <v>Terlambat</v>
      </c>
      <c r="CQ103" s="658" t="str" cm="1">
        <f t="array" ref="CQ103">_xlfn.IFNA(_xlfn.IFS(AV103="Ada","Selesai",AV103="Tidak Perlu","Selesai",AV103="","Terlambat"),"")</f>
        <v>Terlambat</v>
      </c>
      <c r="CR103" s="658" t="str" cm="1">
        <f t="array" ref="CR103">_xlfn.IFNA(_xlfn.IFS(AX103="Ada","Selesai",AX103="Tidak Perlu","Selesai",AX103="","Terlambat"),"")</f>
        <v>Terlambat</v>
      </c>
      <c r="CS103" s="658" t="str" cm="1">
        <f t="array" ref="CS103">_xlfn.IFNA(_xlfn.IFS(AZ103="Ada","Selesai",AZ103="Tidak Perlu","Selesai",AZ103="","Terlambat"),"")</f>
        <v>Terlambat</v>
      </c>
      <c r="CT103" s="658" t="str" cm="1">
        <f t="array" ref="CT103">_xlfn.IFNA(_xlfn.IFS(BB103="Ada","Selesai",BB103="Tidak Perlu","Selesai",BB103="","Terlambat"),"")</f>
        <v>Terlambat</v>
      </c>
      <c r="CU103" s="658" t="str" cm="1">
        <f t="array" ref="CU103">_xlfn.IFNA(_xlfn.IFS(BD103="Ada","Selesai",BD103="Tidak Perlu","Selesai",BD103="","Terlambat"),"")</f>
        <v>Terlambat</v>
      </c>
      <c r="CV103" s="658" t="str" cm="1">
        <f t="array" ref="CV103">_xlfn.IFNA(_xlfn.IFS(BF103="Ada","Selesai",BF103="Tidak Perlu","Selesai",BF103="","Terlambat"),"")</f>
        <v>Terlambat</v>
      </c>
      <c r="CW103" s="658" t="str" cm="1">
        <f t="array" ref="CW103">_xlfn.IFNA(_xlfn.IFS(BM103="Ada","Selesai",BM103="Tidak Perlu","Selesai",BM103="","Terlambat"),"")</f>
        <v>Terlambat</v>
      </c>
    </row>
    <row r="104" spans="2:101" ht="17.25" hidden="1" customHeight="1" x14ac:dyDescent="0.2">
      <c r="B104" s="633">
        <v>97</v>
      </c>
      <c r="C104" s="633" t="s">
        <v>629</v>
      </c>
      <c r="D104" s="634" t="s">
        <v>1912</v>
      </c>
      <c r="E104" s="633" t="s">
        <v>278</v>
      </c>
      <c r="F104" s="634" t="s">
        <v>1913</v>
      </c>
      <c r="G104" s="633" t="s">
        <v>3608</v>
      </c>
      <c r="H104" s="646" t="s">
        <v>3690</v>
      </c>
      <c r="I104" s="633" t="s">
        <v>3668</v>
      </c>
      <c r="J104" s="636">
        <v>0.72</v>
      </c>
      <c r="K104" s="637" t="str">
        <f t="shared" si="4"/>
        <v>2/20</v>
      </c>
      <c r="L104" s="638" t="s">
        <v>3669</v>
      </c>
      <c r="M104" s="639" t="s">
        <v>3606</v>
      </c>
      <c r="N104" s="639"/>
      <c r="O104" s="639" t="s">
        <v>3603</v>
      </c>
      <c r="P104" s="641"/>
      <c r="Q104" s="639" t="s">
        <v>3603</v>
      </c>
      <c r="R104" s="641"/>
      <c r="S104" s="639" t="s">
        <v>3606</v>
      </c>
      <c r="T104" s="639"/>
      <c r="U104" s="639" t="s">
        <v>3603</v>
      </c>
      <c r="V104" s="640"/>
      <c r="W104" s="639" t="s">
        <v>3603</v>
      </c>
      <c r="X104" s="640"/>
      <c r="Y104" s="642" t="s">
        <v>3603</v>
      </c>
      <c r="Z104" s="640" t="s">
        <v>1266</v>
      </c>
      <c r="AA104" s="639" t="s">
        <v>3603</v>
      </c>
      <c r="AB104" s="640"/>
      <c r="AC104" s="639" t="s">
        <v>3603</v>
      </c>
      <c r="AD104" s="640"/>
      <c r="AE104" s="639" t="s">
        <v>3606</v>
      </c>
      <c r="AF104" s="641" t="s">
        <v>3678</v>
      </c>
      <c r="AG104" s="641" t="s">
        <v>3603</v>
      </c>
      <c r="AH104" s="640"/>
      <c r="AI104" s="641" t="s">
        <v>3603</v>
      </c>
      <c r="AJ104" s="640"/>
      <c r="AK104" s="641" t="s">
        <v>3603</v>
      </c>
      <c r="AL104" s="640"/>
      <c r="AM104" s="639" t="s">
        <v>3603</v>
      </c>
      <c r="AN104" s="640"/>
      <c r="AO104" s="639" t="s">
        <v>3603</v>
      </c>
      <c r="AP104" s="640"/>
      <c r="AQ104" s="639" t="s">
        <v>3603</v>
      </c>
      <c r="AR104" s="640"/>
      <c r="AS104" s="639" t="s">
        <v>3603</v>
      </c>
      <c r="AT104" s="640"/>
      <c r="AU104" s="639" t="s">
        <v>3603</v>
      </c>
      <c r="AV104" s="640"/>
      <c r="AW104" s="639" t="s">
        <v>3606</v>
      </c>
      <c r="AX104" s="640"/>
      <c r="AY104" s="639" t="s">
        <v>3603</v>
      </c>
      <c r="AZ104" s="640"/>
      <c r="BA104" s="639" t="s">
        <v>3603</v>
      </c>
      <c r="BB104" s="640"/>
      <c r="BC104" s="639" t="s">
        <v>3603</v>
      </c>
      <c r="BD104" s="640"/>
      <c r="BE104" s="640" t="s">
        <v>3603</v>
      </c>
      <c r="BF104" s="640"/>
      <c r="BG104" s="640" t="s">
        <v>3603</v>
      </c>
      <c r="BH104" s="640"/>
      <c r="BI104" s="640" t="s">
        <v>3603</v>
      </c>
      <c r="BJ104" s="640"/>
      <c r="BK104" s="640" t="s">
        <v>3603</v>
      </c>
      <c r="BL104" s="640"/>
      <c r="BM104" s="678"/>
      <c r="BN104" s="637"/>
      <c r="BO104" s="637"/>
      <c r="BP104" s="637"/>
      <c r="BQ104" s="637"/>
      <c r="BR104" s="637"/>
      <c r="BS104" s="637"/>
      <c r="BT104" s="637"/>
      <c r="BU104" s="679"/>
      <c r="BV104" s="679"/>
      <c r="BW104" s="633" t="s">
        <v>3668</v>
      </c>
      <c r="BX104" s="651" t="str">
        <f t="shared" si="6"/>
        <v>SPAM Buaran 3 Hilir</v>
      </c>
      <c r="BY104" s="651" t="str">
        <f t="shared" si="6"/>
        <v>24ABJ.NINBUR161JPEZ4</v>
      </c>
      <c r="BZ104" s="658" t="str" cm="1">
        <f t="array" ref="BZ104">_xlfn.IFNA(_xlfn.IFS(N104="Ada","Selesai",N104="Tidak Perlu","Selesai",N104="","Terlambat"),"")</f>
        <v>Terlambat</v>
      </c>
      <c r="CA104" s="658" t="str" cm="1">
        <f t="array" ref="CA104">_xlfn.IFNA(_xlfn.IFS(P104="Ada","Selesai",P104="Tidak Perlu","Selesai",P104="","Terlambat"),"")</f>
        <v>Terlambat</v>
      </c>
      <c r="CB104" s="658" t="str" cm="1">
        <f t="array" ref="CB104">_xlfn.IFNA(_xlfn.IFS(R104="Ada","Selesai",R104="Tidak Perlu","Selesai",R104="","Terlambat"),"")</f>
        <v>Terlambat</v>
      </c>
      <c r="CC104" s="658" t="str" cm="1">
        <f t="array" ref="CC104">_xlfn.IFNA(_xlfn.IFS(T104="Ada","Selesai",T104="Tidak Perlu","Selesai",T104="","Terlambat"),"")</f>
        <v>Terlambat</v>
      </c>
      <c r="CD104" s="658" t="str" cm="1">
        <f t="array" ref="CD104">_xlfn.IFNA(_xlfn.IFS(V104="Ada","Selesai",V104="Tidak Perlu","Selesai",V104="","Terlambat"),"")</f>
        <v>Terlambat</v>
      </c>
      <c r="CE104" s="658" t="str" cm="1">
        <f t="array" ref="CE104">_xlfn.IFNA(_xlfn.IFS(X104="Ada","Selesai",X104="Tidak Perlu","Selesai",X104="","Terlambat"),"")</f>
        <v>Terlambat</v>
      </c>
      <c r="CF104" s="658" t="str" cm="1">
        <f t="array" ref="CF104">_xlfn.IFNA(_xlfn.IFS(Z104="Ada","Selesai",Z104="Tidak Perlu","Selesai",Z104="","Terlambat"),"")</f>
        <v>Selesai</v>
      </c>
      <c r="CG104" s="658" t="str" cm="1">
        <f t="array" ref="CG104">_xlfn.IFNA(_xlfn.IFS(AB104="Ada","Selesai",AB104="Tidak Perlu","Selesai",AB104="","Terlambat"),"")</f>
        <v>Terlambat</v>
      </c>
      <c r="CH104" s="658" t="str" cm="1">
        <f t="array" ref="CH104">_xlfn.IFNA(_xlfn.IFS(AD104="Ada","Selesai",AD104="Tidak Perlu","Selesai",AD104="","Terlambat"),"")</f>
        <v>Terlambat</v>
      </c>
      <c r="CI104" s="658" t="str" cm="1">
        <f t="array" ref="CI104">_xlfn.IFNA(_xlfn.IFS(AF104="Ada","Selesai",AF104="Tidak Perlu","Selesai",AF104="","Terlambat"),"")</f>
        <v>Selesai</v>
      </c>
      <c r="CJ104" s="658" t="str" cm="1">
        <f t="array" ref="CJ104">_xlfn.IFNA(_xlfn.IFS(AH104="Ada","Selesai",AH104="Tidak Perlu","Selesai",AH104="","Terlambat"),"")</f>
        <v>Terlambat</v>
      </c>
      <c r="CK104" s="658" t="str" cm="1">
        <f t="array" ref="CK104">_xlfn.IFNA(_xlfn.IFS(AJ104="Ada","Selesai",AJ104="Tidak Perlu","Selesai",AJ104="","Terlambat"),"")</f>
        <v>Terlambat</v>
      </c>
      <c r="CL104" s="658" t="str" cm="1">
        <f t="array" ref="CL104">_xlfn.IFNA(_xlfn.IFS(AL104="Ada","Selesai",AL104="Tidak Perlu","Selesai",AL104="","Terlambat"),"")</f>
        <v>Terlambat</v>
      </c>
      <c r="CM104" s="658" t="str" cm="1">
        <f t="array" ref="CM104">_xlfn.IFNA(_xlfn.IFS(AN104="Ada","Selesai",AN104="Tidak Perlu","Selesai",AN104="","Terlambat"),"")</f>
        <v>Terlambat</v>
      </c>
      <c r="CN104" s="658" t="str" cm="1">
        <f t="array" ref="CN104">_xlfn.IFNA(_xlfn.IFS(AP104="Ada","Selesai",AP104="Tidak Perlu","Selesai",AP104="","Terlambat"),"")</f>
        <v>Terlambat</v>
      </c>
      <c r="CO104" s="658" t="str" cm="1">
        <f t="array" ref="CO104">_xlfn.IFNA(_xlfn.IFS(AR104="Ada","Selesai",AR104="Tidak Perlu","Selesai",AR104="","Terlambat"),"")</f>
        <v>Terlambat</v>
      </c>
      <c r="CP104" s="658" t="str" cm="1">
        <f t="array" ref="CP104">_xlfn.IFNA(_xlfn.IFS(AT104="Ada","Selesai",AT104="Tidak Perlu","Selesai",AT104="","Terlambat"),"")</f>
        <v>Terlambat</v>
      </c>
      <c r="CQ104" s="658" t="str" cm="1">
        <f t="array" ref="CQ104">_xlfn.IFNA(_xlfn.IFS(AV104="Ada","Selesai",AV104="Tidak Perlu","Selesai",AV104="","Terlambat"),"")</f>
        <v>Terlambat</v>
      </c>
      <c r="CR104" s="658" t="str" cm="1">
        <f t="array" ref="CR104">_xlfn.IFNA(_xlfn.IFS(AX104="Ada","Selesai",AX104="Tidak Perlu","Selesai",AX104="","Terlambat"),"")</f>
        <v>Terlambat</v>
      </c>
      <c r="CS104" s="658" t="str" cm="1">
        <f t="array" ref="CS104">_xlfn.IFNA(_xlfn.IFS(AZ104="Ada","Selesai",AZ104="Tidak Perlu","Selesai",AZ104="","Terlambat"),"")</f>
        <v>Terlambat</v>
      </c>
      <c r="CT104" s="658" t="str" cm="1">
        <f t="array" ref="CT104">_xlfn.IFNA(_xlfn.IFS(BB104="Ada","Selesai",BB104="Tidak Perlu","Selesai",BB104="","Terlambat"),"")</f>
        <v>Terlambat</v>
      </c>
      <c r="CU104" s="658" t="str" cm="1">
        <f t="array" ref="CU104">_xlfn.IFNA(_xlfn.IFS(BD104="Ada","Selesai",BD104="Tidak Perlu","Selesai",BD104="","Terlambat"),"")</f>
        <v>Terlambat</v>
      </c>
      <c r="CV104" s="658" t="str" cm="1">
        <f t="array" ref="CV104">_xlfn.IFNA(_xlfn.IFS(BF104="Ada","Selesai",BF104="Tidak Perlu","Selesai",BF104="","Terlambat"),"")</f>
        <v>Terlambat</v>
      </c>
      <c r="CW104" s="658" t="str" cm="1">
        <f t="array" ref="CW104">_xlfn.IFNA(_xlfn.IFS(BM104="Ada","Selesai",BM104="Tidak Perlu","Selesai",BM104="","Terlambat"),"")</f>
        <v>Terlambat</v>
      </c>
    </row>
    <row r="105" spans="2:101" ht="17.25" hidden="1" customHeight="1" x14ac:dyDescent="0.2">
      <c r="B105" s="633">
        <v>98</v>
      </c>
      <c r="C105" s="633" t="s">
        <v>629</v>
      </c>
      <c r="D105" s="634" t="s">
        <v>1921</v>
      </c>
      <c r="E105" s="633" t="s">
        <v>278</v>
      </c>
      <c r="F105" s="634" t="s">
        <v>1922</v>
      </c>
      <c r="G105" s="633" t="s">
        <v>3608</v>
      </c>
      <c r="H105" s="646" t="s">
        <v>3690</v>
      </c>
      <c r="I105" s="633" t="s">
        <v>3730</v>
      </c>
      <c r="J105" s="636">
        <v>0.7</v>
      </c>
      <c r="K105" s="637" t="str">
        <f t="shared" si="4"/>
        <v>3/20</v>
      </c>
      <c r="L105" s="638" t="s">
        <v>3669</v>
      </c>
      <c r="M105" s="639" t="s">
        <v>3606</v>
      </c>
      <c r="N105" s="639"/>
      <c r="O105" s="639" t="s">
        <v>3603</v>
      </c>
      <c r="P105" s="641"/>
      <c r="Q105" s="639" t="s">
        <v>3603</v>
      </c>
      <c r="R105" s="641"/>
      <c r="S105" s="639" t="s">
        <v>3606</v>
      </c>
      <c r="T105" s="639"/>
      <c r="U105" s="639" t="s">
        <v>3603</v>
      </c>
      <c r="V105" s="640"/>
      <c r="W105" s="639" t="s">
        <v>3603</v>
      </c>
      <c r="X105" s="640"/>
      <c r="Y105" s="642" t="s">
        <v>3603</v>
      </c>
      <c r="Z105" s="640" t="s">
        <v>1266</v>
      </c>
      <c r="AA105" s="639" t="s">
        <v>3603</v>
      </c>
      <c r="AB105" s="640"/>
      <c r="AC105" s="639" t="s">
        <v>3603</v>
      </c>
      <c r="AD105" s="640"/>
      <c r="AE105" s="639" t="s">
        <v>3606</v>
      </c>
      <c r="AF105" s="641" t="s">
        <v>3678</v>
      </c>
      <c r="AG105" s="641" t="s">
        <v>3603</v>
      </c>
      <c r="AH105" s="640"/>
      <c r="AI105" s="641" t="s">
        <v>3603</v>
      </c>
      <c r="AJ105" s="640"/>
      <c r="AK105" s="641" t="s">
        <v>3603</v>
      </c>
      <c r="AL105" s="640"/>
      <c r="AM105" s="639" t="s">
        <v>3603</v>
      </c>
      <c r="AN105" s="640"/>
      <c r="AO105" s="639" t="s">
        <v>3603</v>
      </c>
      <c r="AP105" s="640"/>
      <c r="AQ105" s="639" t="s">
        <v>3603</v>
      </c>
      <c r="AR105" s="640"/>
      <c r="AS105" s="639" t="s">
        <v>3603</v>
      </c>
      <c r="AT105" s="640"/>
      <c r="AU105" s="639" t="s">
        <v>3603</v>
      </c>
      <c r="AV105" s="640"/>
      <c r="AW105" s="639" t="s">
        <v>3606</v>
      </c>
      <c r="AX105" s="640"/>
      <c r="AY105" s="639" t="s">
        <v>3603</v>
      </c>
      <c r="AZ105" s="640"/>
      <c r="BA105" s="639" t="s">
        <v>3603</v>
      </c>
      <c r="BB105" s="640"/>
      <c r="BC105" s="639" t="s">
        <v>3603</v>
      </c>
      <c r="BD105" s="640"/>
      <c r="BE105" s="640" t="s">
        <v>3604</v>
      </c>
      <c r="BF105" s="640"/>
      <c r="BG105" s="640" t="s">
        <v>3603</v>
      </c>
      <c r="BH105" s="640"/>
      <c r="BI105" s="640" t="s">
        <v>3603</v>
      </c>
      <c r="BJ105" s="640"/>
      <c r="BK105" s="640" t="s">
        <v>3603</v>
      </c>
      <c r="BL105" s="640"/>
      <c r="BM105" s="678"/>
      <c r="BN105" s="637"/>
      <c r="BO105" s="637"/>
      <c r="BP105" s="637"/>
      <c r="BQ105" s="637"/>
      <c r="BR105" s="637"/>
      <c r="BS105" s="637"/>
      <c r="BT105" s="637" t="s">
        <v>3731</v>
      </c>
      <c r="BU105" s="679"/>
      <c r="BV105" s="679"/>
      <c r="BW105" s="633" t="s">
        <v>3668</v>
      </c>
      <c r="BX105" s="651" t="str">
        <f t="shared" si="6"/>
        <v>SPAM Buaran 3 Hilir</v>
      </c>
      <c r="BY105" s="651" t="str">
        <f t="shared" si="6"/>
        <v>24ABJ.NINBUR161JPEZ6</v>
      </c>
      <c r="BZ105" s="658" t="str" cm="1">
        <f t="array" ref="BZ105">_xlfn.IFNA(_xlfn.IFS(N105="Ada","Selesai",N105="Tidak Perlu","Selesai",N105="","Terlambat"),"")</f>
        <v>Terlambat</v>
      </c>
      <c r="CA105" s="658" t="str" cm="1">
        <f t="array" ref="CA105">_xlfn.IFNA(_xlfn.IFS(P105="Ada","Selesai",P105="Tidak Perlu","Selesai",P105="","Terlambat"),"")</f>
        <v>Terlambat</v>
      </c>
      <c r="CB105" s="658" t="str" cm="1">
        <f t="array" ref="CB105">_xlfn.IFNA(_xlfn.IFS(R105="Ada","Selesai",R105="Tidak Perlu","Selesai",R105="","Terlambat"),"")</f>
        <v>Terlambat</v>
      </c>
      <c r="CC105" s="658" t="str" cm="1">
        <f t="array" ref="CC105">_xlfn.IFNA(_xlfn.IFS(T105="Ada","Selesai",T105="Tidak Perlu","Selesai",T105="","Terlambat"),"")</f>
        <v>Terlambat</v>
      </c>
      <c r="CD105" s="658" t="str" cm="1">
        <f t="array" ref="CD105">_xlfn.IFNA(_xlfn.IFS(V105="Ada","Selesai",V105="Tidak Perlu","Selesai",V105="","Terlambat"),"")</f>
        <v>Terlambat</v>
      </c>
      <c r="CE105" s="658" t="str" cm="1">
        <f t="array" ref="CE105">_xlfn.IFNA(_xlfn.IFS(X105="Ada","Selesai",X105="Tidak Perlu","Selesai",X105="","Terlambat"),"")</f>
        <v>Terlambat</v>
      </c>
      <c r="CF105" s="658" t="str" cm="1">
        <f t="array" ref="CF105">_xlfn.IFNA(_xlfn.IFS(Z105="Ada","Selesai",Z105="Tidak Perlu","Selesai",Z105="","Terlambat"),"")</f>
        <v>Selesai</v>
      </c>
      <c r="CG105" s="658" t="str" cm="1">
        <f t="array" ref="CG105">_xlfn.IFNA(_xlfn.IFS(AB105="Ada","Selesai",AB105="Tidak Perlu","Selesai",AB105="","Terlambat"),"")</f>
        <v>Terlambat</v>
      </c>
      <c r="CH105" s="658" t="str" cm="1">
        <f t="array" ref="CH105">_xlfn.IFNA(_xlfn.IFS(AD105="Ada","Selesai",AD105="Tidak Perlu","Selesai",AD105="","Terlambat"),"")</f>
        <v>Terlambat</v>
      </c>
      <c r="CI105" s="658" t="str" cm="1">
        <f t="array" ref="CI105">_xlfn.IFNA(_xlfn.IFS(AF105="Ada","Selesai",AF105="Tidak Perlu","Selesai",AF105="","Terlambat"),"")</f>
        <v>Selesai</v>
      </c>
      <c r="CJ105" s="658" t="str" cm="1">
        <f t="array" ref="CJ105">_xlfn.IFNA(_xlfn.IFS(AH105="Ada","Selesai",AH105="Tidak Perlu","Selesai",AH105="","Terlambat"),"")</f>
        <v>Terlambat</v>
      </c>
      <c r="CK105" s="658" t="str" cm="1">
        <f t="array" ref="CK105">_xlfn.IFNA(_xlfn.IFS(AJ105="Ada","Selesai",AJ105="Tidak Perlu","Selesai",AJ105="","Terlambat"),"")</f>
        <v>Terlambat</v>
      </c>
      <c r="CL105" s="658" t="str" cm="1">
        <f t="array" ref="CL105">_xlfn.IFNA(_xlfn.IFS(AL105="Ada","Selesai",AL105="Tidak Perlu","Selesai",AL105="","Terlambat"),"")</f>
        <v>Terlambat</v>
      </c>
      <c r="CM105" s="658" t="str" cm="1">
        <f t="array" ref="CM105">_xlfn.IFNA(_xlfn.IFS(AN105="Ada","Selesai",AN105="Tidak Perlu","Selesai",AN105="","Terlambat"),"")</f>
        <v>Terlambat</v>
      </c>
      <c r="CN105" s="658" t="str" cm="1">
        <f t="array" ref="CN105">_xlfn.IFNA(_xlfn.IFS(AP105="Ada","Selesai",AP105="Tidak Perlu","Selesai",AP105="","Terlambat"),"")</f>
        <v>Terlambat</v>
      </c>
      <c r="CO105" s="658" t="str" cm="1">
        <f t="array" ref="CO105">_xlfn.IFNA(_xlfn.IFS(AR105="Ada","Selesai",AR105="Tidak Perlu","Selesai",AR105="","Terlambat"),"")</f>
        <v>Terlambat</v>
      </c>
      <c r="CP105" s="658" t="str" cm="1">
        <f t="array" ref="CP105">_xlfn.IFNA(_xlfn.IFS(AT105="Ada","Selesai",AT105="Tidak Perlu","Selesai",AT105="","Terlambat"),"")</f>
        <v>Terlambat</v>
      </c>
      <c r="CQ105" s="658" t="str" cm="1">
        <f t="array" ref="CQ105">_xlfn.IFNA(_xlfn.IFS(AV105="Ada","Selesai",AV105="Tidak Perlu","Selesai",AV105="","Terlambat"),"")</f>
        <v>Terlambat</v>
      </c>
      <c r="CR105" s="658" t="str" cm="1">
        <f t="array" ref="CR105">_xlfn.IFNA(_xlfn.IFS(AX105="Ada","Selesai",AX105="Tidak Perlu","Selesai",AX105="","Terlambat"),"")</f>
        <v>Terlambat</v>
      </c>
      <c r="CS105" s="658" t="str" cm="1">
        <f t="array" ref="CS105">_xlfn.IFNA(_xlfn.IFS(AZ105="Ada","Selesai",AZ105="Tidak Perlu","Selesai",AZ105="","Terlambat"),"")</f>
        <v>Terlambat</v>
      </c>
      <c r="CT105" s="658" t="str" cm="1">
        <f t="array" ref="CT105">_xlfn.IFNA(_xlfn.IFS(BB105="Ada","Selesai",BB105="Tidak Perlu","Selesai",BB105="","Terlambat"),"")</f>
        <v>Terlambat</v>
      </c>
      <c r="CU105" s="658" t="str" cm="1">
        <f t="array" ref="CU105">_xlfn.IFNA(_xlfn.IFS(BD105="Ada","Selesai",BD105="Tidak Perlu","Selesai",BD105="","Terlambat"),"")</f>
        <v>Terlambat</v>
      </c>
      <c r="CV105" s="658" t="str" cm="1">
        <f t="array" ref="CV105">_xlfn.IFNA(_xlfn.IFS(BF105="Ada","Selesai",BF105="Tidak Perlu","Selesai",BF105="","Terlambat"),"")</f>
        <v>Terlambat</v>
      </c>
      <c r="CW105" s="658" t="str" cm="1">
        <f t="array" ref="CW105">_xlfn.IFNA(_xlfn.IFS(BM105="Ada","Selesai",BM105="Tidak Perlu","Selesai",BM105="","Terlambat"),"")</f>
        <v>Terlambat</v>
      </c>
    </row>
    <row r="106" spans="2:101" ht="17.25" hidden="1" customHeight="1" x14ac:dyDescent="0.2">
      <c r="B106" s="633">
        <v>99</v>
      </c>
      <c r="C106" s="633" t="s">
        <v>629</v>
      </c>
      <c r="D106" s="634" t="s">
        <v>1930</v>
      </c>
      <c r="E106" s="633" t="s">
        <v>278</v>
      </c>
      <c r="F106" s="634" t="s">
        <v>3732</v>
      </c>
      <c r="G106" s="633" t="s">
        <v>3608</v>
      </c>
      <c r="H106" s="646" t="s">
        <v>3690</v>
      </c>
      <c r="I106" s="633" t="s">
        <v>3668</v>
      </c>
      <c r="J106" s="636">
        <v>0.42</v>
      </c>
      <c r="K106" s="637" t="str">
        <f t="shared" si="4"/>
        <v>3/20</v>
      </c>
      <c r="L106" s="638" t="s">
        <v>3669</v>
      </c>
      <c r="M106" s="639" t="s">
        <v>3606</v>
      </c>
      <c r="N106" s="639"/>
      <c r="O106" s="639" t="s">
        <v>3603</v>
      </c>
      <c r="P106" s="641"/>
      <c r="Q106" s="639" t="s">
        <v>3603</v>
      </c>
      <c r="R106" s="647"/>
      <c r="S106" s="639" t="s">
        <v>3606</v>
      </c>
      <c r="T106" s="639"/>
      <c r="U106" s="639" t="s">
        <v>3603</v>
      </c>
      <c r="V106" s="640"/>
      <c r="W106" s="639" t="s">
        <v>3603</v>
      </c>
      <c r="X106" s="640"/>
      <c r="Y106" s="642" t="s">
        <v>3603</v>
      </c>
      <c r="Z106" s="640" t="s">
        <v>1266</v>
      </c>
      <c r="AA106" s="639" t="s">
        <v>3603</v>
      </c>
      <c r="AB106" s="640"/>
      <c r="AC106" s="639" t="s">
        <v>3603</v>
      </c>
      <c r="AD106" s="640"/>
      <c r="AE106" s="639" t="s">
        <v>3606</v>
      </c>
      <c r="AF106" s="641" t="s">
        <v>3678</v>
      </c>
      <c r="AG106" s="641" t="s">
        <v>3603</v>
      </c>
      <c r="AH106" s="640"/>
      <c r="AI106" s="641" t="s">
        <v>3603</v>
      </c>
      <c r="AJ106" s="640"/>
      <c r="AK106" s="641" t="s">
        <v>3603</v>
      </c>
      <c r="AL106" s="640"/>
      <c r="AM106" s="639" t="s">
        <v>3603</v>
      </c>
      <c r="AN106" s="640"/>
      <c r="AO106" s="639" t="s">
        <v>3603</v>
      </c>
      <c r="AP106" s="640"/>
      <c r="AQ106" s="639" t="s">
        <v>3603</v>
      </c>
      <c r="AR106" s="640"/>
      <c r="AS106" s="639" t="s">
        <v>3603</v>
      </c>
      <c r="AT106" s="640"/>
      <c r="AU106" s="639" t="s">
        <v>3603</v>
      </c>
      <c r="AV106" s="640"/>
      <c r="AW106" s="639" t="s">
        <v>3606</v>
      </c>
      <c r="AX106" s="640"/>
      <c r="AY106" s="639" t="s">
        <v>3603</v>
      </c>
      <c r="AZ106" s="640"/>
      <c r="BA106" s="639" t="s">
        <v>3603</v>
      </c>
      <c r="BB106" s="640"/>
      <c r="BC106" s="639" t="s">
        <v>3603</v>
      </c>
      <c r="BD106" s="640"/>
      <c r="BE106" s="640" t="s">
        <v>3604</v>
      </c>
      <c r="BF106" s="640"/>
      <c r="BG106" s="640" t="s">
        <v>3603</v>
      </c>
      <c r="BH106" s="640"/>
      <c r="BI106" s="640" t="s">
        <v>3603</v>
      </c>
      <c r="BJ106" s="640"/>
      <c r="BK106" s="640" t="s">
        <v>3603</v>
      </c>
      <c r="BL106" s="640"/>
      <c r="BM106" s="678"/>
      <c r="BN106" s="637"/>
      <c r="BO106" s="637"/>
      <c r="BP106" s="637"/>
      <c r="BQ106" s="637"/>
      <c r="BR106" s="637"/>
      <c r="BS106" s="637"/>
      <c r="BT106" s="637"/>
      <c r="BU106" s="679"/>
      <c r="BV106" s="679"/>
      <c r="BW106" s="633" t="s">
        <v>3668</v>
      </c>
      <c r="BX106" s="651" t="str">
        <f t="shared" si="6"/>
        <v>SPAM Buaran 3 Hilir</v>
      </c>
      <c r="BY106" s="651" t="str">
        <f t="shared" si="6"/>
        <v>24ABJ.NINBUR161JPEZ7</v>
      </c>
      <c r="BZ106" s="658" t="str" cm="1">
        <f t="array" ref="BZ106">_xlfn.IFNA(_xlfn.IFS(N106="Ada","Selesai",N106="Tidak Perlu","Selesai",N106="","Terlambat"),"")</f>
        <v>Terlambat</v>
      </c>
      <c r="CA106" s="658" t="str" cm="1">
        <f t="array" ref="CA106">_xlfn.IFNA(_xlfn.IFS(P106="Ada","Selesai",P106="Tidak Perlu","Selesai",P106="","Terlambat"),"")</f>
        <v>Terlambat</v>
      </c>
      <c r="CB106" s="658" t="str" cm="1">
        <f t="array" ref="CB106">_xlfn.IFNA(_xlfn.IFS(R106="Ada","Selesai",R106="Tidak Perlu","Selesai",R106="","Terlambat"),"")</f>
        <v>Terlambat</v>
      </c>
      <c r="CC106" s="658" t="str" cm="1">
        <f t="array" ref="CC106">_xlfn.IFNA(_xlfn.IFS(T106="Ada","Selesai",T106="Tidak Perlu","Selesai",T106="","Terlambat"),"")</f>
        <v>Terlambat</v>
      </c>
      <c r="CD106" s="658" t="str" cm="1">
        <f t="array" ref="CD106">_xlfn.IFNA(_xlfn.IFS(V106="Ada","Selesai",V106="Tidak Perlu","Selesai",V106="","Terlambat"),"")</f>
        <v>Terlambat</v>
      </c>
      <c r="CE106" s="658" t="str" cm="1">
        <f t="array" ref="CE106">_xlfn.IFNA(_xlfn.IFS(X106="Ada","Selesai",X106="Tidak Perlu","Selesai",X106="","Terlambat"),"")</f>
        <v>Terlambat</v>
      </c>
      <c r="CF106" s="658" t="str" cm="1">
        <f t="array" ref="CF106">_xlfn.IFNA(_xlfn.IFS(Z106="Ada","Selesai",Z106="Tidak Perlu","Selesai",Z106="","Terlambat"),"")</f>
        <v>Selesai</v>
      </c>
      <c r="CG106" s="658" t="str" cm="1">
        <f t="array" ref="CG106">_xlfn.IFNA(_xlfn.IFS(AB106="Ada","Selesai",AB106="Tidak Perlu","Selesai",AB106="","Terlambat"),"")</f>
        <v>Terlambat</v>
      </c>
      <c r="CH106" s="658" t="str" cm="1">
        <f t="array" ref="CH106">_xlfn.IFNA(_xlfn.IFS(AD106="Ada","Selesai",AD106="Tidak Perlu","Selesai",AD106="","Terlambat"),"")</f>
        <v>Terlambat</v>
      </c>
      <c r="CI106" s="658" t="str" cm="1">
        <f t="array" ref="CI106">_xlfn.IFNA(_xlfn.IFS(AF106="Ada","Selesai",AF106="Tidak Perlu","Selesai",AF106="","Terlambat"),"")</f>
        <v>Selesai</v>
      </c>
      <c r="CJ106" s="658" t="str" cm="1">
        <f t="array" ref="CJ106">_xlfn.IFNA(_xlfn.IFS(AH106="Ada","Selesai",AH106="Tidak Perlu","Selesai",AH106="","Terlambat"),"")</f>
        <v>Terlambat</v>
      </c>
      <c r="CK106" s="658" t="str" cm="1">
        <f t="array" ref="CK106">_xlfn.IFNA(_xlfn.IFS(AJ106="Ada","Selesai",AJ106="Tidak Perlu","Selesai",AJ106="","Terlambat"),"")</f>
        <v>Terlambat</v>
      </c>
      <c r="CL106" s="658" t="str" cm="1">
        <f t="array" ref="CL106">_xlfn.IFNA(_xlfn.IFS(AL106="Ada","Selesai",AL106="Tidak Perlu","Selesai",AL106="","Terlambat"),"")</f>
        <v>Terlambat</v>
      </c>
      <c r="CM106" s="658" t="str" cm="1">
        <f t="array" ref="CM106">_xlfn.IFNA(_xlfn.IFS(AN106="Ada","Selesai",AN106="Tidak Perlu","Selesai",AN106="","Terlambat"),"")</f>
        <v>Terlambat</v>
      </c>
      <c r="CN106" s="658" t="str" cm="1">
        <f t="array" ref="CN106">_xlfn.IFNA(_xlfn.IFS(AP106="Ada","Selesai",AP106="Tidak Perlu","Selesai",AP106="","Terlambat"),"")</f>
        <v>Terlambat</v>
      </c>
      <c r="CO106" s="658" t="str" cm="1">
        <f t="array" ref="CO106">_xlfn.IFNA(_xlfn.IFS(AR106="Ada","Selesai",AR106="Tidak Perlu","Selesai",AR106="","Terlambat"),"")</f>
        <v>Terlambat</v>
      </c>
      <c r="CP106" s="658" t="str" cm="1">
        <f t="array" ref="CP106">_xlfn.IFNA(_xlfn.IFS(AT106="Ada","Selesai",AT106="Tidak Perlu","Selesai",AT106="","Terlambat"),"")</f>
        <v>Terlambat</v>
      </c>
      <c r="CQ106" s="658" t="str" cm="1">
        <f t="array" ref="CQ106">_xlfn.IFNA(_xlfn.IFS(AV106="Ada","Selesai",AV106="Tidak Perlu","Selesai",AV106="","Terlambat"),"")</f>
        <v>Terlambat</v>
      </c>
      <c r="CR106" s="658" t="str" cm="1">
        <f t="array" ref="CR106">_xlfn.IFNA(_xlfn.IFS(AX106="Ada","Selesai",AX106="Tidak Perlu","Selesai",AX106="","Terlambat"),"")</f>
        <v>Terlambat</v>
      </c>
      <c r="CS106" s="658" t="str" cm="1">
        <f t="array" ref="CS106">_xlfn.IFNA(_xlfn.IFS(AZ106="Ada","Selesai",AZ106="Tidak Perlu","Selesai",AZ106="","Terlambat"),"")</f>
        <v>Terlambat</v>
      </c>
      <c r="CT106" s="658" t="str" cm="1">
        <f t="array" ref="CT106">_xlfn.IFNA(_xlfn.IFS(BB106="Ada","Selesai",BB106="Tidak Perlu","Selesai",BB106="","Terlambat"),"")</f>
        <v>Terlambat</v>
      </c>
      <c r="CU106" s="658" t="str" cm="1">
        <f t="array" ref="CU106">_xlfn.IFNA(_xlfn.IFS(BD106="Ada","Selesai",BD106="Tidak Perlu","Selesai",BD106="","Terlambat"),"")</f>
        <v>Terlambat</v>
      </c>
      <c r="CV106" s="658" t="str" cm="1">
        <f t="array" ref="CV106">_xlfn.IFNA(_xlfn.IFS(BF106="Ada","Selesai",BF106="Tidak Perlu","Selesai",BF106="","Terlambat"),"")</f>
        <v>Terlambat</v>
      </c>
      <c r="CW106" s="658" t="str" cm="1">
        <f t="array" ref="CW106">_xlfn.IFNA(_xlfn.IFS(BM106="Ada","Selesai",BM106="Tidak Perlu","Selesai",BM106="","Terlambat"),"")</f>
        <v>Terlambat</v>
      </c>
    </row>
    <row r="107" spans="2:101" ht="17.25" hidden="1" customHeight="1" x14ac:dyDescent="0.2">
      <c r="B107" s="633">
        <v>100</v>
      </c>
      <c r="C107" s="633" t="s">
        <v>629</v>
      </c>
      <c r="D107" s="634" t="s">
        <v>1939</v>
      </c>
      <c r="E107" s="633" t="s">
        <v>278</v>
      </c>
      <c r="F107" s="634" t="s">
        <v>3733</v>
      </c>
      <c r="G107" s="633" t="s">
        <v>3608</v>
      </c>
      <c r="H107" s="646" t="s">
        <v>3690</v>
      </c>
      <c r="I107" s="633" t="s">
        <v>3668</v>
      </c>
      <c r="J107" s="636">
        <v>0.66</v>
      </c>
      <c r="K107" s="637" t="str">
        <f t="shared" si="4"/>
        <v>1/20</v>
      </c>
      <c r="L107" s="638" t="s">
        <v>3669</v>
      </c>
      <c r="M107" s="639" t="s">
        <v>3606</v>
      </c>
      <c r="N107" s="639"/>
      <c r="O107" s="639" t="s">
        <v>3603</v>
      </c>
      <c r="P107" s="641"/>
      <c r="Q107" s="639" t="s">
        <v>3603</v>
      </c>
      <c r="R107" s="647"/>
      <c r="S107" s="639" t="s">
        <v>3606</v>
      </c>
      <c r="T107" s="639"/>
      <c r="U107" s="639" t="s">
        <v>3603</v>
      </c>
      <c r="V107" s="640"/>
      <c r="W107" s="639" t="s">
        <v>3603</v>
      </c>
      <c r="X107" s="640"/>
      <c r="Y107" s="642" t="s">
        <v>3603</v>
      </c>
      <c r="Z107" s="640" t="s">
        <v>1266</v>
      </c>
      <c r="AA107" s="639" t="s">
        <v>3603</v>
      </c>
      <c r="AB107" s="640"/>
      <c r="AC107" s="639" t="s">
        <v>3603</v>
      </c>
      <c r="AD107" s="640"/>
      <c r="AE107" s="639" t="s">
        <v>3606</v>
      </c>
      <c r="AF107" s="641" t="s">
        <v>3678</v>
      </c>
      <c r="AG107" s="641" t="s">
        <v>3603</v>
      </c>
      <c r="AH107" s="640"/>
      <c r="AI107" s="641" t="s">
        <v>3603</v>
      </c>
      <c r="AJ107" s="640"/>
      <c r="AK107" s="641" t="s">
        <v>3603</v>
      </c>
      <c r="AL107" s="640"/>
      <c r="AM107" s="639" t="s">
        <v>3603</v>
      </c>
      <c r="AN107" s="640"/>
      <c r="AO107" s="639" t="s">
        <v>3603</v>
      </c>
      <c r="AP107" s="640"/>
      <c r="AQ107" s="639" t="s">
        <v>3603</v>
      </c>
      <c r="AR107" s="640"/>
      <c r="AS107" s="639" t="s">
        <v>3603</v>
      </c>
      <c r="AT107" s="640"/>
      <c r="AU107" s="639" t="s">
        <v>3603</v>
      </c>
      <c r="AV107" s="640"/>
      <c r="AW107" s="639" t="s">
        <v>3603</v>
      </c>
      <c r="AX107" s="640"/>
      <c r="AY107" s="639" t="s">
        <v>3603</v>
      </c>
      <c r="AZ107" s="640"/>
      <c r="BA107" s="639" t="s">
        <v>3603</v>
      </c>
      <c r="BB107" s="640"/>
      <c r="BC107" s="639" t="s">
        <v>3603</v>
      </c>
      <c r="BD107" s="640"/>
      <c r="BE107" s="640" t="s">
        <v>3603</v>
      </c>
      <c r="BF107" s="640"/>
      <c r="BG107" s="640" t="s">
        <v>3603</v>
      </c>
      <c r="BH107" s="640"/>
      <c r="BI107" s="640" t="s">
        <v>3603</v>
      </c>
      <c r="BJ107" s="640"/>
      <c r="BK107" s="640" t="s">
        <v>3603</v>
      </c>
      <c r="BL107" s="640"/>
      <c r="BM107" s="678"/>
      <c r="BN107" s="637"/>
      <c r="BO107" s="637"/>
      <c r="BP107" s="637"/>
      <c r="BQ107" s="637"/>
      <c r="BR107" s="637"/>
      <c r="BS107" s="637"/>
      <c r="BT107" s="637"/>
      <c r="BU107" s="679"/>
      <c r="BV107" s="679"/>
      <c r="BW107" s="633" t="s">
        <v>3668</v>
      </c>
      <c r="BX107" s="651" t="str">
        <f t="shared" si="6"/>
        <v>SPAM Buaran 3 Hilir</v>
      </c>
      <c r="BY107" s="651" t="str">
        <f t="shared" si="6"/>
        <v>24ABJ.NINBUR161JPEZ8</v>
      </c>
      <c r="BZ107" s="658" t="str" cm="1">
        <f t="array" ref="BZ107">_xlfn.IFNA(_xlfn.IFS(N107="Ada","Selesai",N107="Tidak Perlu","Selesai",N107="","Terlambat"),"")</f>
        <v>Terlambat</v>
      </c>
      <c r="CA107" s="658" t="str" cm="1">
        <f t="array" ref="CA107">_xlfn.IFNA(_xlfn.IFS(P107="Ada","Selesai",P107="Tidak Perlu","Selesai",P107="","Terlambat"),"")</f>
        <v>Terlambat</v>
      </c>
      <c r="CB107" s="658" t="str" cm="1">
        <f t="array" ref="CB107">_xlfn.IFNA(_xlfn.IFS(R107="Ada","Selesai",R107="Tidak Perlu","Selesai",R107="","Terlambat"),"")</f>
        <v>Terlambat</v>
      </c>
      <c r="CC107" s="658" t="str" cm="1">
        <f t="array" ref="CC107">_xlfn.IFNA(_xlfn.IFS(T107="Ada","Selesai",T107="Tidak Perlu","Selesai",T107="","Terlambat"),"")</f>
        <v>Terlambat</v>
      </c>
      <c r="CD107" s="658" t="str" cm="1">
        <f t="array" ref="CD107">_xlfn.IFNA(_xlfn.IFS(V107="Ada","Selesai",V107="Tidak Perlu","Selesai",V107="","Terlambat"),"")</f>
        <v>Terlambat</v>
      </c>
      <c r="CE107" s="658" t="str" cm="1">
        <f t="array" ref="CE107">_xlfn.IFNA(_xlfn.IFS(X107="Ada","Selesai",X107="Tidak Perlu","Selesai",X107="","Terlambat"),"")</f>
        <v>Terlambat</v>
      </c>
      <c r="CF107" s="658" t="str" cm="1">
        <f t="array" ref="CF107">_xlfn.IFNA(_xlfn.IFS(Z107="Ada","Selesai",Z107="Tidak Perlu","Selesai",Z107="","Terlambat"),"")</f>
        <v>Selesai</v>
      </c>
      <c r="CG107" s="658" t="str" cm="1">
        <f t="array" ref="CG107">_xlfn.IFNA(_xlfn.IFS(AB107="Ada","Selesai",AB107="Tidak Perlu","Selesai",AB107="","Terlambat"),"")</f>
        <v>Terlambat</v>
      </c>
      <c r="CH107" s="658" t="str" cm="1">
        <f t="array" ref="CH107">_xlfn.IFNA(_xlfn.IFS(AD107="Ada","Selesai",AD107="Tidak Perlu","Selesai",AD107="","Terlambat"),"")</f>
        <v>Terlambat</v>
      </c>
      <c r="CI107" s="658" t="str" cm="1">
        <f t="array" ref="CI107">_xlfn.IFNA(_xlfn.IFS(AF107="Ada","Selesai",AF107="Tidak Perlu","Selesai",AF107="","Terlambat"),"")</f>
        <v>Selesai</v>
      </c>
      <c r="CJ107" s="658" t="str" cm="1">
        <f t="array" ref="CJ107">_xlfn.IFNA(_xlfn.IFS(AH107="Ada","Selesai",AH107="Tidak Perlu","Selesai",AH107="","Terlambat"),"")</f>
        <v>Terlambat</v>
      </c>
      <c r="CK107" s="658" t="str" cm="1">
        <f t="array" ref="CK107">_xlfn.IFNA(_xlfn.IFS(AJ107="Ada","Selesai",AJ107="Tidak Perlu","Selesai",AJ107="","Terlambat"),"")</f>
        <v>Terlambat</v>
      </c>
      <c r="CL107" s="658" t="str" cm="1">
        <f t="array" ref="CL107">_xlfn.IFNA(_xlfn.IFS(AL107="Ada","Selesai",AL107="Tidak Perlu","Selesai",AL107="","Terlambat"),"")</f>
        <v>Terlambat</v>
      </c>
      <c r="CM107" s="658" t="str" cm="1">
        <f t="array" ref="CM107">_xlfn.IFNA(_xlfn.IFS(AN107="Ada","Selesai",AN107="Tidak Perlu","Selesai",AN107="","Terlambat"),"")</f>
        <v>Terlambat</v>
      </c>
      <c r="CN107" s="658" t="str" cm="1">
        <f t="array" ref="CN107">_xlfn.IFNA(_xlfn.IFS(AP107="Ada","Selesai",AP107="Tidak Perlu","Selesai",AP107="","Terlambat"),"")</f>
        <v>Terlambat</v>
      </c>
      <c r="CO107" s="658" t="str" cm="1">
        <f t="array" ref="CO107">_xlfn.IFNA(_xlfn.IFS(AR107="Ada","Selesai",AR107="Tidak Perlu","Selesai",AR107="","Terlambat"),"")</f>
        <v>Terlambat</v>
      </c>
      <c r="CP107" s="658" t="str" cm="1">
        <f t="array" ref="CP107">_xlfn.IFNA(_xlfn.IFS(AT107="Ada","Selesai",AT107="Tidak Perlu","Selesai",AT107="","Terlambat"),"")</f>
        <v>Terlambat</v>
      </c>
      <c r="CQ107" s="658" t="str" cm="1">
        <f t="array" ref="CQ107">_xlfn.IFNA(_xlfn.IFS(AV107="Ada","Selesai",AV107="Tidak Perlu","Selesai",AV107="","Terlambat"),"")</f>
        <v>Terlambat</v>
      </c>
      <c r="CR107" s="658" t="str" cm="1">
        <f t="array" ref="CR107">_xlfn.IFNA(_xlfn.IFS(AX107="Ada","Selesai",AX107="Tidak Perlu","Selesai",AX107="","Terlambat"),"")</f>
        <v>Terlambat</v>
      </c>
      <c r="CS107" s="658" t="str" cm="1">
        <f t="array" ref="CS107">_xlfn.IFNA(_xlfn.IFS(AZ107="Ada","Selesai",AZ107="Tidak Perlu","Selesai",AZ107="","Terlambat"),"")</f>
        <v>Terlambat</v>
      </c>
      <c r="CT107" s="658" t="str" cm="1">
        <f t="array" ref="CT107">_xlfn.IFNA(_xlfn.IFS(BB107="Ada","Selesai",BB107="Tidak Perlu","Selesai",BB107="","Terlambat"),"")</f>
        <v>Terlambat</v>
      </c>
      <c r="CU107" s="658" t="str" cm="1">
        <f t="array" ref="CU107">_xlfn.IFNA(_xlfn.IFS(BD107="Ada","Selesai",BD107="Tidak Perlu","Selesai",BD107="","Terlambat"),"")</f>
        <v>Terlambat</v>
      </c>
      <c r="CV107" s="658" t="str" cm="1">
        <f t="array" ref="CV107">_xlfn.IFNA(_xlfn.IFS(BF107="Ada","Selesai",BF107="Tidak Perlu","Selesai",BF107="","Terlambat"),"")</f>
        <v>Terlambat</v>
      </c>
      <c r="CW107" s="658" t="str" cm="1">
        <f t="array" ref="CW107">_xlfn.IFNA(_xlfn.IFS(BM107="Ada","Selesai",BM107="Tidak Perlu","Selesai",BM107="","Terlambat"),"")</f>
        <v>Terlambat</v>
      </c>
    </row>
    <row r="108" spans="2:101" ht="17.25" hidden="1" customHeight="1" x14ac:dyDescent="0.2">
      <c r="B108" s="633">
        <v>101</v>
      </c>
      <c r="C108" s="633" t="s">
        <v>629</v>
      </c>
      <c r="D108" s="634" t="s">
        <v>1947</v>
      </c>
      <c r="E108" s="633" t="s">
        <v>278</v>
      </c>
      <c r="F108" s="634" t="s">
        <v>3734</v>
      </c>
      <c r="G108" s="633" t="s">
        <v>3608</v>
      </c>
      <c r="H108" s="646" t="s">
        <v>3690</v>
      </c>
      <c r="I108" s="633" t="s">
        <v>3668</v>
      </c>
      <c r="J108" s="636">
        <v>0.46</v>
      </c>
      <c r="K108" s="637" t="str">
        <f t="shared" si="4"/>
        <v>2/20</v>
      </c>
      <c r="L108" s="638" t="s">
        <v>3669</v>
      </c>
      <c r="M108" s="639" t="s">
        <v>3606</v>
      </c>
      <c r="N108" s="639"/>
      <c r="O108" s="639" t="s">
        <v>3603</v>
      </c>
      <c r="P108" s="641"/>
      <c r="Q108" s="639" t="s">
        <v>3603</v>
      </c>
      <c r="R108" s="647"/>
      <c r="S108" s="639" t="s">
        <v>3606</v>
      </c>
      <c r="T108" s="639"/>
      <c r="U108" s="639" t="s">
        <v>3603</v>
      </c>
      <c r="V108" s="640"/>
      <c r="W108" s="639" t="s">
        <v>3603</v>
      </c>
      <c r="X108" s="640"/>
      <c r="Y108" s="642" t="s">
        <v>3603</v>
      </c>
      <c r="Z108" s="640" t="s">
        <v>1266</v>
      </c>
      <c r="AA108" s="639" t="s">
        <v>3603</v>
      </c>
      <c r="AB108" s="640"/>
      <c r="AC108" s="639" t="s">
        <v>3603</v>
      </c>
      <c r="AD108" s="640"/>
      <c r="AE108" s="639" t="s">
        <v>3606</v>
      </c>
      <c r="AF108" s="641" t="s">
        <v>3678</v>
      </c>
      <c r="AG108" s="641" t="s">
        <v>3603</v>
      </c>
      <c r="AH108" s="640"/>
      <c r="AI108" s="641" t="s">
        <v>3603</v>
      </c>
      <c r="AJ108" s="640"/>
      <c r="AK108" s="641" t="s">
        <v>3603</v>
      </c>
      <c r="AL108" s="640"/>
      <c r="AM108" s="639" t="s">
        <v>3603</v>
      </c>
      <c r="AN108" s="640"/>
      <c r="AO108" s="639" t="s">
        <v>3603</v>
      </c>
      <c r="AP108" s="640"/>
      <c r="AQ108" s="639" t="s">
        <v>3603</v>
      </c>
      <c r="AR108" s="640"/>
      <c r="AS108" s="639" t="s">
        <v>3603</v>
      </c>
      <c r="AT108" s="640"/>
      <c r="AU108" s="639" t="s">
        <v>3603</v>
      </c>
      <c r="AV108" s="640"/>
      <c r="AW108" s="639" t="s">
        <v>3606</v>
      </c>
      <c r="AX108" s="640"/>
      <c r="AY108" s="639" t="s">
        <v>3603</v>
      </c>
      <c r="AZ108" s="640"/>
      <c r="BA108" s="639" t="s">
        <v>3603</v>
      </c>
      <c r="BB108" s="640"/>
      <c r="BC108" s="639" t="s">
        <v>3603</v>
      </c>
      <c r="BD108" s="640"/>
      <c r="BE108" s="640" t="s">
        <v>3603</v>
      </c>
      <c r="BF108" s="640"/>
      <c r="BG108" s="640" t="s">
        <v>3603</v>
      </c>
      <c r="BH108" s="640"/>
      <c r="BI108" s="640" t="s">
        <v>3603</v>
      </c>
      <c r="BJ108" s="640"/>
      <c r="BK108" s="640" t="s">
        <v>3603</v>
      </c>
      <c r="BL108" s="640"/>
      <c r="BM108" s="678"/>
      <c r="BN108" s="637"/>
      <c r="BO108" s="637"/>
      <c r="BP108" s="637"/>
      <c r="BQ108" s="637"/>
      <c r="BR108" s="637"/>
      <c r="BS108" s="637"/>
      <c r="BT108" s="637"/>
      <c r="BW108" s="633" t="s">
        <v>3668</v>
      </c>
      <c r="BX108" s="651" t="str">
        <f t="shared" si="6"/>
        <v>SPAM Buaran 3 Hilir</v>
      </c>
      <c r="BY108" s="651" t="str">
        <f t="shared" si="6"/>
        <v>24ABJ.NINBUR161JPEZ11</v>
      </c>
      <c r="BZ108" s="658" t="str" cm="1">
        <f t="array" ref="BZ108">_xlfn.IFNA(_xlfn.IFS(N108="Ada","Selesai",N108="Tidak Perlu","Selesai",N108="","Terlambat"),"")</f>
        <v>Terlambat</v>
      </c>
      <c r="CA108" s="658" t="str" cm="1">
        <f t="array" ref="CA108">_xlfn.IFNA(_xlfn.IFS(P108="Ada","Selesai",P108="Tidak Perlu","Selesai",P108="","Terlambat"),"")</f>
        <v>Terlambat</v>
      </c>
      <c r="CB108" s="658" t="str" cm="1">
        <f t="array" ref="CB108">_xlfn.IFNA(_xlfn.IFS(R108="Ada","Selesai",R108="Tidak Perlu","Selesai",R108="","Terlambat"),"")</f>
        <v>Terlambat</v>
      </c>
      <c r="CC108" s="658" t="str" cm="1">
        <f t="array" ref="CC108">_xlfn.IFNA(_xlfn.IFS(T108="Ada","Selesai",T108="Tidak Perlu","Selesai",T108="","Terlambat"),"")</f>
        <v>Terlambat</v>
      </c>
      <c r="CD108" s="658" t="str" cm="1">
        <f t="array" ref="CD108">_xlfn.IFNA(_xlfn.IFS(V108="Ada","Selesai",V108="Tidak Perlu","Selesai",V108="","Terlambat"),"")</f>
        <v>Terlambat</v>
      </c>
      <c r="CE108" s="658" t="str" cm="1">
        <f t="array" ref="CE108">_xlfn.IFNA(_xlfn.IFS(X108="Ada","Selesai",X108="Tidak Perlu","Selesai",X108="","Terlambat"),"")</f>
        <v>Terlambat</v>
      </c>
      <c r="CF108" s="658" t="str" cm="1">
        <f t="array" ref="CF108">_xlfn.IFNA(_xlfn.IFS(Z108="Ada","Selesai",Z108="Tidak Perlu","Selesai",Z108="","Terlambat"),"")</f>
        <v>Selesai</v>
      </c>
      <c r="CG108" s="658" t="str" cm="1">
        <f t="array" ref="CG108">_xlfn.IFNA(_xlfn.IFS(AB108="Ada","Selesai",AB108="Tidak Perlu","Selesai",AB108="","Terlambat"),"")</f>
        <v>Terlambat</v>
      </c>
      <c r="CH108" s="658" t="str" cm="1">
        <f t="array" ref="CH108">_xlfn.IFNA(_xlfn.IFS(AD108="Ada","Selesai",AD108="Tidak Perlu","Selesai",AD108="","Terlambat"),"")</f>
        <v>Terlambat</v>
      </c>
      <c r="CI108" s="658" t="str" cm="1">
        <f t="array" ref="CI108">_xlfn.IFNA(_xlfn.IFS(AF108="Ada","Selesai",AF108="Tidak Perlu","Selesai",AF108="","Terlambat"),"")</f>
        <v>Selesai</v>
      </c>
      <c r="CJ108" s="658" t="str" cm="1">
        <f t="array" ref="CJ108">_xlfn.IFNA(_xlfn.IFS(AH108="Ada","Selesai",AH108="Tidak Perlu","Selesai",AH108="","Terlambat"),"")</f>
        <v>Terlambat</v>
      </c>
      <c r="CK108" s="658" t="str" cm="1">
        <f t="array" ref="CK108">_xlfn.IFNA(_xlfn.IFS(AJ108="Ada","Selesai",AJ108="Tidak Perlu","Selesai",AJ108="","Terlambat"),"")</f>
        <v>Terlambat</v>
      </c>
      <c r="CL108" s="658" t="str" cm="1">
        <f t="array" ref="CL108">_xlfn.IFNA(_xlfn.IFS(AL108="Ada","Selesai",AL108="Tidak Perlu","Selesai",AL108="","Terlambat"),"")</f>
        <v>Terlambat</v>
      </c>
      <c r="CM108" s="658" t="str" cm="1">
        <f t="array" ref="CM108">_xlfn.IFNA(_xlfn.IFS(AN108="Ada","Selesai",AN108="Tidak Perlu","Selesai",AN108="","Terlambat"),"")</f>
        <v>Terlambat</v>
      </c>
      <c r="CN108" s="658" t="str" cm="1">
        <f t="array" ref="CN108">_xlfn.IFNA(_xlfn.IFS(AP108="Ada","Selesai",AP108="Tidak Perlu","Selesai",AP108="","Terlambat"),"")</f>
        <v>Terlambat</v>
      </c>
      <c r="CO108" s="658" t="str" cm="1">
        <f t="array" ref="CO108">_xlfn.IFNA(_xlfn.IFS(AR108="Ada","Selesai",AR108="Tidak Perlu","Selesai",AR108="","Terlambat"),"")</f>
        <v>Terlambat</v>
      </c>
      <c r="CP108" s="658" t="str" cm="1">
        <f t="array" ref="CP108">_xlfn.IFNA(_xlfn.IFS(AT108="Ada","Selesai",AT108="Tidak Perlu","Selesai",AT108="","Terlambat"),"")</f>
        <v>Terlambat</v>
      </c>
      <c r="CQ108" s="658" t="str" cm="1">
        <f t="array" ref="CQ108">_xlfn.IFNA(_xlfn.IFS(AV108="Ada","Selesai",AV108="Tidak Perlu","Selesai",AV108="","Terlambat"),"")</f>
        <v>Terlambat</v>
      </c>
      <c r="CR108" s="658" t="str" cm="1">
        <f t="array" ref="CR108">_xlfn.IFNA(_xlfn.IFS(AX108="Ada","Selesai",AX108="Tidak Perlu","Selesai",AX108="","Terlambat"),"")</f>
        <v>Terlambat</v>
      </c>
      <c r="CS108" s="658" t="str" cm="1">
        <f t="array" ref="CS108">_xlfn.IFNA(_xlfn.IFS(AZ108="Ada","Selesai",AZ108="Tidak Perlu","Selesai",AZ108="","Terlambat"),"")</f>
        <v>Terlambat</v>
      </c>
      <c r="CT108" s="658" t="str" cm="1">
        <f t="array" ref="CT108">_xlfn.IFNA(_xlfn.IFS(BB108="Ada","Selesai",BB108="Tidak Perlu","Selesai",BB108="","Terlambat"),"")</f>
        <v>Terlambat</v>
      </c>
      <c r="CU108" s="658" t="str" cm="1">
        <f t="array" ref="CU108">_xlfn.IFNA(_xlfn.IFS(BD108="Ada","Selesai",BD108="Tidak Perlu","Selesai",BD108="","Terlambat"),"")</f>
        <v>Terlambat</v>
      </c>
      <c r="CV108" s="658" t="str" cm="1">
        <f t="array" ref="CV108">_xlfn.IFNA(_xlfn.IFS(BF108="Ada","Selesai",BF108="Tidak Perlu","Selesai",BF108="","Terlambat"),"")</f>
        <v>Terlambat</v>
      </c>
      <c r="CW108" s="658" t="str" cm="1">
        <f t="array" ref="CW108">_xlfn.IFNA(_xlfn.IFS(BM108="Ada","Selesai",BM108="Tidak Perlu","Selesai",BM108="","Terlambat"),"")</f>
        <v>Terlambat</v>
      </c>
    </row>
    <row r="109" spans="2:101" ht="17.25" hidden="1" customHeight="1" x14ac:dyDescent="0.2">
      <c r="B109" s="633">
        <v>102</v>
      </c>
      <c r="C109" s="633" t="s">
        <v>629</v>
      </c>
      <c r="D109" s="634" t="s">
        <v>1956</v>
      </c>
      <c r="E109" s="633" t="s">
        <v>278</v>
      </c>
      <c r="F109" s="634" t="s">
        <v>1957</v>
      </c>
      <c r="G109" s="633" t="s">
        <v>3608</v>
      </c>
      <c r="H109" s="646" t="s">
        <v>3690</v>
      </c>
      <c r="I109" s="633" t="s">
        <v>3668</v>
      </c>
      <c r="J109" s="636">
        <v>0.59760000000000002</v>
      </c>
      <c r="K109" s="637" t="str">
        <f t="shared" si="4"/>
        <v>5/20</v>
      </c>
      <c r="L109" s="638" t="s">
        <v>3669</v>
      </c>
      <c r="M109" s="639" t="s">
        <v>3606</v>
      </c>
      <c r="N109" s="639"/>
      <c r="O109" s="639" t="s">
        <v>3603</v>
      </c>
      <c r="P109" s="641"/>
      <c r="Q109" s="639" t="s">
        <v>3603</v>
      </c>
      <c r="R109" s="647"/>
      <c r="S109" s="639" t="s">
        <v>3606</v>
      </c>
      <c r="T109" s="639"/>
      <c r="U109" s="639" t="s">
        <v>3603</v>
      </c>
      <c r="V109" s="640"/>
      <c r="W109" s="639" t="s">
        <v>3603</v>
      </c>
      <c r="X109" s="640"/>
      <c r="Y109" s="642" t="s">
        <v>3603</v>
      </c>
      <c r="Z109" s="640" t="s">
        <v>1266</v>
      </c>
      <c r="AA109" s="639" t="s">
        <v>3603</v>
      </c>
      <c r="AB109" s="640"/>
      <c r="AC109" s="639" t="s">
        <v>3603</v>
      </c>
      <c r="AD109" s="640"/>
      <c r="AE109" s="639" t="s">
        <v>3606</v>
      </c>
      <c r="AF109" s="641" t="s">
        <v>3678</v>
      </c>
      <c r="AG109" s="641" t="s">
        <v>3603</v>
      </c>
      <c r="AH109" s="640"/>
      <c r="AI109" s="641" t="s">
        <v>3603</v>
      </c>
      <c r="AJ109" s="640"/>
      <c r="AK109" s="641" t="s">
        <v>3603</v>
      </c>
      <c r="AL109" s="640"/>
      <c r="AM109" s="639" t="s">
        <v>3606</v>
      </c>
      <c r="AN109" s="640"/>
      <c r="AO109" s="639" t="s">
        <v>3603</v>
      </c>
      <c r="AP109" s="640"/>
      <c r="AQ109" s="639" t="s">
        <v>3603</v>
      </c>
      <c r="AR109" s="640"/>
      <c r="AS109" s="639" t="s">
        <v>3603</v>
      </c>
      <c r="AT109" s="640"/>
      <c r="AU109" s="639" t="s">
        <v>3603</v>
      </c>
      <c r="AV109" s="640"/>
      <c r="AW109" s="639" t="s">
        <v>3606</v>
      </c>
      <c r="AX109" s="640"/>
      <c r="AY109" s="639" t="s">
        <v>3603</v>
      </c>
      <c r="AZ109" s="640"/>
      <c r="BA109" s="639" t="s">
        <v>3606</v>
      </c>
      <c r="BB109" s="640"/>
      <c r="BC109" s="639" t="s">
        <v>3603</v>
      </c>
      <c r="BD109" s="640"/>
      <c r="BE109" s="640" t="s">
        <v>3604</v>
      </c>
      <c r="BF109" s="640"/>
      <c r="BG109" s="640" t="s">
        <v>3603</v>
      </c>
      <c r="BH109" s="640"/>
      <c r="BI109" s="640" t="s">
        <v>3603</v>
      </c>
      <c r="BJ109" s="640"/>
      <c r="BK109" s="640" t="s">
        <v>3603</v>
      </c>
      <c r="BL109" s="640"/>
      <c r="BM109" s="678"/>
      <c r="BN109" s="637"/>
      <c r="BO109" s="637"/>
      <c r="BP109" s="637"/>
      <c r="BQ109" s="637"/>
      <c r="BR109" s="637"/>
      <c r="BS109" s="637"/>
      <c r="BT109" s="637"/>
      <c r="BW109" s="633" t="s">
        <v>3668</v>
      </c>
      <c r="BX109" s="651" t="str">
        <f t="shared" si="6"/>
        <v>SPAM Buaran 3 Hilir</v>
      </c>
      <c r="BY109" s="651" t="str">
        <f t="shared" si="6"/>
        <v>24ABJ.NINBUR161JPEZ12</v>
      </c>
      <c r="BZ109" s="658" t="str" cm="1">
        <f t="array" ref="BZ109">_xlfn.IFNA(_xlfn.IFS(N109="Ada","Selesai",N109="Tidak Perlu","Selesai",N109="","Terlambat"),"")</f>
        <v>Terlambat</v>
      </c>
      <c r="CA109" s="658" t="str" cm="1">
        <f t="array" ref="CA109">_xlfn.IFNA(_xlfn.IFS(P109="Ada","Selesai",P109="Tidak Perlu","Selesai",P109="","Terlambat"),"")</f>
        <v>Terlambat</v>
      </c>
      <c r="CB109" s="658" t="str" cm="1">
        <f t="array" ref="CB109">_xlfn.IFNA(_xlfn.IFS(R109="Ada","Selesai",R109="Tidak Perlu","Selesai",R109="","Terlambat"),"")</f>
        <v>Terlambat</v>
      </c>
      <c r="CC109" s="658" t="str" cm="1">
        <f t="array" ref="CC109">_xlfn.IFNA(_xlfn.IFS(T109="Ada","Selesai",T109="Tidak Perlu","Selesai",T109="","Terlambat"),"")</f>
        <v>Terlambat</v>
      </c>
      <c r="CD109" s="658" t="str" cm="1">
        <f t="array" ref="CD109">_xlfn.IFNA(_xlfn.IFS(V109="Ada","Selesai",V109="Tidak Perlu","Selesai",V109="","Terlambat"),"")</f>
        <v>Terlambat</v>
      </c>
      <c r="CE109" s="658" t="str" cm="1">
        <f t="array" ref="CE109">_xlfn.IFNA(_xlfn.IFS(X109="Ada","Selesai",X109="Tidak Perlu","Selesai",X109="","Terlambat"),"")</f>
        <v>Terlambat</v>
      </c>
      <c r="CF109" s="658" t="str" cm="1">
        <f t="array" ref="CF109">_xlfn.IFNA(_xlfn.IFS(Z109="Ada","Selesai",Z109="Tidak Perlu","Selesai",Z109="","Terlambat"),"")</f>
        <v>Selesai</v>
      </c>
      <c r="CG109" s="658" t="str" cm="1">
        <f t="array" ref="CG109">_xlfn.IFNA(_xlfn.IFS(AB109="Ada","Selesai",AB109="Tidak Perlu","Selesai",AB109="","Terlambat"),"")</f>
        <v>Terlambat</v>
      </c>
      <c r="CH109" s="658" t="str" cm="1">
        <f t="array" ref="CH109">_xlfn.IFNA(_xlfn.IFS(AD109="Ada","Selesai",AD109="Tidak Perlu","Selesai",AD109="","Terlambat"),"")</f>
        <v>Terlambat</v>
      </c>
      <c r="CI109" s="658" t="str" cm="1">
        <f t="array" ref="CI109">_xlfn.IFNA(_xlfn.IFS(AF109="Ada","Selesai",AF109="Tidak Perlu","Selesai",AF109="","Terlambat"),"")</f>
        <v>Selesai</v>
      </c>
      <c r="CJ109" s="658" t="str" cm="1">
        <f t="array" ref="CJ109">_xlfn.IFNA(_xlfn.IFS(AH109="Ada","Selesai",AH109="Tidak Perlu","Selesai",AH109="","Terlambat"),"")</f>
        <v>Terlambat</v>
      </c>
      <c r="CK109" s="658" t="str" cm="1">
        <f t="array" ref="CK109">_xlfn.IFNA(_xlfn.IFS(AJ109="Ada","Selesai",AJ109="Tidak Perlu","Selesai",AJ109="","Terlambat"),"")</f>
        <v>Terlambat</v>
      </c>
      <c r="CL109" s="658" t="str" cm="1">
        <f t="array" ref="CL109">_xlfn.IFNA(_xlfn.IFS(AL109="Ada","Selesai",AL109="Tidak Perlu","Selesai",AL109="","Terlambat"),"")</f>
        <v>Terlambat</v>
      </c>
      <c r="CM109" s="658" t="str" cm="1">
        <f t="array" ref="CM109">_xlfn.IFNA(_xlfn.IFS(AN109="Ada","Selesai",AN109="Tidak Perlu","Selesai",AN109="","Terlambat"),"")</f>
        <v>Terlambat</v>
      </c>
      <c r="CN109" s="658" t="str" cm="1">
        <f t="array" ref="CN109">_xlfn.IFNA(_xlfn.IFS(AP109="Ada","Selesai",AP109="Tidak Perlu","Selesai",AP109="","Terlambat"),"")</f>
        <v>Terlambat</v>
      </c>
      <c r="CO109" s="658" t="str" cm="1">
        <f t="array" ref="CO109">_xlfn.IFNA(_xlfn.IFS(AR109="Ada","Selesai",AR109="Tidak Perlu","Selesai",AR109="","Terlambat"),"")</f>
        <v>Terlambat</v>
      </c>
      <c r="CP109" s="658" t="str" cm="1">
        <f t="array" ref="CP109">_xlfn.IFNA(_xlfn.IFS(AT109="Ada","Selesai",AT109="Tidak Perlu","Selesai",AT109="","Terlambat"),"")</f>
        <v>Terlambat</v>
      </c>
      <c r="CQ109" s="658" t="str" cm="1">
        <f t="array" ref="CQ109">_xlfn.IFNA(_xlfn.IFS(AV109="Ada","Selesai",AV109="Tidak Perlu","Selesai",AV109="","Terlambat"),"")</f>
        <v>Terlambat</v>
      </c>
      <c r="CR109" s="658" t="str" cm="1">
        <f t="array" ref="CR109">_xlfn.IFNA(_xlfn.IFS(AX109="Ada","Selesai",AX109="Tidak Perlu","Selesai",AX109="","Terlambat"),"")</f>
        <v>Terlambat</v>
      </c>
      <c r="CS109" s="658" t="str" cm="1">
        <f t="array" ref="CS109">_xlfn.IFNA(_xlfn.IFS(AZ109="Ada","Selesai",AZ109="Tidak Perlu","Selesai",AZ109="","Terlambat"),"")</f>
        <v>Terlambat</v>
      </c>
      <c r="CT109" s="658" t="str" cm="1">
        <f t="array" ref="CT109">_xlfn.IFNA(_xlfn.IFS(BB109="Ada","Selesai",BB109="Tidak Perlu","Selesai",BB109="","Terlambat"),"")</f>
        <v>Terlambat</v>
      </c>
      <c r="CU109" s="658" t="str" cm="1">
        <f t="array" ref="CU109">_xlfn.IFNA(_xlfn.IFS(BD109="Ada","Selesai",BD109="Tidak Perlu","Selesai",BD109="","Terlambat"),"")</f>
        <v>Terlambat</v>
      </c>
      <c r="CV109" s="658" t="str" cm="1">
        <f t="array" ref="CV109">_xlfn.IFNA(_xlfn.IFS(BF109="Ada","Selesai",BF109="Tidak Perlu","Selesai",BF109="","Terlambat"),"")</f>
        <v>Terlambat</v>
      </c>
      <c r="CW109" s="658" t="str" cm="1">
        <f t="array" ref="CW109">_xlfn.IFNA(_xlfn.IFS(BM109="Ada","Selesai",BM109="Tidak Perlu","Selesai",BM109="","Terlambat"),"")</f>
        <v>Terlambat</v>
      </c>
    </row>
    <row r="110" spans="2:101" ht="17.25" hidden="1" customHeight="1" x14ac:dyDescent="0.2">
      <c r="B110" s="633">
        <v>103</v>
      </c>
      <c r="C110" s="633" t="s">
        <v>629</v>
      </c>
      <c r="D110" s="634" t="s">
        <v>1964</v>
      </c>
      <c r="E110" s="633" t="s">
        <v>278</v>
      </c>
      <c r="F110" s="634" t="s">
        <v>1965</v>
      </c>
      <c r="G110" s="633" t="s">
        <v>3608</v>
      </c>
      <c r="H110" s="646" t="s">
        <v>3690</v>
      </c>
      <c r="I110" s="633" t="s">
        <v>3668</v>
      </c>
      <c r="J110" s="636">
        <v>0.35</v>
      </c>
      <c r="K110" s="637" t="str">
        <f t="shared" si="4"/>
        <v>2/20</v>
      </c>
      <c r="L110" s="638" t="s">
        <v>3669</v>
      </c>
      <c r="M110" s="639" t="s">
        <v>3606</v>
      </c>
      <c r="N110" s="639"/>
      <c r="O110" s="639" t="s">
        <v>3603</v>
      </c>
      <c r="P110" s="641"/>
      <c r="Q110" s="639" t="s">
        <v>3603</v>
      </c>
      <c r="R110" s="647"/>
      <c r="S110" s="639" t="s">
        <v>3606</v>
      </c>
      <c r="T110" s="639"/>
      <c r="U110" s="639" t="s">
        <v>3603</v>
      </c>
      <c r="V110" s="640"/>
      <c r="W110" s="639" t="s">
        <v>3603</v>
      </c>
      <c r="X110" s="640"/>
      <c r="Y110" s="642" t="s">
        <v>3603</v>
      </c>
      <c r="Z110" s="640" t="s">
        <v>1266</v>
      </c>
      <c r="AA110" s="639" t="s">
        <v>3603</v>
      </c>
      <c r="AB110" s="640"/>
      <c r="AC110" s="639" t="s">
        <v>3603</v>
      </c>
      <c r="AD110" s="640"/>
      <c r="AE110" s="639" t="s">
        <v>3606</v>
      </c>
      <c r="AF110" s="641" t="s">
        <v>3678</v>
      </c>
      <c r="AG110" s="641" t="s">
        <v>3603</v>
      </c>
      <c r="AH110" s="640"/>
      <c r="AI110" s="641" t="s">
        <v>3603</v>
      </c>
      <c r="AJ110" s="640"/>
      <c r="AK110" s="641" t="s">
        <v>3603</v>
      </c>
      <c r="AL110" s="640"/>
      <c r="AM110" s="639" t="s">
        <v>3603</v>
      </c>
      <c r="AN110" s="640"/>
      <c r="AO110" s="639" t="s">
        <v>3603</v>
      </c>
      <c r="AP110" s="640"/>
      <c r="AQ110" s="639" t="s">
        <v>3603</v>
      </c>
      <c r="AR110" s="640"/>
      <c r="AS110" s="639" t="s">
        <v>3603</v>
      </c>
      <c r="AT110" s="640"/>
      <c r="AU110" s="639" t="s">
        <v>3603</v>
      </c>
      <c r="AV110" s="640"/>
      <c r="AW110" s="639" t="s">
        <v>3603</v>
      </c>
      <c r="AX110" s="640"/>
      <c r="AY110" s="639" t="s">
        <v>3603</v>
      </c>
      <c r="AZ110" s="640"/>
      <c r="BA110" s="639" t="s">
        <v>3603</v>
      </c>
      <c r="BB110" s="640"/>
      <c r="BC110" s="639" t="s">
        <v>3603</v>
      </c>
      <c r="BD110" s="640"/>
      <c r="BE110" s="640" t="s">
        <v>3604</v>
      </c>
      <c r="BF110" s="640"/>
      <c r="BG110" s="640" t="s">
        <v>3603</v>
      </c>
      <c r="BH110" s="640"/>
      <c r="BI110" s="640" t="s">
        <v>3603</v>
      </c>
      <c r="BJ110" s="640"/>
      <c r="BK110" s="640" t="s">
        <v>3603</v>
      </c>
      <c r="BL110" s="640"/>
      <c r="BM110" s="678"/>
      <c r="BN110" s="637"/>
      <c r="BO110" s="637"/>
      <c r="BP110" s="637"/>
      <c r="BQ110" s="637"/>
      <c r="BR110" s="637"/>
      <c r="BS110" s="637"/>
      <c r="BT110" s="637"/>
      <c r="BW110" s="633" t="s">
        <v>3668</v>
      </c>
      <c r="BX110" s="651" t="str">
        <f t="shared" si="6"/>
        <v>SPAM Buaran 3 Hilir</v>
      </c>
      <c r="BY110" s="651" t="str">
        <f t="shared" si="6"/>
        <v>24ABJ.NPPBUR161JP</v>
      </c>
      <c r="BZ110" s="658" t="str" cm="1">
        <f t="array" ref="BZ110">_xlfn.IFNA(_xlfn.IFS(N110="Ada","Selesai",N110="Tidak Perlu","Selesai",N110="","Terlambat"),"")</f>
        <v>Terlambat</v>
      </c>
      <c r="CA110" s="658" t="str" cm="1">
        <f t="array" ref="CA110">_xlfn.IFNA(_xlfn.IFS(P110="Ada","Selesai",P110="Tidak Perlu","Selesai",P110="","Terlambat"),"")</f>
        <v>Terlambat</v>
      </c>
      <c r="CB110" s="658" t="str" cm="1">
        <f t="array" ref="CB110">_xlfn.IFNA(_xlfn.IFS(R110="Ada","Selesai",R110="Tidak Perlu","Selesai",R110="","Terlambat"),"")</f>
        <v>Terlambat</v>
      </c>
      <c r="CC110" s="658" t="str" cm="1">
        <f t="array" ref="CC110">_xlfn.IFNA(_xlfn.IFS(T110="Ada","Selesai",T110="Tidak Perlu","Selesai",T110="","Terlambat"),"")</f>
        <v>Terlambat</v>
      </c>
      <c r="CD110" s="658" t="str" cm="1">
        <f t="array" ref="CD110">_xlfn.IFNA(_xlfn.IFS(V110="Ada","Selesai",V110="Tidak Perlu","Selesai",V110="","Terlambat"),"")</f>
        <v>Terlambat</v>
      </c>
      <c r="CE110" s="658" t="str" cm="1">
        <f t="array" ref="CE110">_xlfn.IFNA(_xlfn.IFS(X110="Ada","Selesai",X110="Tidak Perlu","Selesai",X110="","Terlambat"),"")</f>
        <v>Terlambat</v>
      </c>
      <c r="CF110" s="658" t="str" cm="1">
        <f t="array" ref="CF110">_xlfn.IFNA(_xlfn.IFS(Z110="Ada","Selesai",Z110="Tidak Perlu","Selesai",Z110="","Terlambat"),"")</f>
        <v>Selesai</v>
      </c>
      <c r="CG110" s="658" t="str" cm="1">
        <f t="array" ref="CG110">_xlfn.IFNA(_xlfn.IFS(AB110="Ada","Selesai",AB110="Tidak Perlu","Selesai",AB110="","Terlambat"),"")</f>
        <v>Terlambat</v>
      </c>
      <c r="CH110" s="658" t="str" cm="1">
        <f t="array" ref="CH110">_xlfn.IFNA(_xlfn.IFS(AD110="Ada","Selesai",AD110="Tidak Perlu","Selesai",AD110="","Terlambat"),"")</f>
        <v>Terlambat</v>
      </c>
      <c r="CI110" s="658" t="str" cm="1">
        <f t="array" ref="CI110">_xlfn.IFNA(_xlfn.IFS(AF110="Ada","Selesai",AF110="Tidak Perlu","Selesai",AF110="","Terlambat"),"")</f>
        <v>Selesai</v>
      </c>
      <c r="CJ110" s="658" t="str" cm="1">
        <f t="array" ref="CJ110">_xlfn.IFNA(_xlfn.IFS(AH110="Ada","Selesai",AH110="Tidak Perlu","Selesai",AH110="","Terlambat"),"")</f>
        <v>Terlambat</v>
      </c>
      <c r="CK110" s="658" t="str" cm="1">
        <f t="array" ref="CK110">_xlfn.IFNA(_xlfn.IFS(AJ110="Ada","Selesai",AJ110="Tidak Perlu","Selesai",AJ110="","Terlambat"),"")</f>
        <v>Terlambat</v>
      </c>
      <c r="CL110" s="658" t="str" cm="1">
        <f t="array" ref="CL110">_xlfn.IFNA(_xlfn.IFS(AL110="Ada","Selesai",AL110="Tidak Perlu","Selesai",AL110="","Terlambat"),"")</f>
        <v>Terlambat</v>
      </c>
      <c r="CM110" s="658" t="str" cm="1">
        <f t="array" ref="CM110">_xlfn.IFNA(_xlfn.IFS(AN110="Ada","Selesai",AN110="Tidak Perlu","Selesai",AN110="","Terlambat"),"")</f>
        <v>Terlambat</v>
      </c>
      <c r="CN110" s="658" t="str" cm="1">
        <f t="array" ref="CN110">_xlfn.IFNA(_xlfn.IFS(AP110="Ada","Selesai",AP110="Tidak Perlu","Selesai",AP110="","Terlambat"),"")</f>
        <v>Terlambat</v>
      </c>
      <c r="CO110" s="658" t="str" cm="1">
        <f t="array" ref="CO110">_xlfn.IFNA(_xlfn.IFS(AR110="Ada","Selesai",AR110="Tidak Perlu","Selesai",AR110="","Terlambat"),"")</f>
        <v>Terlambat</v>
      </c>
      <c r="CP110" s="658" t="str" cm="1">
        <f t="array" ref="CP110">_xlfn.IFNA(_xlfn.IFS(AT110="Ada","Selesai",AT110="Tidak Perlu","Selesai",AT110="","Terlambat"),"")</f>
        <v>Terlambat</v>
      </c>
      <c r="CQ110" s="658" t="str" cm="1">
        <f t="array" ref="CQ110">_xlfn.IFNA(_xlfn.IFS(AV110="Ada","Selesai",AV110="Tidak Perlu","Selesai",AV110="","Terlambat"),"")</f>
        <v>Terlambat</v>
      </c>
      <c r="CR110" s="658" t="str" cm="1">
        <f t="array" ref="CR110">_xlfn.IFNA(_xlfn.IFS(AX110="Ada","Selesai",AX110="Tidak Perlu","Selesai",AX110="","Terlambat"),"")</f>
        <v>Terlambat</v>
      </c>
      <c r="CS110" s="658" t="str" cm="1">
        <f t="array" ref="CS110">_xlfn.IFNA(_xlfn.IFS(AZ110="Ada","Selesai",AZ110="Tidak Perlu","Selesai",AZ110="","Terlambat"),"")</f>
        <v>Terlambat</v>
      </c>
      <c r="CT110" s="658" t="str" cm="1">
        <f t="array" ref="CT110">_xlfn.IFNA(_xlfn.IFS(BB110="Ada","Selesai",BB110="Tidak Perlu","Selesai",BB110="","Terlambat"),"")</f>
        <v>Terlambat</v>
      </c>
      <c r="CU110" s="658" t="str" cm="1">
        <f t="array" ref="CU110">_xlfn.IFNA(_xlfn.IFS(BD110="Ada","Selesai",BD110="Tidak Perlu","Selesai",BD110="","Terlambat"),"")</f>
        <v>Terlambat</v>
      </c>
      <c r="CV110" s="658" t="str" cm="1">
        <f t="array" ref="CV110">_xlfn.IFNA(_xlfn.IFS(BF110="Ada","Selesai",BF110="Tidak Perlu","Selesai",BF110="","Terlambat"),"")</f>
        <v>Terlambat</v>
      </c>
      <c r="CW110" s="658" t="str" cm="1">
        <f t="array" ref="CW110">_xlfn.IFNA(_xlfn.IFS(BM110="Ada","Selesai",BM110="Tidak Perlu","Selesai",BM110="","Terlambat"),"")</f>
        <v>Terlambat</v>
      </c>
    </row>
    <row r="111" spans="2:101" ht="17.25" hidden="1" customHeight="1" x14ac:dyDescent="0.2">
      <c r="B111" s="633">
        <v>104</v>
      </c>
      <c r="C111" s="633" t="s">
        <v>629</v>
      </c>
      <c r="D111" s="634" t="s">
        <v>1874</v>
      </c>
      <c r="E111" s="633" t="s">
        <v>278</v>
      </c>
      <c r="F111" s="634" t="s">
        <v>1875</v>
      </c>
      <c r="G111" s="633" t="s">
        <v>3608</v>
      </c>
      <c r="H111" s="646" t="s">
        <v>3690</v>
      </c>
      <c r="I111" s="633" t="s">
        <v>3730</v>
      </c>
      <c r="J111" s="636">
        <v>0.34</v>
      </c>
      <c r="K111" s="637" t="str">
        <f t="shared" si="4"/>
        <v>2/20</v>
      </c>
      <c r="L111" s="638" t="s">
        <v>3669</v>
      </c>
      <c r="M111" s="639" t="s">
        <v>3606</v>
      </c>
      <c r="N111" s="639"/>
      <c r="O111" s="639" t="s">
        <v>3603</v>
      </c>
      <c r="P111" s="641"/>
      <c r="Q111" s="639" t="s">
        <v>3603</v>
      </c>
      <c r="R111" s="647"/>
      <c r="S111" s="639" t="s">
        <v>3606</v>
      </c>
      <c r="T111" s="639"/>
      <c r="U111" s="639" t="s">
        <v>3603</v>
      </c>
      <c r="V111" s="640"/>
      <c r="W111" s="639" t="s">
        <v>3603</v>
      </c>
      <c r="X111" s="640"/>
      <c r="Y111" s="642" t="s">
        <v>3603</v>
      </c>
      <c r="Z111" s="640" t="s">
        <v>1266</v>
      </c>
      <c r="AA111" s="639" t="s">
        <v>3603</v>
      </c>
      <c r="AB111" s="640"/>
      <c r="AC111" s="639" t="s">
        <v>3603</v>
      </c>
      <c r="AD111" s="640"/>
      <c r="AE111" s="639" t="s">
        <v>3606</v>
      </c>
      <c r="AF111" s="641" t="s">
        <v>3678</v>
      </c>
      <c r="AG111" s="641" t="s">
        <v>3603</v>
      </c>
      <c r="AH111" s="640"/>
      <c r="AI111" s="641" t="s">
        <v>3603</v>
      </c>
      <c r="AJ111" s="640"/>
      <c r="AK111" s="641" t="s">
        <v>3603</v>
      </c>
      <c r="AL111" s="640"/>
      <c r="AM111" s="639" t="s">
        <v>3603</v>
      </c>
      <c r="AN111" s="640"/>
      <c r="AO111" s="639" t="s">
        <v>3603</v>
      </c>
      <c r="AP111" s="640"/>
      <c r="AQ111" s="639" t="s">
        <v>3603</v>
      </c>
      <c r="AR111" s="640"/>
      <c r="AS111" s="639" t="s">
        <v>3606</v>
      </c>
      <c r="AT111" s="640"/>
      <c r="AU111" s="639" t="s">
        <v>3603</v>
      </c>
      <c r="AV111" s="640"/>
      <c r="AW111" s="639" t="s">
        <v>3603</v>
      </c>
      <c r="AX111" s="640"/>
      <c r="AY111" s="639" t="s">
        <v>3603</v>
      </c>
      <c r="AZ111" s="640"/>
      <c r="BA111" s="639" t="s">
        <v>3603</v>
      </c>
      <c r="BB111" s="640"/>
      <c r="BC111" s="639" t="s">
        <v>3603</v>
      </c>
      <c r="BD111" s="640"/>
      <c r="BE111" s="640" t="s">
        <v>3604</v>
      </c>
      <c r="BF111" s="640"/>
      <c r="BG111" s="640" t="s">
        <v>3603</v>
      </c>
      <c r="BH111" s="640"/>
      <c r="BI111" s="640" t="s">
        <v>3603</v>
      </c>
      <c r="BJ111" s="640"/>
      <c r="BK111" s="640" t="s">
        <v>3603</v>
      </c>
      <c r="BL111" s="640"/>
      <c r="BM111" s="678"/>
      <c r="BN111" s="637"/>
      <c r="BO111" s="637"/>
      <c r="BP111" s="637"/>
      <c r="BQ111" s="637"/>
      <c r="BR111" s="637"/>
      <c r="BS111" s="637"/>
      <c r="BT111" s="637"/>
      <c r="BW111" s="633" t="s">
        <v>3668</v>
      </c>
      <c r="BX111" s="651" t="str">
        <f t="shared" si="6"/>
        <v>SPAM Buaran 3 Hilir</v>
      </c>
      <c r="BY111" s="651" t="str">
        <f t="shared" si="6"/>
        <v>24ABJ.NINBUR156</v>
      </c>
      <c r="BZ111" s="658" t="str" cm="1">
        <f t="array" ref="BZ111">_xlfn.IFNA(_xlfn.IFS(N111="Ada","Selesai",N111="Tidak Perlu","Selesai",N111="","Terlambat"),"")</f>
        <v>Terlambat</v>
      </c>
      <c r="CA111" s="658" t="str" cm="1">
        <f t="array" ref="CA111">_xlfn.IFNA(_xlfn.IFS(P111="Ada","Selesai",P111="Tidak Perlu","Selesai",P111="","Terlambat"),"")</f>
        <v>Terlambat</v>
      </c>
      <c r="CB111" s="658" t="str" cm="1">
        <f t="array" ref="CB111">_xlfn.IFNA(_xlfn.IFS(R111="Ada","Selesai",R111="Tidak Perlu","Selesai",R111="","Terlambat"),"")</f>
        <v>Terlambat</v>
      </c>
      <c r="CC111" s="658" t="str" cm="1">
        <f t="array" ref="CC111">_xlfn.IFNA(_xlfn.IFS(T111="Ada","Selesai",T111="Tidak Perlu","Selesai",T111="","Terlambat"),"")</f>
        <v>Terlambat</v>
      </c>
      <c r="CD111" s="658" t="str" cm="1">
        <f t="array" ref="CD111">_xlfn.IFNA(_xlfn.IFS(V111="Ada","Selesai",V111="Tidak Perlu","Selesai",V111="","Terlambat"),"")</f>
        <v>Terlambat</v>
      </c>
      <c r="CE111" s="658" t="str" cm="1">
        <f t="array" ref="CE111">_xlfn.IFNA(_xlfn.IFS(X111="Ada","Selesai",X111="Tidak Perlu","Selesai",X111="","Terlambat"),"")</f>
        <v>Terlambat</v>
      </c>
      <c r="CF111" s="658" t="str" cm="1">
        <f t="array" ref="CF111">_xlfn.IFNA(_xlfn.IFS(Z111="Ada","Selesai",Z111="Tidak Perlu","Selesai",Z111="","Terlambat"),"")</f>
        <v>Selesai</v>
      </c>
      <c r="CG111" s="658" t="str" cm="1">
        <f t="array" ref="CG111">_xlfn.IFNA(_xlfn.IFS(AB111="Ada","Selesai",AB111="Tidak Perlu","Selesai",AB111="","Terlambat"),"")</f>
        <v>Terlambat</v>
      </c>
      <c r="CH111" s="658" t="str" cm="1">
        <f t="array" ref="CH111">_xlfn.IFNA(_xlfn.IFS(AD111="Ada","Selesai",AD111="Tidak Perlu","Selesai",AD111="","Terlambat"),"")</f>
        <v>Terlambat</v>
      </c>
      <c r="CI111" s="658" t="str" cm="1">
        <f t="array" ref="CI111">_xlfn.IFNA(_xlfn.IFS(AF111="Ada","Selesai",AF111="Tidak Perlu","Selesai",AF111="","Terlambat"),"")</f>
        <v>Selesai</v>
      </c>
      <c r="CJ111" s="658" t="str" cm="1">
        <f t="array" ref="CJ111">_xlfn.IFNA(_xlfn.IFS(AH111="Ada","Selesai",AH111="Tidak Perlu","Selesai",AH111="","Terlambat"),"")</f>
        <v>Terlambat</v>
      </c>
      <c r="CK111" s="658" t="str" cm="1">
        <f t="array" ref="CK111">_xlfn.IFNA(_xlfn.IFS(AJ111="Ada","Selesai",AJ111="Tidak Perlu","Selesai",AJ111="","Terlambat"),"")</f>
        <v>Terlambat</v>
      </c>
      <c r="CL111" s="658" t="str" cm="1">
        <f t="array" ref="CL111">_xlfn.IFNA(_xlfn.IFS(AL111="Ada","Selesai",AL111="Tidak Perlu","Selesai",AL111="","Terlambat"),"")</f>
        <v>Terlambat</v>
      </c>
      <c r="CM111" s="658" t="str" cm="1">
        <f t="array" ref="CM111">_xlfn.IFNA(_xlfn.IFS(AN111="Ada","Selesai",AN111="Tidak Perlu","Selesai",AN111="","Terlambat"),"")</f>
        <v>Terlambat</v>
      </c>
      <c r="CN111" s="658" t="str" cm="1">
        <f t="array" ref="CN111">_xlfn.IFNA(_xlfn.IFS(AP111="Ada","Selesai",AP111="Tidak Perlu","Selesai",AP111="","Terlambat"),"")</f>
        <v>Terlambat</v>
      </c>
      <c r="CO111" s="658" t="str" cm="1">
        <f t="array" ref="CO111">_xlfn.IFNA(_xlfn.IFS(AR111="Ada","Selesai",AR111="Tidak Perlu","Selesai",AR111="","Terlambat"),"")</f>
        <v>Terlambat</v>
      </c>
      <c r="CP111" s="658" t="str" cm="1">
        <f t="array" ref="CP111">_xlfn.IFNA(_xlfn.IFS(AT111="Ada","Selesai",AT111="Tidak Perlu","Selesai",AT111="","Terlambat"),"")</f>
        <v>Terlambat</v>
      </c>
      <c r="CQ111" s="658" t="str" cm="1">
        <f t="array" ref="CQ111">_xlfn.IFNA(_xlfn.IFS(AV111="Ada","Selesai",AV111="Tidak Perlu","Selesai",AV111="","Terlambat"),"")</f>
        <v>Terlambat</v>
      </c>
      <c r="CR111" s="658" t="str" cm="1">
        <f t="array" ref="CR111">_xlfn.IFNA(_xlfn.IFS(AX111="Ada","Selesai",AX111="Tidak Perlu","Selesai",AX111="","Terlambat"),"")</f>
        <v>Terlambat</v>
      </c>
      <c r="CS111" s="658" t="str" cm="1">
        <f t="array" ref="CS111">_xlfn.IFNA(_xlfn.IFS(AZ111="Ada","Selesai",AZ111="Tidak Perlu","Selesai",AZ111="","Terlambat"),"")</f>
        <v>Terlambat</v>
      </c>
      <c r="CT111" s="658" t="str" cm="1">
        <f t="array" ref="CT111">_xlfn.IFNA(_xlfn.IFS(BB111="Ada","Selesai",BB111="Tidak Perlu","Selesai",BB111="","Terlambat"),"")</f>
        <v>Terlambat</v>
      </c>
      <c r="CU111" s="658" t="str" cm="1">
        <f t="array" ref="CU111">_xlfn.IFNA(_xlfn.IFS(BD111="Ada","Selesai",BD111="Tidak Perlu","Selesai",BD111="","Terlambat"),"")</f>
        <v>Terlambat</v>
      </c>
      <c r="CV111" s="658" t="str" cm="1">
        <f t="array" ref="CV111">_xlfn.IFNA(_xlfn.IFS(BF111="Ada","Selesai",BF111="Tidak Perlu","Selesai",BF111="","Terlambat"),"")</f>
        <v>Terlambat</v>
      </c>
      <c r="CW111" s="658" t="str" cm="1">
        <f t="array" ref="CW111">_xlfn.IFNA(_xlfn.IFS(BM111="Ada","Selesai",BM111="Tidak Perlu","Selesai",BM111="","Terlambat"),"")</f>
        <v>Terlambat</v>
      </c>
    </row>
    <row r="112" spans="2:101" ht="17.25" hidden="1" customHeight="1" x14ac:dyDescent="0.2">
      <c r="B112" s="633">
        <v>105</v>
      </c>
      <c r="C112" s="633" t="s">
        <v>629</v>
      </c>
      <c r="D112" s="634" t="s">
        <v>1865</v>
      </c>
      <c r="E112" s="633" t="s">
        <v>278</v>
      </c>
      <c r="F112" s="634" t="s">
        <v>3735</v>
      </c>
      <c r="G112" s="633" t="s">
        <v>3608</v>
      </c>
      <c r="H112" s="646" t="s">
        <v>3690</v>
      </c>
      <c r="I112" s="633" t="s">
        <v>3668</v>
      </c>
      <c r="J112" s="636">
        <v>0.42549999999999999</v>
      </c>
      <c r="K112" s="637" t="str">
        <f t="shared" si="4"/>
        <v>3/20</v>
      </c>
      <c r="L112" s="638" t="s">
        <v>3669</v>
      </c>
      <c r="M112" s="639" t="s">
        <v>3606</v>
      </c>
      <c r="N112" s="639"/>
      <c r="O112" s="639" t="s">
        <v>3603</v>
      </c>
      <c r="P112" s="641"/>
      <c r="Q112" s="639" t="s">
        <v>3603</v>
      </c>
      <c r="R112" s="647"/>
      <c r="S112" s="639" t="s">
        <v>3606</v>
      </c>
      <c r="T112" s="639"/>
      <c r="U112" s="639" t="s">
        <v>3603</v>
      </c>
      <c r="V112" s="640"/>
      <c r="W112" s="639" t="s">
        <v>3603</v>
      </c>
      <c r="X112" s="640"/>
      <c r="Y112" s="642" t="s">
        <v>3603</v>
      </c>
      <c r="Z112" s="640" t="s">
        <v>1266</v>
      </c>
      <c r="AA112" s="639" t="s">
        <v>3603</v>
      </c>
      <c r="AB112" s="640"/>
      <c r="AC112" s="639" t="s">
        <v>3603</v>
      </c>
      <c r="AD112" s="640"/>
      <c r="AE112" s="639" t="s">
        <v>3606</v>
      </c>
      <c r="AF112" s="641" t="s">
        <v>3678</v>
      </c>
      <c r="AG112" s="641" t="s">
        <v>3603</v>
      </c>
      <c r="AH112" s="640"/>
      <c r="AI112" s="641" t="s">
        <v>3603</v>
      </c>
      <c r="AJ112" s="640"/>
      <c r="AK112" s="641" t="s">
        <v>3603</v>
      </c>
      <c r="AL112" s="640"/>
      <c r="AM112" s="639" t="s">
        <v>3603</v>
      </c>
      <c r="AN112" s="640"/>
      <c r="AO112" s="639" t="s">
        <v>3603</v>
      </c>
      <c r="AP112" s="640"/>
      <c r="AQ112" s="639" t="s">
        <v>3603</v>
      </c>
      <c r="AR112" s="640"/>
      <c r="AS112" s="639" t="s">
        <v>3606</v>
      </c>
      <c r="AT112" s="640"/>
      <c r="AU112" s="639" t="s">
        <v>3603</v>
      </c>
      <c r="AV112" s="640"/>
      <c r="AW112" s="639" t="s">
        <v>3606</v>
      </c>
      <c r="AX112" s="640"/>
      <c r="AY112" s="639" t="s">
        <v>3603</v>
      </c>
      <c r="AZ112" s="640"/>
      <c r="BA112" s="639" t="s">
        <v>3603</v>
      </c>
      <c r="BB112" s="640"/>
      <c r="BC112" s="639" t="s">
        <v>3603</v>
      </c>
      <c r="BD112" s="640"/>
      <c r="BE112" s="640" t="s">
        <v>3604</v>
      </c>
      <c r="BF112" s="640"/>
      <c r="BG112" s="640" t="s">
        <v>3603</v>
      </c>
      <c r="BH112" s="640"/>
      <c r="BI112" s="640" t="s">
        <v>3603</v>
      </c>
      <c r="BJ112" s="640"/>
      <c r="BK112" s="640" t="s">
        <v>3603</v>
      </c>
      <c r="BL112" s="640"/>
      <c r="BM112" s="678"/>
      <c r="BN112" s="637"/>
      <c r="BO112" s="637"/>
      <c r="BP112" s="637"/>
      <c r="BQ112" s="637"/>
      <c r="BR112" s="637"/>
      <c r="BS112" s="637"/>
      <c r="BT112" s="637"/>
      <c r="BW112" s="633" t="s">
        <v>3668</v>
      </c>
      <c r="BX112" s="651" t="str">
        <f t="shared" si="6"/>
        <v>SPAM Buaran 3 Hilir</v>
      </c>
      <c r="BY112" s="651" t="str">
        <f t="shared" si="6"/>
        <v>24ABJ.NINBUR145</v>
      </c>
      <c r="BZ112" s="658" t="str" cm="1">
        <f t="array" ref="BZ112">_xlfn.IFNA(_xlfn.IFS(N112="Ada","Selesai",N112="Tidak Perlu","Selesai",N112="","Terlambat"),"")</f>
        <v>Terlambat</v>
      </c>
      <c r="CA112" s="658" t="str" cm="1">
        <f t="array" ref="CA112">_xlfn.IFNA(_xlfn.IFS(P112="Ada","Selesai",P112="Tidak Perlu","Selesai",P112="","Terlambat"),"")</f>
        <v>Terlambat</v>
      </c>
      <c r="CB112" s="658" t="str" cm="1">
        <f t="array" ref="CB112">_xlfn.IFNA(_xlfn.IFS(R112="Ada","Selesai",R112="Tidak Perlu","Selesai",R112="","Terlambat"),"")</f>
        <v>Terlambat</v>
      </c>
      <c r="CC112" s="658" t="str" cm="1">
        <f t="array" ref="CC112">_xlfn.IFNA(_xlfn.IFS(T112="Ada","Selesai",T112="Tidak Perlu","Selesai",T112="","Terlambat"),"")</f>
        <v>Terlambat</v>
      </c>
      <c r="CD112" s="658" t="str" cm="1">
        <f t="array" ref="CD112">_xlfn.IFNA(_xlfn.IFS(V112="Ada","Selesai",V112="Tidak Perlu","Selesai",V112="","Terlambat"),"")</f>
        <v>Terlambat</v>
      </c>
      <c r="CE112" s="658" t="str" cm="1">
        <f t="array" ref="CE112">_xlfn.IFNA(_xlfn.IFS(X112="Ada","Selesai",X112="Tidak Perlu","Selesai",X112="","Terlambat"),"")</f>
        <v>Terlambat</v>
      </c>
      <c r="CF112" s="658" t="str" cm="1">
        <f t="array" ref="CF112">_xlfn.IFNA(_xlfn.IFS(Z112="Ada","Selesai",Z112="Tidak Perlu","Selesai",Z112="","Terlambat"),"")</f>
        <v>Selesai</v>
      </c>
      <c r="CG112" s="658" t="str" cm="1">
        <f t="array" ref="CG112">_xlfn.IFNA(_xlfn.IFS(AB112="Ada","Selesai",AB112="Tidak Perlu","Selesai",AB112="","Terlambat"),"")</f>
        <v>Terlambat</v>
      </c>
      <c r="CH112" s="658" t="str" cm="1">
        <f t="array" ref="CH112">_xlfn.IFNA(_xlfn.IFS(AD112="Ada","Selesai",AD112="Tidak Perlu","Selesai",AD112="","Terlambat"),"")</f>
        <v>Terlambat</v>
      </c>
      <c r="CI112" s="658" t="str" cm="1">
        <f t="array" ref="CI112">_xlfn.IFNA(_xlfn.IFS(AF112="Ada","Selesai",AF112="Tidak Perlu","Selesai",AF112="","Terlambat"),"")</f>
        <v>Selesai</v>
      </c>
      <c r="CJ112" s="658" t="str" cm="1">
        <f t="array" ref="CJ112">_xlfn.IFNA(_xlfn.IFS(AH112="Ada","Selesai",AH112="Tidak Perlu","Selesai",AH112="","Terlambat"),"")</f>
        <v>Terlambat</v>
      </c>
      <c r="CK112" s="658" t="str" cm="1">
        <f t="array" ref="CK112">_xlfn.IFNA(_xlfn.IFS(AJ112="Ada","Selesai",AJ112="Tidak Perlu","Selesai",AJ112="","Terlambat"),"")</f>
        <v>Terlambat</v>
      </c>
      <c r="CL112" s="658" t="str" cm="1">
        <f t="array" ref="CL112">_xlfn.IFNA(_xlfn.IFS(AL112="Ada","Selesai",AL112="Tidak Perlu","Selesai",AL112="","Terlambat"),"")</f>
        <v>Terlambat</v>
      </c>
      <c r="CM112" s="658" t="str" cm="1">
        <f t="array" ref="CM112">_xlfn.IFNA(_xlfn.IFS(AN112="Ada","Selesai",AN112="Tidak Perlu","Selesai",AN112="","Terlambat"),"")</f>
        <v>Terlambat</v>
      </c>
      <c r="CN112" s="658" t="str" cm="1">
        <f t="array" ref="CN112">_xlfn.IFNA(_xlfn.IFS(AP112="Ada","Selesai",AP112="Tidak Perlu","Selesai",AP112="","Terlambat"),"")</f>
        <v>Terlambat</v>
      </c>
      <c r="CO112" s="658" t="str" cm="1">
        <f t="array" ref="CO112">_xlfn.IFNA(_xlfn.IFS(AR112="Ada","Selesai",AR112="Tidak Perlu","Selesai",AR112="","Terlambat"),"")</f>
        <v>Terlambat</v>
      </c>
      <c r="CP112" s="658" t="str" cm="1">
        <f t="array" ref="CP112">_xlfn.IFNA(_xlfn.IFS(AT112="Ada","Selesai",AT112="Tidak Perlu","Selesai",AT112="","Terlambat"),"")</f>
        <v>Terlambat</v>
      </c>
      <c r="CQ112" s="658" t="str" cm="1">
        <f t="array" ref="CQ112">_xlfn.IFNA(_xlfn.IFS(AV112="Ada","Selesai",AV112="Tidak Perlu","Selesai",AV112="","Terlambat"),"")</f>
        <v>Terlambat</v>
      </c>
      <c r="CR112" s="658" t="str" cm="1">
        <f t="array" ref="CR112">_xlfn.IFNA(_xlfn.IFS(AX112="Ada","Selesai",AX112="Tidak Perlu","Selesai",AX112="","Terlambat"),"")</f>
        <v>Terlambat</v>
      </c>
      <c r="CS112" s="658" t="str" cm="1">
        <f t="array" ref="CS112">_xlfn.IFNA(_xlfn.IFS(AZ112="Ada","Selesai",AZ112="Tidak Perlu","Selesai",AZ112="","Terlambat"),"")</f>
        <v>Terlambat</v>
      </c>
      <c r="CT112" s="658" t="str" cm="1">
        <f t="array" ref="CT112">_xlfn.IFNA(_xlfn.IFS(BB112="Ada","Selesai",BB112="Tidak Perlu","Selesai",BB112="","Terlambat"),"")</f>
        <v>Terlambat</v>
      </c>
      <c r="CU112" s="658" t="str" cm="1">
        <f t="array" ref="CU112">_xlfn.IFNA(_xlfn.IFS(BD112="Ada","Selesai",BD112="Tidak Perlu","Selesai",BD112="","Terlambat"),"")</f>
        <v>Terlambat</v>
      </c>
      <c r="CV112" s="658" t="str" cm="1">
        <f t="array" ref="CV112">_xlfn.IFNA(_xlfn.IFS(BF112="Ada","Selesai",BF112="Tidak Perlu","Selesai",BF112="","Terlambat"),"")</f>
        <v>Terlambat</v>
      </c>
      <c r="CW112" s="658" t="str" cm="1">
        <f t="array" ref="CW112">_xlfn.IFNA(_xlfn.IFS(BM112="Ada","Selesai",BM112="Tidak Perlu","Selesai",BM112="","Terlambat"),"")</f>
        <v>Terlambat</v>
      </c>
    </row>
    <row r="113" spans="2:101" ht="17.25" hidden="1" customHeight="1" x14ac:dyDescent="0.2">
      <c r="B113" s="633">
        <v>106</v>
      </c>
      <c r="C113" s="633" t="s">
        <v>629</v>
      </c>
      <c r="D113" s="634" t="s">
        <v>2018</v>
      </c>
      <c r="E113" s="633" t="s">
        <v>278</v>
      </c>
      <c r="F113" s="634" t="s">
        <v>2019</v>
      </c>
      <c r="G113" s="633" t="s">
        <v>3560</v>
      </c>
      <c r="H113" s="635" t="s">
        <v>3667</v>
      </c>
      <c r="I113" s="633" t="s">
        <v>3685</v>
      </c>
      <c r="J113" s="636">
        <v>1</v>
      </c>
      <c r="K113" s="637" t="str">
        <f t="shared" si="4"/>
        <v>19/20</v>
      </c>
      <c r="L113" s="638" t="s">
        <v>3686</v>
      </c>
      <c r="M113" s="639" t="s">
        <v>3606</v>
      </c>
      <c r="N113" s="639" t="s">
        <v>1266</v>
      </c>
      <c r="O113" s="639" t="s">
        <v>3606</v>
      </c>
      <c r="P113" s="641" t="s">
        <v>3678</v>
      </c>
      <c r="Q113" s="639" t="s">
        <v>3606</v>
      </c>
      <c r="R113" s="640" t="s">
        <v>3678</v>
      </c>
      <c r="S113" s="639" t="s">
        <v>3606</v>
      </c>
      <c r="T113" s="640" t="s">
        <v>3678</v>
      </c>
      <c r="U113" s="639" t="s">
        <v>3606</v>
      </c>
      <c r="V113" s="640" t="s">
        <v>3678</v>
      </c>
      <c r="W113" s="639" t="s">
        <v>3606</v>
      </c>
      <c r="X113" s="640" t="s">
        <v>3678</v>
      </c>
      <c r="Y113" s="642" t="s">
        <v>3606</v>
      </c>
      <c r="Z113" s="640" t="s">
        <v>1266</v>
      </c>
      <c r="AA113" s="639" t="s">
        <v>3606</v>
      </c>
      <c r="AB113" s="640" t="s">
        <v>3678</v>
      </c>
      <c r="AC113" s="639" t="s">
        <v>3606</v>
      </c>
      <c r="AD113" s="640" t="s">
        <v>3678</v>
      </c>
      <c r="AE113" s="639" t="s">
        <v>3606</v>
      </c>
      <c r="AF113" s="641" t="s">
        <v>3678</v>
      </c>
      <c r="AG113" s="641" t="s">
        <v>3606</v>
      </c>
      <c r="AH113" s="640" t="s">
        <v>3678</v>
      </c>
      <c r="AI113" s="641" t="s">
        <v>3606</v>
      </c>
      <c r="AJ113" s="640" t="s">
        <v>3678</v>
      </c>
      <c r="AK113" s="641" t="s">
        <v>3606</v>
      </c>
      <c r="AL113" s="640" t="s">
        <v>3678</v>
      </c>
      <c r="AM113" s="639" t="s">
        <v>3606</v>
      </c>
      <c r="AN113" s="640" t="s">
        <v>3678</v>
      </c>
      <c r="AO113" s="639" t="s">
        <v>3606</v>
      </c>
      <c r="AP113" s="640" t="s">
        <v>3678</v>
      </c>
      <c r="AQ113" s="639" t="s">
        <v>3606</v>
      </c>
      <c r="AR113" s="640" t="s">
        <v>3678</v>
      </c>
      <c r="AS113" s="639" t="s">
        <v>3606</v>
      </c>
      <c r="AT113" s="640" t="s">
        <v>3678</v>
      </c>
      <c r="AU113" s="639" t="s">
        <v>3606</v>
      </c>
      <c r="AV113" s="640" t="s">
        <v>3678</v>
      </c>
      <c r="AW113" s="639" t="s">
        <v>3606</v>
      </c>
      <c r="AX113" s="640" t="s">
        <v>3678</v>
      </c>
      <c r="AY113" s="639" t="s">
        <v>3606</v>
      </c>
      <c r="AZ113" s="641" t="s">
        <v>3678</v>
      </c>
      <c r="BA113" s="639" t="s">
        <v>3606</v>
      </c>
      <c r="BB113" s="640" t="s">
        <v>3678</v>
      </c>
      <c r="BC113" s="639" t="s">
        <v>3606</v>
      </c>
      <c r="BD113" s="640" t="s">
        <v>3678</v>
      </c>
      <c r="BE113" s="640" t="s">
        <v>3606</v>
      </c>
      <c r="BF113" s="640" t="s">
        <v>3678</v>
      </c>
      <c r="BG113" s="640" t="s">
        <v>1266</v>
      </c>
      <c r="BH113" s="640" t="s">
        <v>1266</v>
      </c>
      <c r="BI113" s="640" t="s">
        <v>3606</v>
      </c>
      <c r="BJ113" s="640" t="s">
        <v>3678</v>
      </c>
      <c r="BK113" s="640" t="s">
        <v>3606</v>
      </c>
      <c r="BL113" s="640" t="s">
        <v>3678</v>
      </c>
      <c r="BM113" s="678" t="s">
        <v>3679</v>
      </c>
      <c r="BN113" s="682"/>
      <c r="BO113" s="637"/>
      <c r="BP113" s="637"/>
      <c r="BQ113" s="637"/>
      <c r="BR113" s="637"/>
      <c r="BS113" s="637"/>
      <c r="BT113" s="637"/>
      <c r="BW113" s="633" t="s">
        <v>3668</v>
      </c>
      <c r="BX113" s="651" t="str">
        <f t="shared" si="6"/>
        <v>SPAM Buaran 3 Hilir</v>
      </c>
      <c r="BY113" s="651" t="str">
        <f t="shared" si="6"/>
        <v>24ABJ.NINBUR163.3JP</v>
      </c>
      <c r="BZ113" s="658" t="str" cm="1">
        <f t="array" ref="BZ113">_xlfn.IFNA(_xlfn.IFS(N113="Ada","Selesai",N113="Tidak Perlu","Selesai",N113="","Terlambat"),"")</f>
        <v>Selesai</v>
      </c>
      <c r="CA113" s="658" t="str" cm="1">
        <f t="array" ref="CA113">_xlfn.IFNA(_xlfn.IFS(P113="Ada","Selesai",P113="Tidak Perlu","Selesai",P113="","Terlambat"),"")</f>
        <v>Selesai</v>
      </c>
      <c r="CB113" s="658" t="str" cm="1">
        <f t="array" ref="CB113">_xlfn.IFNA(_xlfn.IFS(R113="Ada","Selesai",R113="Tidak Perlu","Selesai",R113="","Terlambat"),"")</f>
        <v>Selesai</v>
      </c>
      <c r="CC113" s="658" t="str" cm="1">
        <f t="array" ref="CC113">_xlfn.IFNA(_xlfn.IFS(T113="Ada","Selesai",T113="Tidak Perlu","Selesai",T113="","Terlambat"),"")</f>
        <v>Selesai</v>
      </c>
      <c r="CD113" s="658" t="str" cm="1">
        <f t="array" ref="CD113">_xlfn.IFNA(_xlfn.IFS(V113="Ada","Selesai",V113="Tidak Perlu","Selesai",V113="","Terlambat"),"")</f>
        <v>Selesai</v>
      </c>
      <c r="CE113" s="658" t="str" cm="1">
        <f t="array" ref="CE113">_xlfn.IFNA(_xlfn.IFS(X113="Ada","Selesai",X113="Tidak Perlu","Selesai",X113="","Terlambat"),"")</f>
        <v>Selesai</v>
      </c>
      <c r="CF113" s="658" t="str" cm="1">
        <f t="array" ref="CF113">_xlfn.IFNA(_xlfn.IFS(Z113="Ada","Selesai",Z113="Tidak Perlu","Selesai",Z113="","Terlambat"),"")</f>
        <v>Selesai</v>
      </c>
      <c r="CG113" s="658" t="str" cm="1">
        <f t="array" ref="CG113">_xlfn.IFNA(_xlfn.IFS(AB113="Ada","Selesai",AB113="Tidak Perlu","Selesai",AB113="","Terlambat"),"")</f>
        <v>Selesai</v>
      </c>
      <c r="CH113" s="658" t="str" cm="1">
        <f t="array" ref="CH113">_xlfn.IFNA(_xlfn.IFS(AD113="Ada","Selesai",AD113="Tidak Perlu","Selesai",AD113="","Terlambat"),"")</f>
        <v>Selesai</v>
      </c>
      <c r="CI113" s="658" t="str" cm="1">
        <f t="array" ref="CI113">_xlfn.IFNA(_xlfn.IFS(AF113="Ada","Selesai",AF113="Tidak Perlu","Selesai",AF113="","Terlambat"),"")</f>
        <v>Selesai</v>
      </c>
      <c r="CJ113" s="658" t="str" cm="1">
        <f t="array" ref="CJ113">_xlfn.IFNA(_xlfn.IFS(AH113="Ada","Selesai",AH113="Tidak Perlu","Selesai",AH113="","Terlambat"),"")</f>
        <v>Selesai</v>
      </c>
      <c r="CK113" s="658" t="str" cm="1">
        <f t="array" ref="CK113">_xlfn.IFNA(_xlfn.IFS(AJ113="Ada","Selesai",AJ113="Tidak Perlu","Selesai",AJ113="","Terlambat"),"")</f>
        <v>Selesai</v>
      </c>
      <c r="CL113" s="658" t="str" cm="1">
        <f t="array" ref="CL113">_xlfn.IFNA(_xlfn.IFS(AL113="Ada","Selesai",AL113="Tidak Perlu","Selesai",AL113="","Terlambat"),"")</f>
        <v>Selesai</v>
      </c>
      <c r="CM113" s="658" t="str" cm="1">
        <f t="array" ref="CM113">_xlfn.IFNA(_xlfn.IFS(AN113="Ada","Selesai",AN113="Tidak Perlu","Selesai",AN113="","Terlambat"),"")</f>
        <v>Selesai</v>
      </c>
      <c r="CN113" s="658" t="str" cm="1">
        <f t="array" ref="CN113">_xlfn.IFNA(_xlfn.IFS(AP113="Ada","Selesai",AP113="Tidak Perlu","Selesai",AP113="","Terlambat"),"")</f>
        <v>Selesai</v>
      </c>
      <c r="CO113" s="658" t="str" cm="1">
        <f t="array" ref="CO113">_xlfn.IFNA(_xlfn.IFS(AR113="Ada","Selesai",AR113="Tidak Perlu","Selesai",AR113="","Terlambat"),"")</f>
        <v>Selesai</v>
      </c>
      <c r="CP113" s="658" t="str" cm="1">
        <f t="array" ref="CP113">_xlfn.IFNA(_xlfn.IFS(AT113="Ada","Selesai",AT113="Tidak Perlu","Selesai",AT113="","Terlambat"),"")</f>
        <v>Selesai</v>
      </c>
      <c r="CQ113" s="658" t="str" cm="1">
        <f t="array" ref="CQ113">_xlfn.IFNA(_xlfn.IFS(AV113="Ada","Selesai",AV113="Tidak Perlu","Selesai",AV113="","Terlambat"),"")</f>
        <v>Selesai</v>
      </c>
      <c r="CR113" s="658" t="str" cm="1">
        <f t="array" ref="CR113">_xlfn.IFNA(_xlfn.IFS(AX113="Ada","Selesai",AX113="Tidak Perlu","Selesai",AX113="","Terlambat"),"")</f>
        <v>Selesai</v>
      </c>
      <c r="CS113" s="658" t="str" cm="1">
        <f t="array" ref="CS113">_xlfn.IFNA(_xlfn.IFS(AZ113="Ada","Selesai",AZ113="Tidak Perlu","Selesai",AZ113="","Terlambat"),"")</f>
        <v>Selesai</v>
      </c>
      <c r="CT113" s="658" t="str" cm="1">
        <f t="array" ref="CT113">_xlfn.IFNA(_xlfn.IFS(BB113="Ada","Selesai",BB113="Tidak Perlu","Selesai",BB113="","Terlambat"),"")</f>
        <v>Selesai</v>
      </c>
      <c r="CU113" s="658" t="str" cm="1">
        <f t="array" ref="CU113">_xlfn.IFNA(_xlfn.IFS(BD113="Ada","Selesai",BD113="Tidak Perlu","Selesai",BD113="","Terlambat"),"")</f>
        <v>Selesai</v>
      </c>
      <c r="CV113" s="658" t="str" cm="1">
        <f t="array" ref="CV113">_xlfn.IFNA(_xlfn.IFS(BF113="Ada","Selesai",BF113="Tidak Perlu","Selesai",BF113="","Terlambat"),"")</f>
        <v>Selesai</v>
      </c>
      <c r="CW113" s="658" t="str" cm="1">
        <f t="array" ref="CW113">_xlfn.IFNA(_xlfn.IFS(BM113="Ada","Selesai",BM113="Tidak Perlu","Selesai",BM113="","Terlambat"),"")</f>
        <v/>
      </c>
    </row>
    <row r="114" spans="2:101" ht="17.25" hidden="1" customHeight="1" x14ac:dyDescent="0.2">
      <c r="B114" s="633">
        <v>107</v>
      </c>
      <c r="C114" s="633" t="s">
        <v>629</v>
      </c>
      <c r="D114" s="634" t="s">
        <v>2025</v>
      </c>
      <c r="E114" s="633" t="s">
        <v>278</v>
      </c>
      <c r="F114" s="681" t="s">
        <v>2026</v>
      </c>
      <c r="G114" s="633" t="s">
        <v>3560</v>
      </c>
      <c r="H114" s="635" t="s">
        <v>3667</v>
      </c>
      <c r="I114" s="633" t="s">
        <v>3685</v>
      </c>
      <c r="J114" s="636">
        <v>1</v>
      </c>
      <c r="K114" s="637" t="str">
        <f t="shared" si="4"/>
        <v>19/20</v>
      </c>
      <c r="L114" s="638" t="s">
        <v>3686</v>
      </c>
      <c r="M114" s="639" t="s">
        <v>3606</v>
      </c>
      <c r="N114" s="639" t="s">
        <v>1266</v>
      </c>
      <c r="O114" s="639" t="s">
        <v>3606</v>
      </c>
      <c r="P114" s="641" t="s">
        <v>3678</v>
      </c>
      <c r="Q114" s="639" t="s">
        <v>3606</v>
      </c>
      <c r="R114" s="647" t="s">
        <v>3678</v>
      </c>
      <c r="S114" s="639" t="s">
        <v>3606</v>
      </c>
      <c r="T114" s="640" t="s">
        <v>3678</v>
      </c>
      <c r="U114" s="639" t="s">
        <v>3606</v>
      </c>
      <c r="V114" s="640" t="s">
        <v>3678</v>
      </c>
      <c r="W114" s="639" t="s">
        <v>3606</v>
      </c>
      <c r="X114" s="640" t="s">
        <v>3678</v>
      </c>
      <c r="Y114" s="642" t="s">
        <v>3606</v>
      </c>
      <c r="Z114" s="640" t="s">
        <v>1266</v>
      </c>
      <c r="AA114" s="639" t="s">
        <v>3606</v>
      </c>
      <c r="AB114" s="640" t="s">
        <v>3678</v>
      </c>
      <c r="AC114" s="639" t="s">
        <v>3606</v>
      </c>
      <c r="AD114" s="640" t="s">
        <v>3678</v>
      </c>
      <c r="AE114" s="639" t="s">
        <v>3606</v>
      </c>
      <c r="AF114" s="640" t="s">
        <v>3678</v>
      </c>
      <c r="AG114" s="641" t="s">
        <v>3606</v>
      </c>
      <c r="AH114" s="640" t="s">
        <v>3678</v>
      </c>
      <c r="AI114" s="641" t="s">
        <v>3606</v>
      </c>
      <c r="AJ114" s="640" t="s">
        <v>3678</v>
      </c>
      <c r="AK114" s="641" t="s">
        <v>3606</v>
      </c>
      <c r="AL114" s="640" t="s">
        <v>3678</v>
      </c>
      <c r="AM114" s="639" t="s">
        <v>3606</v>
      </c>
      <c r="AN114" s="640" t="s">
        <v>3678</v>
      </c>
      <c r="AO114" s="639" t="s">
        <v>3606</v>
      </c>
      <c r="AP114" s="640" t="s">
        <v>3678</v>
      </c>
      <c r="AQ114" s="639" t="s">
        <v>3606</v>
      </c>
      <c r="AR114" s="640" t="s">
        <v>3678</v>
      </c>
      <c r="AS114" s="639" t="s">
        <v>3606</v>
      </c>
      <c r="AT114" s="640" t="s">
        <v>3678</v>
      </c>
      <c r="AU114" s="639" t="s">
        <v>3606</v>
      </c>
      <c r="AV114" s="640" t="s">
        <v>3678</v>
      </c>
      <c r="AW114" s="639" t="s">
        <v>3606</v>
      </c>
      <c r="AX114" s="640" t="s">
        <v>3678</v>
      </c>
      <c r="AY114" s="639" t="s">
        <v>3606</v>
      </c>
      <c r="AZ114" s="640" t="s">
        <v>3678</v>
      </c>
      <c r="BA114" s="639" t="s">
        <v>3606</v>
      </c>
      <c r="BB114" s="640" t="s">
        <v>3678</v>
      </c>
      <c r="BC114" s="639" t="s">
        <v>3606</v>
      </c>
      <c r="BD114" s="640" t="s">
        <v>3678</v>
      </c>
      <c r="BE114" s="640" t="s">
        <v>3606</v>
      </c>
      <c r="BF114" s="640" t="s">
        <v>3678</v>
      </c>
      <c r="BG114" s="640" t="s">
        <v>1266</v>
      </c>
      <c r="BH114" s="640" t="s">
        <v>1266</v>
      </c>
      <c r="BI114" s="640" t="s">
        <v>3606</v>
      </c>
      <c r="BJ114" s="640" t="s">
        <v>3678</v>
      </c>
      <c r="BK114" s="640" t="s">
        <v>3606</v>
      </c>
      <c r="BL114" s="640" t="s">
        <v>3678</v>
      </c>
      <c r="BM114" s="640"/>
      <c r="BN114" s="637"/>
      <c r="BO114" s="637"/>
      <c r="BP114" s="637"/>
      <c r="BQ114" s="637"/>
      <c r="BR114" s="637"/>
      <c r="BS114" s="637"/>
      <c r="BT114" s="637"/>
      <c r="BW114" s="633" t="s">
        <v>3687</v>
      </c>
      <c r="BZ114" s="658"/>
      <c r="CA114" s="658"/>
      <c r="CB114" s="658"/>
      <c r="CC114" s="658"/>
      <c r="CD114" s="658"/>
      <c r="CE114" s="658"/>
      <c r="CF114" s="658"/>
      <c r="CG114" s="658"/>
      <c r="CH114" s="658"/>
      <c r="CI114" s="658"/>
      <c r="CJ114" s="658"/>
      <c r="CK114" s="658"/>
      <c r="CL114" s="658"/>
      <c r="CM114" s="658"/>
      <c r="CN114" s="658"/>
      <c r="CO114" s="658"/>
      <c r="CP114" s="658"/>
      <c r="CQ114" s="658"/>
      <c r="CR114" s="658"/>
      <c r="CS114" s="658"/>
      <c r="CT114" s="658"/>
      <c r="CU114" s="658"/>
      <c r="CV114" s="658"/>
      <c r="CW114" s="658"/>
    </row>
    <row r="115" spans="2:101" ht="17.25" hidden="1" customHeight="1" x14ac:dyDescent="0.2">
      <c r="B115" s="633">
        <v>108</v>
      </c>
      <c r="C115" s="633" t="s">
        <v>629</v>
      </c>
      <c r="D115" s="634" t="s">
        <v>1972</v>
      </c>
      <c r="E115" s="633" t="s">
        <v>278</v>
      </c>
      <c r="F115" s="634" t="s">
        <v>1973</v>
      </c>
      <c r="G115" s="633" t="s">
        <v>3560</v>
      </c>
      <c r="H115" s="635" t="s">
        <v>3667</v>
      </c>
      <c r="I115" s="633" t="s">
        <v>3685</v>
      </c>
      <c r="J115" s="636">
        <v>1</v>
      </c>
      <c r="K115" s="637" t="str">
        <f t="shared" si="4"/>
        <v>19/20</v>
      </c>
      <c r="L115" s="638" t="s">
        <v>3686</v>
      </c>
      <c r="M115" s="639" t="s">
        <v>3606</v>
      </c>
      <c r="N115" s="639" t="s">
        <v>1266</v>
      </c>
      <c r="O115" s="639" t="s">
        <v>3606</v>
      </c>
      <c r="P115" s="641" t="s">
        <v>3678</v>
      </c>
      <c r="Q115" s="639" t="s">
        <v>3606</v>
      </c>
      <c r="R115" s="641" t="s">
        <v>3678</v>
      </c>
      <c r="S115" s="639" t="s">
        <v>3606</v>
      </c>
      <c r="T115" s="640" t="s">
        <v>3678</v>
      </c>
      <c r="U115" s="639" t="s">
        <v>3606</v>
      </c>
      <c r="V115" s="641" t="s">
        <v>3678</v>
      </c>
      <c r="W115" s="639" t="s">
        <v>3606</v>
      </c>
      <c r="X115" s="641" t="s">
        <v>3678</v>
      </c>
      <c r="Y115" s="642" t="s">
        <v>3606</v>
      </c>
      <c r="Z115" s="640" t="s">
        <v>1266</v>
      </c>
      <c r="AA115" s="639" t="s">
        <v>3606</v>
      </c>
      <c r="AB115" s="640" t="s">
        <v>3678</v>
      </c>
      <c r="AC115" s="639" t="s">
        <v>3606</v>
      </c>
      <c r="AD115" s="640" t="s">
        <v>3678</v>
      </c>
      <c r="AE115" s="639" t="s">
        <v>3606</v>
      </c>
      <c r="AF115" s="640" t="s">
        <v>3678</v>
      </c>
      <c r="AG115" s="641" t="s">
        <v>3606</v>
      </c>
      <c r="AH115" s="640" t="s">
        <v>3678</v>
      </c>
      <c r="AI115" s="641" t="s">
        <v>3606</v>
      </c>
      <c r="AJ115" s="640" t="s">
        <v>3678</v>
      </c>
      <c r="AK115" s="641" t="s">
        <v>3606</v>
      </c>
      <c r="AL115" s="640" t="s">
        <v>3678</v>
      </c>
      <c r="AM115" s="639" t="s">
        <v>3606</v>
      </c>
      <c r="AN115" s="640" t="s">
        <v>3678</v>
      </c>
      <c r="AO115" s="639" t="s">
        <v>3606</v>
      </c>
      <c r="AP115" s="640" t="s">
        <v>3678</v>
      </c>
      <c r="AQ115" s="639" t="s">
        <v>3606</v>
      </c>
      <c r="AR115" s="640" t="s">
        <v>3678</v>
      </c>
      <c r="AS115" s="639" t="s">
        <v>3606</v>
      </c>
      <c r="AT115" s="640" t="s">
        <v>3678</v>
      </c>
      <c r="AU115" s="639" t="s">
        <v>3606</v>
      </c>
      <c r="AV115" s="640" t="s">
        <v>3678</v>
      </c>
      <c r="AW115" s="639" t="s">
        <v>3606</v>
      </c>
      <c r="AX115" s="640" t="s">
        <v>3678</v>
      </c>
      <c r="AY115" s="639" t="s">
        <v>3606</v>
      </c>
      <c r="AZ115" s="640" t="s">
        <v>3678</v>
      </c>
      <c r="BA115" s="639" t="s">
        <v>3606</v>
      </c>
      <c r="BB115" s="640" t="s">
        <v>3678</v>
      </c>
      <c r="BC115" s="639" t="s">
        <v>3606</v>
      </c>
      <c r="BD115" s="640" t="s">
        <v>3678</v>
      </c>
      <c r="BE115" s="640" t="s">
        <v>3606</v>
      </c>
      <c r="BF115" s="640" t="s">
        <v>3678</v>
      </c>
      <c r="BG115" s="640" t="s">
        <v>1266</v>
      </c>
      <c r="BH115" s="640" t="s">
        <v>1266</v>
      </c>
      <c r="BI115" s="640" t="s">
        <v>3606</v>
      </c>
      <c r="BJ115" s="640" t="s">
        <v>3678</v>
      </c>
      <c r="BK115" s="640" t="s">
        <v>3606</v>
      </c>
      <c r="BL115" s="640" t="s">
        <v>3678</v>
      </c>
      <c r="BM115" s="640"/>
      <c r="BN115" s="637"/>
      <c r="BO115" s="637"/>
      <c r="BP115" s="637"/>
      <c r="BQ115" s="637"/>
      <c r="BR115" s="637"/>
      <c r="BS115" s="637"/>
      <c r="BT115" s="637"/>
      <c r="BW115" s="633" t="s">
        <v>3685</v>
      </c>
      <c r="BZ115" s="658"/>
      <c r="CA115" s="658"/>
      <c r="CB115" s="658"/>
      <c r="CC115" s="658"/>
      <c r="CD115" s="658"/>
      <c r="CE115" s="658"/>
      <c r="CF115" s="658"/>
      <c r="CG115" s="658"/>
      <c r="CH115" s="658"/>
      <c r="CI115" s="658"/>
      <c r="CJ115" s="658"/>
      <c r="CK115" s="658"/>
      <c r="CL115" s="658"/>
      <c r="CM115" s="658"/>
      <c r="CN115" s="658"/>
      <c r="CO115" s="658"/>
      <c r="CP115" s="658"/>
      <c r="CQ115" s="658"/>
      <c r="CR115" s="658"/>
      <c r="CS115" s="658"/>
      <c r="CT115" s="658"/>
      <c r="CU115" s="658"/>
      <c r="CV115" s="658"/>
      <c r="CW115" s="658"/>
    </row>
    <row r="116" spans="2:101" ht="17.25" customHeight="1" x14ac:dyDescent="0.2">
      <c r="B116" s="633"/>
      <c r="C116" s="633"/>
      <c r="D116" s="634"/>
      <c r="E116" s="633"/>
      <c r="F116" s="648"/>
      <c r="G116" s="633"/>
      <c r="H116" s="635"/>
      <c r="I116" s="633"/>
      <c r="J116" s="636"/>
      <c r="K116" s="637"/>
      <c r="L116" s="649"/>
      <c r="M116" s="639"/>
      <c r="N116" s="639"/>
      <c r="O116" s="639"/>
      <c r="P116" s="641"/>
      <c r="Q116" s="639"/>
      <c r="R116" s="647"/>
      <c r="S116" s="639"/>
      <c r="T116" s="639"/>
      <c r="U116" s="639"/>
      <c r="V116" s="643"/>
      <c r="W116" s="639"/>
      <c r="X116" s="643"/>
      <c r="Y116" s="642"/>
      <c r="Z116" s="643"/>
      <c r="AA116" s="639"/>
      <c r="AB116" s="643"/>
      <c r="AC116" s="639"/>
      <c r="AD116" s="643"/>
      <c r="AE116" s="639"/>
      <c r="AF116" s="640"/>
      <c r="AG116" s="641"/>
      <c r="AH116" s="640"/>
      <c r="AI116" s="641"/>
      <c r="AJ116" s="643"/>
      <c r="AK116" s="641"/>
      <c r="AL116" s="645"/>
      <c r="AM116" s="639"/>
      <c r="AN116" s="640"/>
      <c r="AO116" s="639"/>
      <c r="AP116" s="640"/>
      <c r="AQ116" s="639"/>
      <c r="AR116" s="640"/>
      <c r="AS116" s="639"/>
      <c r="AT116" s="643"/>
      <c r="AU116" s="639"/>
      <c r="AV116" s="643"/>
      <c r="AW116" s="639"/>
      <c r="AX116" s="643"/>
      <c r="AY116" s="639"/>
      <c r="AZ116" s="640"/>
      <c r="BA116" s="639"/>
      <c r="BB116" s="640"/>
      <c r="BC116" s="639"/>
      <c r="BD116" s="645"/>
      <c r="BE116" s="640"/>
      <c r="BF116" s="645"/>
      <c r="BG116" s="640"/>
      <c r="BH116" s="645"/>
      <c r="BI116" s="640"/>
      <c r="BJ116" s="640"/>
      <c r="BK116" s="640"/>
      <c r="BL116" s="645"/>
      <c r="BM116" s="678"/>
      <c r="BN116" s="682"/>
      <c r="BO116" s="637"/>
      <c r="BP116" s="637"/>
      <c r="BQ116" s="637"/>
      <c r="BR116" s="637"/>
      <c r="BS116" s="637"/>
      <c r="BT116" s="637"/>
      <c r="BZ116" s="658"/>
      <c r="CA116" s="658"/>
      <c r="CB116" s="658"/>
      <c r="CC116" s="658"/>
      <c r="CD116" s="658"/>
      <c r="CE116" s="658"/>
      <c r="CF116" s="658"/>
      <c r="CG116" s="658"/>
      <c r="CH116" s="658"/>
      <c r="CI116" s="658"/>
      <c r="CJ116" s="658"/>
      <c r="CK116" s="658"/>
      <c r="CL116" s="658"/>
      <c r="CM116" s="658"/>
      <c r="CN116" s="658"/>
      <c r="CO116" s="658"/>
      <c r="CP116" s="658"/>
      <c r="CQ116" s="658"/>
      <c r="CR116" s="658"/>
      <c r="CS116" s="658"/>
      <c r="CT116" s="658"/>
      <c r="CU116" s="658"/>
      <c r="CV116" s="658"/>
      <c r="CW116" s="658"/>
    </row>
    <row r="117" spans="2:101" ht="17.25" customHeight="1" x14ac:dyDescent="0.2">
      <c r="C117" s="659"/>
      <c r="D117" s="658"/>
      <c r="E117" s="659"/>
      <c r="F117" s="686"/>
      <c r="G117" s="659"/>
      <c r="H117" s="688"/>
      <c r="I117" s="659"/>
      <c r="J117" s="689"/>
      <c r="K117" s="690"/>
      <c r="M117" s="691"/>
      <c r="N117" s="691"/>
      <c r="O117" s="691"/>
      <c r="P117" s="691"/>
      <c r="Q117" s="691"/>
      <c r="R117" s="691"/>
      <c r="S117" s="691"/>
      <c r="T117" s="691"/>
      <c r="U117" s="691"/>
      <c r="W117" s="691"/>
      <c r="AA117" s="691"/>
      <c r="AC117" s="691"/>
      <c r="AE117" s="691"/>
      <c r="AF117" s="691"/>
      <c r="AG117" s="691"/>
      <c r="AH117" s="691"/>
      <c r="AI117" s="691"/>
      <c r="AK117" s="691"/>
      <c r="AM117" s="691"/>
      <c r="AN117" s="691"/>
      <c r="AO117" s="691"/>
      <c r="AP117" s="691"/>
      <c r="AQ117" s="691"/>
      <c r="AR117" s="691"/>
      <c r="AS117" s="691"/>
      <c r="AU117" s="691"/>
      <c r="AW117" s="691"/>
      <c r="AY117" s="691"/>
      <c r="AZ117" s="691"/>
      <c r="BA117" s="691"/>
      <c r="BB117" s="691"/>
      <c r="BC117" s="691"/>
      <c r="BE117" s="691"/>
      <c r="BG117" s="691"/>
      <c r="BM117" s="691"/>
      <c r="BN117" s="690"/>
      <c r="BO117" s="690"/>
      <c r="BP117" s="690"/>
      <c r="BQ117" s="690"/>
      <c r="BR117" s="690"/>
      <c r="BS117" s="690"/>
      <c r="BT117" s="690"/>
      <c r="BZ117" s="658"/>
      <c r="CA117" s="658"/>
      <c r="CB117" s="658"/>
      <c r="CC117" s="658"/>
      <c r="CD117" s="658"/>
      <c r="CE117" s="658"/>
      <c r="CF117" s="658"/>
      <c r="CG117" s="658"/>
      <c r="CH117" s="658"/>
      <c r="CI117" s="658"/>
      <c r="CJ117" s="658"/>
      <c r="CK117" s="658"/>
      <c r="CL117" s="658"/>
      <c r="CM117" s="658"/>
      <c r="CN117" s="658"/>
      <c r="CO117" s="658"/>
      <c r="CP117" s="658"/>
      <c r="CQ117" s="658"/>
      <c r="CR117" s="658"/>
      <c r="CS117" s="658"/>
      <c r="CT117" s="658"/>
      <c r="CU117" s="658"/>
      <c r="CV117" s="658"/>
      <c r="CW117" s="658"/>
    </row>
    <row r="118" spans="2:101" ht="17.25" customHeight="1" x14ac:dyDescent="0.25">
      <c r="C118"/>
      <c r="D118"/>
      <c r="E118"/>
      <c r="F118" s="4"/>
      <c r="G118"/>
      <c r="H118"/>
      <c r="I118" s="654"/>
      <c r="J118" s="654"/>
      <c r="BO118" s="655"/>
      <c r="BP118" s="655"/>
      <c r="BQ118" s="655"/>
      <c r="BR118" s="655"/>
      <c r="BS118" s="655"/>
      <c r="BT118" s="655"/>
      <c r="BX118"/>
      <c r="BY118"/>
      <c r="BZ118"/>
      <c r="CA118"/>
      <c r="CB118"/>
      <c r="CC118"/>
      <c r="CD118"/>
      <c r="CE118"/>
      <c r="CF118"/>
      <c r="CG118"/>
      <c r="CH118"/>
      <c r="CI118"/>
      <c r="CJ118"/>
      <c r="CK118"/>
      <c r="CL118"/>
      <c r="CM118"/>
      <c r="CN118"/>
      <c r="CO118"/>
      <c r="CP118"/>
      <c r="CQ118"/>
      <c r="CR118"/>
      <c r="CS118"/>
      <c r="CT118"/>
      <c r="CU118"/>
      <c r="CV118"/>
      <c r="CW118"/>
    </row>
    <row r="119" spans="2:101" ht="72.599999999999994" customHeight="1" thickBot="1" x14ac:dyDescent="0.25">
      <c r="C119" s="692"/>
      <c r="G119" s="693" t="s">
        <v>3633</v>
      </c>
      <c r="H119" s="693"/>
      <c r="I119" s="693" t="s">
        <v>3657</v>
      </c>
      <c r="J119" s="694"/>
      <c r="K119" s="695"/>
      <c r="L119" s="847" t="s">
        <v>3643</v>
      </c>
      <c r="M119" s="846"/>
      <c r="N119" s="847" t="s">
        <v>3659</v>
      </c>
      <c r="O119" s="846"/>
      <c r="P119" s="847" t="s">
        <v>3622</v>
      </c>
      <c r="Q119" s="846"/>
      <c r="R119" s="847" t="s">
        <v>3645</v>
      </c>
      <c r="S119" s="846"/>
      <c r="T119" s="847" t="s">
        <v>3660</v>
      </c>
      <c r="U119" s="846"/>
      <c r="V119" s="845" t="s">
        <v>3628</v>
      </c>
      <c r="W119" s="846"/>
      <c r="X119" s="845" t="s">
        <v>3646</v>
      </c>
      <c r="Y119" s="846"/>
      <c r="Z119" s="845" t="s">
        <v>3661</v>
      </c>
      <c r="AA119" s="846"/>
      <c r="AB119" s="845" t="s">
        <v>3618</v>
      </c>
      <c r="AC119" s="846"/>
      <c r="AD119" s="845" t="s">
        <v>3611</v>
      </c>
      <c r="AE119" s="846"/>
      <c r="AF119" s="847" t="s">
        <v>3624</v>
      </c>
      <c r="AG119" s="846"/>
      <c r="AH119" s="847" t="s">
        <v>3623</v>
      </c>
      <c r="AI119" s="846"/>
      <c r="AJ119" s="845" t="s">
        <v>3619</v>
      </c>
      <c r="AK119" s="846"/>
      <c r="AL119" s="852" t="s">
        <v>3615</v>
      </c>
      <c r="AM119" s="846"/>
      <c r="AN119" s="847" t="s">
        <v>3616</v>
      </c>
      <c r="AO119" s="846"/>
      <c r="AP119" s="847" t="s">
        <v>3617</v>
      </c>
      <c r="AQ119" s="846"/>
      <c r="AR119" s="847" t="s">
        <v>3625</v>
      </c>
      <c r="AS119" s="846"/>
      <c r="AT119" s="845" t="s">
        <v>3626</v>
      </c>
      <c r="AU119" s="846"/>
      <c r="AV119" s="845" t="s">
        <v>3612</v>
      </c>
      <c r="AW119" s="846"/>
      <c r="AX119" s="845" t="s">
        <v>3613</v>
      </c>
      <c r="AY119" s="846"/>
      <c r="AZ119" s="847" t="s">
        <v>3614</v>
      </c>
      <c r="BA119" s="848"/>
      <c r="BB119" s="849" t="s">
        <v>3662</v>
      </c>
      <c r="BC119" s="849"/>
      <c r="BD119" s="850" t="s">
        <v>3621</v>
      </c>
      <c r="BE119" s="851"/>
      <c r="BF119" s="843" t="s">
        <v>3663</v>
      </c>
      <c r="BG119" s="844"/>
      <c r="BH119" s="843"/>
      <c r="BI119" s="696"/>
      <c r="BJ119" s="696"/>
      <c r="BK119" s="696"/>
      <c r="BL119" s="696"/>
      <c r="BM119" s="695"/>
      <c r="BN119" s="695"/>
      <c r="BO119" s="695"/>
      <c r="BP119" s="695"/>
      <c r="BQ119" s="695"/>
      <c r="BR119" s="695"/>
      <c r="BS119" s="695"/>
      <c r="BT119" s="658"/>
      <c r="BV119" s="651"/>
      <c r="BW119" s="697"/>
      <c r="BX119" s="697"/>
      <c r="BY119" s="674" t="s">
        <v>3643</v>
      </c>
      <c r="BZ119" s="674" t="s">
        <v>3659</v>
      </c>
      <c r="CA119" s="674" t="s">
        <v>3622</v>
      </c>
      <c r="CB119" s="674" t="s">
        <v>3645</v>
      </c>
      <c r="CC119" s="674" t="s">
        <v>3660</v>
      </c>
      <c r="CD119" s="674" t="s">
        <v>3628</v>
      </c>
      <c r="CE119" s="674" t="s">
        <v>3646</v>
      </c>
      <c r="CF119" s="674" t="s">
        <v>3661</v>
      </c>
      <c r="CG119" s="674" t="s">
        <v>3618</v>
      </c>
      <c r="CH119" s="674" t="s">
        <v>3611</v>
      </c>
      <c r="CI119" s="674" t="s">
        <v>3624</v>
      </c>
      <c r="CJ119" s="674" t="s">
        <v>3623</v>
      </c>
      <c r="CK119" s="674" t="s">
        <v>3619</v>
      </c>
      <c r="CL119" s="674" t="s">
        <v>3615</v>
      </c>
      <c r="CM119" s="674" t="s">
        <v>3616</v>
      </c>
      <c r="CN119" s="674" t="s">
        <v>3617</v>
      </c>
      <c r="CO119" s="674" t="s">
        <v>3625</v>
      </c>
      <c r="CP119" s="674" t="s">
        <v>3626</v>
      </c>
      <c r="CQ119" s="674" t="s">
        <v>3612</v>
      </c>
      <c r="CR119" s="674" t="s">
        <v>3613</v>
      </c>
      <c r="CS119" s="674" t="s">
        <v>3614</v>
      </c>
      <c r="CT119" s="674" t="s">
        <v>3662</v>
      </c>
      <c r="CU119" s="674" t="s">
        <v>3621</v>
      </c>
      <c r="CV119" s="674" t="s">
        <v>3663</v>
      </c>
    </row>
    <row r="120" spans="2:101" ht="17.25" customHeight="1" x14ac:dyDescent="0.2">
      <c r="B120" s="698"/>
      <c r="C120" s="651" t="s">
        <v>3736</v>
      </c>
      <c r="G120" s="699" t="s">
        <v>629</v>
      </c>
      <c r="H120" s="699"/>
      <c r="I120" s="700" t="s">
        <v>3737</v>
      </c>
      <c r="J120" s="701"/>
      <c r="L120" s="702">
        <f>BY121+BY120</f>
        <v>22</v>
      </c>
      <c r="M120" s="703"/>
      <c r="N120" s="702">
        <f>BZ121+BZ120</f>
        <v>22</v>
      </c>
      <c r="O120" s="703"/>
      <c r="P120" s="702">
        <f>CA121+CA120</f>
        <v>22</v>
      </c>
      <c r="Q120" s="703"/>
      <c r="R120" s="702">
        <f>CB121+CB120</f>
        <v>22</v>
      </c>
      <c r="S120" s="703"/>
      <c r="T120" s="702">
        <f>CC121+CC120</f>
        <v>22</v>
      </c>
      <c r="U120" s="703"/>
      <c r="V120" s="837">
        <f>CD121+CD120</f>
        <v>22</v>
      </c>
      <c r="W120" s="838"/>
      <c r="X120" s="704">
        <f>CE121+CE120</f>
        <v>22</v>
      </c>
      <c r="Y120" s="700"/>
      <c r="Z120" s="704">
        <f>CF121+CF120</f>
        <v>22</v>
      </c>
      <c r="AA120" s="700"/>
      <c r="AB120" s="704">
        <f>CG121+CG120</f>
        <v>22</v>
      </c>
      <c r="AC120" s="700"/>
      <c r="AD120" s="704">
        <f>CH121+CH120</f>
        <v>22</v>
      </c>
      <c r="AE120" s="700"/>
      <c r="AF120" s="700">
        <f>CI121+CI120</f>
        <v>22</v>
      </c>
      <c r="AG120" s="700"/>
      <c r="AH120" s="700">
        <f>CJ121+CJ120</f>
        <v>22</v>
      </c>
      <c r="AI120" s="700"/>
      <c r="AJ120" s="704">
        <f>CK121+CK120</f>
        <v>22</v>
      </c>
      <c r="AK120" s="700"/>
      <c r="AL120" s="705">
        <f>CL121+CL120</f>
        <v>22</v>
      </c>
      <c r="AM120" s="700"/>
      <c r="AN120" s="700">
        <f>CM121+CM120</f>
        <v>22</v>
      </c>
      <c r="AO120" s="700"/>
      <c r="AP120" s="700">
        <f>CN121+CN120</f>
        <v>22</v>
      </c>
      <c r="AQ120" s="700"/>
      <c r="AR120" s="700">
        <f>CO121+CO120</f>
        <v>22</v>
      </c>
      <c r="AS120" s="700"/>
      <c r="AT120" s="704">
        <f>CP121+CP120</f>
        <v>22</v>
      </c>
      <c r="AU120" s="700"/>
      <c r="AV120" s="704">
        <f>CQ121+CQ120</f>
        <v>22</v>
      </c>
      <c r="AW120" s="700"/>
      <c r="AX120" s="704">
        <f>CR121+CR120</f>
        <v>22</v>
      </c>
      <c r="AY120" s="700"/>
      <c r="AZ120" s="700">
        <f>CS121+CS120</f>
        <v>22</v>
      </c>
      <c r="BA120" s="700"/>
      <c r="BB120" s="706">
        <f>CT121+CT120</f>
        <v>22</v>
      </c>
      <c r="BD120" s="827"/>
      <c r="BE120" s="828"/>
      <c r="BF120" s="839">
        <f>CV121+CV120</f>
        <v>16</v>
      </c>
      <c r="BG120" s="840"/>
      <c r="BH120" s="839"/>
      <c r="BM120" s="655"/>
      <c r="BO120" s="655"/>
      <c r="BP120" s="655"/>
      <c r="BQ120" s="655"/>
      <c r="BR120" s="655"/>
      <c r="BS120" s="655"/>
      <c r="BT120" s="658"/>
      <c r="BV120" s="651"/>
      <c r="BW120" s="707" t="s">
        <v>629</v>
      </c>
      <c r="BX120" s="708" t="s">
        <v>3738</v>
      </c>
      <c r="BY120" s="709">
        <f t="shared" ref="BY120:CV120" si="7">COUNTIFS(BZ$8:BZ$116,$BX$120,$BX$8:$BX$116,$BW$120)</f>
        <v>7</v>
      </c>
      <c r="BZ120" s="709">
        <f t="shared" si="7"/>
        <v>6</v>
      </c>
      <c r="CA120" s="709">
        <f t="shared" si="7"/>
        <v>6</v>
      </c>
      <c r="CB120" s="709">
        <f t="shared" si="7"/>
        <v>6</v>
      </c>
      <c r="CC120" s="709">
        <f t="shared" si="7"/>
        <v>6</v>
      </c>
      <c r="CD120" s="709">
        <f t="shared" si="7"/>
        <v>6</v>
      </c>
      <c r="CE120" s="709">
        <f t="shared" si="7"/>
        <v>22</v>
      </c>
      <c r="CF120" s="709">
        <f t="shared" si="7"/>
        <v>6</v>
      </c>
      <c r="CG120" s="709">
        <f t="shared" si="7"/>
        <v>6</v>
      </c>
      <c r="CH120" s="709">
        <f t="shared" si="7"/>
        <v>22</v>
      </c>
      <c r="CI120" s="709">
        <f t="shared" si="7"/>
        <v>6</v>
      </c>
      <c r="CJ120" s="709">
        <f t="shared" si="7"/>
        <v>6</v>
      </c>
      <c r="CK120" s="709">
        <f t="shared" si="7"/>
        <v>6</v>
      </c>
      <c r="CL120" s="709">
        <f t="shared" si="7"/>
        <v>6</v>
      </c>
      <c r="CM120" s="709">
        <f t="shared" si="7"/>
        <v>6</v>
      </c>
      <c r="CN120" s="709">
        <f t="shared" si="7"/>
        <v>6</v>
      </c>
      <c r="CO120" s="709">
        <f t="shared" si="7"/>
        <v>6</v>
      </c>
      <c r="CP120" s="709">
        <f t="shared" si="7"/>
        <v>6</v>
      </c>
      <c r="CQ120" s="709">
        <f t="shared" si="7"/>
        <v>6</v>
      </c>
      <c r="CR120" s="709">
        <f t="shared" si="7"/>
        <v>6</v>
      </c>
      <c r="CS120" s="709">
        <f t="shared" si="7"/>
        <v>6</v>
      </c>
      <c r="CT120" s="709">
        <f t="shared" si="7"/>
        <v>6</v>
      </c>
      <c r="CU120" s="710">
        <f t="shared" si="7"/>
        <v>8</v>
      </c>
      <c r="CV120" s="710">
        <f t="shared" si="7"/>
        <v>0</v>
      </c>
    </row>
    <row r="121" spans="2:101" ht="17.25" customHeight="1" x14ac:dyDescent="0.2">
      <c r="B121" s="711"/>
      <c r="C121" s="651" t="s">
        <v>3739</v>
      </c>
      <c r="G121" s="712"/>
      <c r="H121" s="712"/>
      <c r="I121" s="700" t="s">
        <v>3740</v>
      </c>
      <c r="J121" s="701"/>
      <c r="L121" s="702">
        <f>BY120</f>
        <v>7</v>
      </c>
      <c r="M121" s="703"/>
      <c r="N121" s="702">
        <f>BZ120</f>
        <v>6</v>
      </c>
      <c r="O121" s="703"/>
      <c r="P121" s="702">
        <f>CA120</f>
        <v>6</v>
      </c>
      <c r="Q121" s="703"/>
      <c r="R121" s="702">
        <f>CB120</f>
        <v>6</v>
      </c>
      <c r="S121" s="703"/>
      <c r="T121" s="702">
        <f>CC120</f>
        <v>6</v>
      </c>
      <c r="U121" s="703"/>
      <c r="V121" s="837">
        <f>CD120</f>
        <v>6</v>
      </c>
      <c r="W121" s="838"/>
      <c r="X121" s="704">
        <f>CE120</f>
        <v>22</v>
      </c>
      <c r="Y121" s="700"/>
      <c r="Z121" s="704">
        <f>CF120</f>
        <v>6</v>
      </c>
      <c r="AA121" s="700"/>
      <c r="AB121" s="704">
        <f>CG120</f>
        <v>6</v>
      </c>
      <c r="AC121" s="700"/>
      <c r="AD121" s="704">
        <f>CH120</f>
        <v>22</v>
      </c>
      <c r="AE121" s="700"/>
      <c r="AF121" s="700">
        <f>CI120</f>
        <v>6</v>
      </c>
      <c r="AG121" s="700"/>
      <c r="AH121" s="700">
        <f>CJ120</f>
        <v>6</v>
      </c>
      <c r="AI121" s="700"/>
      <c r="AJ121" s="704">
        <f>CK120</f>
        <v>6</v>
      </c>
      <c r="AK121" s="700"/>
      <c r="AL121" s="705">
        <f>CL120</f>
        <v>6</v>
      </c>
      <c r="AM121" s="700"/>
      <c r="AN121" s="700">
        <f>CM120</f>
        <v>6</v>
      </c>
      <c r="AO121" s="700"/>
      <c r="AP121" s="700">
        <f>CN120</f>
        <v>6</v>
      </c>
      <c r="AQ121" s="700"/>
      <c r="AR121" s="700">
        <f>CO120</f>
        <v>6</v>
      </c>
      <c r="AS121" s="700"/>
      <c r="AT121" s="704">
        <f>CP120</f>
        <v>6</v>
      </c>
      <c r="AU121" s="700"/>
      <c r="AV121" s="704">
        <f>CQ120</f>
        <v>6</v>
      </c>
      <c r="AW121" s="700"/>
      <c r="AX121" s="704">
        <f>CR120</f>
        <v>6</v>
      </c>
      <c r="AY121" s="700"/>
      <c r="AZ121" s="700">
        <f>CS120</f>
        <v>6</v>
      </c>
      <c r="BA121" s="700"/>
      <c r="BB121" s="701">
        <f>CT120</f>
        <v>6</v>
      </c>
      <c r="BD121" s="827"/>
      <c r="BE121" s="828"/>
      <c r="BF121" s="839">
        <f>CV120</f>
        <v>0</v>
      </c>
      <c r="BG121" s="840"/>
      <c r="BH121" s="839"/>
      <c r="BM121" s="655"/>
      <c r="BO121" s="655"/>
      <c r="BP121" s="655"/>
      <c r="BQ121" s="655"/>
      <c r="BR121" s="655"/>
      <c r="BS121" s="655"/>
      <c r="BT121" s="658"/>
      <c r="BV121" s="651"/>
      <c r="BW121" s="713"/>
      <c r="BX121" s="714" t="s">
        <v>3741</v>
      </c>
      <c r="BY121" s="715">
        <f t="shared" ref="BY121:CV121" si="8">COUNTIFS(BZ$8:BZ$116,$BX$121,$BX$8:$BX$116,$BW$120)</f>
        <v>15</v>
      </c>
      <c r="BZ121" s="715">
        <f t="shared" si="8"/>
        <v>16</v>
      </c>
      <c r="CA121" s="715">
        <f t="shared" si="8"/>
        <v>16</v>
      </c>
      <c r="CB121" s="715">
        <f t="shared" si="8"/>
        <v>16</v>
      </c>
      <c r="CC121" s="715">
        <f t="shared" si="8"/>
        <v>16</v>
      </c>
      <c r="CD121" s="715">
        <f t="shared" si="8"/>
        <v>16</v>
      </c>
      <c r="CE121" s="715">
        <f t="shared" si="8"/>
        <v>0</v>
      </c>
      <c r="CF121" s="715">
        <f t="shared" si="8"/>
        <v>16</v>
      </c>
      <c r="CG121" s="715">
        <f t="shared" si="8"/>
        <v>16</v>
      </c>
      <c r="CH121" s="715">
        <f t="shared" si="8"/>
        <v>0</v>
      </c>
      <c r="CI121" s="715">
        <f t="shared" si="8"/>
        <v>16</v>
      </c>
      <c r="CJ121" s="715">
        <f t="shared" si="8"/>
        <v>16</v>
      </c>
      <c r="CK121" s="715">
        <f t="shared" si="8"/>
        <v>16</v>
      </c>
      <c r="CL121" s="715">
        <f t="shared" si="8"/>
        <v>16</v>
      </c>
      <c r="CM121" s="715">
        <f t="shared" si="8"/>
        <v>16</v>
      </c>
      <c r="CN121" s="715">
        <f t="shared" si="8"/>
        <v>16</v>
      </c>
      <c r="CO121" s="715">
        <f t="shared" si="8"/>
        <v>16</v>
      </c>
      <c r="CP121" s="715">
        <f t="shared" si="8"/>
        <v>16</v>
      </c>
      <c r="CQ121" s="715">
        <f t="shared" si="8"/>
        <v>16</v>
      </c>
      <c r="CR121" s="715">
        <f t="shared" si="8"/>
        <v>16</v>
      </c>
      <c r="CS121" s="715">
        <f t="shared" si="8"/>
        <v>16</v>
      </c>
      <c r="CT121" s="715">
        <f t="shared" si="8"/>
        <v>16</v>
      </c>
      <c r="CU121" s="716">
        <f t="shared" si="8"/>
        <v>14</v>
      </c>
      <c r="CV121" s="716">
        <f t="shared" si="8"/>
        <v>16</v>
      </c>
    </row>
    <row r="122" spans="2:101" ht="17.25" customHeight="1" x14ac:dyDescent="0.2">
      <c r="B122" s="717"/>
      <c r="C122" s="651" t="s">
        <v>3742</v>
      </c>
      <c r="G122" s="718"/>
      <c r="H122" s="718"/>
      <c r="I122" s="719" t="s">
        <v>3743</v>
      </c>
      <c r="J122" s="720"/>
      <c r="K122" s="721"/>
      <c r="L122" s="722">
        <f>L120-L121</f>
        <v>15</v>
      </c>
      <c r="M122" s="723"/>
      <c r="N122" s="722">
        <f>N120-N121</f>
        <v>16</v>
      </c>
      <c r="O122" s="723"/>
      <c r="P122" s="722">
        <f>P120-P121</f>
        <v>16</v>
      </c>
      <c r="Q122" s="723"/>
      <c r="R122" s="722">
        <f>R120-R121</f>
        <v>16</v>
      </c>
      <c r="S122" s="723"/>
      <c r="T122" s="722">
        <f>T120-T121</f>
        <v>16</v>
      </c>
      <c r="U122" s="723"/>
      <c r="V122" s="841">
        <f>V120-V121</f>
        <v>16</v>
      </c>
      <c r="W122" s="842"/>
      <c r="X122" s="724">
        <f>X120-X121</f>
        <v>0</v>
      </c>
      <c r="Y122" s="719"/>
      <c r="Z122" s="724">
        <f>Z120-Z121</f>
        <v>16</v>
      </c>
      <c r="AA122" s="719"/>
      <c r="AB122" s="724">
        <f>AB120-AB121</f>
        <v>16</v>
      </c>
      <c r="AC122" s="719"/>
      <c r="AD122" s="724">
        <f>AD120-AD121</f>
        <v>0</v>
      </c>
      <c r="AE122" s="719"/>
      <c r="AF122" s="719">
        <f>AF120-AF121</f>
        <v>16</v>
      </c>
      <c r="AG122" s="719"/>
      <c r="AH122" s="719">
        <f>AH120-AH121</f>
        <v>16</v>
      </c>
      <c r="AI122" s="719"/>
      <c r="AJ122" s="724">
        <f>AJ120-AJ121</f>
        <v>16</v>
      </c>
      <c r="AK122" s="719"/>
      <c r="AL122" s="725">
        <f>AL120-AL121</f>
        <v>16</v>
      </c>
      <c r="AM122" s="719"/>
      <c r="AN122" s="719">
        <f>AN120-AN121</f>
        <v>16</v>
      </c>
      <c r="AO122" s="719"/>
      <c r="AP122" s="719">
        <f>AP120-AP121</f>
        <v>16</v>
      </c>
      <c r="AQ122" s="719"/>
      <c r="AR122" s="719">
        <f>AR120-AR121</f>
        <v>16</v>
      </c>
      <c r="AS122" s="719"/>
      <c r="AT122" s="724">
        <f>AT120-AT121</f>
        <v>16</v>
      </c>
      <c r="AU122" s="719"/>
      <c r="AV122" s="724">
        <f>AV120-AV121</f>
        <v>16</v>
      </c>
      <c r="AW122" s="719"/>
      <c r="AX122" s="724">
        <f>AX120-AX121</f>
        <v>16</v>
      </c>
      <c r="AY122" s="719"/>
      <c r="AZ122" s="719">
        <f>AZ120-AZ121</f>
        <v>16</v>
      </c>
      <c r="BA122" s="719"/>
      <c r="BB122" s="720">
        <f>BB120-BB121</f>
        <v>16</v>
      </c>
      <c r="BD122" s="827"/>
      <c r="BE122" s="828"/>
      <c r="BF122" s="832">
        <f>BF120-BF121</f>
        <v>16</v>
      </c>
      <c r="BG122" s="833"/>
      <c r="BH122" s="832"/>
      <c r="BI122" s="726"/>
      <c r="BJ122" s="726"/>
      <c r="BK122" s="726"/>
      <c r="BL122" s="726"/>
      <c r="BM122" s="721"/>
      <c r="BN122" s="721"/>
      <c r="BO122" s="721"/>
      <c r="BP122" s="721"/>
      <c r="BQ122" s="721"/>
      <c r="BR122" s="721"/>
      <c r="BS122" s="721"/>
      <c r="BT122" s="658"/>
      <c r="BV122" s="651"/>
      <c r="BW122" s="713"/>
      <c r="BX122" s="714" t="s">
        <v>3744</v>
      </c>
      <c r="BY122" s="715">
        <f t="shared" ref="BY122:CV122" si="9">COUNTIFS(BZ$8:BZ$116,$BX$122,$BX$8:$BX$116,$BW$120)</f>
        <v>0</v>
      </c>
      <c r="BZ122" s="715">
        <f t="shared" si="9"/>
        <v>0</v>
      </c>
      <c r="CA122" s="715">
        <f t="shared" si="9"/>
        <v>0</v>
      </c>
      <c r="CB122" s="715">
        <f t="shared" si="9"/>
        <v>0</v>
      </c>
      <c r="CC122" s="715">
        <f t="shared" si="9"/>
        <v>0</v>
      </c>
      <c r="CD122" s="715">
        <f t="shared" si="9"/>
        <v>0</v>
      </c>
      <c r="CE122" s="715">
        <f t="shared" si="9"/>
        <v>0</v>
      </c>
      <c r="CF122" s="715">
        <f t="shared" si="9"/>
        <v>0</v>
      </c>
      <c r="CG122" s="715">
        <f t="shared" si="9"/>
        <v>0</v>
      </c>
      <c r="CH122" s="715">
        <f t="shared" si="9"/>
        <v>0</v>
      </c>
      <c r="CI122" s="715">
        <f t="shared" si="9"/>
        <v>0</v>
      </c>
      <c r="CJ122" s="715">
        <f t="shared" si="9"/>
        <v>0</v>
      </c>
      <c r="CK122" s="715">
        <f t="shared" si="9"/>
        <v>0</v>
      </c>
      <c r="CL122" s="715">
        <f t="shared" si="9"/>
        <v>0</v>
      </c>
      <c r="CM122" s="715">
        <f t="shared" si="9"/>
        <v>0</v>
      </c>
      <c r="CN122" s="715">
        <f t="shared" si="9"/>
        <v>0</v>
      </c>
      <c r="CO122" s="715">
        <f t="shared" si="9"/>
        <v>0</v>
      </c>
      <c r="CP122" s="715">
        <f t="shared" si="9"/>
        <v>0</v>
      </c>
      <c r="CQ122" s="715">
        <f t="shared" si="9"/>
        <v>0</v>
      </c>
      <c r="CR122" s="715">
        <f t="shared" si="9"/>
        <v>0</v>
      </c>
      <c r="CS122" s="715">
        <f t="shared" si="9"/>
        <v>0</v>
      </c>
      <c r="CT122" s="715">
        <f t="shared" si="9"/>
        <v>0</v>
      </c>
      <c r="CU122" s="716">
        <f t="shared" si="9"/>
        <v>0</v>
      </c>
      <c r="CV122" s="716">
        <f t="shared" si="9"/>
        <v>0</v>
      </c>
    </row>
    <row r="123" spans="2:101" ht="17.25" customHeight="1" x14ac:dyDescent="0.2">
      <c r="B123" s="727"/>
      <c r="G123" s="699" t="s">
        <v>244</v>
      </c>
      <c r="H123" s="699"/>
      <c r="I123" s="700" t="s">
        <v>3737</v>
      </c>
      <c r="J123" s="701"/>
      <c r="L123" s="702">
        <f>BY124+BY123</f>
        <v>5</v>
      </c>
      <c r="M123" s="703"/>
      <c r="N123" s="702">
        <f>BZ124+BZ123</f>
        <v>1</v>
      </c>
      <c r="O123" s="703"/>
      <c r="P123" s="702">
        <f>CA124+CA123</f>
        <v>1</v>
      </c>
      <c r="Q123" s="703"/>
      <c r="R123" s="702">
        <f>CB124+CB123</f>
        <v>4</v>
      </c>
      <c r="S123" s="703"/>
      <c r="T123" s="702">
        <f>CC124+CC123</f>
        <v>1</v>
      </c>
      <c r="U123" s="703"/>
      <c r="V123" s="837">
        <f>CD124+CD123</f>
        <v>1</v>
      </c>
      <c r="W123" s="838"/>
      <c r="X123" s="704">
        <f>CE124+CE123</f>
        <v>5</v>
      </c>
      <c r="Y123" s="700"/>
      <c r="Z123" s="704">
        <f>CF124+CF123</f>
        <v>1</v>
      </c>
      <c r="AA123" s="700"/>
      <c r="AB123" s="704">
        <f>CG124+CG123</f>
        <v>1</v>
      </c>
      <c r="AC123" s="700"/>
      <c r="AD123" s="704">
        <f>CH124+CH123</f>
        <v>2</v>
      </c>
      <c r="AE123" s="700"/>
      <c r="AF123" s="700">
        <f>CI124+CI123</f>
        <v>1</v>
      </c>
      <c r="AG123" s="700"/>
      <c r="AH123" s="700">
        <f>CJ124+CJ123</f>
        <v>1</v>
      </c>
      <c r="AI123" s="700"/>
      <c r="AJ123" s="704">
        <f>CK124+CK123</f>
        <v>1</v>
      </c>
      <c r="AK123" s="700"/>
      <c r="AL123" s="705">
        <f>CL124+CL123</f>
        <v>2</v>
      </c>
      <c r="AM123" s="700"/>
      <c r="AN123" s="700">
        <f>CM124+CM123</f>
        <v>1</v>
      </c>
      <c r="AO123" s="700"/>
      <c r="AP123" s="700">
        <f>CN124+CN123</f>
        <v>2</v>
      </c>
      <c r="AQ123" s="700"/>
      <c r="AR123" s="700">
        <f>CO124+CO123</f>
        <v>1</v>
      </c>
      <c r="AS123" s="700"/>
      <c r="AT123" s="704">
        <f>CP124+CP123</f>
        <v>1</v>
      </c>
      <c r="AU123" s="700"/>
      <c r="AV123" s="704">
        <f>CQ124+CQ123</f>
        <v>1</v>
      </c>
      <c r="AW123" s="700"/>
      <c r="AX123" s="704">
        <f>CR124+CR123</f>
        <v>1</v>
      </c>
      <c r="AY123" s="700"/>
      <c r="AZ123" s="700">
        <f>CS124+CS123</f>
        <v>1</v>
      </c>
      <c r="BA123" s="700"/>
      <c r="BB123" s="701">
        <f>CT124+CT123</f>
        <v>1</v>
      </c>
      <c r="BD123" s="827"/>
      <c r="BE123" s="828"/>
      <c r="BF123" s="839">
        <f>CV124+CV123</f>
        <v>2</v>
      </c>
      <c r="BG123" s="840"/>
      <c r="BH123" s="839"/>
      <c r="BM123" s="655"/>
      <c r="BO123" s="655"/>
      <c r="BP123" s="655"/>
      <c r="BQ123" s="655"/>
      <c r="BR123" s="655"/>
      <c r="BS123" s="655"/>
      <c r="BT123" s="658"/>
      <c r="BV123" s="651"/>
      <c r="BW123" s="728" t="s">
        <v>244</v>
      </c>
      <c r="BX123" s="729" t="s">
        <v>3738</v>
      </c>
      <c r="BY123" s="715">
        <f t="shared" ref="BY123:CV123" si="10">COUNTIFS(BZ$8:BZ$116,$BX$123,$BX$8:$BX$116,$BW$123)</f>
        <v>5</v>
      </c>
      <c r="BZ123" s="715">
        <f t="shared" si="10"/>
        <v>1</v>
      </c>
      <c r="CA123" s="715">
        <f t="shared" si="10"/>
        <v>1</v>
      </c>
      <c r="CB123" s="715">
        <f t="shared" si="10"/>
        <v>1</v>
      </c>
      <c r="CC123" s="715">
        <f t="shared" si="10"/>
        <v>1</v>
      </c>
      <c r="CD123" s="715">
        <f t="shared" si="10"/>
        <v>1</v>
      </c>
      <c r="CE123" s="715">
        <f t="shared" si="10"/>
        <v>5</v>
      </c>
      <c r="CF123" s="715">
        <f t="shared" si="10"/>
        <v>1</v>
      </c>
      <c r="CG123" s="715">
        <f t="shared" si="10"/>
        <v>1</v>
      </c>
      <c r="CH123" s="715">
        <f t="shared" si="10"/>
        <v>2</v>
      </c>
      <c r="CI123" s="715">
        <f t="shared" si="10"/>
        <v>1</v>
      </c>
      <c r="CJ123" s="715">
        <f t="shared" si="10"/>
        <v>1</v>
      </c>
      <c r="CK123" s="715">
        <f t="shared" si="10"/>
        <v>1</v>
      </c>
      <c r="CL123" s="715">
        <f t="shared" si="10"/>
        <v>2</v>
      </c>
      <c r="CM123" s="715">
        <f t="shared" si="10"/>
        <v>1</v>
      </c>
      <c r="CN123" s="715">
        <f t="shared" si="10"/>
        <v>2</v>
      </c>
      <c r="CO123" s="715">
        <f t="shared" si="10"/>
        <v>1</v>
      </c>
      <c r="CP123" s="715">
        <f t="shared" si="10"/>
        <v>1</v>
      </c>
      <c r="CQ123" s="715">
        <f t="shared" si="10"/>
        <v>1</v>
      </c>
      <c r="CR123" s="715">
        <f t="shared" si="10"/>
        <v>1</v>
      </c>
      <c r="CS123" s="715">
        <f t="shared" si="10"/>
        <v>1</v>
      </c>
      <c r="CT123" s="715">
        <f t="shared" si="10"/>
        <v>1</v>
      </c>
      <c r="CU123" s="716">
        <f t="shared" si="10"/>
        <v>1</v>
      </c>
      <c r="CV123" s="716">
        <f t="shared" si="10"/>
        <v>0</v>
      </c>
    </row>
    <row r="124" spans="2:101" ht="17.25" customHeight="1" x14ac:dyDescent="0.25">
      <c r="C124" s="730"/>
      <c r="D124" s="730"/>
      <c r="G124" s="712"/>
      <c r="H124" s="712"/>
      <c r="I124" s="700" t="s">
        <v>3740</v>
      </c>
      <c r="J124" s="701"/>
      <c r="L124" s="702">
        <f>BY123</f>
        <v>5</v>
      </c>
      <c r="M124" s="703"/>
      <c r="N124" s="702">
        <f>BZ123</f>
        <v>1</v>
      </c>
      <c r="O124" s="703"/>
      <c r="P124" s="702">
        <f>CA123</f>
        <v>1</v>
      </c>
      <c r="Q124" s="703"/>
      <c r="R124" s="702">
        <f>CB123</f>
        <v>1</v>
      </c>
      <c r="S124" s="703"/>
      <c r="T124" s="702">
        <f>CC123</f>
        <v>1</v>
      </c>
      <c r="U124" s="703"/>
      <c r="V124" s="837">
        <f>CD123</f>
        <v>1</v>
      </c>
      <c r="W124" s="838"/>
      <c r="X124" s="704">
        <f>CE125+CE124</f>
        <v>0</v>
      </c>
      <c r="Y124" s="700"/>
      <c r="Z124" s="704">
        <f>CF123</f>
        <v>1</v>
      </c>
      <c r="AA124" s="700"/>
      <c r="AB124" s="704">
        <f>CG123</f>
        <v>1</v>
      </c>
      <c r="AC124" s="700"/>
      <c r="AD124" s="704">
        <f>CH123</f>
        <v>2</v>
      </c>
      <c r="AE124" s="700"/>
      <c r="AF124" s="700">
        <f>CI123</f>
        <v>1</v>
      </c>
      <c r="AG124" s="700"/>
      <c r="AH124" s="700">
        <f>CJ123</f>
        <v>1</v>
      </c>
      <c r="AI124" s="700"/>
      <c r="AJ124" s="704">
        <f>CK123</f>
        <v>1</v>
      </c>
      <c r="AK124" s="700"/>
      <c r="AL124" s="705">
        <f>CL123</f>
        <v>2</v>
      </c>
      <c r="AM124" s="700"/>
      <c r="AN124" s="700">
        <f>CM123</f>
        <v>1</v>
      </c>
      <c r="AO124" s="700"/>
      <c r="AP124" s="700">
        <f>CN123</f>
        <v>2</v>
      </c>
      <c r="AQ124" s="700"/>
      <c r="AR124" s="700">
        <f>CO123</f>
        <v>1</v>
      </c>
      <c r="AS124" s="700"/>
      <c r="AT124" s="704">
        <f>CP123</f>
        <v>1</v>
      </c>
      <c r="AU124" s="700"/>
      <c r="AV124" s="704">
        <f>CQ123</f>
        <v>1</v>
      </c>
      <c r="AW124" s="700"/>
      <c r="AX124" s="704">
        <f>CR123</f>
        <v>1</v>
      </c>
      <c r="AY124" s="700"/>
      <c r="AZ124" s="700">
        <f>CS123</f>
        <v>1</v>
      </c>
      <c r="BA124" s="700"/>
      <c r="BB124" s="701">
        <f>CT123</f>
        <v>1</v>
      </c>
      <c r="BD124" s="827"/>
      <c r="BE124" s="828"/>
      <c r="BF124" s="839">
        <f>CV123</f>
        <v>0</v>
      </c>
      <c r="BG124" s="840"/>
      <c r="BH124" s="839"/>
      <c r="BM124" s="655"/>
      <c r="BO124" s="655"/>
      <c r="BP124" s="655"/>
      <c r="BQ124" s="655"/>
      <c r="BR124" s="655"/>
      <c r="BS124" s="655"/>
      <c r="BT124" s="658"/>
      <c r="BV124" s="651"/>
      <c r="BW124" s="713"/>
      <c r="BX124" s="714" t="s">
        <v>3741</v>
      </c>
      <c r="BY124" s="715">
        <f t="shared" ref="BY124:CV124" si="11">COUNTIFS(BZ$8:BZ$116,$BX$124,$BX$8:$BX$116,$BW$123)</f>
        <v>0</v>
      </c>
      <c r="BZ124" s="715">
        <f t="shared" si="11"/>
        <v>0</v>
      </c>
      <c r="CA124" s="715">
        <f t="shared" si="11"/>
        <v>0</v>
      </c>
      <c r="CB124" s="715">
        <f t="shared" si="11"/>
        <v>3</v>
      </c>
      <c r="CC124" s="715">
        <f t="shared" si="11"/>
        <v>0</v>
      </c>
      <c r="CD124" s="715">
        <f t="shared" si="11"/>
        <v>0</v>
      </c>
      <c r="CE124" s="715">
        <f t="shared" si="11"/>
        <v>0</v>
      </c>
      <c r="CF124" s="715">
        <f t="shared" si="11"/>
        <v>0</v>
      </c>
      <c r="CG124" s="715">
        <f t="shared" si="11"/>
        <v>0</v>
      </c>
      <c r="CH124" s="715">
        <f t="shared" si="11"/>
        <v>0</v>
      </c>
      <c r="CI124" s="715">
        <f t="shared" si="11"/>
        <v>0</v>
      </c>
      <c r="CJ124" s="715">
        <f t="shared" si="11"/>
        <v>0</v>
      </c>
      <c r="CK124" s="715">
        <f t="shared" si="11"/>
        <v>0</v>
      </c>
      <c r="CL124" s="715">
        <f t="shared" si="11"/>
        <v>0</v>
      </c>
      <c r="CM124" s="715">
        <f t="shared" si="11"/>
        <v>0</v>
      </c>
      <c r="CN124" s="715">
        <f t="shared" si="11"/>
        <v>0</v>
      </c>
      <c r="CO124" s="715">
        <f t="shared" si="11"/>
        <v>0</v>
      </c>
      <c r="CP124" s="715">
        <f t="shared" si="11"/>
        <v>0</v>
      </c>
      <c r="CQ124" s="715">
        <f t="shared" si="11"/>
        <v>0</v>
      </c>
      <c r="CR124" s="715">
        <f t="shared" si="11"/>
        <v>0</v>
      </c>
      <c r="CS124" s="715">
        <f t="shared" si="11"/>
        <v>0</v>
      </c>
      <c r="CT124" s="715">
        <f t="shared" si="11"/>
        <v>0</v>
      </c>
      <c r="CU124" s="716">
        <f t="shared" si="11"/>
        <v>0</v>
      </c>
      <c r="CV124" s="716">
        <f t="shared" si="11"/>
        <v>2</v>
      </c>
    </row>
    <row r="125" spans="2:101" ht="17.25" customHeight="1" x14ac:dyDescent="0.2">
      <c r="C125" s="731"/>
      <c r="G125" s="732"/>
      <c r="H125" s="712"/>
      <c r="I125" s="719" t="s">
        <v>3743</v>
      </c>
      <c r="J125" s="720"/>
      <c r="K125" s="721"/>
      <c r="L125" s="722">
        <f>L123-L124</f>
        <v>0</v>
      </c>
      <c r="M125" s="723"/>
      <c r="N125" s="722">
        <f>N123-N124</f>
        <v>0</v>
      </c>
      <c r="O125" s="723"/>
      <c r="P125" s="722">
        <f>P123-P124</f>
        <v>0</v>
      </c>
      <c r="Q125" s="723"/>
      <c r="R125" s="722">
        <f>R123-R124</f>
        <v>3</v>
      </c>
      <c r="S125" s="723"/>
      <c r="T125" s="722">
        <f>T123-T124</f>
        <v>0</v>
      </c>
      <c r="U125" s="723"/>
      <c r="V125" s="841">
        <f>V123-V124</f>
        <v>0</v>
      </c>
      <c r="W125" s="842"/>
      <c r="X125" s="724">
        <f>X123-X124</f>
        <v>5</v>
      </c>
      <c r="Y125" s="719"/>
      <c r="Z125" s="724">
        <f>Z123-Z124</f>
        <v>0</v>
      </c>
      <c r="AA125" s="719"/>
      <c r="AB125" s="724">
        <f>AB123-AB124</f>
        <v>0</v>
      </c>
      <c r="AC125" s="719"/>
      <c r="AD125" s="724">
        <f>AD123-AD124</f>
        <v>0</v>
      </c>
      <c r="AE125" s="719"/>
      <c r="AF125" s="719">
        <f>AF123-AF124</f>
        <v>0</v>
      </c>
      <c r="AG125" s="719"/>
      <c r="AH125" s="719">
        <f>AH123-AH124</f>
        <v>0</v>
      </c>
      <c r="AI125" s="719"/>
      <c r="AJ125" s="724">
        <f>AJ123-AJ124</f>
        <v>0</v>
      </c>
      <c r="AK125" s="719"/>
      <c r="AL125" s="725">
        <f>AL123-AL124</f>
        <v>0</v>
      </c>
      <c r="AM125" s="719"/>
      <c r="AN125" s="719">
        <f>AN123-AN124</f>
        <v>0</v>
      </c>
      <c r="AO125" s="719"/>
      <c r="AP125" s="719">
        <f>AP123-AP124</f>
        <v>0</v>
      </c>
      <c r="AQ125" s="719"/>
      <c r="AR125" s="719">
        <f>AR123-AR124</f>
        <v>0</v>
      </c>
      <c r="AS125" s="719"/>
      <c r="AT125" s="724">
        <f>AT123-AT124</f>
        <v>0</v>
      </c>
      <c r="AU125" s="719"/>
      <c r="AV125" s="724">
        <f>AV123-AV124</f>
        <v>0</v>
      </c>
      <c r="AW125" s="719"/>
      <c r="AX125" s="724">
        <f>AX123-AX124</f>
        <v>0</v>
      </c>
      <c r="AY125" s="719"/>
      <c r="AZ125" s="719">
        <f>AZ123-AZ124</f>
        <v>0</v>
      </c>
      <c r="BA125" s="719"/>
      <c r="BB125" s="720">
        <f>BB123-BB124</f>
        <v>0</v>
      </c>
      <c r="BD125" s="827"/>
      <c r="BE125" s="828"/>
      <c r="BF125" s="832">
        <f>BF123-BF124</f>
        <v>2</v>
      </c>
      <c r="BG125" s="833"/>
      <c r="BH125" s="832"/>
      <c r="BI125" s="726"/>
      <c r="BJ125" s="726"/>
      <c r="BK125" s="726"/>
      <c r="BL125" s="726"/>
      <c r="BM125" s="721"/>
      <c r="BN125" s="721"/>
      <c r="BO125" s="721"/>
      <c r="BP125" s="721"/>
      <c r="BQ125" s="721"/>
      <c r="BR125" s="721"/>
      <c r="BS125" s="721"/>
      <c r="BT125" s="658"/>
      <c r="BV125" s="651"/>
      <c r="BW125" s="713"/>
      <c r="BX125" s="714" t="s">
        <v>3744</v>
      </c>
      <c r="BY125" s="715">
        <f t="shared" ref="BY125:CV125" si="12">COUNTIFS(BZ$8:BZ$116,$BX$125,$BX$8:$BX$116,$BW$123)</f>
        <v>0</v>
      </c>
      <c r="BZ125" s="715">
        <f t="shared" si="12"/>
        <v>0</v>
      </c>
      <c r="CA125" s="715">
        <f t="shared" si="12"/>
        <v>0</v>
      </c>
      <c r="CB125" s="715">
        <f t="shared" si="12"/>
        <v>0</v>
      </c>
      <c r="CC125" s="715">
        <f t="shared" si="12"/>
        <v>0</v>
      </c>
      <c r="CD125" s="715">
        <f t="shared" si="12"/>
        <v>0</v>
      </c>
      <c r="CE125" s="715">
        <f t="shared" si="12"/>
        <v>0</v>
      </c>
      <c r="CF125" s="715">
        <f t="shared" si="12"/>
        <v>0</v>
      </c>
      <c r="CG125" s="715">
        <f t="shared" si="12"/>
        <v>0</v>
      </c>
      <c r="CH125" s="715">
        <f t="shared" si="12"/>
        <v>0</v>
      </c>
      <c r="CI125" s="715">
        <f t="shared" si="12"/>
        <v>0</v>
      </c>
      <c r="CJ125" s="715">
        <f t="shared" si="12"/>
        <v>0</v>
      </c>
      <c r="CK125" s="715">
        <f t="shared" si="12"/>
        <v>0</v>
      </c>
      <c r="CL125" s="715">
        <f t="shared" si="12"/>
        <v>0</v>
      </c>
      <c r="CM125" s="715">
        <f t="shared" si="12"/>
        <v>0</v>
      </c>
      <c r="CN125" s="715">
        <f t="shared" si="12"/>
        <v>0</v>
      </c>
      <c r="CO125" s="715">
        <f t="shared" si="12"/>
        <v>0</v>
      </c>
      <c r="CP125" s="715">
        <f t="shared" si="12"/>
        <v>0</v>
      </c>
      <c r="CQ125" s="715">
        <f t="shared" si="12"/>
        <v>0</v>
      </c>
      <c r="CR125" s="715">
        <f t="shared" si="12"/>
        <v>0</v>
      </c>
      <c r="CS125" s="715">
        <f t="shared" si="12"/>
        <v>0</v>
      </c>
      <c r="CT125" s="715">
        <f t="shared" si="12"/>
        <v>0</v>
      </c>
      <c r="CU125" s="716">
        <f t="shared" si="12"/>
        <v>0</v>
      </c>
      <c r="CV125" s="716">
        <f t="shared" si="12"/>
        <v>0</v>
      </c>
    </row>
    <row r="126" spans="2:101" ht="17.25" customHeight="1" x14ac:dyDescent="0.2">
      <c r="C126" s="731"/>
      <c r="G126" s="733" t="s">
        <v>3745</v>
      </c>
      <c r="H126" s="654"/>
      <c r="I126" s="780" t="s">
        <v>3737</v>
      </c>
      <c r="J126" s="734"/>
      <c r="L126" s="702">
        <f t="shared" ref="L126" si="13">BY127+BY126</f>
        <v>26</v>
      </c>
      <c r="M126" s="703"/>
      <c r="N126" s="702">
        <f>BZ127+BZ126</f>
        <v>26</v>
      </c>
      <c r="O126" s="703"/>
      <c r="P126" s="702">
        <f>CA127+CA126</f>
        <v>26</v>
      </c>
      <c r="Q126" s="703"/>
      <c r="R126" s="702">
        <f>CB127+CB126</f>
        <v>26</v>
      </c>
      <c r="S126" s="703"/>
      <c r="T126" s="702">
        <f>CC127+CC126</f>
        <v>26</v>
      </c>
      <c r="U126" s="703"/>
      <c r="V126" s="837">
        <f>CD127+CD126</f>
        <v>26</v>
      </c>
      <c r="W126" s="838"/>
      <c r="X126" s="704">
        <f>CE127+CE126</f>
        <v>26</v>
      </c>
      <c r="Y126" s="700"/>
      <c r="Z126" s="704">
        <f>CF127+CF126</f>
        <v>26</v>
      </c>
      <c r="AA126" s="700"/>
      <c r="AB126" s="704">
        <f>CG127+CG126</f>
        <v>26</v>
      </c>
      <c r="AC126" s="700"/>
      <c r="AD126" s="704">
        <f>CH127+CH126</f>
        <v>26</v>
      </c>
      <c r="AE126" s="700"/>
      <c r="AF126" s="700">
        <f>CI127+CI126</f>
        <v>26</v>
      </c>
      <c r="AG126" s="700"/>
      <c r="AH126" s="700">
        <f>CJ127+CJ126</f>
        <v>26</v>
      </c>
      <c r="AI126" s="700"/>
      <c r="AJ126" s="704">
        <f>CK127+CK126</f>
        <v>26</v>
      </c>
      <c r="AK126" s="700"/>
      <c r="AL126" s="705">
        <f>CL127+CL126</f>
        <v>26</v>
      </c>
      <c r="AM126" s="700"/>
      <c r="AN126" s="700">
        <f>CM127+CM126</f>
        <v>26</v>
      </c>
      <c r="AO126" s="700"/>
      <c r="AP126" s="700">
        <f>CN127+CN126</f>
        <v>26</v>
      </c>
      <c r="AQ126" s="700"/>
      <c r="AR126" s="700">
        <f>CO127+CO126</f>
        <v>26</v>
      </c>
      <c r="AS126" s="700"/>
      <c r="AT126" s="704">
        <f>CP127+CP126</f>
        <v>26</v>
      </c>
      <c r="AU126" s="700"/>
      <c r="AV126" s="704">
        <f>CQ127+CQ126</f>
        <v>26</v>
      </c>
      <c r="AW126" s="700"/>
      <c r="AX126" s="704">
        <f>CR127+CR126</f>
        <v>26</v>
      </c>
      <c r="AY126" s="700"/>
      <c r="AZ126" s="700">
        <f>CS127+CS126</f>
        <v>26</v>
      </c>
      <c r="BA126" s="700"/>
      <c r="BB126" s="701">
        <f>CT127+CT126</f>
        <v>26</v>
      </c>
      <c r="BD126" s="827"/>
      <c r="BE126" s="828"/>
      <c r="BF126" s="839">
        <f>CV127+CV126</f>
        <v>12</v>
      </c>
      <c r="BG126" s="840"/>
      <c r="BH126" s="839"/>
      <c r="BM126" s="655"/>
      <c r="BO126" s="655"/>
      <c r="BP126" s="655"/>
      <c r="BQ126" s="655"/>
      <c r="BR126" s="655"/>
      <c r="BS126" s="655"/>
      <c r="BT126" s="658"/>
      <c r="BV126" s="651"/>
      <c r="BW126" s="735" t="s">
        <v>673</v>
      </c>
      <c r="BX126" s="729" t="s">
        <v>3738</v>
      </c>
      <c r="BY126" s="715">
        <f t="shared" ref="BY126:CV126" si="14">COUNTIFS(BZ$8:BZ$116,$BX$126,$BX$8:$BX$116,$BW$126)</f>
        <v>10</v>
      </c>
      <c r="BZ126" s="715">
        <f t="shared" si="14"/>
        <v>10</v>
      </c>
      <c r="CA126" s="715">
        <f t="shared" si="14"/>
        <v>9</v>
      </c>
      <c r="CB126" s="715">
        <f t="shared" si="14"/>
        <v>10</v>
      </c>
      <c r="CC126" s="715">
        <f t="shared" si="14"/>
        <v>10</v>
      </c>
      <c r="CD126" s="715">
        <f t="shared" si="14"/>
        <v>9</v>
      </c>
      <c r="CE126" s="715">
        <f t="shared" si="14"/>
        <v>26</v>
      </c>
      <c r="CF126" s="715">
        <f t="shared" si="14"/>
        <v>9</v>
      </c>
      <c r="CG126" s="715">
        <f t="shared" si="14"/>
        <v>9</v>
      </c>
      <c r="CH126" s="715">
        <f t="shared" si="14"/>
        <v>10</v>
      </c>
      <c r="CI126" s="715">
        <f t="shared" si="14"/>
        <v>10</v>
      </c>
      <c r="CJ126" s="715">
        <f t="shared" si="14"/>
        <v>10</v>
      </c>
      <c r="CK126" s="715">
        <f t="shared" si="14"/>
        <v>10</v>
      </c>
      <c r="CL126" s="715">
        <f t="shared" si="14"/>
        <v>10</v>
      </c>
      <c r="CM126" s="715">
        <f t="shared" si="14"/>
        <v>10</v>
      </c>
      <c r="CN126" s="715">
        <f t="shared" si="14"/>
        <v>10</v>
      </c>
      <c r="CO126" s="715">
        <f t="shared" si="14"/>
        <v>9</v>
      </c>
      <c r="CP126" s="715">
        <f t="shared" si="14"/>
        <v>9</v>
      </c>
      <c r="CQ126" s="715">
        <f t="shared" si="14"/>
        <v>9</v>
      </c>
      <c r="CR126" s="715">
        <f t="shared" si="14"/>
        <v>10</v>
      </c>
      <c r="CS126" s="715">
        <f t="shared" si="14"/>
        <v>10</v>
      </c>
      <c r="CT126" s="715">
        <f t="shared" si="14"/>
        <v>9</v>
      </c>
      <c r="CU126" s="716">
        <f t="shared" si="14"/>
        <v>10</v>
      </c>
      <c r="CV126" s="716">
        <f t="shared" si="14"/>
        <v>0</v>
      </c>
    </row>
    <row r="127" spans="2:101" ht="17.25" customHeight="1" x14ac:dyDescent="0.2">
      <c r="C127" s="731"/>
      <c r="G127" s="736"/>
      <c r="H127" s="654"/>
      <c r="I127" s="780" t="s">
        <v>3740</v>
      </c>
      <c r="J127" s="734"/>
      <c r="L127" s="702">
        <f t="shared" ref="L127" si="15">BY126</f>
        <v>10</v>
      </c>
      <c r="M127" s="703"/>
      <c r="N127" s="702">
        <f>BZ126</f>
        <v>10</v>
      </c>
      <c r="O127" s="703"/>
      <c r="P127" s="702">
        <f>CA126</f>
        <v>9</v>
      </c>
      <c r="Q127" s="703"/>
      <c r="R127" s="702">
        <f>CB126</f>
        <v>10</v>
      </c>
      <c r="S127" s="703"/>
      <c r="T127" s="702">
        <f>CC126</f>
        <v>10</v>
      </c>
      <c r="U127" s="703"/>
      <c r="V127" s="837">
        <f>CD126</f>
        <v>9</v>
      </c>
      <c r="W127" s="838"/>
      <c r="X127" s="704">
        <f>CE126</f>
        <v>26</v>
      </c>
      <c r="Y127" s="700"/>
      <c r="Z127" s="704">
        <f>CF126</f>
        <v>9</v>
      </c>
      <c r="AA127" s="700"/>
      <c r="AB127" s="704" t="str" cm="1">
        <f t="array" ref="AB127">_xlfn.LET(_xlpm.Target, AA127,
_xlpm.MatchTarget, MATCH(_xlpm.Target,'Monitoring BIM April 2026'!$F$8:$F$116,0),
_xlpm.FilterStatus,'Monitoring BIM April 2026'!BF11
                                                                                                                                                                                                                                                                CHOOSE({1,2,3,4,5,6,7,8,9,10,11,12,13,14,15,16,17,18,19,20,21,22,23,24},
   INDEX(BIMDPPK,_xlpm.MatchTarget),
   INDEX(BIMPKPI,_xlpm.MatchTarget),
   INDEX(BIMABD,_xlpm.MatchTarget),
   INDEX(BIMPelatihan,_xlpm.MatchTarget),
   INDEX(BIMPerizinan,_xlpm.MatchTarget),
   INDEX(BIMRDA,_xlpm.MatchTarget),
   INDEX(BIMRAB,_xlpm.MatchTarget),
   INDEX(BIMRNA,_xlpm.MatchTarget),
   INDEX(BIMBATC,_xlpm.MatchTarget),
   INDEX(BIMMC0,_xlpm.MatchTarget),
   INDEX(BIMMC100,_xlpm.MatchTarget),
   INDEX(BIMBAPL,_xlpm.MatchTarget),
   INDEX(BIMBATF,_xlpm.MatchTarget),
   INDEX(BIMBAHydro,_xlpm.MatchTarget),
   INDEX(BIMBAFlushing,_xlpm.MatchTarget),
   INDEX(BIMBASinggem,_xlpm.MatchTarget),
   INDEX(BIMJustek,_xlpm.MatchTarget),
   INDEX(BIMJustfin,_xlpm.MatchTarget),
   INDEX(BIMBATestPit,_xlpm.MatchTarget),
   INDEX(BIMUjiLab,_xlpm.MatchTarget),
   INDEX(BIMUjiLogger,_xlpm.MatchTarget),
   INDEX(BIMUmum,_xlpm.MatchTarget),
   INDEX(BIMLHLMLB,_xlpm.MatchTarget),
   INDEX(BIMDPPP,_xlpm.MatchTarget)
),
_xlpm.NamaDokumen, CHOOSE({1,2,3,4,5,6,7,8,9,10,11,12,13,14,15,16,17,18,19,20,21,22,23,24},
'Monitoring BIM April 2026'!$M$6,
'Monitoring BIM April 2026'!$O$6,
'Monitoring BIM April 2026'!$Q$6,
'Monitoring BIM April 2026'!$S$6,
'Monitoring BIM April 2026'!$U$6,
'Monitoring BIM April 2026'!$W$6,
'Monitoring BIM April 2026'!$Y$6,
'Monitoring BIM April 2026'!$AA$6,
'Monitoring BIM April 2026'!$AC$6,
'Monitoring BIM April 2026'!$AE$6,
'Monitoring BIM April 2026'!$AG$6,
'Monitoring BIM April 2026'!$AI$6,
'Monitoring BIM April 2026'!$AK$6,
'Monitoring BIM April 2026'!$AM$6,
'Monitoring BIM April 2026'!$AO$6,
'Monitoring BIM April 2026'!$AQ$6,
'Monitoring BIM April 2026'!$AS$6,
'Monitoring BIM April 2026'!$AU$6,
'Monitoring BIM April 2026'!$AW$6,
'Monitoring BIM April 2026'!$AY$6,
'Monitoring BIM April 2026'!$BA$6,
'Monitoring BIM April 2026'!$BC$6,
'Monitoring BIM April 2026'!$BE$6,
'Monitoring BIM April 2026'!#REF!),
IF(_xlpm.Target="","",IFERROR(
   _xlfn.TEXTJOIN(" ; ",TRUE,
      _xlfn._xlws.FILTER(
        _xlpm.NamaDokumen,
        ((_xlpm.FilterStatus="Perlu")+(_xlpm.FilterStatus="")+(_xlpm.FilterStatus=0))
      )
   ),"")))</f>
        <v/>
      </c>
      <c r="AC127" s="700"/>
      <c r="AD127" s="704">
        <f>CH126</f>
        <v>10</v>
      </c>
      <c r="AE127" s="700"/>
      <c r="AF127" s="700">
        <f>CI126</f>
        <v>10</v>
      </c>
      <c r="AG127" s="700"/>
      <c r="AH127" s="700">
        <f>CJ126</f>
        <v>10</v>
      </c>
      <c r="AI127" s="700"/>
      <c r="AJ127" s="704">
        <f>CK126</f>
        <v>10</v>
      </c>
      <c r="AK127" s="700"/>
      <c r="AL127" s="705">
        <f>CL126</f>
        <v>10</v>
      </c>
      <c r="AM127" s="700"/>
      <c r="AN127" s="700">
        <f>CM126</f>
        <v>10</v>
      </c>
      <c r="AO127" s="700"/>
      <c r="AP127" s="700">
        <f>CN126</f>
        <v>10</v>
      </c>
      <c r="AQ127" s="700"/>
      <c r="AR127" s="700">
        <f>CO126</f>
        <v>9</v>
      </c>
      <c r="AS127" s="700"/>
      <c r="AT127" s="704">
        <f>CP126</f>
        <v>9</v>
      </c>
      <c r="AU127" s="700"/>
      <c r="AV127" s="704">
        <f>CQ126</f>
        <v>9</v>
      </c>
      <c r="AW127" s="700"/>
      <c r="AX127" s="704">
        <f>CR126</f>
        <v>10</v>
      </c>
      <c r="AY127" s="700"/>
      <c r="AZ127" s="700">
        <f>CS126</f>
        <v>10</v>
      </c>
      <c r="BA127" s="700"/>
      <c r="BB127" s="701">
        <f>CT126</f>
        <v>9</v>
      </c>
      <c r="BD127" s="827"/>
      <c r="BE127" s="828"/>
      <c r="BF127" s="839">
        <f>CV126</f>
        <v>0</v>
      </c>
      <c r="BG127" s="840"/>
      <c r="BH127" s="839"/>
      <c r="BM127" s="655"/>
      <c r="BO127" s="655"/>
      <c r="BP127" s="655"/>
      <c r="BQ127" s="655"/>
      <c r="BR127" s="655"/>
      <c r="BS127" s="655"/>
      <c r="BT127" s="658"/>
      <c r="BV127" s="651"/>
      <c r="BW127" s="713"/>
      <c r="BX127" s="714" t="s">
        <v>3741</v>
      </c>
      <c r="BY127" s="715">
        <f t="shared" ref="BY127:CV127" si="16">COUNTIFS(BZ$8:BZ$116,$BX$127,$BX$8:$BX$116,$BW$126)</f>
        <v>16</v>
      </c>
      <c r="BZ127" s="715">
        <f t="shared" si="16"/>
        <v>16</v>
      </c>
      <c r="CA127" s="715">
        <f t="shared" si="16"/>
        <v>17</v>
      </c>
      <c r="CB127" s="715">
        <f t="shared" si="16"/>
        <v>16</v>
      </c>
      <c r="CC127" s="715">
        <f t="shared" si="16"/>
        <v>16</v>
      </c>
      <c r="CD127" s="715">
        <f t="shared" si="16"/>
        <v>17</v>
      </c>
      <c r="CE127" s="715">
        <f t="shared" si="16"/>
        <v>0</v>
      </c>
      <c r="CF127" s="715">
        <f t="shared" si="16"/>
        <v>17</v>
      </c>
      <c r="CG127" s="715">
        <f t="shared" si="16"/>
        <v>17</v>
      </c>
      <c r="CH127" s="715">
        <f t="shared" si="16"/>
        <v>16</v>
      </c>
      <c r="CI127" s="715">
        <f t="shared" si="16"/>
        <v>16</v>
      </c>
      <c r="CJ127" s="715">
        <f t="shared" si="16"/>
        <v>16</v>
      </c>
      <c r="CK127" s="715">
        <f t="shared" si="16"/>
        <v>16</v>
      </c>
      <c r="CL127" s="715">
        <f t="shared" si="16"/>
        <v>16</v>
      </c>
      <c r="CM127" s="715">
        <f t="shared" si="16"/>
        <v>16</v>
      </c>
      <c r="CN127" s="715">
        <f t="shared" si="16"/>
        <v>16</v>
      </c>
      <c r="CO127" s="715">
        <f t="shared" si="16"/>
        <v>17</v>
      </c>
      <c r="CP127" s="715">
        <f t="shared" si="16"/>
        <v>17</v>
      </c>
      <c r="CQ127" s="715">
        <f t="shared" si="16"/>
        <v>17</v>
      </c>
      <c r="CR127" s="715">
        <f t="shared" si="16"/>
        <v>16</v>
      </c>
      <c r="CS127" s="715">
        <f t="shared" si="16"/>
        <v>16</v>
      </c>
      <c r="CT127" s="715">
        <f t="shared" si="16"/>
        <v>17</v>
      </c>
      <c r="CU127" s="716">
        <f t="shared" si="16"/>
        <v>16</v>
      </c>
      <c r="CV127" s="716">
        <f t="shared" si="16"/>
        <v>12</v>
      </c>
    </row>
    <row r="128" spans="2:101" ht="19.5" customHeight="1" thickBot="1" x14ac:dyDescent="0.25">
      <c r="G128" s="737"/>
      <c r="H128" s="654"/>
      <c r="I128" s="738" t="s">
        <v>3743</v>
      </c>
      <c r="J128" s="739"/>
      <c r="K128" s="721"/>
      <c r="L128" s="740">
        <f t="shared" ref="L128" si="17">L126-L127</f>
        <v>16</v>
      </c>
      <c r="M128" s="741"/>
      <c r="N128" s="740">
        <f>N126-N127</f>
        <v>16</v>
      </c>
      <c r="O128" s="741"/>
      <c r="P128" s="740">
        <f>P126-P127</f>
        <v>17</v>
      </c>
      <c r="Q128" s="741"/>
      <c r="R128" s="740">
        <f>R126-R127</f>
        <v>16</v>
      </c>
      <c r="S128" s="741"/>
      <c r="T128" s="740">
        <f>T126-T127</f>
        <v>16</v>
      </c>
      <c r="U128" s="741"/>
      <c r="V128" s="830">
        <f>V126-V127</f>
        <v>17</v>
      </c>
      <c r="W128" s="831"/>
      <c r="X128" s="742">
        <f>X126-X127</f>
        <v>0</v>
      </c>
      <c r="Y128" s="743"/>
      <c r="Z128" s="742">
        <f>Z126-Z127</f>
        <v>17</v>
      </c>
      <c r="AA128" s="743"/>
      <c r="AB128" s="742" t="e">
        <f>AB126-AB127</f>
        <v>#VALUE!</v>
      </c>
      <c r="AC128" s="743"/>
      <c r="AD128" s="742">
        <f>AD126-AD127</f>
        <v>16</v>
      </c>
      <c r="AE128" s="743"/>
      <c r="AF128" s="743">
        <f>AF126-AF127</f>
        <v>16</v>
      </c>
      <c r="AG128" s="743"/>
      <c r="AH128" s="743">
        <f>AH126-AH127</f>
        <v>16</v>
      </c>
      <c r="AI128" s="743"/>
      <c r="AJ128" s="742">
        <f>AJ126-AJ127</f>
        <v>16</v>
      </c>
      <c r="AK128" s="743"/>
      <c r="AL128" s="744">
        <f>AL126-AL127</f>
        <v>16</v>
      </c>
      <c r="AM128" s="743"/>
      <c r="AN128" s="743">
        <f>AN126-AN127</f>
        <v>16</v>
      </c>
      <c r="AO128" s="743"/>
      <c r="AP128" s="743">
        <f>AP126-AP127</f>
        <v>16</v>
      </c>
      <c r="AQ128" s="743"/>
      <c r="AR128" s="743">
        <f>AR126-AR127</f>
        <v>17</v>
      </c>
      <c r="AS128" s="743"/>
      <c r="AT128" s="742">
        <f>AT126-AT127</f>
        <v>17</v>
      </c>
      <c r="AU128" s="743"/>
      <c r="AV128" s="742">
        <f>AV126-AV127</f>
        <v>17</v>
      </c>
      <c r="AW128" s="743"/>
      <c r="AX128" s="742">
        <f>AX126-AX127</f>
        <v>16</v>
      </c>
      <c r="AY128" s="743"/>
      <c r="AZ128" s="743">
        <f>AZ126-AZ127</f>
        <v>16</v>
      </c>
      <c r="BA128" s="743"/>
      <c r="BB128" s="745">
        <f>BB126-BB127</f>
        <v>17</v>
      </c>
      <c r="BD128" s="827"/>
      <c r="BE128" s="828"/>
      <c r="BF128" s="832">
        <f>BF126-BF127</f>
        <v>12</v>
      </c>
      <c r="BG128" s="833"/>
      <c r="BH128" s="832"/>
      <c r="BI128" s="726"/>
      <c r="BJ128" s="726"/>
      <c r="BK128" s="726"/>
      <c r="BL128" s="726"/>
      <c r="BM128" s="721"/>
      <c r="BN128" s="721"/>
      <c r="BO128" s="721"/>
      <c r="BP128" s="721"/>
      <c r="BQ128" s="721"/>
      <c r="BR128" s="721"/>
      <c r="BS128" s="721"/>
      <c r="BT128" s="658"/>
      <c r="BV128" s="651"/>
      <c r="BW128" s="746"/>
      <c r="BX128" s="747" t="s">
        <v>3744</v>
      </c>
      <c r="BY128" s="748">
        <f t="shared" ref="BY128:CV128" si="18">COUNTIFS(BZ$8:BZ$116,$BX$128,$BX$8:$BX$116,$BW$126)</f>
        <v>0</v>
      </c>
      <c r="BZ128" s="748">
        <f t="shared" si="18"/>
        <v>0</v>
      </c>
      <c r="CA128" s="748">
        <f t="shared" si="18"/>
        <v>0</v>
      </c>
      <c r="CB128" s="748">
        <f t="shared" si="18"/>
        <v>0</v>
      </c>
      <c r="CC128" s="748">
        <f t="shared" si="18"/>
        <v>0</v>
      </c>
      <c r="CD128" s="748">
        <f t="shared" si="18"/>
        <v>0</v>
      </c>
      <c r="CE128" s="748">
        <f t="shared" si="18"/>
        <v>0</v>
      </c>
      <c r="CF128" s="748">
        <f t="shared" si="18"/>
        <v>0</v>
      </c>
      <c r="CG128" s="748">
        <f t="shared" si="18"/>
        <v>0</v>
      </c>
      <c r="CH128" s="748">
        <f t="shared" si="18"/>
        <v>0</v>
      </c>
      <c r="CI128" s="748">
        <f t="shared" si="18"/>
        <v>0</v>
      </c>
      <c r="CJ128" s="748">
        <f t="shared" si="18"/>
        <v>0</v>
      </c>
      <c r="CK128" s="748">
        <f t="shared" si="18"/>
        <v>0</v>
      </c>
      <c r="CL128" s="748">
        <f t="shared" si="18"/>
        <v>0</v>
      </c>
      <c r="CM128" s="748">
        <f t="shared" si="18"/>
        <v>0</v>
      </c>
      <c r="CN128" s="748">
        <f t="shared" si="18"/>
        <v>0</v>
      </c>
      <c r="CO128" s="748">
        <f t="shared" si="18"/>
        <v>0</v>
      </c>
      <c r="CP128" s="748">
        <f t="shared" si="18"/>
        <v>0</v>
      </c>
      <c r="CQ128" s="748">
        <f t="shared" si="18"/>
        <v>0</v>
      </c>
      <c r="CR128" s="748">
        <f t="shared" si="18"/>
        <v>0</v>
      </c>
      <c r="CS128" s="748">
        <f t="shared" si="18"/>
        <v>0</v>
      </c>
      <c r="CT128" s="748">
        <f t="shared" si="18"/>
        <v>0</v>
      </c>
      <c r="CU128" s="749">
        <f t="shared" si="18"/>
        <v>0</v>
      </c>
      <c r="CV128" s="749">
        <f t="shared" si="18"/>
        <v>0</v>
      </c>
    </row>
    <row r="129" spans="7:100" x14ac:dyDescent="0.2">
      <c r="G129" s="750" t="s">
        <v>3746</v>
      </c>
      <c r="H129" s="751"/>
      <c r="I129" s="752"/>
      <c r="J129" s="751"/>
      <c r="K129" s="753"/>
      <c r="L129" s="754">
        <f t="shared" ref="L129:L130" si="19">L121+L124+L127</f>
        <v>22</v>
      </c>
      <c r="M129" s="755"/>
      <c r="N129" s="754">
        <f>N121+N124+N127</f>
        <v>17</v>
      </c>
      <c r="O129" s="755"/>
      <c r="P129" s="754">
        <f>P121+P124+P127</f>
        <v>16</v>
      </c>
      <c r="Q129" s="755"/>
      <c r="R129" s="754">
        <f>R121+R124+R127</f>
        <v>17</v>
      </c>
      <c r="S129" s="755"/>
      <c r="T129" s="754">
        <f>T121+T124+T127</f>
        <v>17</v>
      </c>
      <c r="U129" s="755"/>
      <c r="V129" s="834">
        <f>V121+V124+V127</f>
        <v>16</v>
      </c>
      <c r="W129" s="835"/>
      <c r="X129" s="756">
        <f>X121+X124+X127</f>
        <v>48</v>
      </c>
      <c r="Y129" s="778"/>
      <c r="Z129" s="756">
        <f>Z121+Z124+Z127</f>
        <v>16</v>
      </c>
      <c r="AA129" s="778"/>
      <c r="AB129" s="756" t="e">
        <f>AB121+AB124+AB127</f>
        <v>#VALUE!</v>
      </c>
      <c r="AC129" s="778"/>
      <c r="AD129" s="756">
        <f>AD121+AD124+AD127</f>
        <v>34</v>
      </c>
      <c r="AE129" s="778"/>
      <c r="AF129" s="778">
        <f>AF121+AF124+AF127</f>
        <v>17</v>
      </c>
      <c r="AG129" s="778"/>
      <c r="AH129" s="778">
        <f>AH121+AH124+AH127</f>
        <v>17</v>
      </c>
      <c r="AI129" s="778"/>
      <c r="AJ129" s="756">
        <f>AJ121+AJ124+AJ127</f>
        <v>17</v>
      </c>
      <c r="AK129" s="778"/>
      <c r="AL129" s="779">
        <f>AL121+AL124+AL127</f>
        <v>18</v>
      </c>
      <c r="AM129" s="778"/>
      <c r="AN129" s="778">
        <f>AN121+AN124+AN127</f>
        <v>17</v>
      </c>
      <c r="AO129" s="778"/>
      <c r="AP129" s="778">
        <f>AP121+AP124+AP127</f>
        <v>18</v>
      </c>
      <c r="AQ129" s="778"/>
      <c r="AR129" s="778">
        <f>AR121+AR124+AR127</f>
        <v>16</v>
      </c>
      <c r="AS129" s="778"/>
      <c r="AT129" s="756">
        <f>AT121+AT124+AT127</f>
        <v>16</v>
      </c>
      <c r="AU129" s="778"/>
      <c r="AV129" s="756">
        <f>AV121+AV124+AV127</f>
        <v>16</v>
      </c>
      <c r="AW129" s="778"/>
      <c r="AX129" s="756">
        <f>AX121+AX124+AX127</f>
        <v>17</v>
      </c>
      <c r="AY129" s="778"/>
      <c r="AZ129" s="778">
        <f>AZ121+AZ124+AZ127</f>
        <v>17</v>
      </c>
      <c r="BA129" s="778"/>
      <c r="BB129" s="757">
        <f>BB121+BB124+BB127</f>
        <v>16</v>
      </c>
      <c r="BD129" s="827"/>
      <c r="BE129" s="828"/>
      <c r="BF129" s="836">
        <f>BF121+BF124+BF127</f>
        <v>0</v>
      </c>
      <c r="BG129" s="835"/>
      <c r="BH129" s="836"/>
      <c r="BI129" s="758"/>
      <c r="BJ129" s="758"/>
      <c r="BK129" s="758"/>
      <c r="BL129" s="758"/>
      <c r="BM129" s="753"/>
      <c r="BN129" s="753"/>
      <c r="BO129" s="753"/>
      <c r="BP129" s="753"/>
      <c r="BQ129" s="753"/>
      <c r="BR129" s="753"/>
      <c r="BS129" s="753"/>
      <c r="BT129" s="658"/>
      <c r="BV129" s="651"/>
      <c r="BY129" s="659"/>
      <c r="CV129" s="651"/>
    </row>
    <row r="130" spans="7:100" x14ac:dyDescent="0.2">
      <c r="G130" s="750" t="s">
        <v>3747</v>
      </c>
      <c r="H130" s="751"/>
      <c r="I130" s="752"/>
      <c r="J130" s="751"/>
      <c r="K130" s="759"/>
      <c r="L130" s="760">
        <f t="shared" si="19"/>
        <v>31</v>
      </c>
      <c r="M130" s="761"/>
      <c r="N130" s="760">
        <f>N122+N125+N128</f>
        <v>32</v>
      </c>
      <c r="O130" s="761"/>
      <c r="P130" s="760">
        <f>P122+P125+P128</f>
        <v>33</v>
      </c>
      <c r="Q130" s="761"/>
      <c r="R130" s="760">
        <f>R122+R125+R128</f>
        <v>35</v>
      </c>
      <c r="S130" s="761"/>
      <c r="T130" s="760">
        <f>T122+T125+T128</f>
        <v>32</v>
      </c>
      <c r="U130" s="761"/>
      <c r="V130" s="825">
        <f>V122+V125+V128</f>
        <v>33</v>
      </c>
      <c r="W130" s="826"/>
      <c r="X130" s="762">
        <f>X122+X125+X128</f>
        <v>5</v>
      </c>
      <c r="Y130" s="776"/>
      <c r="Z130" s="762">
        <f>Z122+Z125+Z128</f>
        <v>33</v>
      </c>
      <c r="AA130" s="776"/>
      <c r="AB130" s="762" t="e">
        <f>AB122+AB125+AB128</f>
        <v>#VALUE!</v>
      </c>
      <c r="AC130" s="776"/>
      <c r="AD130" s="762">
        <f>AD122+AD125+AD128</f>
        <v>16</v>
      </c>
      <c r="AE130" s="776"/>
      <c r="AF130" s="776">
        <f>AF122+AF125+AF128</f>
        <v>32</v>
      </c>
      <c r="AG130" s="776"/>
      <c r="AH130" s="776">
        <f>AH122+AH125+AH128</f>
        <v>32</v>
      </c>
      <c r="AI130" s="776"/>
      <c r="AJ130" s="762">
        <f>AJ122+AJ125+AJ128</f>
        <v>32</v>
      </c>
      <c r="AK130" s="776"/>
      <c r="AL130" s="777">
        <f>AL122+AL125+AL128</f>
        <v>32</v>
      </c>
      <c r="AM130" s="776"/>
      <c r="AN130" s="776">
        <f>AN122+AN125+AN128</f>
        <v>32</v>
      </c>
      <c r="AO130" s="776"/>
      <c r="AP130" s="776">
        <f>AP122+AP125+AP128</f>
        <v>32</v>
      </c>
      <c r="AQ130" s="776"/>
      <c r="AR130" s="776">
        <f>AR122+AR125+AR128</f>
        <v>33</v>
      </c>
      <c r="AS130" s="776"/>
      <c r="AT130" s="762">
        <f>AT122+AT125+AT128</f>
        <v>33</v>
      </c>
      <c r="AU130" s="776"/>
      <c r="AV130" s="762">
        <f>AV122+AV125+AV128</f>
        <v>33</v>
      </c>
      <c r="AW130" s="776"/>
      <c r="AX130" s="762">
        <f>AX122+AX125+AX128</f>
        <v>32</v>
      </c>
      <c r="AY130" s="776"/>
      <c r="AZ130" s="776">
        <f>AZ122+AZ125+AZ128</f>
        <v>32</v>
      </c>
      <c r="BA130" s="776"/>
      <c r="BB130" s="763">
        <f>BB122+BB125+BB128</f>
        <v>33</v>
      </c>
      <c r="BD130" s="827"/>
      <c r="BE130" s="828"/>
      <c r="BF130" s="829">
        <f>BF122+BF125+BF128</f>
        <v>30</v>
      </c>
      <c r="BG130" s="826"/>
      <c r="BH130" s="829"/>
      <c r="BI130" s="764"/>
      <c r="BJ130" s="764"/>
      <c r="BK130" s="764"/>
      <c r="BL130" s="764"/>
      <c r="BM130" s="759"/>
      <c r="BN130" s="759"/>
      <c r="BO130" s="759"/>
      <c r="BP130" s="759"/>
      <c r="BQ130" s="759"/>
      <c r="BR130" s="759"/>
      <c r="BS130" s="759"/>
      <c r="BT130" s="658"/>
      <c r="BV130" s="651"/>
      <c r="BY130" s="659"/>
      <c r="CV130" s="651"/>
    </row>
    <row r="131" spans="7:100" ht="15.75" customHeight="1" x14ac:dyDescent="0.2">
      <c r="I131" s="654"/>
      <c r="J131" s="654"/>
      <c r="BO131" s="655"/>
      <c r="BP131" s="655"/>
      <c r="BQ131" s="655"/>
      <c r="BR131" s="655"/>
      <c r="BS131" s="655"/>
      <c r="BT131" s="655"/>
    </row>
    <row r="132" spans="7:100" ht="15.75" customHeight="1" x14ac:dyDescent="0.2">
      <c r="I132" s="654"/>
      <c r="J132" s="654"/>
      <c r="BO132" s="655"/>
      <c r="BP132" s="655"/>
      <c r="BQ132" s="655"/>
      <c r="BR132" s="655"/>
      <c r="BS132" s="655"/>
      <c r="BT132" s="655"/>
    </row>
  </sheetData>
  <sheetProtection formatCells="0" formatColumns="0" formatRows="0" autoFilter="0"/>
  <protectedRanges>
    <protectedRange sqref="M115:S115 BG60:BH90 R103:R114 M92:Q114 AB60:BF65 L9:L115 L8:Y8 R92:R101 L116:BH116 AA8:BL8 AA9:AA65 Z8:Z115 S92:Y112 S113:S114 T113:Y115 BI9:BL116 BM8:BM116 AB9:BH59 M9:Y91 AA66:BF90 AA91:BH115" name="Range1"/>
    <protectedRange sqref="R102" name="Range1_1"/>
    <protectedRange sqref="R102" name="Range2"/>
    <protectedRange sqref="L117:BM117" name="Range1_2"/>
  </protectedRanges>
  <autoFilter ref="A7:CW115" xr:uid="{5AB92F21-29FD-476A-9F21-5158F54A9BC2}">
    <filterColumn colId="6">
      <filters>
        <filter val="TOK April 2026 - Terlambat &gt;90 hari"/>
        <filter val="TOK April 2026 - Terlambat 90 hari"/>
      </filters>
    </filterColumn>
    <filterColumn colId="30">
      <filters>
        <filter val="Belum Ada"/>
      </filters>
    </filterColumn>
  </autoFilter>
  <mergeCells count="110">
    <mergeCell ref="BC5:BD5"/>
    <mergeCell ref="BE5:BF5"/>
    <mergeCell ref="BG5:BH5"/>
    <mergeCell ref="AK5:AL5"/>
    <mergeCell ref="AM5:AN5"/>
    <mergeCell ref="AO5:AP5"/>
    <mergeCell ref="AQ5:AR5"/>
    <mergeCell ref="AS5:AT5"/>
    <mergeCell ref="AU5:AV5"/>
    <mergeCell ref="M6:N6"/>
    <mergeCell ref="O6:P6"/>
    <mergeCell ref="Q6:R6"/>
    <mergeCell ref="S6:T6"/>
    <mergeCell ref="U6:V6"/>
    <mergeCell ref="W6:X6"/>
    <mergeCell ref="AW5:AX5"/>
    <mergeCell ref="AY5:AZ5"/>
    <mergeCell ref="BA5:BB5"/>
    <mergeCell ref="Y5:Z5"/>
    <mergeCell ref="AA5:AB5"/>
    <mergeCell ref="AC5:AD5"/>
    <mergeCell ref="AE5:AF5"/>
    <mergeCell ref="AG5:AH5"/>
    <mergeCell ref="AI5:AJ5"/>
    <mergeCell ref="M5:N5"/>
    <mergeCell ref="O5:P5"/>
    <mergeCell ref="Q5:R5"/>
    <mergeCell ref="S5:T5"/>
    <mergeCell ref="U5:V5"/>
    <mergeCell ref="W5:X5"/>
    <mergeCell ref="BN6:BN7"/>
    <mergeCell ref="BS6:BS7"/>
    <mergeCell ref="BT6:BT7"/>
    <mergeCell ref="L119:M119"/>
    <mergeCell ref="N119:O119"/>
    <mergeCell ref="P119:Q119"/>
    <mergeCell ref="R119:S119"/>
    <mergeCell ref="T119:U119"/>
    <mergeCell ref="AW6:AX6"/>
    <mergeCell ref="AY6:AZ6"/>
    <mergeCell ref="BA6:BB6"/>
    <mergeCell ref="BC6:BD6"/>
    <mergeCell ref="BE6:BF6"/>
    <mergeCell ref="BG6:BH6"/>
    <mergeCell ref="AK6:AL6"/>
    <mergeCell ref="AM6:AN6"/>
    <mergeCell ref="AO6:AP6"/>
    <mergeCell ref="AQ6:AR6"/>
    <mergeCell ref="AS6:AT6"/>
    <mergeCell ref="AU6:AV6"/>
    <mergeCell ref="Y6:Z6"/>
    <mergeCell ref="AA6:AB6"/>
    <mergeCell ref="AC6:AD6"/>
    <mergeCell ref="AE6:AF6"/>
    <mergeCell ref="AR119:AS119"/>
    <mergeCell ref="V119:W119"/>
    <mergeCell ref="X119:Y119"/>
    <mergeCell ref="Z119:AA119"/>
    <mergeCell ref="AB119:AC119"/>
    <mergeCell ref="AD119:AE119"/>
    <mergeCell ref="AF119:AG119"/>
    <mergeCell ref="BI6:BJ6"/>
    <mergeCell ref="BK6:BL6"/>
    <mergeCell ref="AG6:AH6"/>
    <mergeCell ref="AI6:AJ6"/>
    <mergeCell ref="V122:W122"/>
    <mergeCell ref="BD122:BE122"/>
    <mergeCell ref="BF122:BH122"/>
    <mergeCell ref="V123:W123"/>
    <mergeCell ref="BD123:BE123"/>
    <mergeCell ref="BF123:BH123"/>
    <mergeCell ref="BF119:BH119"/>
    <mergeCell ref="V120:W120"/>
    <mergeCell ref="BD120:BE120"/>
    <mergeCell ref="BF120:BH120"/>
    <mergeCell ref="V121:W121"/>
    <mergeCell ref="BD121:BE121"/>
    <mergeCell ref="BF121:BH121"/>
    <mergeCell ref="AT119:AU119"/>
    <mergeCell ref="AV119:AW119"/>
    <mergeCell ref="AX119:AY119"/>
    <mergeCell ref="AZ119:BA119"/>
    <mergeCell ref="BB119:BC119"/>
    <mergeCell ref="BD119:BE119"/>
    <mergeCell ref="AH119:AI119"/>
    <mergeCell ref="AJ119:AK119"/>
    <mergeCell ref="AL119:AM119"/>
    <mergeCell ref="AN119:AO119"/>
    <mergeCell ref="AP119:AQ119"/>
    <mergeCell ref="V126:W126"/>
    <mergeCell ref="BD126:BE126"/>
    <mergeCell ref="BF126:BH126"/>
    <mergeCell ref="V127:W127"/>
    <mergeCell ref="BD127:BE127"/>
    <mergeCell ref="BF127:BH127"/>
    <mergeCell ref="V124:W124"/>
    <mergeCell ref="BD124:BE124"/>
    <mergeCell ref="BF124:BH124"/>
    <mergeCell ref="V125:W125"/>
    <mergeCell ref="BD125:BE125"/>
    <mergeCell ref="BF125:BH125"/>
    <mergeCell ref="V130:W130"/>
    <mergeCell ref="BD130:BE130"/>
    <mergeCell ref="BF130:BH130"/>
    <mergeCell ref="V128:W128"/>
    <mergeCell ref="BD128:BE128"/>
    <mergeCell ref="BF128:BH128"/>
    <mergeCell ref="V129:W129"/>
    <mergeCell ref="BD129:BE129"/>
    <mergeCell ref="BF129:BH129"/>
  </mergeCells>
  <conditionalFormatting sqref="G2:H3">
    <cfRule type="cellIs" dxfId="43" priority="38" operator="equal">
      <formula>"tidak perlu"</formula>
    </cfRule>
    <cfRule type="cellIs" dxfId="42" priority="37" operator="equal">
      <formula>"revisi"</formula>
    </cfRule>
    <cfRule type="cellIs" dxfId="41" priority="41" operator="lessThanOrEqual">
      <formula>$G$5</formula>
    </cfRule>
    <cfRule type="cellIs" dxfId="40" priority="42" operator="equal">
      <formula>"✓"</formula>
    </cfRule>
    <cfRule type="containsText" dxfId="39" priority="40" operator="containsText" text="perlu">
      <formula>NOT(ISERROR(SEARCH("perlu",G2)))</formula>
    </cfRule>
    <cfRule type="cellIs" dxfId="38" priority="39" operator="equal">
      <formula>"draft"</formula>
    </cfRule>
  </conditionalFormatting>
  <conditionalFormatting sqref="L8:L117">
    <cfRule type="containsText" dxfId="37" priority="11" operator="containsText" text="Pending">
      <formula>NOT(ISERROR(SEARCH("Pending",L8)))</formula>
    </cfRule>
    <cfRule type="containsText" dxfId="36" priority="12" operator="containsText" text="Submit for Review">
      <formula>NOT(ISERROR(SEARCH("Submit for Review",L8)))</formula>
    </cfRule>
  </conditionalFormatting>
  <conditionalFormatting sqref="N1:BM5 N6:BI6 BK6 BM6 N7:BM1048576">
    <cfRule type="beginsWith" dxfId="35" priority="1" operator="beginsWith" text="Ada">
      <formula>LEFT(N1,LEN("Ada"))="Ada"</formula>
    </cfRule>
  </conditionalFormatting>
  <conditionalFormatting sqref="R102">
    <cfRule type="cellIs" dxfId="34" priority="32" operator="equal">
      <formula>"tidak perlu"</formula>
    </cfRule>
    <cfRule type="containsText" dxfId="33" priority="30" operator="containsText" text="✓">
      <formula>NOT(ISERROR(SEARCH("✓",R102)))</formula>
    </cfRule>
    <cfRule type="cellIs" dxfId="32" priority="35" operator="lessThanOrEqual">
      <formula>$G$5</formula>
    </cfRule>
    <cfRule type="containsText" dxfId="31" priority="34" operator="containsText" text="perlu">
      <formula>NOT(ISERROR(SEARCH("perlu",R102)))</formula>
    </cfRule>
    <cfRule type="containsText" dxfId="30" priority="33" operator="containsText" text="Submit for Review">
      <formula>NOT(ISERROR(SEARCH("Submit for Review",R102)))</formula>
    </cfRule>
    <cfRule type="cellIs" dxfId="29" priority="31" operator="equal">
      <formula>"draft"</formula>
    </cfRule>
  </conditionalFormatting>
  <conditionalFormatting sqref="BM8:BM114 M115:BM117 M8:BL91 R92:R101 M92:Q114 S92:BL114 R103:R114">
    <cfRule type="cellIs" dxfId="28" priority="36" operator="equal">
      <formula>"revisi"</formula>
    </cfRule>
  </conditionalFormatting>
  <conditionalFormatting sqref="BM60">
    <cfRule type="cellIs" dxfId="27" priority="20" operator="equal">
      <formula>"revisi"</formula>
    </cfRule>
  </conditionalFormatting>
  <conditionalFormatting sqref="BM78">
    <cfRule type="cellIs" dxfId="26" priority="16" operator="equal">
      <formula>"revisi"</formula>
    </cfRule>
  </conditionalFormatting>
  <conditionalFormatting sqref="BM78:BM79">
    <cfRule type="cellIs" dxfId="25" priority="21" operator="equal">
      <formula>"revisi"</formula>
    </cfRule>
    <cfRule type="beginsWith" dxfId="24" priority="17" operator="beginsWith" text="Lengkap">
      <formula>LEFT(BM78,LEN("Lengkap"))="Lengkap"</formula>
    </cfRule>
  </conditionalFormatting>
  <conditionalFormatting sqref="BM88:BM91">
    <cfRule type="cellIs" dxfId="23" priority="13" operator="equal">
      <formula>"revisi"</formula>
    </cfRule>
    <cfRule type="beginsWith" dxfId="22" priority="14" operator="beginsWith" text="Lengkap">
      <formula>LEFT(BM88,LEN("Lengkap"))="Lengkap"</formula>
    </cfRule>
    <cfRule type="cellIs" dxfId="21" priority="15" operator="equal">
      <formula>"revisi"</formula>
    </cfRule>
  </conditionalFormatting>
  <conditionalFormatting sqref="BM96">
    <cfRule type="cellIs" dxfId="20" priority="19" operator="equal">
      <formula>"revisi"</formula>
    </cfRule>
  </conditionalFormatting>
  <conditionalFormatting sqref="BM96:BM97 BM81:BM83 BM93:BM94">
    <cfRule type="beginsWith" dxfId="19" priority="22" operator="beginsWith" text="Lengkap">
      <formula>LEFT(BM81,LEN("Lengkap"))="Lengkap"</formula>
    </cfRule>
  </conditionalFormatting>
  <conditionalFormatting sqref="BM96:BM98">
    <cfRule type="cellIs" dxfId="18" priority="4" operator="equal">
      <formula>"revisi"</formula>
    </cfRule>
    <cfRule type="beginsWith" dxfId="17" priority="5" operator="beginsWith" text="Lengkap">
      <formula>LEFT(BM96,LEN("Lengkap"))="Lengkap"</formula>
    </cfRule>
  </conditionalFormatting>
  <conditionalFormatting sqref="BM97">
    <cfRule type="cellIs" dxfId="16" priority="2" operator="equal">
      <formula>"revisi"</formula>
    </cfRule>
    <cfRule type="beginsWith" dxfId="15" priority="3" operator="beginsWith" text="Lengkap">
      <formula>LEFT(BM97,LEN("Lengkap"))="Lengkap"</formula>
    </cfRule>
  </conditionalFormatting>
  <conditionalFormatting sqref="BM98">
    <cfRule type="cellIs" dxfId="14" priority="18" operator="equal">
      <formula>"revisi"</formula>
    </cfRule>
  </conditionalFormatting>
  <conditionalFormatting sqref="BM114:BM115">
    <cfRule type="cellIs" dxfId="13" priority="6" operator="equal">
      <formula>"revisi"</formula>
    </cfRule>
    <cfRule type="cellIs" dxfId="12" priority="8" operator="equal">
      <formula>"revisi"</formula>
    </cfRule>
    <cfRule type="beginsWith" dxfId="11" priority="7" operator="beginsWith" text="Lengkap">
      <formula>LEFT(BM114,LEN("Lengkap"))="Lengkap"</formula>
    </cfRule>
  </conditionalFormatting>
  <conditionalFormatting sqref="BM117">
    <cfRule type="beginsWith" dxfId="10" priority="10" operator="beginsWith" text="Lengkap">
      <formula>LEFT(BM117,LEN("Lengkap"))="Lengkap"</formula>
    </cfRule>
    <cfRule type="cellIs" dxfId="9" priority="9" operator="equal">
      <formula>"revisi"</formula>
    </cfRule>
  </conditionalFormatting>
  <conditionalFormatting sqref="BO8:BT117">
    <cfRule type="cellIs" dxfId="8" priority="25" operator="equal">
      <formula>"tidak perlu"</formula>
    </cfRule>
    <cfRule type="containsText" dxfId="7" priority="24" operator="containsText" text="x">
      <formula>NOT(ISERROR(SEARCH("x",BO8)))</formula>
    </cfRule>
    <cfRule type="beginsWith" dxfId="6" priority="23" operator="beginsWith" text="Lengkap">
      <formula>LEFT(BO8,LEN("Lengkap"))="Lengkap"</formula>
    </cfRule>
    <cfRule type="containsText" dxfId="5" priority="27" operator="containsText" text="perlu">
      <formula>NOT(ISERROR(SEARCH("perlu",BO8)))</formula>
    </cfRule>
    <cfRule type="cellIs" dxfId="4" priority="28" operator="lessThanOrEqual">
      <formula>$G$5</formula>
    </cfRule>
    <cfRule type="cellIs" dxfId="3" priority="29" operator="equal">
      <formula>"✓"</formula>
    </cfRule>
    <cfRule type="cellIs" dxfId="2" priority="26" operator="equal">
      <formula>"draft"</formula>
    </cfRule>
  </conditionalFormatting>
  <pageMargins left="0.7" right="0.7" top="0.75" bottom="0.75" header="0.3" footer="0.3"/>
  <pageSetup paperSize="9" scale="10"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325E0-BB67-43F6-8EF4-1E1F6F309221}">
  <dimension ref="B1:AF48"/>
  <sheetViews>
    <sheetView showGridLines="0" topLeftCell="A9" zoomScale="62" workbookViewId="0">
      <selection activeCell="AE7" sqref="B7:AF41"/>
    </sheetView>
  </sheetViews>
  <sheetFormatPr defaultColWidth="8.85546875" defaultRowHeight="15" x14ac:dyDescent="0.25"/>
  <cols>
    <col min="2" max="2" width="19.5703125" style="7" customWidth="1"/>
    <col min="3" max="4" width="2.5703125" style="7" customWidth="1"/>
    <col min="5" max="5" width="27.85546875" style="7" bestFit="1" customWidth="1"/>
    <col min="6" max="7" width="2.5703125" style="7" customWidth="1"/>
    <col min="8" max="8" width="27.85546875" style="7" bestFit="1" customWidth="1"/>
    <col min="9" max="10" width="2.5703125" style="7" customWidth="1"/>
    <col min="11" max="12" width="12.5703125" style="7" customWidth="1"/>
    <col min="13" max="14" width="2.5703125" style="7" customWidth="1"/>
    <col min="15" max="16" width="12.5703125" style="7" customWidth="1"/>
    <col min="17" max="18" width="2.5703125" style="7" customWidth="1"/>
    <col min="19" max="20" width="12.5703125" style="7" customWidth="1"/>
    <col min="21" max="22" width="2.5703125" style="7" customWidth="1"/>
    <col min="23" max="24" width="12.5703125" style="7" customWidth="1"/>
    <col min="25" max="26" width="2.5703125" style="7" customWidth="1"/>
    <col min="27" max="28" width="12.5703125" style="7" customWidth="1"/>
    <col min="29" max="30" width="2.5703125" style="7" customWidth="1"/>
    <col min="31" max="32" width="12.5703125" style="7" customWidth="1"/>
  </cols>
  <sheetData>
    <row r="1" spans="2:32" ht="15.75" x14ac:dyDescent="0.25">
      <c r="B1" s="600"/>
      <c r="C1" s="600"/>
      <c r="D1" s="600"/>
      <c r="E1" s="600"/>
      <c r="F1" s="600"/>
      <c r="G1" s="600"/>
      <c r="H1" s="600"/>
      <c r="I1" s="600"/>
      <c r="J1" s="600"/>
      <c r="K1" s="600"/>
      <c r="L1" s="600"/>
      <c r="M1" s="600"/>
      <c r="N1" s="600"/>
      <c r="O1" s="600"/>
      <c r="P1" s="600"/>
      <c r="Q1" s="600"/>
      <c r="R1" s="600"/>
      <c r="S1" s="600"/>
      <c r="T1" s="600"/>
      <c r="U1" s="600"/>
      <c r="V1" s="600"/>
      <c r="W1" s="600"/>
      <c r="X1" s="600"/>
      <c r="Y1" s="600"/>
      <c r="Z1" s="600"/>
      <c r="AA1" s="600"/>
      <c r="AB1" s="600"/>
      <c r="AC1" s="600"/>
      <c r="AD1" s="600"/>
      <c r="AE1" s="600"/>
      <c r="AF1" s="600"/>
    </row>
    <row r="2" spans="2:32" ht="15.75" x14ac:dyDescent="0.25">
      <c r="B2" s="600"/>
      <c r="C2" s="600"/>
      <c r="D2" s="600"/>
      <c r="E2" s="600"/>
      <c r="F2" s="600"/>
      <c r="G2" s="600"/>
      <c r="H2" s="600"/>
      <c r="I2" s="600"/>
      <c r="J2" s="600"/>
      <c r="K2" s="601"/>
      <c r="L2" s="602"/>
      <c r="M2" s="602"/>
      <c r="N2" s="602"/>
      <c r="O2" s="601"/>
      <c r="P2" s="602"/>
      <c r="Q2" s="602"/>
      <c r="R2" s="602"/>
      <c r="S2" s="601"/>
      <c r="T2" s="600"/>
      <c r="U2" s="600"/>
      <c r="V2" s="600"/>
      <c r="W2" s="601"/>
      <c r="X2" s="600"/>
      <c r="Y2" s="600"/>
      <c r="Z2" s="600"/>
      <c r="AA2" s="601"/>
      <c r="AB2" s="600"/>
      <c r="AC2" s="600"/>
      <c r="AD2" s="600"/>
      <c r="AE2" s="600"/>
      <c r="AF2" s="600"/>
    </row>
    <row r="3" spans="2:32" ht="20.25" x14ac:dyDescent="0.25">
      <c r="B3" s="603"/>
      <c r="C3" s="603"/>
      <c r="D3" s="603"/>
      <c r="E3" s="603"/>
      <c r="F3" s="603"/>
      <c r="G3" s="603"/>
      <c r="H3" s="603"/>
      <c r="I3" s="603"/>
      <c r="J3" s="604"/>
      <c r="K3" s="604"/>
      <c r="L3" s="604"/>
      <c r="M3" s="604"/>
      <c r="N3" s="604"/>
      <c r="O3" s="604"/>
      <c r="P3" s="604"/>
      <c r="Q3" s="604"/>
      <c r="R3" s="604"/>
      <c r="S3" s="604"/>
      <c r="T3" s="604"/>
      <c r="U3" s="604"/>
      <c r="V3" s="604"/>
      <c r="W3" s="604"/>
      <c r="X3" s="604"/>
      <c r="Y3" s="604"/>
      <c r="Z3" s="604"/>
      <c r="AA3" s="604"/>
      <c r="AB3" s="604"/>
      <c r="AC3" s="604"/>
      <c r="AD3" s="604"/>
      <c r="AE3" s="604"/>
      <c r="AF3" s="604"/>
    </row>
    <row r="4" spans="2:32" ht="20.25" x14ac:dyDescent="0.25">
      <c r="B4" s="603"/>
      <c r="C4" s="603"/>
      <c r="D4" s="603"/>
      <c r="E4" s="603"/>
      <c r="F4" s="603"/>
      <c r="G4" s="603"/>
      <c r="H4" s="603"/>
      <c r="I4" s="603"/>
      <c r="J4" s="604"/>
      <c r="K4" s="604"/>
      <c r="L4" s="604"/>
      <c r="M4" s="604"/>
      <c r="N4" s="604"/>
      <c r="O4" s="604"/>
      <c r="P4" s="604"/>
      <c r="Q4" s="604"/>
      <c r="R4" s="604"/>
      <c r="S4" s="604"/>
      <c r="T4" s="604"/>
      <c r="U4" s="604"/>
      <c r="V4" s="604"/>
      <c r="W4" s="604"/>
      <c r="X4" s="604"/>
      <c r="Y4" s="604"/>
      <c r="Z4" s="604"/>
      <c r="AA4" s="604"/>
      <c r="AB4" s="604"/>
      <c r="AC4" s="604"/>
      <c r="AD4" s="604"/>
      <c r="AE4" s="604"/>
      <c r="AF4" s="604"/>
    </row>
    <row r="5" spans="2:32" ht="20.25" x14ac:dyDescent="0.25">
      <c r="B5" s="603"/>
      <c r="C5" s="603"/>
      <c r="D5" s="603"/>
      <c r="E5" s="603"/>
      <c r="F5" s="603"/>
      <c r="G5" s="603"/>
      <c r="H5" s="603"/>
      <c r="I5"/>
      <c r="J5"/>
      <c r="K5"/>
      <c r="L5"/>
      <c r="M5"/>
      <c r="N5"/>
      <c r="O5"/>
      <c r="P5"/>
      <c r="Q5"/>
      <c r="R5"/>
      <c r="S5"/>
      <c r="T5"/>
      <c r="U5"/>
      <c r="V5"/>
      <c r="W5"/>
      <c r="X5"/>
      <c r="Y5"/>
      <c r="Z5"/>
      <c r="AA5"/>
      <c r="AB5"/>
      <c r="AC5"/>
      <c r="AD5" s="604"/>
      <c r="AE5" s="604"/>
      <c r="AF5" s="604"/>
    </row>
    <row r="6" spans="2:32" ht="15.75" x14ac:dyDescent="0.25">
      <c r="B6" s="603"/>
      <c r="C6" s="603"/>
      <c r="D6" s="603"/>
      <c r="E6" s="603"/>
      <c r="F6" s="603"/>
      <c r="G6" s="603"/>
      <c r="H6" s="603"/>
      <c r="I6"/>
      <c r="J6"/>
      <c r="K6"/>
      <c r="L6"/>
      <c r="M6"/>
      <c r="N6"/>
      <c r="O6"/>
      <c r="P6"/>
      <c r="Q6"/>
      <c r="R6"/>
      <c r="S6"/>
      <c r="T6"/>
      <c r="U6"/>
      <c r="V6"/>
      <c r="W6"/>
      <c r="X6"/>
      <c r="Y6"/>
      <c r="Z6"/>
      <c r="AA6"/>
      <c r="AB6"/>
      <c r="AC6"/>
      <c r="AD6" s="603"/>
      <c r="AE6" s="603"/>
      <c r="AF6" s="603"/>
    </row>
    <row r="7" spans="2:32" ht="15.75" x14ac:dyDescent="0.25">
      <c r="B7" s="603"/>
      <c r="C7" s="603"/>
      <c r="D7" s="603"/>
      <c r="E7" s="603"/>
      <c r="F7" s="603"/>
      <c r="G7" s="603"/>
      <c r="H7" s="787" t="s">
        <v>3748</v>
      </c>
      <c r="I7" s="605"/>
      <c r="J7" s="603"/>
      <c r="K7" s="883" t="s">
        <v>3601</v>
      </c>
      <c r="L7" s="883"/>
      <c r="M7" s="603"/>
      <c r="N7" s="603"/>
      <c r="O7" s="883" t="s">
        <v>3749</v>
      </c>
      <c r="P7" s="883"/>
      <c r="Q7" s="603"/>
      <c r="R7" s="603"/>
      <c r="S7" s="883" t="s">
        <v>3750</v>
      </c>
      <c r="T7" s="883"/>
      <c r="U7" s="603"/>
      <c r="V7" s="603"/>
      <c r="W7" s="883" t="s">
        <v>3751</v>
      </c>
      <c r="X7" s="883"/>
      <c r="Y7" s="603"/>
      <c r="Z7" s="603"/>
      <c r="AA7" s="883" t="s">
        <v>3752</v>
      </c>
      <c r="AB7" s="883"/>
      <c r="AC7" s="603"/>
      <c r="AD7" s="603"/>
      <c r="AE7" s="883" t="s">
        <v>3753</v>
      </c>
      <c r="AF7" s="883"/>
    </row>
    <row r="8" spans="2:32" ht="15.75" x14ac:dyDescent="0.25">
      <c r="B8" s="603"/>
      <c r="C8" s="603"/>
      <c r="D8" s="603"/>
      <c r="E8" s="603"/>
      <c r="F8" s="603"/>
      <c r="G8" s="606"/>
      <c r="H8" s="880">
        <f>COUNTIFS('Database MK'!$G$4:$G$469,DATE(2026,4,1),'Database MK'!$J$4:$J$469,"Bisa TOK")</f>
        <v>0</v>
      </c>
      <c r="I8" s="613"/>
      <c r="J8" s="607"/>
      <c r="K8" s="785" t="s">
        <v>3754</v>
      </c>
      <c r="L8" s="785" t="s">
        <v>3755</v>
      </c>
      <c r="M8" s="603"/>
      <c r="N8" s="603"/>
      <c r="O8" s="785" t="s">
        <v>3754</v>
      </c>
      <c r="P8" s="785" t="s">
        <v>3755</v>
      </c>
      <c r="Q8" s="603"/>
      <c r="R8" s="603"/>
      <c r="S8" s="785" t="s">
        <v>3754</v>
      </c>
      <c r="T8" s="785" t="s">
        <v>3755</v>
      </c>
      <c r="U8" s="603"/>
      <c r="V8" s="603"/>
      <c r="W8" s="785" t="s">
        <v>3754</v>
      </c>
      <c r="X8" s="785" t="s">
        <v>3755</v>
      </c>
      <c r="Y8" s="603"/>
      <c r="Z8" s="603"/>
      <c r="AA8" s="785" t="s">
        <v>3754</v>
      </c>
      <c r="AB8" s="785" t="s">
        <v>3755</v>
      </c>
      <c r="AC8" s="603"/>
      <c r="AD8" s="603"/>
      <c r="AE8" s="785" t="s">
        <v>3754</v>
      </c>
      <c r="AF8" s="785" t="s">
        <v>3755</v>
      </c>
    </row>
    <row r="9" spans="2:32" ht="15.75" x14ac:dyDescent="0.25">
      <c r="B9" s="603"/>
      <c r="C9" s="603"/>
      <c r="D9" s="603"/>
      <c r="E9" s="603"/>
      <c r="F9" s="603"/>
      <c r="G9" s="608"/>
      <c r="H9" s="880"/>
      <c r="I9" s="603"/>
      <c r="J9" s="609"/>
      <c r="K9" s="785">
        <v>39</v>
      </c>
      <c r="L9" s="785">
        <v>39</v>
      </c>
      <c r="M9" s="606"/>
      <c r="N9" s="607"/>
      <c r="O9" s="785">
        <v>39</v>
      </c>
      <c r="P9" s="785">
        <v>39</v>
      </c>
      <c r="Q9" s="606"/>
      <c r="R9" s="607"/>
      <c r="S9" s="785">
        <v>39</v>
      </c>
      <c r="T9" s="785">
        <v>39</v>
      </c>
      <c r="U9" s="606"/>
      <c r="V9" s="607"/>
      <c r="W9" s="785">
        <v>39</v>
      </c>
      <c r="X9" s="785">
        <v>39</v>
      </c>
      <c r="Y9" s="606"/>
      <c r="Z9" s="607"/>
      <c r="AA9" s="785">
        <v>39</v>
      </c>
      <c r="AB9" s="785">
        <v>39</v>
      </c>
      <c r="AC9" s="606"/>
      <c r="AD9" s="607"/>
      <c r="AE9" s="785">
        <v>39</v>
      </c>
      <c r="AF9" s="785">
        <v>39</v>
      </c>
    </row>
    <row r="10" spans="2:32" ht="15.75" x14ac:dyDescent="0.25">
      <c r="B10" s="603"/>
      <c r="C10" s="603"/>
      <c r="D10" s="603"/>
      <c r="E10" s="603"/>
      <c r="F10" s="603"/>
      <c r="G10" s="608"/>
      <c r="H10" s="603"/>
      <c r="I10"/>
      <c r="J10"/>
      <c r="K10"/>
      <c r="L10"/>
      <c r="M10"/>
      <c r="N10" s="605"/>
      <c r="O10" s="603"/>
      <c r="P10" s="603"/>
      <c r="Q10" s="603"/>
      <c r="R10" s="603"/>
      <c r="S10" s="603"/>
      <c r="T10" s="603"/>
      <c r="U10" s="603"/>
      <c r="V10" s="603"/>
      <c r="W10" s="603"/>
      <c r="X10" s="603"/>
      <c r="Y10" s="603"/>
      <c r="Z10" s="603"/>
      <c r="AA10" s="603"/>
      <c r="AB10" s="603"/>
      <c r="AC10" s="603"/>
      <c r="AD10" s="603"/>
      <c r="AE10" s="603"/>
      <c r="AF10" s="603"/>
    </row>
    <row r="11" spans="2:32" ht="15.75" x14ac:dyDescent="0.25">
      <c r="B11" s="603"/>
      <c r="C11" s="603"/>
      <c r="D11" s="603"/>
      <c r="E11" s="603"/>
      <c r="F11" s="603"/>
      <c r="G11" s="608"/>
      <c r="H11" s="603"/>
      <c r="I11"/>
      <c r="J11"/>
      <c r="K11"/>
      <c r="L11"/>
      <c r="M11"/>
      <c r="N11" s="605"/>
      <c r="O11" s="603"/>
      <c r="P11" s="603"/>
      <c r="Q11" s="603"/>
      <c r="R11" s="603"/>
      <c r="S11" s="603"/>
      <c r="T11" s="603"/>
      <c r="U11" s="603"/>
      <c r="V11" s="603"/>
      <c r="W11" s="603"/>
      <c r="X11" s="603"/>
      <c r="Y11" s="603"/>
      <c r="Z11" s="603"/>
      <c r="AA11" s="603"/>
      <c r="AB11" s="603"/>
      <c r="AC11" s="603"/>
      <c r="AD11" s="603"/>
      <c r="AE11" s="603"/>
      <c r="AF11" s="603"/>
    </row>
    <row r="12" spans="2:32" ht="15.75" x14ac:dyDescent="0.25">
      <c r="B12" s="603"/>
      <c r="C12" s="603"/>
      <c r="D12" s="603"/>
      <c r="E12" s="603"/>
      <c r="F12" s="603"/>
      <c r="G12" s="608"/>
      <c r="H12" s="603"/>
      <c r="I12"/>
      <c r="J12"/>
      <c r="K12"/>
      <c r="L12"/>
      <c r="M12"/>
      <c r="N12" s="605"/>
      <c r="O12" s="603"/>
      <c r="P12" s="603"/>
      <c r="Q12" s="603"/>
      <c r="R12" s="603"/>
      <c r="S12" s="603"/>
      <c r="T12" s="603"/>
      <c r="U12" s="603"/>
      <c r="V12" s="603"/>
      <c r="W12" s="603"/>
      <c r="X12" s="603"/>
      <c r="Y12" s="603"/>
      <c r="Z12" s="603"/>
      <c r="AA12" s="603"/>
      <c r="AB12" s="603"/>
      <c r="AC12" s="603"/>
      <c r="AD12" s="603"/>
      <c r="AE12" s="603"/>
      <c r="AF12" s="603"/>
    </row>
    <row r="13" spans="2:32" ht="15.75" x14ac:dyDescent="0.25">
      <c r="B13" s="603"/>
      <c r="C13" s="603"/>
      <c r="D13" s="603"/>
      <c r="E13" s="787" t="s">
        <v>3756</v>
      </c>
      <c r="F13" s="605"/>
      <c r="G13" s="608"/>
      <c r="H13" s="603"/>
      <c r="I13" s="603"/>
      <c r="J13" s="603"/>
      <c r="K13"/>
      <c r="L13"/>
      <c r="M13"/>
      <c r="N13" s="605"/>
      <c r="O13" s="610"/>
      <c r="P13" s="610"/>
      <c r="Q13" s="610"/>
      <c r="R13" s="610"/>
      <c r="S13" s="603"/>
      <c r="T13" s="603"/>
      <c r="U13" s="603"/>
      <c r="V13" s="603"/>
      <c r="W13" s="603"/>
      <c r="X13" s="603"/>
      <c r="Y13" s="603"/>
      <c r="Z13" s="603"/>
      <c r="AA13" s="603"/>
      <c r="AB13" s="603"/>
      <c r="AC13" s="603"/>
      <c r="AD13" s="603"/>
      <c r="AE13" s="603"/>
      <c r="AF13" s="603"/>
    </row>
    <row r="14" spans="2:32" ht="15.75" x14ac:dyDescent="0.25">
      <c r="B14" s="603"/>
      <c r="C14" s="603"/>
      <c r="D14" s="606"/>
      <c r="E14" s="880">
        <f>COUNTIFS('Database MK'!$G$4:$G$469,DATE(2026,4,1),'Database MK'!$J$4:$J$469,"&lt;&gt;BATAL / CANCEL")</f>
        <v>0</v>
      </c>
      <c r="F14" s="606"/>
      <c r="G14" s="608"/>
      <c r="H14" s="603"/>
      <c r="I14" s="603"/>
      <c r="J14" s="603"/>
      <c r="K14" s="883" t="s">
        <v>3601</v>
      </c>
      <c r="L14" s="883"/>
      <c r="M14" s="603"/>
      <c r="N14" s="603"/>
      <c r="O14" s="883" t="s">
        <v>3749</v>
      </c>
      <c r="P14" s="883"/>
      <c r="Q14" s="603"/>
      <c r="R14" s="603"/>
      <c r="S14" s="883" t="s">
        <v>3750</v>
      </c>
      <c r="T14" s="883"/>
      <c r="U14" s="603"/>
      <c r="V14" s="603"/>
      <c r="W14" s="883" t="s">
        <v>3751</v>
      </c>
      <c r="X14" s="883"/>
      <c r="Y14" s="603"/>
      <c r="Z14" s="603"/>
      <c r="AA14" s="883" t="s">
        <v>3752</v>
      </c>
      <c r="AB14" s="883"/>
      <c r="AC14" s="603"/>
      <c r="AD14" s="603"/>
      <c r="AE14" s="883" t="s">
        <v>3753</v>
      </c>
      <c r="AF14" s="883"/>
    </row>
    <row r="15" spans="2:32" ht="15.75" x14ac:dyDescent="0.25">
      <c r="B15" s="603"/>
      <c r="C15" s="603"/>
      <c r="D15" s="608"/>
      <c r="E15" s="880"/>
      <c r="F15" s="603"/>
      <c r="G15" s="608"/>
      <c r="H15" s="603"/>
      <c r="I15" s="603"/>
      <c r="J15" s="611"/>
      <c r="K15" s="785" t="s">
        <v>3754</v>
      </c>
      <c r="L15" s="785" t="s">
        <v>3755</v>
      </c>
      <c r="M15" s="603"/>
      <c r="N15" s="603"/>
      <c r="O15" s="785" t="s">
        <v>3754</v>
      </c>
      <c r="P15" s="785" t="s">
        <v>3755</v>
      </c>
      <c r="Q15" s="603"/>
      <c r="R15" s="603"/>
      <c r="S15" s="785" t="s">
        <v>3754</v>
      </c>
      <c r="T15" s="785" t="s">
        <v>3755</v>
      </c>
      <c r="U15" s="603"/>
      <c r="V15" s="603"/>
      <c r="W15" s="785" t="s">
        <v>3754</v>
      </c>
      <c r="X15" s="785" t="s">
        <v>3755</v>
      </c>
      <c r="Y15" s="603"/>
      <c r="Z15" s="603"/>
      <c r="AA15" s="785" t="s">
        <v>3754</v>
      </c>
      <c r="AB15" s="785" t="s">
        <v>3755</v>
      </c>
      <c r="AC15" s="603"/>
      <c r="AD15" s="603"/>
      <c r="AE15" s="785" t="s">
        <v>3754</v>
      </c>
      <c r="AF15" s="785" t="s">
        <v>3755</v>
      </c>
    </row>
    <row r="16" spans="2:32" ht="15.75" x14ac:dyDescent="0.25">
      <c r="B16" s="603"/>
      <c r="C16" s="603"/>
      <c r="D16" s="608"/>
      <c r="E16" s="603"/>
      <c r="F16" s="603"/>
      <c r="G16" s="608"/>
      <c r="H16" s="603"/>
      <c r="I16" s="603"/>
      <c r="J16" s="608"/>
      <c r="K16" s="786">
        <v>11</v>
      </c>
      <c r="L16" s="785">
        <f>COUNTIFS('Database MK'!$G$4:$G$469,DATE(2026,4,1),'Database MK'!$J$4:$J$469,"TOK +90 Hari",'Database MK'!$Q$4:$Q$469,"&lt;&gt;BATAL / CANCEL",'Database MK'!$Q$4:$Q$469,"&lt;&gt;Proses Konstruksi")</f>
        <v>0</v>
      </c>
      <c r="M16" s="606"/>
      <c r="N16" s="607"/>
      <c r="O16" s="785">
        <v>11</v>
      </c>
      <c r="P16" s="785">
        <f>COUNTIFS('Database MK'!$G$4:$G$469,DATE(2026,4,1),'Database MK'!$J$4:$J$469,"TOK +90 Hari",'Database MK'!$Q$4:$Q$469,"&lt;&gt;BATAL / CANCEL",'Database MK'!$Q$4:$Q$469,"&lt;&gt;Proses Konstruksi",'Database MK'!$HC$4:$HC$469,"Sudah")</f>
        <v>0</v>
      </c>
      <c r="Q16" s="606"/>
      <c r="R16" s="607"/>
      <c r="S16" s="785">
        <v>10</v>
      </c>
      <c r="T16" s="785">
        <f>COUNTIFS('Database MK'!$G$4:$G$469,DATE(2026,4,1),'Database MK'!$J$4:$J$469,"TOK +90 Hari",'Database MK'!$Q$4:$Q$469,"&lt;&gt;BATAL / CANCEL",'Database MK'!$Q$4:$Q$469,"&lt;&gt;Proses Konstruksi",'Database MK'!$HG$4:$HG$469,"&lt;&gt;")</f>
        <v>0</v>
      </c>
      <c r="U16" s="606"/>
      <c r="V16" s="607"/>
      <c r="W16" s="785">
        <v>8</v>
      </c>
      <c r="X16" s="785">
        <f>COUNTIFS('Database MK'!$G$4:$G$469,DATE(2026,4,1),'Database MK'!$J$4:$J$469,"TOK +90 Hari",'Database MK'!$Q$4:$Q$469,"&lt;&gt;BATAL / CANCEL",'Database MK'!$Q$4:$Q$469,"&lt;&gt;Proses Konstruksi",'Database MK'!$HP$4:$HP$469,"&lt;&gt;")</f>
        <v>0</v>
      </c>
      <c r="Y16" s="606"/>
      <c r="Z16" s="607"/>
      <c r="AA16" s="785">
        <v>0</v>
      </c>
      <c r="AB16" s="785">
        <f>COUNTIFS('Database MK'!$G$4:$G$469,DATE(2026,4,1),'Database MK'!$J$4:$J$469,"TOK +90 Hari",'Database MK'!$Q$4:$Q$469,"&lt;&gt;BATAL / CANCEL",'Database MK'!$Q$4:$Q$469,"&lt;&gt;Proses Konstruksi",'Database MK'!$HQ$4:$HQ$469,"&lt;&gt;")</f>
        <v>0</v>
      </c>
      <c r="AC16" s="606"/>
      <c r="AD16" s="607"/>
      <c r="AE16" s="785">
        <v>0</v>
      </c>
      <c r="AF16" s="785">
        <f>COUNTIFS('Database MK'!$G$4:$G$469,DATE(2026,4,1),'Database MK'!$J$4:$J$469,"TOK +90 Hari",'Database MK'!$Q$4:$Q$469,"&lt;&gt;BATAL / CANCEL",'Database MK'!$Q$4:$Q$469,"&lt;&gt;Proses Konstruksi",'Database MK'!$HW$4:$HW$469,"&lt;&gt;")</f>
        <v>0</v>
      </c>
    </row>
    <row r="17" spans="2:32" ht="20.25" x14ac:dyDescent="0.25">
      <c r="B17" s="603"/>
      <c r="C17" s="603"/>
      <c r="D17" s="608"/>
      <c r="E17" s="603"/>
      <c r="F17" s="603"/>
      <c r="G17" s="608"/>
      <c r="H17" s="603"/>
      <c r="I17" s="603"/>
      <c r="J17" s="608"/>
      <c r="K17" s="604"/>
      <c r="L17" s="604"/>
      <c r="M17" s="603"/>
      <c r="N17" s="603"/>
      <c r="O17" s="610"/>
      <c r="P17" s="610"/>
      <c r="Q17" s="604"/>
      <c r="R17" s="604"/>
      <c r="S17" s="604"/>
      <c r="T17" s="604"/>
      <c r="U17" s="604"/>
      <c r="V17" s="604"/>
      <c r="W17" s="604"/>
      <c r="X17" s="604"/>
      <c r="Y17" s="604"/>
      <c r="Z17" s="604"/>
      <c r="AA17" s="604"/>
      <c r="AB17" s="604"/>
      <c r="AC17" s="603"/>
      <c r="AD17" s="603"/>
      <c r="AE17" s="603"/>
      <c r="AF17" s="603"/>
    </row>
    <row r="18" spans="2:32" ht="20.25" x14ac:dyDescent="0.25">
      <c r="B18" s="603"/>
      <c r="C18" s="603"/>
      <c r="D18" s="608"/>
      <c r="E18" s="603"/>
      <c r="F18" s="603"/>
      <c r="G18" s="608"/>
      <c r="H18" s="787" t="s">
        <v>3757</v>
      </c>
      <c r="I18" s="605"/>
      <c r="J18" s="608"/>
      <c r="K18" s="883" t="s">
        <v>3499</v>
      </c>
      <c r="L18" s="883"/>
      <c r="M18" s="603"/>
      <c r="N18" s="603"/>
      <c r="O18" s="603"/>
      <c r="P18" s="610"/>
      <c r="Q18" s="610"/>
      <c r="R18" s="604"/>
      <c r="S18" s="604"/>
      <c r="T18" s="604"/>
      <c r="U18" s="604"/>
      <c r="V18" s="604"/>
      <c r="W18" s="604"/>
      <c r="X18" s="604"/>
      <c r="Y18" s="604"/>
      <c r="Z18" s="604"/>
      <c r="AA18" s="604"/>
      <c r="AB18" s="604"/>
      <c r="AC18" s="603"/>
      <c r="AD18" s="603"/>
      <c r="AE18" s="603"/>
      <c r="AF18" s="603"/>
    </row>
    <row r="19" spans="2:32" ht="20.25" x14ac:dyDescent="0.25">
      <c r="B19" s="603"/>
      <c r="C19" s="603"/>
      <c r="D19" s="608"/>
      <c r="E19" s="603"/>
      <c r="F19" s="603"/>
      <c r="G19" s="613"/>
      <c r="H19" s="880">
        <f>COUNTIFS('Database MK'!$G$4:$G$469,DATE(2026,4,1),'Database MK'!$J$4:$J$469,"TOK +90 Hari")</f>
        <v>0</v>
      </c>
      <c r="I19" s="613"/>
      <c r="J19" s="611"/>
      <c r="K19" s="785" t="s">
        <v>3754</v>
      </c>
      <c r="L19" s="785" t="s">
        <v>3755</v>
      </c>
      <c r="M19" s="603"/>
      <c r="N19" s="604"/>
      <c r="O19" s="603"/>
      <c r="P19" s="610"/>
      <c r="Q19" s="610"/>
      <c r="R19" s="604"/>
      <c r="S19" s="604"/>
      <c r="T19" s="604"/>
      <c r="U19" s="604"/>
      <c r="V19" s="604"/>
      <c r="W19" s="604"/>
      <c r="X19" s="604"/>
      <c r="Y19" s="604"/>
      <c r="Z19" s="604"/>
      <c r="AA19" s="604"/>
      <c r="AB19" s="604"/>
      <c r="AC19" s="603"/>
      <c r="AD19" s="603"/>
      <c r="AE19" s="603"/>
      <c r="AF19" s="603"/>
    </row>
    <row r="20" spans="2:32" ht="20.25" x14ac:dyDescent="0.25">
      <c r="B20" s="884" t="s">
        <v>3758</v>
      </c>
      <c r="C20" s="603"/>
      <c r="D20" s="608"/>
      <c r="E20" s="603"/>
      <c r="F20" s="603"/>
      <c r="G20" s="603"/>
      <c r="H20" s="880"/>
      <c r="I20" s="610"/>
      <c r="J20" s="608"/>
      <c r="K20" s="785">
        <v>37</v>
      </c>
      <c r="L20" s="785">
        <f>COUNTIFS('Database MK'!$G$4:$G$469,DATE(2026,4,1),'Database MK'!$J$4:$J$469,"TOK +90 Hari",'Database MK'!$Q$4:$Q$469,"Proses Konstruksi")</f>
        <v>0</v>
      </c>
      <c r="M20" s="610"/>
      <c r="N20" s="604"/>
      <c r="O20" s="603"/>
      <c r="P20" s="610"/>
      <c r="Q20" s="610"/>
      <c r="R20" s="604"/>
      <c r="S20" s="604"/>
      <c r="T20" s="604"/>
      <c r="U20" s="604"/>
      <c r="V20" s="604"/>
      <c r="W20" s="604"/>
      <c r="X20" s="604"/>
      <c r="Y20" s="604"/>
      <c r="Z20" s="604"/>
      <c r="AA20" s="604"/>
      <c r="AB20" s="604"/>
      <c r="AC20" s="603"/>
      <c r="AD20" s="603"/>
      <c r="AE20" s="603"/>
      <c r="AF20" s="603"/>
    </row>
    <row r="21" spans="2:32" ht="20.25" x14ac:dyDescent="0.25">
      <c r="B21" s="885"/>
      <c r="C21" s="603"/>
      <c r="D21" s="608"/>
      <c r="E21" s="603"/>
      <c r="F21" s="603"/>
      <c r="G21" s="603"/>
      <c r="H21" s="603"/>
      <c r="I21" s="603"/>
      <c r="J21" s="608"/>
      <c r="K21" s="603"/>
      <c r="L21" s="603"/>
      <c r="M21" s="610"/>
      <c r="N21"/>
      <c r="O21" s="603"/>
      <c r="P21" s="610"/>
      <c r="Q21" s="610"/>
      <c r="R21" s="604"/>
      <c r="S21" s="604"/>
      <c r="T21" s="604"/>
      <c r="U21" s="604"/>
      <c r="V21" s="604"/>
      <c r="W21" s="604"/>
      <c r="X21" s="604"/>
      <c r="Y21" s="604"/>
      <c r="Z21" s="604"/>
      <c r="AA21" s="604"/>
      <c r="AB21" s="604"/>
      <c r="AC21" s="603"/>
      <c r="AD21" s="603"/>
      <c r="AE21" s="603"/>
      <c r="AF21" s="603"/>
    </row>
    <row r="22" spans="2:32" ht="20.25" x14ac:dyDescent="0.25">
      <c r="B22" s="880">
        <f>COUNTIFS('Database MK'!$G$4:$G$469,DATE(2026,4,1))</f>
        <v>0</v>
      </c>
      <c r="C22" s="613"/>
      <c r="D22" s="608"/>
      <c r="E22" s="603"/>
      <c r="F22" s="603"/>
      <c r="G22" s="603"/>
      <c r="H22" s="603"/>
      <c r="I22" s="603"/>
      <c r="J22" s="614"/>
      <c r="K22" s="886" t="s">
        <v>3600</v>
      </c>
      <c r="L22" s="883"/>
      <c r="M22" s="616"/>
      <c r="Q22"/>
      <c r="R22"/>
      <c r="S22" s="604"/>
      <c r="T22" s="604"/>
      <c r="U22" s="604"/>
      <c r="V22" s="604"/>
      <c r="W22" s="604"/>
      <c r="X22" s="604"/>
      <c r="Y22" s="604"/>
      <c r="Z22" s="604"/>
      <c r="AA22" s="604"/>
      <c r="AB22" s="604"/>
      <c r="AC22" s="603"/>
      <c r="AD22" s="603"/>
      <c r="AE22" s="603"/>
      <c r="AF22" s="603"/>
    </row>
    <row r="23" spans="2:32" ht="20.25" x14ac:dyDescent="0.25">
      <c r="B23" s="880"/>
      <c r="C23" s="603"/>
      <c r="D23" s="608"/>
      <c r="E23" s="603"/>
      <c r="F23" s="603"/>
      <c r="G23" s="603"/>
      <c r="H23" s="603"/>
      <c r="I23" s="603"/>
      <c r="J23" s="618"/>
      <c r="K23" s="785" t="s">
        <v>3754</v>
      </c>
      <c r="L23" s="785" t="s">
        <v>3755</v>
      </c>
      <c r="M23" s="608"/>
      <c r="Q23"/>
      <c r="R23"/>
      <c r="S23" s="604"/>
      <c r="T23" s="604"/>
      <c r="U23" s="604"/>
      <c r="V23" s="604"/>
      <c r="W23" s="604"/>
      <c r="X23" s="604"/>
      <c r="Y23" s="604"/>
      <c r="Z23" s="604"/>
      <c r="AA23" s="604"/>
      <c r="AB23" s="604"/>
      <c r="AC23" s="603"/>
      <c r="AD23" s="603"/>
      <c r="AE23" s="603"/>
      <c r="AF23" s="603"/>
    </row>
    <row r="24" spans="2:32" ht="20.25" x14ac:dyDescent="0.25">
      <c r="B24" s="603"/>
      <c r="C24" s="603"/>
      <c r="D24" s="608"/>
      <c r="E24" s="603"/>
      <c r="F24" s="603"/>
      <c r="G24" s="603"/>
      <c r="H24" s="603"/>
      <c r="I24" s="605"/>
      <c r="J24" s="608"/>
      <c r="K24" s="785">
        <v>0</v>
      </c>
      <c r="L24" s="785">
        <v>0</v>
      </c>
      <c r="M24" s="608"/>
      <c r="Q24" s="610"/>
      <c r="R24" s="603"/>
      <c r="S24" s="604"/>
      <c r="T24" s="604"/>
      <c r="U24" s="604"/>
      <c r="V24" s="604"/>
      <c r="W24" s="604"/>
      <c r="X24" s="604"/>
      <c r="Y24" s="604"/>
      <c r="Z24" s="604"/>
      <c r="AA24" s="604"/>
      <c r="AB24" s="604"/>
      <c r="AC24" s="603"/>
      <c r="AD24" s="603"/>
      <c r="AE24" s="603"/>
      <c r="AF24" s="603"/>
    </row>
    <row r="25" spans="2:32" ht="20.25" x14ac:dyDescent="0.25">
      <c r="B25" s="603"/>
      <c r="C25" s="603"/>
      <c r="D25" s="608"/>
      <c r="E25" s="603"/>
      <c r="F25" s="603"/>
      <c r="G25" s="603"/>
      <c r="H25" s="603"/>
      <c r="I25" s="605"/>
      <c r="J25" s="608"/>
      <c r="K25" s="603"/>
      <c r="L25" s="603"/>
      <c r="M25" s="603"/>
      <c r="N25"/>
      <c r="O25" s="610"/>
      <c r="P25" s="610"/>
      <c r="Q25" s="610"/>
      <c r="R25" s="604"/>
      <c r="S25" s="604"/>
      <c r="T25" s="604"/>
      <c r="U25" s="604"/>
      <c r="V25" s="604"/>
      <c r="W25" s="604"/>
      <c r="X25" s="604"/>
      <c r="Y25" s="604"/>
      <c r="Z25" s="604"/>
      <c r="AA25" s="604"/>
      <c r="AB25" s="604"/>
      <c r="AC25" s="603"/>
      <c r="AD25" s="603"/>
      <c r="AE25" s="603"/>
      <c r="AF25" s="603"/>
    </row>
    <row r="26" spans="2:32" ht="20.25" x14ac:dyDescent="0.25">
      <c r="B26" s="603"/>
      <c r="C26" s="603"/>
      <c r="D26" s="608"/>
      <c r="E26" s="603"/>
      <c r="F26" s="603"/>
      <c r="G26" s="603"/>
      <c r="H26" s="603"/>
      <c r="I26" s="605"/>
      <c r="J26" s="599"/>
      <c r="K26" s="887" t="s">
        <v>3759</v>
      </c>
      <c r="L26" s="888"/>
      <c r="M26" s="603"/>
      <c r="N26"/>
      <c r="O26" s="610"/>
      <c r="P26" s="610"/>
      <c r="Q26" s="610"/>
      <c r="R26" s="604"/>
      <c r="S26" s="604"/>
      <c r="T26" s="604"/>
      <c r="U26" s="604"/>
      <c r="V26" s="604"/>
      <c r="W26" s="604"/>
      <c r="X26" s="604"/>
      <c r="Y26" s="604"/>
      <c r="Z26" s="604"/>
      <c r="AA26" s="604"/>
      <c r="AB26" s="604"/>
      <c r="AC26" s="603"/>
      <c r="AD26" s="603"/>
      <c r="AE26" s="603"/>
      <c r="AF26" s="603"/>
    </row>
    <row r="27" spans="2:32" ht="20.25" x14ac:dyDescent="0.25">
      <c r="B27" s="603"/>
      <c r="C27" s="603"/>
      <c r="D27" s="608"/>
      <c r="E27" s="603"/>
      <c r="F27" s="603"/>
      <c r="G27" s="603"/>
      <c r="H27" s="603"/>
      <c r="I27" s="605"/>
      <c r="J27" s="598"/>
      <c r="K27" s="785" t="s">
        <v>3754</v>
      </c>
      <c r="L27" s="785" t="s">
        <v>3755</v>
      </c>
      <c r="M27" s="603"/>
      <c r="N27"/>
      <c r="O27" s="610"/>
      <c r="P27" s="610"/>
      <c r="Q27" s="610"/>
      <c r="R27" s="604"/>
      <c r="S27" s="604"/>
      <c r="T27" s="604"/>
      <c r="U27" s="604"/>
      <c r="V27" s="604"/>
      <c r="W27" s="604"/>
      <c r="X27" s="604"/>
      <c r="Y27" s="604"/>
      <c r="Z27" s="604"/>
      <c r="AA27" s="604"/>
      <c r="AB27" s="604"/>
      <c r="AC27" s="603"/>
      <c r="AD27" s="603"/>
      <c r="AE27" s="603"/>
      <c r="AF27" s="603"/>
    </row>
    <row r="28" spans="2:32" ht="20.25" x14ac:dyDescent="0.25">
      <c r="B28" s="603"/>
      <c r="C28" s="603"/>
      <c r="D28" s="608"/>
      <c r="E28" s="603"/>
      <c r="F28" s="603"/>
      <c r="G28" s="603"/>
      <c r="H28" s="603"/>
      <c r="I28" s="605"/>
      <c r="J28"/>
      <c r="K28" s="785">
        <v>1</v>
      </c>
      <c r="L28" s="785">
        <v>1</v>
      </c>
      <c r="M28" s="603"/>
      <c r="N28"/>
      <c r="O28" s="610"/>
      <c r="P28" s="610"/>
      <c r="Q28" s="610"/>
      <c r="R28" s="604"/>
      <c r="S28" s="604"/>
      <c r="T28" s="604"/>
      <c r="U28" s="604"/>
      <c r="V28" s="604"/>
      <c r="W28" s="604"/>
      <c r="X28" s="604"/>
      <c r="Y28" s="604"/>
      <c r="Z28" s="604"/>
      <c r="AA28" s="604"/>
      <c r="AB28" s="604"/>
      <c r="AC28" s="603"/>
      <c r="AD28" s="603"/>
      <c r="AE28" s="603"/>
      <c r="AF28" s="603"/>
    </row>
    <row r="29" spans="2:32" ht="20.25" x14ac:dyDescent="0.25">
      <c r="B29" s="603"/>
      <c r="C29" s="603"/>
      <c r="D29" s="608"/>
      <c r="E29" s="603"/>
      <c r="F29" s="603"/>
      <c r="G29" s="603"/>
      <c r="H29" s="603"/>
      <c r="I29" s="605"/>
      <c r="J29" s="603"/>
      <c r="K29" s="603"/>
      <c r="L29" s="603"/>
      <c r="M29" s="603"/>
      <c r="N29"/>
      <c r="O29" s="610"/>
      <c r="P29" s="610"/>
      <c r="Q29" s="610"/>
      <c r="R29" s="604"/>
      <c r="S29" s="604"/>
      <c r="T29" s="604"/>
      <c r="U29" s="604"/>
      <c r="V29" s="604"/>
      <c r="W29" s="604"/>
      <c r="X29" s="604"/>
      <c r="Y29" s="604"/>
      <c r="Z29" s="604"/>
      <c r="AA29" s="604"/>
      <c r="AB29" s="604"/>
      <c r="AC29" s="603"/>
      <c r="AD29" s="603"/>
      <c r="AE29" s="603"/>
      <c r="AF29" s="603"/>
    </row>
    <row r="30" spans="2:32" ht="15.75" x14ac:dyDescent="0.25">
      <c r="D30" s="616"/>
      <c r="E30" s="610"/>
      <c r="F30" s="603"/>
      <c r="G30" s="603"/>
      <c r="H30" s="603"/>
      <c r="I30" s="603"/>
      <c r="J30" s="603"/>
      <c r="K30" s="889" t="s">
        <v>2163</v>
      </c>
      <c r="L30" s="886"/>
    </row>
    <row r="31" spans="2:32" ht="15.75" x14ac:dyDescent="0.25">
      <c r="D31" s="616"/>
      <c r="E31" s="603"/>
      <c r="F31" s="603"/>
      <c r="I31" s="609"/>
      <c r="J31" s="613"/>
      <c r="K31" s="881">
        <f>COUNTIFS('Database MK'!$G$4:$G$469,DATE(2026,4,1),'Database MK'!$J$4:$J$469,"BATAL / CANCEL",'Database MK'!$HZ$4:$HZ$469,"Cancel Karena Izin",'Database MK'!$IA$4:$IA$469,"Penolakan Warga")</f>
        <v>0</v>
      </c>
      <c r="L31" s="882"/>
    </row>
    <row r="32" spans="2:32" ht="15.75" x14ac:dyDescent="0.25">
      <c r="D32" s="616"/>
      <c r="E32" s="603"/>
      <c r="F32" s="603"/>
      <c r="I32" s="609"/>
      <c r="J32" s="603"/>
      <c r="K32" s="610"/>
      <c r="L32" s="603"/>
    </row>
    <row r="33" spans="2:32" ht="15.75" x14ac:dyDescent="0.25">
      <c r="D33" s="616"/>
      <c r="E33" s="603"/>
      <c r="F33" s="603"/>
      <c r="G33" s="603"/>
      <c r="H33" s="787" t="s">
        <v>3760</v>
      </c>
      <c r="I33" s="609"/>
      <c r="J33" s="603"/>
      <c r="K33" s="890" t="s">
        <v>3761</v>
      </c>
      <c r="L33" s="891"/>
    </row>
    <row r="34" spans="2:32" ht="15.75" x14ac:dyDescent="0.25">
      <c r="D34" s="616"/>
      <c r="E34" s="603"/>
      <c r="F34" s="603"/>
      <c r="G34" s="606"/>
      <c r="H34" s="785">
        <f>COUNTIFS('Database MK'!$G$4:$G$469,DATE(2026,4,1),'Database MK'!$J$4:$J$469,"BATAL / CANCEL",'Database MK'!$HZ$4:$HZ$469,"Cancel Karena Izin")</f>
        <v>0</v>
      </c>
      <c r="I34" s="609"/>
      <c r="J34" s="603"/>
      <c r="K34" s="892"/>
      <c r="L34" s="893"/>
      <c r="O34" s="4"/>
    </row>
    <row r="35" spans="2:32" ht="15.75" x14ac:dyDescent="0.25">
      <c r="D35" s="608"/>
      <c r="E35" s="603"/>
      <c r="F35" s="603"/>
      <c r="G35" s="608"/>
      <c r="H35" s="603"/>
      <c r="I35" s="607"/>
      <c r="J35" s="613"/>
      <c r="K35" s="881">
        <f>COUNTIFS('Database MK'!$G$4:$G$469,DATE(2026,4,1),'Database MK'!$J$4:$J$469,"BATAL / CANCEL",'Database MK'!$HZ$4:$HZ$469,"Cancel Karena Izin",'Database MK'!$IA$4:$IA$469,"Izin Pemilik Master Meter")</f>
        <v>0</v>
      </c>
      <c r="L35" s="882"/>
      <c r="O35" s="4"/>
    </row>
    <row r="36" spans="2:32" ht="15.75" x14ac:dyDescent="0.25">
      <c r="B36"/>
      <c r="C36"/>
      <c r="D36" s="617"/>
      <c r="E36" s="787" t="s">
        <v>3762</v>
      </c>
      <c r="F36" s="603"/>
      <c r="G36" s="615"/>
      <c r="H36" s="787" t="s">
        <v>3763</v>
      </c>
      <c r="I36" s="609"/>
      <c r="J36" s="603"/>
      <c r="K36" s="610"/>
      <c r="L36" s="603"/>
      <c r="M36" s="603"/>
      <c r="N36" s="603"/>
      <c r="O36"/>
      <c r="P36"/>
      <c r="AC36"/>
      <c r="AD36"/>
      <c r="AE36"/>
      <c r="AF36"/>
    </row>
    <row r="37" spans="2:32" ht="15.75" x14ac:dyDescent="0.25">
      <c r="B37"/>
      <c r="C37"/>
      <c r="D37" s="607"/>
      <c r="E37" s="880">
        <f>COUNTIFS('Database MK'!$G$4:$G$469,DATE(2026,4,1),'Database MK'!$J$4:$J$469,"BATAL / CANCEL")</f>
        <v>0</v>
      </c>
      <c r="F37" s="613"/>
      <c r="G37" s="611"/>
      <c r="H37" s="785">
        <f>COUNTIFS('Database MK'!$G$4:$G$469,DATE(2026,4,1),'Database MK'!$J$4:$J$469,"BATAL / CANCEL",'Database MK'!$HZ$4:$HZ$469,"Akan Dikerjakan PAM Jaya")</f>
        <v>0</v>
      </c>
      <c r="I37" s="609"/>
      <c r="J37" s="603"/>
      <c r="K37" s="889" t="s">
        <v>2310</v>
      </c>
      <c r="L37" s="886"/>
      <c r="M37" s="603"/>
      <c r="N37" s="603"/>
      <c r="O37"/>
      <c r="P37"/>
      <c r="AC37"/>
      <c r="AD37"/>
      <c r="AE37"/>
      <c r="AF37"/>
    </row>
    <row r="38" spans="2:32" ht="15.75" x14ac:dyDescent="0.25">
      <c r="B38"/>
      <c r="C38"/>
      <c r="D38" s="603"/>
      <c r="E38" s="880"/>
      <c r="F38" s="603"/>
      <c r="G38" s="608"/>
      <c r="H38" s="612"/>
      <c r="I38" s="603"/>
      <c r="J38" s="607"/>
      <c r="K38" s="881">
        <f>COUNTIFS('Database MK'!$G$4:$G$469,DATE(2026,4,1),'Database MK'!$J$4:$J$469,"BATAL / CANCEL",'Database MK'!$HZ$4:$HZ$469,"Cancel Karena Izin",'Database MK'!$IA$4:$IA$469,"Izin PPKK")</f>
        <v>0</v>
      </c>
      <c r="L38" s="882"/>
      <c r="M38" s="603"/>
      <c r="N38" s="603"/>
      <c r="O38"/>
      <c r="P38"/>
      <c r="AC38"/>
      <c r="AD38"/>
      <c r="AE38"/>
      <c r="AF38"/>
    </row>
    <row r="39" spans="2:32" ht="15.75" x14ac:dyDescent="0.25">
      <c r="D39" s="603"/>
      <c r="E39" s="610"/>
      <c r="F39" s="603"/>
      <c r="G39" s="608"/>
      <c r="H39" s="879" t="s">
        <v>2199</v>
      </c>
      <c r="I39"/>
      <c r="K39" s="603"/>
      <c r="L39" s="603"/>
      <c r="M39" s="603"/>
      <c r="N39" s="603"/>
    </row>
    <row r="40" spans="2:32" ht="15.75" x14ac:dyDescent="0.25">
      <c r="D40" s="610"/>
      <c r="E40" s="610"/>
      <c r="F40" s="603"/>
      <c r="G40" s="615"/>
      <c r="H40" s="879"/>
      <c r="I40"/>
      <c r="K40" s="603"/>
      <c r="L40" s="603"/>
      <c r="M40" s="603"/>
      <c r="N40" s="603"/>
    </row>
    <row r="41" spans="2:32" ht="15.75" x14ac:dyDescent="0.25">
      <c r="D41" s="610"/>
      <c r="E41" s="610"/>
      <c r="F41" s="603"/>
      <c r="G41" s="613"/>
      <c r="H41" s="785">
        <f>COUNTIFS('Database MK'!$G$4:$G$469,DATE(2026,4,1),'Database MK'!$J$4:$J$469,"BATAL / CANCEL",'Database MK'!$HZ$4:$HZ$469,"Sudah terpasang pipa jaringan &amp; SR")</f>
        <v>0</v>
      </c>
      <c r="I41"/>
      <c r="K41" s="603"/>
      <c r="L41" s="603"/>
      <c r="M41" s="603"/>
      <c r="N41" s="603"/>
    </row>
    <row r="42" spans="2:32" ht="15.75" x14ac:dyDescent="0.25">
      <c r="I42"/>
      <c r="K42" s="603"/>
      <c r="L42" s="603"/>
    </row>
    <row r="46" spans="2:32" x14ac:dyDescent="0.25">
      <c r="E46"/>
    </row>
    <row r="47" spans="2:32" x14ac:dyDescent="0.25">
      <c r="E47"/>
    </row>
    <row r="48" spans="2:32" x14ac:dyDescent="0.25">
      <c r="E48"/>
    </row>
  </sheetData>
  <mergeCells count="28">
    <mergeCell ref="AE7:AF7"/>
    <mergeCell ref="K14:L14"/>
    <mergeCell ref="O14:P14"/>
    <mergeCell ref="S14:T14"/>
    <mergeCell ref="W14:X14"/>
    <mergeCell ref="AA14:AB14"/>
    <mergeCell ref="AE14:AF14"/>
    <mergeCell ref="K7:L7"/>
    <mergeCell ref="O7:P7"/>
    <mergeCell ref="S7:T7"/>
    <mergeCell ref="W7:X7"/>
    <mergeCell ref="AA7:AB7"/>
    <mergeCell ref="K38:L38"/>
    <mergeCell ref="K18:L18"/>
    <mergeCell ref="B20:B21"/>
    <mergeCell ref="B22:B23"/>
    <mergeCell ref="K22:L22"/>
    <mergeCell ref="K26:L26"/>
    <mergeCell ref="K30:L30"/>
    <mergeCell ref="K31:L31"/>
    <mergeCell ref="K33:L34"/>
    <mergeCell ref="K35:L35"/>
    <mergeCell ref="K37:L37"/>
    <mergeCell ref="H39:H40"/>
    <mergeCell ref="E14:E15"/>
    <mergeCell ref="E37:E38"/>
    <mergeCell ref="H19:H20"/>
    <mergeCell ref="H8:H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56FA8-7FF4-4C97-9C0C-39E16CA979F1}">
  <sheetPr codeName="Sheet5"/>
  <dimension ref="A1:AR105"/>
  <sheetViews>
    <sheetView showGridLines="0" topLeftCell="T1" zoomScale="70" zoomScaleNormal="70" workbookViewId="0">
      <selection activeCell="AF21" sqref="AF21"/>
    </sheetView>
  </sheetViews>
  <sheetFormatPr defaultColWidth="9" defaultRowHeight="15" x14ac:dyDescent="0.25"/>
  <cols>
    <col min="1" max="1" width="18.5703125" style="7" bestFit="1" customWidth="1"/>
    <col min="2" max="3" width="9" style="7"/>
    <col min="4" max="19" width="11.42578125" style="7" customWidth="1"/>
    <col min="20" max="20" width="1.5703125" style="7" customWidth="1"/>
    <col min="21" max="21" width="13.28515625" style="7" bestFit="1" customWidth="1"/>
    <col min="22" max="22" width="5.5703125" style="7" customWidth="1"/>
    <col min="23" max="23" width="13.28515625" style="7" customWidth="1"/>
    <col min="24" max="24" width="5.5703125" style="7" customWidth="1"/>
    <col min="25" max="26" width="11.42578125" style="8" customWidth="1"/>
    <col min="27" max="27" width="5.5703125" style="7" customWidth="1"/>
    <col min="28" max="29" width="11.42578125" style="7" customWidth="1"/>
    <col min="30" max="30" width="5.5703125" style="7" customWidth="1"/>
    <col min="31" max="32" width="11.42578125" style="7" customWidth="1"/>
    <col min="33" max="33" width="5.5703125" style="7" customWidth="1"/>
    <col min="34" max="35" width="11.42578125" style="7" customWidth="1"/>
    <col min="36" max="36" width="5.5703125" style="7" customWidth="1"/>
    <col min="37" max="38" width="11.42578125" style="7" customWidth="1"/>
    <col min="39" max="39" width="5.5703125" style="7" customWidth="1"/>
    <col min="40" max="41" width="11.42578125" style="7" customWidth="1"/>
    <col min="42" max="42" width="5.5703125" style="7" customWidth="1"/>
    <col min="43" max="44" width="11.42578125" style="7" customWidth="1"/>
    <col min="45" max="16384" width="9" style="7"/>
  </cols>
  <sheetData>
    <row r="1" spans="1:44" ht="47.25" x14ac:dyDescent="0.25">
      <c r="A1" s="581" t="s">
        <v>3565</v>
      </c>
      <c r="B1" s="581" t="s">
        <v>3598</v>
      </c>
      <c r="C1" s="582" t="s">
        <v>389</v>
      </c>
      <c r="D1" s="582" t="s">
        <v>3764</v>
      </c>
      <c r="E1" s="582" t="s">
        <v>3527</v>
      </c>
      <c r="F1" s="582" t="s">
        <v>3528</v>
      </c>
      <c r="G1" s="582" t="s">
        <v>3563</v>
      </c>
      <c r="H1" s="582" t="s">
        <v>3564</v>
      </c>
      <c r="I1" s="582" t="s">
        <v>3561</v>
      </c>
      <c r="J1" s="582" t="s">
        <v>3562</v>
      </c>
      <c r="K1" s="582" t="s">
        <v>3765</v>
      </c>
      <c r="L1" s="582" t="s">
        <v>3535</v>
      </c>
      <c r="M1" s="582" t="s">
        <v>3766</v>
      </c>
      <c r="N1" s="582" t="s">
        <v>3537</v>
      </c>
      <c r="O1" s="582" t="s">
        <v>3499</v>
      </c>
      <c r="P1" s="582" t="s">
        <v>3767</v>
      </c>
      <c r="Q1" s="582" t="s">
        <v>3768</v>
      </c>
      <c r="R1" s="582" t="s">
        <v>1819</v>
      </c>
      <c r="S1" s="582" t="s">
        <v>944</v>
      </c>
    </row>
    <row r="2" spans="1:44" s="206" customFormat="1" ht="18.75" x14ac:dyDescent="0.25">
      <c r="A2" s="583" t="s">
        <v>3769</v>
      </c>
      <c r="B2" s="581">
        <f>COUNTIFS('Database MK'!$G$5:$G$468,DATE(2026,10,1),'Database MK'!$D$5:$D$468,'Tree Okt 26'!$A$1&amp;" "&amp;'Tree Okt 26'!$A2)</f>
        <v>0</v>
      </c>
      <c r="C2" s="581">
        <f>COUNTIFS('Database MK'!$G$5:$G$468,DATE(2026,10,1),'Database MK'!$D$5:$D$468,'Tree Okt 26'!$A$1&amp;" "&amp;'Tree Okt 26'!$A2,'Database MK'!$Q$5:$Q$468,'Tree Okt 26'!C$1)</f>
        <v>0</v>
      </c>
      <c r="D2" s="581">
        <f>COUNTIFS('Database MK'!$G$5:$G$468,DATE(2026,10,1),'Database MK'!$D$5:$D$468,'Tree Okt 26'!$A$1&amp;" "&amp;'Tree Okt 26'!$A2,'Database MK'!$Q$5:$Q$468,'Tree Okt 26'!D$1)</f>
        <v>0</v>
      </c>
      <c r="E2" s="581">
        <f>COUNTIFS('Database MK'!$G$5:$G$468,DATE(2026,10,1),'Database MK'!$D$5:$D$468,'Tree Okt 26'!$A$1&amp;" "&amp;'Tree Okt 26'!$A2,'Database MK'!$Q$5:$Q$468,'Tree Okt 26'!E$1)</f>
        <v>0</v>
      </c>
      <c r="F2" s="581">
        <f>COUNTIFS('Database MK'!$G$5:$G$468,DATE(2026,10,1),'Database MK'!$D$5:$D$468,'Tree Okt 26'!$A$1&amp;" "&amp;'Tree Okt 26'!$A2,'Database MK'!$Q$5:$Q$468,'Tree Okt 26'!F$1)</f>
        <v>0</v>
      </c>
      <c r="G2" s="581">
        <f>COUNTIFS('Database MK'!$G$5:$G$468,DATE(2026,10,1),'Database MK'!$D$5:$D$468,'Tree Okt 26'!$A$1&amp;" "&amp;'Tree Okt 26'!$A2,'Database MK'!$Q$5:$Q$468,'Tree Okt 26'!G$1)</f>
        <v>0</v>
      </c>
      <c r="H2" s="581">
        <f>COUNTIFS('Database MK'!$G$5:$G$468,DATE(2026,10,1),'Database MK'!$D$5:$D$468,'Tree Okt 26'!$A$1&amp;" "&amp;'Tree Okt 26'!$A2,'Database MK'!$Q$5:$Q$468,'Tree Okt 26'!H$1)</f>
        <v>0</v>
      </c>
      <c r="I2" s="581">
        <f>COUNTIFS('Database MK'!$G$5:$G$468,DATE(2026,10,1),'Database MK'!$D$5:$D$468,'Tree Okt 26'!$A$1&amp;" "&amp;'Tree Okt 26'!$A2,'Database MK'!$Q$5:$Q$468,'Tree Okt 26'!I$1)</f>
        <v>0</v>
      </c>
      <c r="J2" s="581">
        <f>COUNTIFS('Database MK'!$G$5:$G$468,DATE(2026,10,1),'Database MK'!$D$5:$D$468,'Tree Okt 26'!$A$1&amp;" "&amp;'Tree Okt 26'!$A2,'Database MK'!$Q$5:$Q$468,'Tree Okt 26'!J$1)</f>
        <v>0</v>
      </c>
      <c r="K2" s="581">
        <f>COUNTIFS('Database MK'!$G$5:$G$468,DATE(2026,10,1),'Database MK'!$D$5:$D$468,'Tree Okt 26'!$A$1&amp;" "&amp;'Tree Okt 26'!$A2,'Database MK'!$Q$5:$Q$468,'Tree Okt 26'!K$1)</f>
        <v>0</v>
      </c>
      <c r="L2" s="581">
        <f>COUNTIFS('Database MK'!$G$5:$G$468,DATE(2026,10,1),'Database MK'!$D$5:$D$468,'Tree Okt 26'!$A$1&amp;" "&amp;'Tree Okt 26'!$A2,'Database MK'!$Q$5:$Q$468,'Tree Okt 26'!L$1)</f>
        <v>0</v>
      </c>
      <c r="M2" s="581">
        <f>COUNTIFS('Database MK'!$G$5:$G$468,DATE(2026,10,1),'Database MK'!$D$5:$D$468,'Tree Okt 26'!$A$1&amp;" "&amp;'Tree Okt 26'!$A2,'Database MK'!$Q$5:$Q$468,'Tree Okt 26'!M$1)</f>
        <v>0</v>
      </c>
      <c r="N2" s="581">
        <f>COUNTIFS('Database MK'!$G$5:$G$468,DATE(2026,10,1),'Database MK'!$D$5:$D$468,'Tree Okt 26'!$A$1&amp;" "&amp;'Tree Okt 26'!$A2,'Database MK'!$Q$5:$Q$468,'Tree Okt 26'!N$1)</f>
        <v>0</v>
      </c>
      <c r="O2" s="581">
        <f>COUNTIFS('Database MK'!$G$5:$G$468,DATE(2026,10,1),'Database MK'!$D$5:$D$468,'Tree Okt 26'!$A$1&amp;" "&amp;'Tree Okt 26'!$A2,'Database MK'!$Q$5:$Q$468,'Tree Okt 26'!O$1)</f>
        <v>0</v>
      </c>
      <c r="P2" s="581">
        <f>COUNTIFS('Database MK'!$G$5:$G$468,DATE(2026,10,1),'Database MK'!$D$5:$D$468,'Tree Okt 26'!$A$1&amp;" "&amp;'Tree Okt 26'!$A2,'Database MK'!$Q$5:$Q$468,'Tree Okt 26'!P$1)</f>
        <v>0</v>
      </c>
      <c r="Q2" s="581">
        <f>COUNTIFS('Database MK'!$G$5:$G$468,DATE(2026,10,1),'Database MK'!$D$5:$D$468,'Tree Okt 26'!$A$1&amp;" "&amp;'Tree Okt 26'!$A2,'Database MK'!$Q$5:$Q$468,'Tree Okt 26'!Q$1)</f>
        <v>0</v>
      </c>
      <c r="R2" s="581">
        <f>COUNTIFS('Database MK'!$G$5:$G$468,DATE(2026,10,1),'Database MK'!$D$5:$D$468,'Tree Okt 26'!$A$1&amp;" "&amp;'Tree Okt 26'!$A2,'Database MK'!$Q$5:$Q$468,'Tree Okt 26'!R$1)</f>
        <v>0</v>
      </c>
      <c r="S2" s="581">
        <f>COUNTIFS('Database MK'!$G$5:$G$468,DATE(2026,10,1),'Database MK'!$D$5:$D$468,'Tree Okt 26'!$A$1&amp;" "&amp;'Tree Okt 26'!$A2,'Database MK'!$Q$5:$Q$468,'Tree Okt 26'!S$1)</f>
        <v>0</v>
      </c>
      <c r="Y2" s="898" t="s">
        <v>3770</v>
      </c>
      <c r="Z2" s="898"/>
      <c r="AA2" s="898"/>
      <c r="AB2" s="898"/>
      <c r="AC2" s="898"/>
      <c r="AD2" s="898"/>
      <c r="AE2" s="898"/>
      <c r="AF2" s="898"/>
      <c r="AG2" s="898"/>
      <c r="AH2" s="898"/>
      <c r="AI2" s="898"/>
      <c r="AJ2" s="898"/>
      <c r="AK2" s="898"/>
      <c r="AL2" s="898"/>
      <c r="AM2" s="898"/>
      <c r="AN2" s="898"/>
      <c r="AO2" s="898"/>
      <c r="AP2" s="898"/>
      <c r="AQ2" s="898"/>
      <c r="AR2" s="898"/>
    </row>
    <row r="3" spans="1:44" s="206" customFormat="1" ht="20.100000000000001" customHeight="1" thickBot="1" x14ac:dyDescent="0.3">
      <c r="A3" s="583" t="s">
        <v>3771</v>
      </c>
      <c r="B3" s="581">
        <f>COUNTIFS('Database MK'!$G$5:$G$468,DATE(2026,10,1),'Database MK'!$D$5:$D$468,'Tree Okt 26'!$A$1&amp;" "&amp;'Tree Okt 26'!$A3)</f>
        <v>0</v>
      </c>
      <c r="C3" s="581">
        <f>COUNTIFS('Database MK'!$G$5:$G$468,DATE(2026,10,1),'Database MK'!$D$5:$D$468,'Tree Okt 26'!$A$1&amp;" "&amp;'Tree Okt 26'!$A3,'Database MK'!$Q$5:$Q$468,'Tree Okt 26'!C$1)</f>
        <v>0</v>
      </c>
      <c r="D3" s="581">
        <f>COUNTIFS('Database MK'!$G$5:$G$468,DATE(2026,10,1),'Database MK'!$D$5:$D$468,'Tree Okt 26'!$A$1&amp;" "&amp;'Tree Okt 26'!$A3,'Database MK'!$Q$5:$Q$468,'Tree Okt 26'!D$1)</f>
        <v>0</v>
      </c>
      <c r="E3" s="581">
        <f>COUNTIFS('Database MK'!$G$5:$G$468,DATE(2026,10,1),'Database MK'!$D$5:$D$468,'Tree Okt 26'!$A$1&amp;" "&amp;'Tree Okt 26'!$A3,'Database MK'!$Q$5:$Q$468,'Tree Okt 26'!E$1)</f>
        <v>0</v>
      </c>
      <c r="F3" s="581">
        <f>COUNTIFS('Database MK'!$G$5:$G$468,DATE(2026,10,1),'Database MK'!$D$5:$D$468,'Tree Okt 26'!$A$1&amp;" "&amp;'Tree Okt 26'!$A3,'Database MK'!$Q$5:$Q$468,'Tree Okt 26'!F$1)</f>
        <v>0</v>
      </c>
      <c r="G3" s="581">
        <f>COUNTIFS('Database MK'!$G$5:$G$468,DATE(2026,10,1),'Database MK'!$D$5:$D$468,'Tree Okt 26'!$A$1&amp;" "&amp;'Tree Okt 26'!$A3,'Database MK'!$Q$5:$Q$468,'Tree Okt 26'!G$1)</f>
        <v>0</v>
      </c>
      <c r="H3" s="581">
        <f>COUNTIFS('Database MK'!$G$5:$G$468,DATE(2026,10,1),'Database MK'!$D$5:$D$468,'Tree Okt 26'!$A$1&amp;" "&amp;'Tree Okt 26'!$A3,'Database MK'!$Q$5:$Q$468,'Tree Okt 26'!H$1)</f>
        <v>0</v>
      </c>
      <c r="I3" s="581">
        <f>COUNTIFS('Database MK'!$G$5:$G$468,DATE(2026,10,1),'Database MK'!$D$5:$D$468,'Tree Okt 26'!$A$1&amp;" "&amp;'Tree Okt 26'!$A3,'Database MK'!$Q$5:$Q$468,'Tree Okt 26'!I$1)</f>
        <v>0</v>
      </c>
      <c r="J3" s="581">
        <f>COUNTIFS('Database MK'!$G$5:$G$468,DATE(2026,10,1),'Database MK'!$D$5:$D$468,'Tree Okt 26'!$A$1&amp;" "&amp;'Tree Okt 26'!$A3,'Database MK'!$Q$5:$Q$468,'Tree Okt 26'!J$1)</f>
        <v>0</v>
      </c>
      <c r="K3" s="581">
        <f>COUNTIFS('Database MK'!$G$5:$G$468,DATE(2026,10,1),'Database MK'!$D$5:$D$468,'Tree Okt 26'!$A$1&amp;" "&amp;'Tree Okt 26'!$A3,'Database MK'!$Q$5:$Q$468,'Tree Okt 26'!K$1)</f>
        <v>0</v>
      </c>
      <c r="L3" s="581">
        <f>COUNTIFS('Database MK'!$G$5:$G$468,DATE(2026,10,1),'Database MK'!$D$5:$D$468,'Tree Okt 26'!$A$1&amp;" "&amp;'Tree Okt 26'!$A3,'Database MK'!$Q$5:$Q$468,'Tree Okt 26'!L$1)</f>
        <v>0</v>
      </c>
      <c r="M3" s="581">
        <f>COUNTIFS('Database MK'!$G$5:$G$468,DATE(2026,10,1),'Database MK'!$D$5:$D$468,'Tree Okt 26'!$A$1&amp;" "&amp;'Tree Okt 26'!$A3,'Database MK'!$Q$5:$Q$468,'Tree Okt 26'!M$1)</f>
        <v>0</v>
      </c>
      <c r="N3" s="581">
        <f>COUNTIFS('Database MK'!$G$5:$G$468,DATE(2026,10,1),'Database MK'!$D$5:$D$468,'Tree Okt 26'!$A$1&amp;" "&amp;'Tree Okt 26'!$A3,'Database MK'!$Q$5:$Q$468,'Tree Okt 26'!N$1)</f>
        <v>0</v>
      </c>
      <c r="O3" s="581">
        <f>COUNTIFS('Database MK'!$G$5:$G$468,DATE(2026,10,1),'Database MK'!$D$5:$D$468,'Tree Okt 26'!$A$1&amp;" "&amp;'Tree Okt 26'!$A3,'Database MK'!$Q$5:$Q$468,'Tree Okt 26'!O$1)</f>
        <v>0</v>
      </c>
      <c r="P3" s="581">
        <f>COUNTIFS('Database MK'!$G$5:$G$468,DATE(2026,10,1),'Database MK'!$D$5:$D$468,'Tree Okt 26'!$A$1&amp;" "&amp;'Tree Okt 26'!$A3,'Database MK'!$Q$5:$Q$468,'Tree Okt 26'!P$1)</f>
        <v>0</v>
      </c>
      <c r="Q3" s="581">
        <f>COUNTIFS('Database MK'!$G$5:$G$468,DATE(2026,10,1),'Database MK'!$D$5:$D$468,'Tree Okt 26'!$A$1&amp;" "&amp;'Tree Okt 26'!$A3,'Database MK'!$Q$5:$Q$468,'Tree Okt 26'!Q$1)</f>
        <v>0</v>
      </c>
      <c r="R3" s="581">
        <f>COUNTIFS('Database MK'!$G$5:$G$468,DATE(2026,10,1),'Database MK'!$D$5:$D$468,'Tree Okt 26'!$A$1&amp;" "&amp;'Tree Okt 26'!$A3,'Database MK'!$Q$5:$Q$468,'Tree Okt 26'!R$1)</f>
        <v>0</v>
      </c>
      <c r="S3" s="581">
        <f>COUNTIFS('Database MK'!$G$5:$G$468,DATE(2026,10,1),'Database MK'!$D$5:$D$468,'Tree Okt 26'!$A$1&amp;" "&amp;'Tree Okt 26'!$A3,'Database MK'!$Q$5:$Q$468,'Tree Okt 26'!S$1)</f>
        <v>0</v>
      </c>
      <c r="Y3" s="207"/>
      <c r="Z3" s="207"/>
    </row>
    <row r="4" spans="1:44" s="206" customFormat="1" ht="15" customHeight="1" x14ac:dyDescent="0.25">
      <c r="A4" s="583" t="s">
        <v>3772</v>
      </c>
      <c r="B4" s="581">
        <f>COUNTIFS('Database MK'!$G$5:$G$468,DATE(2026,10,1),'Database MK'!$D$5:$D$468,'Tree Okt 26'!$A$1&amp;" "&amp;'Tree Okt 26'!$A4)</f>
        <v>0</v>
      </c>
      <c r="C4" s="581">
        <f>COUNTIFS('Database MK'!$G$5:$G$468,DATE(2026,10,1),'Database MK'!$D$5:$D$468,'Tree Okt 26'!$A$1&amp;" "&amp;'Tree Okt 26'!$A4,'Database MK'!$Q$5:$Q$468,'Tree Okt 26'!C$1)</f>
        <v>0</v>
      </c>
      <c r="D4" s="581">
        <f>COUNTIFS('Database MK'!$G$5:$G$468,DATE(2026,10,1),'Database MK'!$D$5:$D$468,'Tree Okt 26'!$A$1&amp;" "&amp;'Tree Okt 26'!$A4,'Database MK'!$Q$5:$Q$468,'Tree Okt 26'!D$1)</f>
        <v>0</v>
      </c>
      <c r="E4" s="581">
        <f>COUNTIFS('Database MK'!$G$5:$G$468,DATE(2026,10,1),'Database MK'!$D$5:$D$468,'Tree Okt 26'!$A$1&amp;" "&amp;'Tree Okt 26'!$A4,'Database MK'!$Q$5:$Q$468,'Tree Okt 26'!E$1)</f>
        <v>0</v>
      </c>
      <c r="F4" s="581">
        <f>COUNTIFS('Database MK'!$G$5:$G$468,DATE(2026,10,1),'Database MK'!$D$5:$D$468,'Tree Okt 26'!$A$1&amp;" "&amp;'Tree Okt 26'!$A4,'Database MK'!$Q$5:$Q$468,'Tree Okt 26'!F$1)</f>
        <v>0</v>
      </c>
      <c r="G4" s="581">
        <f>COUNTIFS('Database MK'!$G$5:$G$468,DATE(2026,10,1),'Database MK'!$D$5:$D$468,'Tree Okt 26'!$A$1&amp;" "&amp;'Tree Okt 26'!$A4,'Database MK'!$Q$5:$Q$468,'Tree Okt 26'!G$1)</f>
        <v>0</v>
      </c>
      <c r="H4" s="581">
        <f>COUNTIFS('Database MK'!$G$5:$G$468,DATE(2026,10,1),'Database MK'!$D$5:$D$468,'Tree Okt 26'!$A$1&amp;" "&amp;'Tree Okt 26'!$A4,'Database MK'!$Q$5:$Q$468,'Tree Okt 26'!H$1)</f>
        <v>0</v>
      </c>
      <c r="I4" s="581">
        <f>COUNTIFS('Database MK'!$G$5:$G$468,DATE(2026,10,1),'Database MK'!$D$5:$D$468,'Tree Okt 26'!$A$1&amp;" "&amp;'Tree Okt 26'!$A4,'Database MK'!$Q$5:$Q$468,'Tree Okt 26'!I$1)</f>
        <v>0</v>
      </c>
      <c r="J4" s="581">
        <f>COUNTIFS('Database MK'!$G$5:$G$468,DATE(2026,10,1),'Database MK'!$D$5:$D$468,'Tree Okt 26'!$A$1&amp;" "&amp;'Tree Okt 26'!$A4,'Database MK'!$Q$5:$Q$468,'Tree Okt 26'!J$1)</f>
        <v>0</v>
      </c>
      <c r="K4" s="581">
        <f>COUNTIFS('Database MK'!$G$5:$G$468,DATE(2026,10,1),'Database MK'!$D$5:$D$468,'Tree Okt 26'!$A$1&amp;" "&amp;'Tree Okt 26'!$A4,'Database MK'!$Q$5:$Q$468,'Tree Okt 26'!K$1)</f>
        <v>0</v>
      </c>
      <c r="L4" s="581">
        <f>COUNTIFS('Database MK'!$G$5:$G$468,DATE(2026,10,1),'Database MK'!$D$5:$D$468,'Tree Okt 26'!$A$1&amp;" "&amp;'Tree Okt 26'!$A4,'Database MK'!$Q$5:$Q$468,'Tree Okt 26'!L$1)</f>
        <v>0</v>
      </c>
      <c r="M4" s="581">
        <f>COUNTIFS('Database MK'!$G$5:$G$468,DATE(2026,10,1),'Database MK'!$D$5:$D$468,'Tree Okt 26'!$A$1&amp;" "&amp;'Tree Okt 26'!$A4,'Database MK'!$Q$5:$Q$468,'Tree Okt 26'!M$1)</f>
        <v>0</v>
      </c>
      <c r="N4" s="581">
        <f>COUNTIFS('Database MK'!$G$5:$G$468,DATE(2026,10,1),'Database MK'!$D$5:$D$468,'Tree Okt 26'!$A$1&amp;" "&amp;'Tree Okt 26'!$A4,'Database MK'!$Q$5:$Q$468,'Tree Okt 26'!N$1)</f>
        <v>0</v>
      </c>
      <c r="O4" s="581">
        <f>COUNTIFS('Database MK'!$G$5:$G$468,DATE(2026,10,1),'Database MK'!$D$5:$D$468,'Tree Okt 26'!$A$1&amp;" "&amp;'Tree Okt 26'!$A4,'Database MK'!$Q$5:$Q$468,'Tree Okt 26'!O$1)</f>
        <v>0</v>
      </c>
      <c r="P4" s="581">
        <f>COUNTIFS('Database MK'!$G$5:$G$468,DATE(2026,10,1),'Database MK'!$D$5:$D$468,'Tree Okt 26'!$A$1&amp;" "&amp;'Tree Okt 26'!$A4,'Database MK'!$Q$5:$Q$468,'Tree Okt 26'!P$1)</f>
        <v>0</v>
      </c>
      <c r="Q4" s="581">
        <f>COUNTIFS('Database MK'!$G$5:$G$468,DATE(2026,10,1),'Database MK'!$D$5:$D$468,'Tree Okt 26'!$A$1&amp;" "&amp;'Tree Okt 26'!$A4,'Database MK'!$Q$5:$Q$468,'Tree Okt 26'!Q$1)</f>
        <v>0</v>
      </c>
      <c r="R4" s="581">
        <f>COUNTIFS('Database MK'!$G$5:$G$468,DATE(2026,10,1),'Database MK'!$D$5:$D$468,'Tree Okt 26'!$A$1&amp;" "&amp;'Tree Okt 26'!$A4,'Database MK'!$Q$5:$Q$468,'Tree Okt 26'!R$1)</f>
        <v>0</v>
      </c>
      <c r="S4" s="581">
        <f>COUNTIFS('Database MK'!$G$5:$G$468,DATE(2026,10,1),'Database MK'!$D$5:$D$468,'Tree Okt 26'!$A$1&amp;" "&amp;'Tree Okt 26'!$A4,'Database MK'!$Q$5:$Q$468,'Tree Okt 26'!S$1)</f>
        <v>0</v>
      </c>
      <c r="U4" s="903" t="s">
        <v>3773</v>
      </c>
      <c r="V4" s="208"/>
      <c r="W4" s="909" t="s">
        <v>3774</v>
      </c>
      <c r="X4" s="208"/>
      <c r="Y4" s="905" t="s">
        <v>3534</v>
      </c>
      <c r="Z4" s="906"/>
      <c r="AA4" s="209"/>
      <c r="AB4" s="899" t="s">
        <v>3775</v>
      </c>
      <c r="AC4" s="900"/>
      <c r="AD4" s="210"/>
      <c r="AE4" s="899" t="s">
        <v>3537</v>
      </c>
      <c r="AF4" s="900"/>
      <c r="AG4" s="210"/>
      <c r="AH4" s="899" t="s">
        <v>3499</v>
      </c>
      <c r="AI4" s="900"/>
      <c r="AJ4" s="210"/>
      <c r="AK4" s="899" t="s">
        <v>3776</v>
      </c>
      <c r="AL4" s="900"/>
      <c r="AM4" s="210"/>
      <c r="AN4" s="899" t="s">
        <v>1819</v>
      </c>
      <c r="AO4" s="900"/>
      <c r="AP4" s="210"/>
      <c r="AQ4" s="899" t="s">
        <v>944</v>
      </c>
      <c r="AR4" s="900"/>
    </row>
    <row r="5" spans="1:44" s="206" customFormat="1" ht="15" customHeight="1" thickBot="1" x14ac:dyDescent="0.3">
      <c r="U5" s="904"/>
      <c r="V5" s="211"/>
      <c r="W5" s="910"/>
      <c r="X5" s="211"/>
      <c r="Y5" s="907"/>
      <c r="Z5" s="908"/>
      <c r="AA5" s="212"/>
      <c r="AB5" s="901"/>
      <c r="AC5" s="902"/>
      <c r="AD5" s="213"/>
      <c r="AE5" s="901"/>
      <c r="AF5" s="902"/>
      <c r="AG5" s="213"/>
      <c r="AH5" s="901"/>
      <c r="AI5" s="902"/>
      <c r="AJ5" s="213"/>
      <c r="AK5" s="901"/>
      <c r="AL5" s="902"/>
      <c r="AM5" s="213"/>
      <c r="AN5" s="901"/>
      <c r="AO5" s="902"/>
      <c r="AP5" s="213"/>
      <c r="AQ5" s="901"/>
      <c r="AR5" s="902"/>
    </row>
    <row r="6" spans="1:44" s="214" customFormat="1" ht="20.100000000000001" customHeight="1" x14ac:dyDescent="0.25">
      <c r="U6" s="896">
        <f>COUNTIFS('Database MK'!$G:$G,DATE(2026,10,1))</f>
        <v>0</v>
      </c>
      <c r="W6" s="896">
        <f>COUNTIFS('Database MK'!$G:$G,DATE(2026,10,1),'Database MK'!$Q:$Q,"&lt;&gt;BATAL / CANCEL")</f>
        <v>0</v>
      </c>
      <c r="Y6" s="215" t="s">
        <v>260</v>
      </c>
      <c r="Z6" s="215" t="s">
        <v>3570</v>
      </c>
      <c r="AB6" s="216" t="s">
        <v>260</v>
      </c>
      <c r="AC6" s="216" t="s">
        <v>3570</v>
      </c>
      <c r="AE6" s="216" t="s">
        <v>260</v>
      </c>
      <c r="AF6" s="216" t="s">
        <v>3570</v>
      </c>
      <c r="AH6" s="216" t="s">
        <v>260</v>
      </c>
      <c r="AI6" s="216" t="s">
        <v>3570</v>
      </c>
      <c r="AK6" s="216" t="s">
        <v>260</v>
      </c>
      <c r="AL6" s="216" t="s">
        <v>3570</v>
      </c>
      <c r="AN6" s="216" t="s">
        <v>260</v>
      </c>
      <c r="AO6" s="216" t="s">
        <v>3570</v>
      </c>
      <c r="AQ6" s="216" t="s">
        <v>260</v>
      </c>
      <c r="AR6" s="216" t="s">
        <v>3570</v>
      </c>
    </row>
    <row r="7" spans="1:44" s="214" customFormat="1" ht="16.5" thickBot="1" x14ac:dyDescent="0.3">
      <c r="G7"/>
      <c r="H7"/>
      <c r="I7"/>
      <c r="J7"/>
      <c r="K7"/>
      <c r="U7" s="897"/>
      <c r="W7" s="897"/>
      <c r="Y7" s="217">
        <f>Y10+Y12</f>
        <v>0</v>
      </c>
      <c r="Z7" s="217">
        <f>Z10+Z12</f>
        <v>0</v>
      </c>
      <c r="AB7" s="217">
        <f>AB10+AB12</f>
        <v>0</v>
      </c>
      <c r="AC7" s="217">
        <f>AC10+AC12</f>
        <v>0</v>
      </c>
      <c r="AE7" s="217">
        <f>AE10+AE12</f>
        <v>0</v>
      </c>
      <c r="AF7" s="217">
        <f>AF10+AF12</f>
        <v>0</v>
      </c>
      <c r="AH7" s="217">
        <f>AH10+AH12</f>
        <v>0</v>
      </c>
      <c r="AI7" s="217">
        <f>AI10+AI12</f>
        <v>0</v>
      </c>
      <c r="AK7" s="217">
        <f>AK10+AK12</f>
        <v>0</v>
      </c>
      <c r="AL7" s="217">
        <f>AL10+AL12</f>
        <v>0</v>
      </c>
      <c r="AN7" s="217">
        <f>AN10+AN12</f>
        <v>0</v>
      </c>
      <c r="AO7" s="217">
        <f>AO10+AO12</f>
        <v>0</v>
      </c>
      <c r="AQ7" s="217">
        <f>AQ10+AQ12</f>
        <v>0</v>
      </c>
      <c r="AR7" s="217">
        <f>AR10+AR12</f>
        <v>0</v>
      </c>
    </row>
    <row r="8" spans="1:44" s="214" customFormat="1" ht="20.100000000000001" customHeight="1" thickBot="1" x14ac:dyDescent="0.3">
      <c r="G8"/>
      <c r="H8"/>
      <c r="I8"/>
      <c r="J8"/>
      <c r="K8"/>
      <c r="W8" s="219"/>
      <c r="Y8" s="218"/>
      <c r="Z8" s="219"/>
      <c r="AB8" s="218"/>
      <c r="AC8" s="219"/>
      <c r="AE8" s="218"/>
      <c r="AF8" s="219"/>
      <c r="AH8" s="218"/>
      <c r="AI8" s="219"/>
      <c r="AK8" s="218"/>
      <c r="AL8" s="219"/>
      <c r="AN8" s="218"/>
      <c r="AO8" s="219"/>
      <c r="AQ8" s="218"/>
      <c r="AR8" s="219"/>
    </row>
    <row r="9" spans="1:44" s="214" customFormat="1" ht="20.100000000000001" customHeight="1" x14ac:dyDescent="0.25">
      <c r="G9"/>
      <c r="H9"/>
      <c r="I9"/>
      <c r="J9"/>
      <c r="K9"/>
      <c r="W9" s="894" t="s">
        <v>3777</v>
      </c>
      <c r="Y9" s="220" t="s">
        <v>3568</v>
      </c>
      <c r="Z9" s="220" t="s">
        <v>3568</v>
      </c>
      <c r="AB9" s="221" t="s">
        <v>3568</v>
      </c>
      <c r="AC9" s="221" t="s">
        <v>3568</v>
      </c>
      <c r="AE9" s="221" t="s">
        <v>3568</v>
      </c>
      <c r="AF9" s="221" t="s">
        <v>3568</v>
      </c>
      <c r="AH9" s="221" t="s">
        <v>3568</v>
      </c>
      <c r="AI9" s="221" t="s">
        <v>3568</v>
      </c>
      <c r="AK9" s="221" t="s">
        <v>3568</v>
      </c>
      <c r="AL9" s="221" t="s">
        <v>3568</v>
      </c>
      <c r="AN9" s="221" t="s">
        <v>3568</v>
      </c>
      <c r="AO9" s="221" t="s">
        <v>3568</v>
      </c>
      <c r="AQ9" s="221" t="s">
        <v>3568</v>
      </c>
      <c r="AR9" s="221" t="s">
        <v>3568</v>
      </c>
    </row>
    <row r="10" spans="1:44" s="214" customFormat="1" ht="20.100000000000001" customHeight="1" thickBot="1" x14ac:dyDescent="0.3">
      <c r="G10"/>
      <c r="H10"/>
      <c r="I10"/>
      <c r="J10"/>
      <c r="K10"/>
      <c r="W10" s="895"/>
      <c r="Y10" s="222">
        <f>COUNTIFS('Database MK'!$G:$G,DATE(2026,10,1),'Database MK'!$GA:$GA,"Sudah, OnSchedule",'Database MK'!$Q:$Q,"&lt;&gt;BATAL / CANCEL")</f>
        <v>0</v>
      </c>
      <c r="Z10" s="222">
        <f>COUNTIFS('Database MK'!$G:$G,DATE(2026,10,1),'Database MK'!$GA:$GA,"Belum, OnSchedule",'Database MK'!$Q:$Q,"&lt;&gt;BATAL / CANCEL")</f>
        <v>0</v>
      </c>
      <c r="AB10" s="222">
        <f>COUNTIFS('Database MK'!$G:$G,DATE(2026,10,1),'Database MK'!$GD:$GD,"Sudah, OnSchedule",'Database MK'!$Q:$Q,"&lt;&gt;BATAL / CANCEL")</f>
        <v>0</v>
      </c>
      <c r="AC10" s="222">
        <f>COUNTIFS('Database MK'!$G:$G,DATE(2026,10,1),'Database MK'!$GD:$GD,"Belum, OnSchedule",'Database MK'!$Q:$Q,"&lt;&gt;BATAL / CANCEL")</f>
        <v>0</v>
      </c>
      <c r="AE10" s="222">
        <f>COUNTIFS('Database MK'!$G:$G,DATE(2026,10,1),'Database MK'!$GK:$GK,"Sudah, OnSchedule",'Database MK'!$Q:$Q,"&lt;&gt;BATAL / CANCEL")</f>
        <v>0</v>
      </c>
      <c r="AF10" s="222">
        <f>COUNTIFS('Database MK'!$G:$G,DATE(2026,10,1),'Database MK'!$GK:$GK,"Belum, OnSchedule",'Database MK'!$Q:$Q,"&lt;&gt;BATAL / CANCEL")</f>
        <v>0</v>
      </c>
      <c r="AH10" s="222">
        <f>COUNTIFS('Database MK'!$G:$G,DATE(2026,10,1),'Database MK'!$W:$W,"&gt;0",'Database MK'!$U:$U,"&gt;0",'Database MK'!$Q:$Q,"&lt;&gt;BATAL / CANCEL")</f>
        <v>0</v>
      </c>
      <c r="AI10" s="222">
        <f>COUNTIFS('Database MK'!$G:$G,DATE(2026,10,1),'Database MK'!$W:$W,"&lt;=0",'Database MK'!$U:$U,"&gt;0",'Database MK'!$Q:$Q,"&lt;&gt;BATAL / CANCEL")</f>
        <v>0</v>
      </c>
      <c r="AK10" s="222">
        <f>COUNTIFS('Database MK'!$G:$G,DATE(2026,10,1),'Database MK'!$HH:$HH,"Sudah, OnSchedule",'Database MK'!$Q:$Q,"&lt;&gt;BATAL / CANCEL")</f>
        <v>0</v>
      </c>
      <c r="AL10" s="222">
        <f>COUNTIFS('Database MK'!$G:$G,DATE(2026,10,1),'Database MK'!$HH:$HH,"Belum, OnSchedule",'Database MK'!$Q:$Q,"&lt;&gt;BATAL / CANCEL")</f>
        <v>0</v>
      </c>
      <c r="AN10" s="222">
        <f>COUNTIFS('Database MK'!$G:$G,DATE(2026,10,1),'Database MK'!$HR:$HR,"Sudah, OnSchedule",'Database MK'!$Q:$Q,"&lt;&gt;BATAL / CANCEL")</f>
        <v>0</v>
      </c>
      <c r="AO10" s="222">
        <f>COUNTIFS('Database MK'!$G:$G,DATE(2026,10,1),'Database MK'!$HR:$HR,"Belum, OnSchedule",'Database MK'!$Q:$Q,"&lt;&gt;BATAL / CANCEL")</f>
        <v>0</v>
      </c>
      <c r="AQ10" s="222">
        <f>COUNTIFS('Database MK'!$G:$G,DATE(2026,10,1),'Database MK'!$HX:$HX,"Sudah, OnSchedule",'Database MK'!$Q:$Q,"&lt;&gt;BATAL / CANCEL")</f>
        <v>0</v>
      </c>
      <c r="AR10" s="222">
        <f>COUNTIFS('Database MK'!$G:$G,DATE(2026,10,1),'Database MK'!$HX:$HX,"Belum, OnSchedule",'Database MK'!$Q:$Q,"&lt;&gt;BATAL / CANCEL")</f>
        <v>0</v>
      </c>
    </row>
    <row r="11" spans="1:44" s="214" customFormat="1" ht="20.100000000000001" customHeight="1" x14ac:dyDescent="0.25">
      <c r="G11"/>
      <c r="H11"/>
      <c r="I11"/>
      <c r="J11"/>
      <c r="K11"/>
      <c r="W11" s="896">
        <f>COUNTIFS('Database MK'!$G:$G,DATE(2026,10,1),'Database MK'!$Q:$Q,"BATAL / CANCEL")</f>
        <v>0</v>
      </c>
      <c r="Y11" s="220" t="s">
        <v>3569</v>
      </c>
      <c r="Z11" s="220" t="s">
        <v>3569</v>
      </c>
      <c r="AB11" s="221" t="s">
        <v>3569</v>
      </c>
      <c r="AC11" s="221" t="s">
        <v>3569</v>
      </c>
      <c r="AE11" s="221" t="s">
        <v>3569</v>
      </c>
      <c r="AF11" s="221" t="s">
        <v>3569</v>
      </c>
      <c r="AH11" s="221" t="s">
        <v>3569</v>
      </c>
      <c r="AI11" s="221" t="s">
        <v>3569</v>
      </c>
      <c r="AK11" s="221" t="s">
        <v>3569</v>
      </c>
      <c r="AL11" s="221" t="s">
        <v>3569</v>
      </c>
      <c r="AN11" s="221" t="s">
        <v>3569</v>
      </c>
      <c r="AO11" s="221" t="s">
        <v>3569</v>
      </c>
      <c r="AQ11" s="221" t="s">
        <v>3569</v>
      </c>
      <c r="AR11" s="221" t="s">
        <v>3569</v>
      </c>
    </row>
    <row r="12" spans="1:44" s="214" customFormat="1" ht="20.100000000000001" customHeight="1" thickBot="1" x14ac:dyDescent="0.3">
      <c r="W12" s="897"/>
      <c r="Y12" s="222">
        <f>COUNTIFS('Database MK'!$G:$G,DATE(2026,10,1),'Database MK'!$GA:$GA,"Sudah, Delay",'Database MK'!$Q:$Q,"&lt;&gt;BATAL / CANCEL")</f>
        <v>0</v>
      </c>
      <c r="Z12" s="222">
        <f>COUNTIFS('Database MK'!$G:$G,DATE(2026,10,1),'Database MK'!$GA:$GA,"Belum, Delay",'Database MK'!$Q:$Q,"&lt;&gt;BATAL / CANCEL")</f>
        <v>0</v>
      </c>
      <c r="AB12" s="222">
        <f>COUNTIFS('Database MK'!$G:$G,DATE(2026,10,1),'Database MK'!$GD:$GD,"Sudah, Delay",'Database MK'!$Q:$Q,"&lt;&gt;BATAL / CANCEL")</f>
        <v>0</v>
      </c>
      <c r="AC12" s="222">
        <f>COUNTIFS('Database MK'!$G:$G,DATE(2026,10,1),'Database MK'!$GD:$GD,"Belum, Delay",'Database MK'!$Q:$Q,"&lt;&gt;BATAL / CANCEL")</f>
        <v>0</v>
      </c>
      <c r="AE12" s="222">
        <f>COUNTIFS('Database MK'!$G:$G,DATE(2026,10,1),'Database MK'!$GK:$GK,"Sudah, Delay",'Database MK'!$Q:$Q,"&lt;&gt;BATAL / CANCEL")</f>
        <v>0</v>
      </c>
      <c r="AF12" s="222">
        <f>COUNTIFS('Database MK'!$G:$G,DATE(2026,10,1),'Database MK'!$GK:$GK,"Belum, Delay",'Database MK'!$Q:$Q,"&lt;&gt;BATAL / CANCEL")</f>
        <v>0</v>
      </c>
      <c r="AH12" s="222">
        <f>COUNTIFS('Database MK'!$G:$G,DATE(2026,10,1),'Database MK'!$W:$W,"&gt;0",'Database MK'!$U:$U,"&lt;=0",'Database MK'!$Q:$Q,"&lt;&gt;BATAL / CANCEL")</f>
        <v>0</v>
      </c>
      <c r="AI12" s="222">
        <f>COUNTIFS('Database MK'!$G:$G,DATE(2026,10,1),'Database MK'!$W:$W,"&lt;=0",'Database MK'!$U:$U,"&lt;=0",'Database MK'!$Q:$Q,"&lt;&gt;BATAL / CANCEL")</f>
        <v>0</v>
      </c>
      <c r="AK12" s="222">
        <f>COUNTIFS('Database MK'!$G:$G,DATE(2026,10,1),'Database MK'!$HH:$HH,"Sudah, Delay",'Database MK'!$Q:$Q,"&lt;&gt;BATAL / CANCEL")</f>
        <v>0</v>
      </c>
      <c r="AL12" s="222">
        <f>COUNTIFS('Database MK'!$G:$G,DATE(2026,10,1),'Database MK'!$HH:$HH,"Belum, Delay",'Database MK'!$Q:$Q,"&lt;&gt;BATAL / CANCEL")</f>
        <v>0</v>
      </c>
      <c r="AN12" s="222">
        <f>COUNTIFS('Database MK'!$G:$G,DATE(2026,10,1),'Database MK'!$HR:$HR,"Sudah, Delay",'Database MK'!$Q:$Q,"&lt;&gt;BATAL / CANCEL")</f>
        <v>0</v>
      </c>
      <c r="AO12" s="222">
        <f>COUNTIFS('Database MK'!$G:$G,DATE(2026,10,1),'Database MK'!$HR:$HR,"Belum, Delay",'Database MK'!$Q:$Q,"&lt;&gt;BATAL / CANCEL")</f>
        <v>0</v>
      </c>
      <c r="AQ12" s="222">
        <f>COUNTIFS('Database MK'!$G:$G,DATE(2026,10,1),'Database MK'!$HX:$HX,"Sudah, Delay",'Database MK'!$Q:$Q,"&lt;&gt;BATAL / CANCEL")</f>
        <v>0</v>
      </c>
      <c r="AR12" s="222">
        <f>COUNTIFS('Database MK'!$G:$G,DATE(2026,10,1),'Database MK'!$HX:$HX,"Belum, Delay",'Database MK'!$Q:$Q,"&lt;&gt;BATAL / CANCEL")</f>
        <v>0</v>
      </c>
    </row>
    <row r="13" spans="1:44" ht="31.5" x14ac:dyDescent="0.25">
      <c r="A13" s="581" t="s">
        <v>3565</v>
      </c>
      <c r="B13" s="581" t="s">
        <v>3598</v>
      </c>
      <c r="C13" s="582" t="s">
        <v>389</v>
      </c>
      <c r="D13" s="582" t="s">
        <v>3600</v>
      </c>
      <c r="E13" s="582" t="s">
        <v>3499</v>
      </c>
      <c r="F13" s="582" t="s">
        <v>3601</v>
      </c>
    </row>
    <row r="14" spans="1:44" ht="15.75" x14ac:dyDescent="0.25">
      <c r="A14" s="583" t="s">
        <v>3769</v>
      </c>
      <c r="B14" s="581">
        <f>COUNTIFS('Database MK'!$G$5:$G$468,DATE(2026,10,1),'Database MK'!$D$5:$D$468,$A$13&amp;" "&amp;'Tree Okt 26'!$A14)</f>
        <v>0</v>
      </c>
      <c r="C14" s="581">
        <f>COUNTIFS('Database MK'!$G$5:$G$468,DATE(2026,10,1),'Database MK'!$D$5:$D$468,$A$13&amp;" "&amp;'Tree Okt 26'!$A14,'Database MK'!$Q$5:$Q$468,C$13)</f>
        <v>0</v>
      </c>
      <c r="D14" s="581">
        <f>SUM('Tree Okt 26'!D2:N2)</f>
        <v>0</v>
      </c>
      <c r="E14" s="581">
        <f>'Tree Okt 26'!O2</f>
        <v>0</v>
      </c>
      <c r="F14" s="581">
        <f>SUM('Tree Okt 26'!P2:S2)</f>
        <v>0</v>
      </c>
    </row>
    <row r="15" spans="1:44" ht="15.75" x14ac:dyDescent="0.25">
      <c r="A15" s="583" t="s">
        <v>3771</v>
      </c>
      <c r="B15" s="581">
        <f>COUNTIFS('Database MK'!$G$5:$G$468,DATE(2026,10,1),'Database MK'!$D$5:$D$468,$A$13&amp;" "&amp;'Tree Okt 26'!$A15)</f>
        <v>0</v>
      </c>
      <c r="C15" s="581">
        <f>COUNTIFS('Database MK'!$G$5:$G$468,DATE(2026,10,1),'Database MK'!$D$5:$D$468,$A$13&amp;" "&amp;'Tree Okt 26'!$A15,'Database MK'!$Q$5:$Q$468,C$13)</f>
        <v>0</v>
      </c>
      <c r="D15" s="581">
        <f>SUM('Tree Okt 26'!D3:N3)</f>
        <v>0</v>
      </c>
      <c r="E15" s="581">
        <f>'Tree Okt 26'!O3</f>
        <v>0</v>
      </c>
      <c r="F15" s="581">
        <f>SUM('Tree Okt 26'!P3:S3)</f>
        <v>0</v>
      </c>
    </row>
    <row r="16" spans="1:44" ht="15.75" x14ac:dyDescent="0.25">
      <c r="A16" s="583" t="s">
        <v>3772</v>
      </c>
      <c r="B16" s="581">
        <f>COUNTIFS('Database MK'!$G$5:$G$468,DATE(2026,10,1),'Database MK'!$D$5:$D$468,$A$13&amp;" "&amp;'Tree Okt 26'!$A16)</f>
        <v>0</v>
      </c>
      <c r="C16" s="581">
        <f>COUNTIFS('Database MK'!$G$5:$G$468,DATE(2026,10,1),'Database MK'!$D$5:$D$468,$A$13&amp;" "&amp;'Tree Okt 26'!$A16,'Database MK'!$Q$5:$Q$468,C$13)</f>
        <v>0</v>
      </c>
      <c r="D16" s="581">
        <f>SUM('Tree Okt 26'!D4:N4)</f>
        <v>0</v>
      </c>
      <c r="E16" s="581">
        <f>'Tree Okt 26'!O4</f>
        <v>0</v>
      </c>
      <c r="F16" s="581">
        <f>SUM('Tree Okt 26'!P4:S4)</f>
        <v>0</v>
      </c>
    </row>
    <row r="17" spans="1:34" ht="15.75" x14ac:dyDescent="0.25">
      <c r="A17" s="581" t="s">
        <v>3595</v>
      </c>
      <c r="B17" s="581">
        <f>SUM(B14:B16)</f>
        <v>0</v>
      </c>
      <c r="C17" s="581">
        <f>SUM(C14:C16)</f>
        <v>0</v>
      </c>
      <c r="D17" s="581">
        <f>SUM(D14:D16)</f>
        <v>0</v>
      </c>
      <c r="E17" s="581">
        <f>SUM(E14:E16)</f>
        <v>0</v>
      </c>
      <c r="F17" s="581">
        <f>SUM(F14:F16)</f>
        <v>0</v>
      </c>
    </row>
    <row r="18" spans="1:34" ht="15.75" x14ac:dyDescent="0.25">
      <c r="A18" s="214"/>
      <c r="B18" s="214"/>
      <c r="C18" s="214"/>
      <c r="D18" s="214"/>
      <c r="E18" s="214"/>
      <c r="F18" s="214"/>
      <c r="T18"/>
      <c r="AG18"/>
      <c r="AH18"/>
    </row>
    <row r="19" spans="1:34" x14ac:dyDescent="0.25">
      <c r="T19"/>
      <c r="AG19"/>
      <c r="AH19"/>
    </row>
    <row r="20" spans="1:34" x14ac:dyDescent="0.25">
      <c r="T20"/>
      <c r="AG20"/>
      <c r="AH20"/>
    </row>
    <row r="21" spans="1:34" x14ac:dyDescent="0.25">
      <c r="T21"/>
      <c r="AG21"/>
      <c r="AH21"/>
    </row>
    <row r="22" spans="1:34" ht="15.75" x14ac:dyDescent="0.25">
      <c r="A22" s="286" t="s">
        <v>3778</v>
      </c>
      <c r="B22" s="772" t="s">
        <v>3598</v>
      </c>
      <c r="C22" s="286" t="s">
        <v>3570</v>
      </c>
      <c r="D22" s="286" t="s">
        <v>3779</v>
      </c>
      <c r="E22" s="286" t="s">
        <v>3738</v>
      </c>
      <c r="T22"/>
      <c r="AG22"/>
      <c r="AH22"/>
    </row>
    <row r="23" spans="1:34" x14ac:dyDescent="0.25">
      <c r="A23" s="286" t="s">
        <v>3780</v>
      </c>
      <c r="B23" s="286">
        <f>SUM(C23:E23)</f>
        <v>96</v>
      </c>
      <c r="C23" s="286">
        <f>'Summary PR PO GR'!AM24</f>
        <v>3</v>
      </c>
      <c r="D23" s="286">
        <f>SUM('Summary PR PO GR'!AK24:AL24)</f>
        <v>69</v>
      </c>
      <c r="E23" s="286">
        <f>'Summary PR PO GR'!AJ24</f>
        <v>24</v>
      </c>
      <c r="T23"/>
      <c r="AG23"/>
      <c r="AH23"/>
    </row>
    <row r="24" spans="1:34" x14ac:dyDescent="0.25">
      <c r="A24" s="286" t="s">
        <v>3533</v>
      </c>
      <c r="B24" s="286">
        <f t="shared" ref="B24:B27" si="0">SUM(C24:E24)</f>
        <v>96</v>
      </c>
      <c r="C24" s="286">
        <f>'Summary PR PO GR'!AS24</f>
        <v>4</v>
      </c>
      <c r="D24" s="286">
        <f>SUM('Summary PR PO GR'!AQ24:AR24)</f>
        <v>92</v>
      </c>
      <c r="E24" s="286">
        <f>'Summary PR PO GR'!AP24</f>
        <v>0</v>
      </c>
      <c r="T24"/>
      <c r="AG24"/>
      <c r="AH24"/>
    </row>
    <row r="25" spans="1:34" x14ac:dyDescent="0.25">
      <c r="A25" s="286" t="s">
        <v>3660</v>
      </c>
      <c r="B25" s="286">
        <f t="shared" si="0"/>
        <v>96</v>
      </c>
      <c r="C25" s="286">
        <v>0</v>
      </c>
      <c r="D25" s="286">
        <f>COUNTIFS('Database MK'!$EZ$345:$EZ$440,"&lt;&gt;0.Tidak diperlukan Izin IPPJU",'Database MK'!$EZ$345:$EZ$440,"&lt;&gt;10.Izin Terbit")</f>
        <v>84</v>
      </c>
      <c r="E25" s="286" cm="1">
        <f t="array" ref="E25">SUM(COUNTIF('Database MK'!$EZ$345:$EZ$440,{"0.Tidak diperlukan Izin IPPJU";"10.Izin Terbit"}))</f>
        <v>12</v>
      </c>
      <c r="T25"/>
      <c r="AG25"/>
      <c r="AH25"/>
    </row>
    <row r="26" spans="1:34" x14ac:dyDescent="0.25">
      <c r="A26" s="286" t="s">
        <v>3781</v>
      </c>
      <c r="B26" s="286">
        <f t="shared" ca="1" si="0"/>
        <v>96</v>
      </c>
      <c r="C26" s="286">
        <f>COUNTIFS('Database MK'!W345:W440,"=0")</f>
        <v>77</v>
      </c>
      <c r="D26" s="286">
        <f ca="1">COUNTIFS('Database MK'!$Q$345:$Q$440,"Proses Konstruksi")</f>
        <v>13</v>
      </c>
      <c r="E26" s="286" cm="1">
        <f t="array" aca="1" ref="E26" ca="1">SUM(COUNTIF('Database MK'!$Q$345:$Q$440,{"DPPP";"MC-100";"Tes Com";"Flushing"}))</f>
        <v>6</v>
      </c>
      <c r="T26"/>
      <c r="AG26"/>
      <c r="AH26"/>
    </row>
    <row r="27" spans="1:34" x14ac:dyDescent="0.25">
      <c r="A27" s="286" t="s">
        <v>1819</v>
      </c>
      <c r="B27" s="286">
        <f t="shared" ca="1" si="0"/>
        <v>96</v>
      </c>
      <c r="C27" s="286">
        <f ca="1">COUNTIFS('Database MK'!$Q$345:$Q$440,"&lt;&gt;DPPP",'Database MK'!$Q$345:$Q$440,"&lt;&gt;MC-100",'Database MK'!$Q$345:$Q$440,"&lt;&gt;Tes Com",'Database MK'!$Q$345:$Q$440,"&lt;&gt;Flushing")</f>
        <v>90</v>
      </c>
      <c r="D27" s="286" cm="1">
        <f t="array" aca="1" ref="D27" ca="1">SUM(COUNTIF('Database MK'!$Q$345:$Q$440,{"Flushing";"Tes Com"}))</f>
        <v>2</v>
      </c>
      <c r="E27" s="286" cm="1">
        <f t="array" aca="1" ref="E27" ca="1">SUM(COUNTIF('Database MK'!$Q$345:$Q$440,{"DPPP";"MC-100"}))</f>
        <v>4</v>
      </c>
      <c r="T27"/>
      <c r="AG27"/>
      <c r="AH27"/>
    </row>
    <row r="28" spans="1:34" x14ac:dyDescent="0.25">
      <c r="A28" s="286" t="s">
        <v>944</v>
      </c>
      <c r="B28" s="286">
        <f ca="1">SUM(C28:E28)</f>
        <v>96</v>
      </c>
      <c r="C28" s="286">
        <f ca="1">COUNTIFS('Database MK'!$Q$345:$Q$440,"&lt;&gt;DPPP",'Database MK'!$Q$345:$Q$440,"&lt;&gt;MC-100")</f>
        <v>92</v>
      </c>
      <c r="D28" s="286">
        <f ca="1">SUM(COUNTIF('Database MK'!$Q$345:$Q$440,"MC-100"))</f>
        <v>0</v>
      </c>
      <c r="E28" s="286">
        <f ca="1">COUNTIFS('Database MK'!$Q$345:$Q$440,"DPPP")</f>
        <v>4</v>
      </c>
      <c r="T28"/>
      <c r="AG28"/>
      <c r="AH28"/>
    </row>
    <row r="29" spans="1:34" x14ac:dyDescent="0.25">
      <c r="T29"/>
      <c r="AG29"/>
      <c r="AH29"/>
    </row>
    <row r="30" spans="1:34" x14ac:dyDescent="0.25">
      <c r="T30"/>
      <c r="AG30"/>
      <c r="AH30"/>
    </row>
    <row r="31" spans="1:34" x14ac:dyDescent="0.25">
      <c r="T31"/>
      <c r="AG31"/>
      <c r="AH31"/>
    </row>
    <row r="32" spans="1:34" x14ac:dyDescent="0.25">
      <c r="T32"/>
      <c r="AG32"/>
      <c r="AH32"/>
    </row>
    <row r="33" spans="20:34" x14ac:dyDescent="0.25">
      <c r="T33"/>
      <c r="AG33"/>
      <c r="AH33"/>
    </row>
    <row r="34" spans="20:34" x14ac:dyDescent="0.25">
      <c r="T34"/>
      <c r="AG34"/>
      <c r="AH34"/>
    </row>
    <row r="35" spans="20:34" x14ac:dyDescent="0.25">
      <c r="T35"/>
      <c r="AG35"/>
      <c r="AH35"/>
    </row>
    <row r="36" spans="20:34" x14ac:dyDescent="0.25">
      <c r="T36"/>
      <c r="AG36"/>
      <c r="AH36"/>
    </row>
    <row r="37" spans="20:34" x14ac:dyDescent="0.25">
      <c r="T37"/>
      <c r="AG37"/>
      <c r="AH37"/>
    </row>
    <row r="38" spans="20:34" x14ac:dyDescent="0.25">
      <c r="T38"/>
      <c r="AG38"/>
      <c r="AH38"/>
    </row>
    <row r="39" spans="20:34" x14ac:dyDescent="0.25">
      <c r="T39"/>
      <c r="AG39"/>
      <c r="AH39"/>
    </row>
    <row r="40" spans="20:34" x14ac:dyDescent="0.25">
      <c r="T40"/>
      <c r="AG40"/>
      <c r="AH40"/>
    </row>
    <row r="41" spans="20:34" x14ac:dyDescent="0.25">
      <c r="T41"/>
      <c r="AG41"/>
      <c r="AH41"/>
    </row>
    <row r="42" spans="20:34" x14ac:dyDescent="0.25">
      <c r="T42"/>
      <c r="AG42"/>
      <c r="AH42"/>
    </row>
    <row r="43" spans="20:34" x14ac:dyDescent="0.25">
      <c r="T43"/>
      <c r="AG43"/>
      <c r="AH43"/>
    </row>
    <row r="44" spans="20:34" x14ac:dyDescent="0.25">
      <c r="T44"/>
      <c r="AG44"/>
      <c r="AH44"/>
    </row>
    <row r="45" spans="20:34" x14ac:dyDescent="0.25">
      <c r="T45"/>
      <c r="AG45"/>
      <c r="AH45"/>
    </row>
    <row r="46" spans="20:34" x14ac:dyDescent="0.25">
      <c r="T46"/>
      <c r="AG46"/>
      <c r="AH46"/>
    </row>
    <row r="47" spans="20:34" x14ac:dyDescent="0.25">
      <c r="T47"/>
      <c r="AG47"/>
      <c r="AH47"/>
    </row>
    <row r="48" spans="20:34" x14ac:dyDescent="0.25">
      <c r="T48"/>
      <c r="AG48"/>
      <c r="AH48"/>
    </row>
    <row r="51" spans="22:31" x14ac:dyDescent="0.25">
      <c r="V51"/>
      <c r="X51"/>
      <c r="Y51"/>
      <c r="Z51"/>
      <c r="AA51"/>
      <c r="AB51"/>
      <c r="AC51"/>
      <c r="AD51"/>
    </row>
    <row r="52" spans="22:31" x14ac:dyDescent="0.25">
      <c r="V52"/>
      <c r="X52"/>
      <c r="Y52"/>
      <c r="Z52"/>
      <c r="AA52"/>
      <c r="AB52"/>
      <c r="AC52"/>
      <c r="AD52"/>
    </row>
    <row r="53" spans="22:31" x14ac:dyDescent="0.25">
      <c r="V53"/>
      <c r="X53"/>
      <c r="Y53"/>
      <c r="Z53"/>
      <c r="AA53"/>
      <c r="AB53"/>
      <c r="AC53"/>
      <c r="AD53"/>
    </row>
    <row r="54" spans="22:31" x14ac:dyDescent="0.25">
      <c r="V54"/>
      <c r="X54"/>
      <c r="Y54"/>
      <c r="Z54"/>
      <c r="AA54"/>
      <c r="AB54"/>
      <c r="AC54"/>
      <c r="AD54"/>
    </row>
    <row r="55" spans="22:31" x14ac:dyDescent="0.25">
      <c r="V55"/>
      <c r="X55"/>
      <c r="Y55"/>
      <c r="Z55"/>
      <c r="AA55"/>
      <c r="AB55"/>
      <c r="AC55"/>
      <c r="AD55"/>
    </row>
    <row r="56" spans="22:31" x14ac:dyDescent="0.25">
      <c r="V56"/>
      <c r="X56"/>
      <c r="Y56"/>
      <c r="Z56"/>
      <c r="AA56"/>
      <c r="AB56"/>
      <c r="AC56"/>
      <c r="AD56"/>
    </row>
    <row r="57" spans="22:31" x14ac:dyDescent="0.25">
      <c r="V57"/>
      <c r="X57"/>
      <c r="Y57"/>
      <c r="Z57"/>
      <c r="AA57"/>
      <c r="AB57"/>
      <c r="AC57"/>
      <c r="AD57"/>
    </row>
    <row r="58" spans="22:31" x14ac:dyDescent="0.25">
      <c r="V58"/>
      <c r="X58"/>
      <c r="Y58"/>
      <c r="Z58"/>
      <c r="AA58"/>
      <c r="AB58"/>
      <c r="AC58"/>
      <c r="AD58"/>
    </row>
    <row r="59" spans="22:31" x14ac:dyDescent="0.25">
      <c r="V59"/>
      <c r="X59"/>
      <c r="Y59"/>
      <c r="Z59"/>
      <c r="AA59"/>
      <c r="AB59"/>
      <c r="AC59"/>
      <c r="AD59"/>
    </row>
    <row r="60" spans="22:31" x14ac:dyDescent="0.25">
      <c r="V60"/>
      <c r="X60"/>
      <c r="Y60"/>
      <c r="Z60"/>
      <c r="AA60"/>
      <c r="AB60"/>
      <c r="AC60"/>
      <c r="AD60"/>
    </row>
    <row r="61" spans="22:31" x14ac:dyDescent="0.25">
      <c r="V61"/>
      <c r="X61"/>
      <c r="Y61"/>
      <c r="Z61"/>
      <c r="AA61"/>
      <c r="AB61"/>
      <c r="AC61"/>
      <c r="AD61"/>
    </row>
    <row r="62" spans="22:31" x14ac:dyDescent="0.25">
      <c r="V62"/>
      <c r="X62"/>
      <c r="Y62"/>
      <c r="Z62"/>
      <c r="AA62"/>
      <c r="AB62"/>
      <c r="AC62"/>
      <c r="AD62"/>
    </row>
    <row r="63" spans="22:31" x14ac:dyDescent="0.25">
      <c r="V63"/>
      <c r="X63"/>
      <c r="Y63"/>
      <c r="Z63"/>
      <c r="AA63"/>
      <c r="AB63"/>
      <c r="AC63"/>
      <c r="AD63"/>
      <c r="AE63"/>
    </row>
    <row r="64" spans="22:31" x14ac:dyDescent="0.25">
      <c r="V64"/>
      <c r="X64"/>
      <c r="Y64"/>
      <c r="Z64"/>
      <c r="AA64"/>
      <c r="AB64"/>
      <c r="AC64"/>
      <c r="AD64"/>
      <c r="AE64"/>
    </row>
    <row r="65" spans="22:31" x14ac:dyDescent="0.25">
      <c r="V65"/>
      <c r="X65"/>
      <c r="Y65"/>
      <c r="Z65"/>
      <c r="AA65"/>
      <c r="AB65"/>
      <c r="AC65"/>
      <c r="AD65"/>
    </row>
    <row r="66" spans="22:31" x14ac:dyDescent="0.25">
      <c r="V66"/>
      <c r="X66"/>
      <c r="Y66"/>
      <c r="Z66"/>
      <c r="AA66"/>
      <c r="AB66"/>
      <c r="AC66"/>
      <c r="AD66"/>
    </row>
    <row r="67" spans="22:31" x14ac:dyDescent="0.25">
      <c r="V67"/>
      <c r="X67"/>
      <c r="Y67"/>
      <c r="Z67"/>
      <c r="AA67"/>
      <c r="AB67"/>
      <c r="AC67"/>
      <c r="AD67"/>
    </row>
    <row r="68" spans="22:31" x14ac:dyDescent="0.25">
      <c r="V68"/>
      <c r="X68"/>
      <c r="Y68"/>
      <c r="Z68"/>
      <c r="AA68"/>
      <c r="AB68"/>
      <c r="AC68"/>
      <c r="AD68"/>
    </row>
    <row r="69" spans="22:31" x14ac:dyDescent="0.25">
      <c r="V69"/>
      <c r="X69"/>
      <c r="Y69"/>
      <c r="Z69"/>
      <c r="AA69"/>
      <c r="AB69"/>
      <c r="AC69"/>
      <c r="AD69"/>
    </row>
    <row r="70" spans="22:31" x14ac:dyDescent="0.25">
      <c r="V70"/>
      <c r="X70"/>
      <c r="Y70"/>
      <c r="Z70"/>
      <c r="AA70"/>
      <c r="AB70"/>
      <c r="AC70"/>
      <c r="AD70"/>
      <c r="AE70"/>
    </row>
    <row r="71" spans="22:31" x14ac:dyDescent="0.25">
      <c r="V71"/>
      <c r="X71"/>
      <c r="Y71"/>
      <c r="Z71"/>
      <c r="AA71"/>
      <c r="AB71"/>
      <c r="AC71"/>
      <c r="AD71"/>
      <c r="AE71"/>
    </row>
    <row r="72" spans="22:31" x14ac:dyDescent="0.25">
      <c r="V72"/>
      <c r="X72"/>
      <c r="Y72"/>
      <c r="Z72"/>
      <c r="AA72"/>
      <c r="AB72"/>
      <c r="AC72"/>
      <c r="AD72"/>
    </row>
    <row r="73" spans="22:31" x14ac:dyDescent="0.25">
      <c r="V73"/>
      <c r="X73"/>
      <c r="Y73"/>
      <c r="Z73"/>
      <c r="AA73"/>
      <c r="AB73"/>
      <c r="AC73"/>
      <c r="AD73"/>
    </row>
    <row r="74" spans="22:31" x14ac:dyDescent="0.25">
      <c r="V74"/>
      <c r="X74"/>
      <c r="Y74"/>
      <c r="Z74"/>
      <c r="AA74"/>
      <c r="AB74"/>
      <c r="AC74"/>
      <c r="AD74"/>
    </row>
    <row r="75" spans="22:31" x14ac:dyDescent="0.25">
      <c r="V75"/>
      <c r="X75"/>
      <c r="Y75"/>
      <c r="Z75"/>
      <c r="AA75"/>
      <c r="AB75"/>
      <c r="AC75"/>
      <c r="AD75"/>
    </row>
    <row r="76" spans="22:31" x14ac:dyDescent="0.25">
      <c r="V76"/>
      <c r="X76"/>
      <c r="Y76"/>
      <c r="Z76"/>
      <c r="AA76"/>
      <c r="AB76"/>
      <c r="AC76"/>
      <c r="AD76"/>
    </row>
    <row r="77" spans="22:31" x14ac:dyDescent="0.25">
      <c r="V77"/>
      <c r="X77"/>
      <c r="Y77"/>
      <c r="Z77"/>
      <c r="AA77"/>
      <c r="AB77"/>
      <c r="AC77"/>
      <c r="AD77"/>
      <c r="AE77"/>
    </row>
    <row r="78" spans="22:31" x14ac:dyDescent="0.25">
      <c r="V78"/>
      <c r="X78"/>
      <c r="Y78"/>
      <c r="Z78"/>
      <c r="AA78"/>
      <c r="AB78"/>
      <c r="AC78"/>
      <c r="AD78"/>
      <c r="AE78"/>
    </row>
    <row r="79" spans="22:31" x14ac:dyDescent="0.25">
      <c r="V79"/>
      <c r="X79"/>
      <c r="Y79"/>
      <c r="Z79"/>
      <c r="AA79"/>
      <c r="AB79"/>
      <c r="AC79"/>
      <c r="AD79"/>
    </row>
    <row r="80" spans="22:31" x14ac:dyDescent="0.25">
      <c r="V80"/>
      <c r="X80"/>
      <c r="Y80"/>
      <c r="Z80"/>
      <c r="AA80"/>
      <c r="AB80"/>
      <c r="AC80"/>
      <c r="AD80"/>
    </row>
    <row r="81" spans="22:31" x14ac:dyDescent="0.25">
      <c r="V81"/>
      <c r="X81"/>
      <c r="Y81"/>
      <c r="Z81"/>
      <c r="AA81"/>
      <c r="AB81"/>
      <c r="AC81"/>
      <c r="AD81"/>
    </row>
    <row r="82" spans="22:31" x14ac:dyDescent="0.25">
      <c r="V82"/>
      <c r="X82"/>
      <c r="Y82"/>
      <c r="Z82"/>
      <c r="AA82"/>
      <c r="AB82"/>
      <c r="AC82"/>
      <c r="AD82"/>
    </row>
    <row r="83" spans="22:31" x14ac:dyDescent="0.25">
      <c r="V83"/>
      <c r="X83"/>
      <c r="Y83"/>
      <c r="Z83"/>
      <c r="AA83"/>
      <c r="AB83"/>
      <c r="AC83"/>
      <c r="AD83"/>
    </row>
    <row r="84" spans="22:31" x14ac:dyDescent="0.25">
      <c r="V84"/>
      <c r="X84"/>
      <c r="Y84"/>
      <c r="Z84"/>
      <c r="AA84"/>
      <c r="AB84"/>
      <c r="AC84"/>
      <c r="AD84"/>
    </row>
    <row r="85" spans="22:31" x14ac:dyDescent="0.25">
      <c r="V85"/>
      <c r="X85"/>
      <c r="Y85"/>
      <c r="Z85"/>
      <c r="AA85"/>
      <c r="AB85"/>
      <c r="AC85"/>
      <c r="AD85"/>
    </row>
    <row r="86" spans="22:31" x14ac:dyDescent="0.25">
      <c r="V86"/>
      <c r="X86"/>
      <c r="Y86"/>
      <c r="Z86"/>
      <c r="AA86"/>
      <c r="AB86"/>
      <c r="AC86"/>
      <c r="AD86"/>
    </row>
    <row r="87" spans="22:31" x14ac:dyDescent="0.25">
      <c r="V87"/>
      <c r="X87"/>
      <c r="Y87"/>
      <c r="Z87"/>
      <c r="AA87"/>
      <c r="AB87"/>
      <c r="AC87"/>
      <c r="AD87"/>
    </row>
    <row r="88" spans="22:31" x14ac:dyDescent="0.25">
      <c r="V88"/>
      <c r="X88"/>
      <c r="Y88"/>
      <c r="Z88"/>
      <c r="AA88"/>
      <c r="AB88"/>
      <c r="AC88"/>
      <c r="AD88"/>
    </row>
    <row r="89" spans="22:31" x14ac:dyDescent="0.25">
      <c r="V89"/>
      <c r="X89"/>
      <c r="Y89"/>
      <c r="Z89"/>
      <c r="AA89"/>
      <c r="AB89"/>
      <c r="AC89"/>
      <c r="AD89"/>
    </row>
    <row r="90" spans="22:31" x14ac:dyDescent="0.25">
      <c r="V90"/>
      <c r="X90"/>
      <c r="Y90"/>
      <c r="Z90"/>
      <c r="AA90"/>
      <c r="AB90"/>
      <c r="AC90"/>
      <c r="AD90"/>
    </row>
    <row r="91" spans="22:31" x14ac:dyDescent="0.25">
      <c r="V91"/>
      <c r="X91"/>
      <c r="Y91"/>
      <c r="Z91"/>
      <c r="AA91"/>
      <c r="AB91"/>
      <c r="AC91"/>
      <c r="AD91"/>
      <c r="AE91"/>
    </row>
    <row r="92" spans="22:31" x14ac:dyDescent="0.25">
      <c r="V92"/>
      <c r="X92"/>
      <c r="Y92"/>
      <c r="Z92"/>
      <c r="AA92"/>
      <c r="AB92"/>
      <c r="AC92"/>
      <c r="AD92"/>
      <c r="AE92"/>
    </row>
    <row r="93" spans="22:31" x14ac:dyDescent="0.25">
      <c r="V93"/>
      <c r="X93"/>
      <c r="Y93"/>
      <c r="Z93"/>
      <c r="AA93"/>
      <c r="AB93"/>
      <c r="AC93"/>
      <c r="AD93"/>
    </row>
    <row r="94" spans="22:31" x14ac:dyDescent="0.25">
      <c r="V94"/>
      <c r="X94"/>
      <c r="Y94"/>
      <c r="Z94"/>
      <c r="AA94"/>
      <c r="AB94"/>
      <c r="AC94"/>
      <c r="AD94"/>
    </row>
    <row r="95" spans="22:31" x14ac:dyDescent="0.25">
      <c r="V95"/>
      <c r="X95"/>
      <c r="Y95"/>
      <c r="Z95"/>
      <c r="AA95"/>
      <c r="AB95"/>
      <c r="AC95"/>
      <c r="AD95"/>
    </row>
    <row r="96" spans="22:31" x14ac:dyDescent="0.25">
      <c r="V96"/>
      <c r="X96"/>
      <c r="Y96"/>
      <c r="Z96"/>
      <c r="AA96"/>
      <c r="AB96"/>
      <c r="AC96"/>
      <c r="AD96"/>
    </row>
    <row r="97" spans="22:30" x14ac:dyDescent="0.25">
      <c r="V97"/>
      <c r="X97"/>
      <c r="Y97"/>
      <c r="Z97"/>
      <c r="AA97"/>
      <c r="AB97"/>
      <c r="AC97"/>
      <c r="AD97"/>
    </row>
    <row r="105" spans="22:30" x14ac:dyDescent="0.25">
      <c r="Y105" s="7"/>
      <c r="Z105" s="7"/>
    </row>
  </sheetData>
  <mergeCells count="14">
    <mergeCell ref="W9:W10"/>
    <mergeCell ref="W11:W12"/>
    <mergeCell ref="U6:U7"/>
    <mergeCell ref="Y2:AR2"/>
    <mergeCell ref="AQ4:AR5"/>
    <mergeCell ref="AN4:AO5"/>
    <mergeCell ref="AK4:AL5"/>
    <mergeCell ref="AH4:AI5"/>
    <mergeCell ref="AE4:AF5"/>
    <mergeCell ref="U4:U5"/>
    <mergeCell ref="Y4:Z5"/>
    <mergeCell ref="AB4:AC5"/>
    <mergeCell ref="W4:W5"/>
    <mergeCell ref="W6:W7"/>
  </mergeCells>
  <conditionalFormatting sqref="AA1 AA3 Y6:Z8 AB6:AC8 AE6:AF8 AH6:AI8 AK6:AL8 AN6:AO8 AQ6:AR8 AA98:AA100 AA106:AA1048576">
    <cfRule type="containsText" dxfId="1" priority="3" operator="containsText" text="Belum">
      <formula>NOT(ISERROR(SEARCH("Belum",Y1)))</formula>
    </cfRule>
    <cfRule type="containsText" dxfId="0" priority="4" operator="containsText" text="Sudah">
      <formula>NOT(ISERROR(SEARCH("Sudah",Y1)))</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29</vt:i4>
      </vt:variant>
    </vt:vector>
  </HeadingPairs>
  <TitlesOfParts>
    <vt:vector size="36" baseType="lpstr">
      <vt:lpstr>Database MK</vt:lpstr>
      <vt:lpstr>Review</vt:lpstr>
      <vt:lpstr>Summary PR PO GR</vt:lpstr>
      <vt:lpstr>Exsum Apr 26</vt:lpstr>
      <vt:lpstr>Monitoring BIM April 2026</vt:lpstr>
      <vt:lpstr>Tree Apr 26</vt:lpstr>
      <vt:lpstr>Tree Okt 26</vt:lpstr>
      <vt:lpstr>BIMABD</vt:lpstr>
      <vt:lpstr>BIMBAFlushing</vt:lpstr>
      <vt:lpstr>BIMBAHydro</vt:lpstr>
      <vt:lpstr>BIMBAPL</vt:lpstr>
      <vt:lpstr>BIMBASinggem</vt:lpstr>
      <vt:lpstr>BIMBATC</vt:lpstr>
      <vt:lpstr>BIMBATestPit</vt:lpstr>
      <vt:lpstr>BIMBATF</vt:lpstr>
      <vt:lpstr>BIMDPPK</vt:lpstr>
      <vt:lpstr>BIMDPPP</vt:lpstr>
      <vt:lpstr>BIMJustek</vt:lpstr>
      <vt:lpstr>BIMJustfin</vt:lpstr>
      <vt:lpstr>BIMLHLMLB</vt:lpstr>
      <vt:lpstr>BIMMC0</vt:lpstr>
      <vt:lpstr>BIMMC100</vt:lpstr>
      <vt:lpstr>BIMPelatihan</vt:lpstr>
      <vt:lpstr>BIMPerizinan</vt:lpstr>
      <vt:lpstr>BIMPKPI</vt:lpstr>
      <vt:lpstr>BIMPropMod</vt:lpstr>
      <vt:lpstr>BIMRAB</vt:lpstr>
      <vt:lpstr>BIMRDA</vt:lpstr>
      <vt:lpstr>BIMRNA</vt:lpstr>
      <vt:lpstr>BIMStatusProyek</vt:lpstr>
      <vt:lpstr>BIMUjiLab</vt:lpstr>
      <vt:lpstr>BIMUjiLogger</vt:lpstr>
      <vt:lpstr>BIMUmum</vt:lpstr>
      <vt:lpstr>'Database MK'!Print_Area</vt:lpstr>
      <vt:lpstr>'Monitoring BIM April 2026'!Print_Area</vt:lpstr>
      <vt:lpstr>'Database MK'!Print_Titles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Mohammad Ali Syafi'i</dc:creator>
  <cp:keywords/>
  <dc:description/>
  <cp:lastModifiedBy>Indradi Kridiasto</cp:lastModifiedBy>
  <cp:revision/>
  <dcterms:created xsi:type="dcterms:W3CDTF">2025-10-22T04:05:24Z</dcterms:created>
  <dcterms:modified xsi:type="dcterms:W3CDTF">2026-06-29T17:06:46Z</dcterms:modified>
  <cp:category/>
  <cp:contentStatus/>
</cp:coreProperties>
</file>